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inea\Novembro\"/>
    </mc:Choice>
  </mc:AlternateContent>
  <xr:revisionPtr revIDLastSave="0" documentId="13_ncr:1_{8F17F445-052B-4DFC-B8A7-01FBF2D67951}" xr6:coauthVersionLast="46" xr6:coauthVersionMax="46" xr10:uidLastSave="{00000000-0000-0000-0000-000000000000}"/>
  <bookViews>
    <workbookView xWindow="-120" yWindow="-120" windowWidth="20730" windowHeight="11310" tabRatio="740" firstSheet="12" activeTab="17" xr2:uid="{00000000-000D-0000-FFFF-FFFF00000000}"/>
  </bookViews>
  <sheets>
    <sheet name="DRE" sheetId="1" r:id="rId1"/>
    <sheet name="DRE INCC" sheetId="2" r:id="rId2"/>
    <sheet name="Premissas" sheetId="3" r:id="rId3"/>
    <sheet name="Fluxo Projeto" sheetId="4" r:id="rId4"/>
    <sheet name="Fluxo Bandeira Co" sheetId="5" r:id="rId5"/>
    <sheet name="Fluxo Investidores" sheetId="6" r:id="rId6"/>
    <sheet name="Permutas" sheetId="7" r:id="rId7"/>
    <sheet name="Obra" sheetId="8" r:id="rId8"/>
    <sheet name="Tabela Vendas" sheetId="9" r:id="rId9"/>
    <sheet name="Curvas" sheetId="10" r:id="rId10"/>
    <sheet name="Fluxos de Recebimento" sheetId="11" r:id="rId11"/>
    <sheet name="M-Unidades" sheetId="12" r:id="rId12"/>
    <sheet name="M-FLUXO DE CAIXA" sheetId="13" r:id="rId13"/>
    <sheet name="M-POS. FIN." sheetId="14" r:id="rId14"/>
    <sheet name="M-LIQUIDAÇÕES" sheetId="15" r:id="rId15"/>
    <sheet name="LDI - Fluxo de Caixa" sheetId="16" r:id="rId16"/>
    <sheet name="Investidores" sheetId="17" r:id="rId17"/>
    <sheet name="Base de Unidades" sheetId="18" r:id="rId18"/>
    <sheet name="Macro" sheetId="19" r:id="rId19"/>
    <sheet name="Indicadores" sheetId="20" r:id="rId20"/>
  </sheets>
  <definedNames>
    <definedName name="_xlnm._FilterDatabase" localSheetId="8" hidden="1">'Tabela Vendas'!$A$1:$V$47</definedName>
    <definedName name="adicionalVenda">Premissas!$K$37</definedName>
    <definedName name="ajusteVendasLçto">Premissas!$H$22</definedName>
    <definedName name="ajusteVendasObra">Premissas!$H$23</definedName>
    <definedName name="ajusteVendasPosChave">Premissas!$H$24</definedName>
    <definedName name="andarTipo">'Tabela Vendas'!$Y$4</definedName>
    <definedName name="aplicaçaoCDI">Premissas!$C$16</definedName>
    <definedName name="assistTecnicaObra">Premissas!$K$32</definedName>
    <definedName name="atoPosCh">Premissas!$G$10</definedName>
    <definedName name="atoPreCh">Premissas!$G$17</definedName>
    <definedName name="baseData">Premissas!$C$2</definedName>
    <definedName name="carenciaRepasse">Premissas!$K$9</definedName>
    <definedName name="carenciaVenda">Premissas!$G$7</definedName>
    <definedName name="carteiraInicial">Premissas!$K$20</definedName>
    <definedName name="CDI">Premissas!$C$21</definedName>
    <definedName name="chRepasse">Premissas!$G$15</definedName>
    <definedName name="comissao">Premissas!$G$32</definedName>
    <definedName name="compraTerreno">Premissas!$C$7</definedName>
    <definedName name="condominio">Premissas!$N$14</definedName>
    <definedName name="curvaInad">Premissas!$K$14</definedName>
    <definedName name="custoPermutaLDI">Permutas!$C$13</definedName>
    <definedName name="custoRaso">Premissas!$K$29</definedName>
    <definedName name="custoRasoINCC">Premissas!$K$30</definedName>
    <definedName name="cxMinHoldingPosObra">Premissas!$N$24</definedName>
    <definedName name="cxMinHoldingPreObra">Premissas!$N$23</definedName>
    <definedName name="cxMinSPEposObra">Premissas!$N$8</definedName>
    <definedName name="cxMinSPEpreObra">Premissas!$N$7</definedName>
    <definedName name="dataBaseObra">Premissas!$K$27</definedName>
    <definedName name="dataBasePassivos">Premissas!$N$13</definedName>
    <definedName name="deltaAndares">'Tabela Vendas'!$Y$9</definedName>
    <definedName name="deltaFinal1">'Tabela Vendas'!$Y$5</definedName>
    <definedName name="deltaFinal2">'Tabela Vendas'!$Y$6</definedName>
    <definedName name="deltaGarden1">'Tabela Vendas'!$Y$7</definedName>
    <definedName name="deltaGarden2">'Tabela Vendas'!$Y$8</definedName>
    <definedName name="desconto">Premissas!$G$30</definedName>
    <definedName name="distMin">Premissas!$N$9</definedName>
    <definedName name="entrega">Premissas!$C$10</definedName>
    <definedName name="estoqueInicial">Premissas!$K$22</definedName>
    <definedName name="gordura">Premissas!$G$31</definedName>
    <definedName name="hurdle">Premissas!$N$36</definedName>
    <definedName name="impostoPermuta">Premissas!$K$39</definedName>
    <definedName name="inccD2">Premissas!$G$3</definedName>
    <definedName name="inccData">Premissas!$C$3</definedName>
    <definedName name="inccObra">Premissas!$K$28</definedName>
    <definedName name="inicioDistribuicoes">Premissas!$N$10</definedName>
    <definedName name="inicioObra">Premissas!$C$9</definedName>
    <definedName name="inputTabela">'Tabela Vendas'!$Y$18</definedName>
    <definedName name="IPCAano">Premissas!$C$19</definedName>
    <definedName name="ipcaD2">Premissas!$G$4</definedName>
    <definedName name="ipcaData">Premissas!$C$4</definedName>
    <definedName name="IPCAmes">Premissas!$C$20</definedName>
    <definedName name="IPTU">Premissas!$N$15</definedName>
    <definedName name="itbicartorioPermuta">Premissas!$K$38</definedName>
    <definedName name="lçto">Premissas!$C$8</definedName>
    <definedName name="mensaisPosCh">Premissas!$G$11</definedName>
    <definedName name="mensaisPreCh">Premissas!$G$18</definedName>
    <definedName name="nonaChamada" localSheetId="14">Premissas!#REF!</definedName>
    <definedName name="nonaChamada">Premissas!#REF!</definedName>
    <definedName name="oitavaChamada">Premissas!$Q$35</definedName>
    <definedName name="outrasDespesasHolding">Premissas!$N$33</definedName>
    <definedName name="pctAporteSPE" localSheetId="14">Premissas!#REF!</definedName>
    <definedName name="pctAporteSPE">Premissas!#REF!</definedName>
    <definedName name="pctAuditoriaHolding">Premissas!$N$28</definedName>
    <definedName name="pctCM">Premissas!$C$27</definedName>
    <definedName name="pctContHolding">Premissas!$N$32</definedName>
    <definedName name="pctDevolucao">Premissas!$K$16</definedName>
    <definedName name="pctDistrato">Premissas!$K$15</definedName>
    <definedName name="pctGestaoSPE">Premissas!$N$19</definedName>
    <definedName name="pctImpostosHolding">Premissas!$N$27</definedName>
    <definedName name="pctImpostoSPE">Premissas!$N$17</definedName>
    <definedName name="pctIncorporaçaoSPE">Premissas!$N$18</definedName>
    <definedName name="pctJurídicoHolding">Premissas!$N$30</definedName>
    <definedName name="pctLDI">Premissas!$C$28</definedName>
    <definedName name="pctMarketingSPE">Premissas!$N$16</definedName>
    <definedName name="pctObraHolding">Premissas!$N$29</definedName>
    <definedName name="pctOutrasSPE">Premissas!$N$20</definedName>
    <definedName name="pctSCPequity">Premissas!$C$25</definedName>
    <definedName name="pctSCPpermuta">Premissas!$C$24</definedName>
    <definedName name="pctSeedMoney">Premissas!$C$26</definedName>
    <definedName name="PDD">Premissas!$K$17</definedName>
    <definedName name="periodoRepassePreChaves">Premissas!$G$16</definedName>
    <definedName name="prazoRepasseCarteira">Premissas!$K$10</definedName>
    <definedName name="prazoRepasseVendas">Premissas!$G$9</definedName>
    <definedName name="prazoVenda">Premissas!$G$8</definedName>
    <definedName name="precoHist">Premissas!$G$28</definedName>
    <definedName name="precoInput" localSheetId="14">Premissas!#REF!</definedName>
    <definedName name="precoInput">Premissas!#REF!</definedName>
    <definedName name="precoTab">Premissas!$G$29</definedName>
    <definedName name="premio">Premissas!$G$33</definedName>
    <definedName name="premissaToleranciaObra">Premissas!$K$34</definedName>
    <definedName name="quintaChamada">Premissas!$Q$32</definedName>
    <definedName name="repassePosCh">Premissas!$G$12</definedName>
    <definedName name="repassePreCh">Premissas!$G$19</definedName>
    <definedName name="setimaChamada">Premissas!$Q$34</definedName>
    <definedName name="sextaChamada">Premissas!$Q$33</definedName>
    <definedName name="terminoProjeto">Premissas!$C$11</definedName>
    <definedName name="tipoCarteira">Premissas!$K$7</definedName>
    <definedName name="tipoPreço">Premissas!$G$27</definedName>
    <definedName name="toleranciaObra">Premissas!$K$33</definedName>
    <definedName name="totalPerformance">Premissas!$N$38</definedName>
    <definedName name="txAdmKinea">Premissas!$N$31</definedName>
    <definedName name="txAdmObra">Premissas!$K$31</definedName>
    <definedName name="txPerformance">Premissas!$N$37</definedName>
    <definedName name="varINCC">Premissas!$K$3</definedName>
    <definedName name="varIPCA">Premissas!$K$4</definedName>
    <definedName name="vendasLçto">Premissas!$G$22</definedName>
    <definedName name="vendasObra">Premissas!$G$23</definedName>
    <definedName name="vendasPosChave">Premissas!$G$24</definedName>
    <definedName name="vlrCarteira">Premissas!$K$8</definedName>
    <definedName name="vlrInad">Premissas!$K$13</definedName>
  </definedNames>
  <calcPr calcId="181029"/>
</workbook>
</file>

<file path=xl/calcChain.xml><?xml version="1.0" encoding="utf-8"?>
<calcChain xmlns="http://schemas.openxmlformats.org/spreadsheetml/2006/main">
  <c r="L120" i="20" l="1"/>
  <c r="K120" i="20"/>
  <c r="F120" i="20"/>
  <c r="C120" i="20"/>
  <c r="F119" i="20"/>
  <c r="C119" i="20"/>
  <c r="F118" i="20"/>
  <c r="C118" i="20"/>
  <c r="F117" i="20"/>
  <c r="C117" i="20"/>
  <c r="F116" i="20"/>
  <c r="C116" i="20"/>
  <c r="F115" i="20"/>
  <c r="C115" i="20"/>
  <c r="I114" i="20"/>
  <c r="F114" i="20"/>
  <c r="C114" i="20"/>
  <c r="I113" i="20"/>
  <c r="F113" i="20"/>
  <c r="C113" i="20"/>
  <c r="I112" i="20"/>
  <c r="F112" i="20"/>
  <c r="C112" i="20"/>
  <c r="I111" i="20"/>
  <c r="F111" i="20"/>
  <c r="C111" i="20"/>
  <c r="I110" i="20"/>
  <c r="F110" i="20"/>
  <c r="C110" i="20"/>
  <c r="I109" i="20"/>
  <c r="F109" i="20"/>
  <c r="C109" i="20"/>
  <c r="I108" i="20"/>
  <c r="F108" i="20"/>
  <c r="C108" i="20"/>
  <c r="I107" i="20"/>
  <c r="F107" i="20"/>
  <c r="C107" i="20"/>
  <c r="I106" i="20"/>
  <c r="F106" i="20"/>
  <c r="C106" i="20"/>
  <c r="I105" i="20"/>
  <c r="F105" i="20"/>
  <c r="C105" i="20"/>
  <c r="I104" i="20"/>
  <c r="F104" i="20"/>
  <c r="C104" i="20"/>
  <c r="I103" i="20"/>
  <c r="F103" i="20"/>
  <c r="C103" i="20"/>
  <c r="I102" i="20"/>
  <c r="F102" i="20"/>
  <c r="C102" i="20"/>
  <c r="I101" i="20"/>
  <c r="F101" i="20"/>
  <c r="C101" i="20"/>
  <c r="I100" i="20"/>
  <c r="F100" i="20"/>
  <c r="C100" i="20"/>
  <c r="I99" i="20"/>
  <c r="F99" i="20"/>
  <c r="C99" i="20"/>
  <c r="I98" i="20"/>
  <c r="F98" i="20"/>
  <c r="C98" i="20"/>
  <c r="I97" i="20"/>
  <c r="F97" i="20"/>
  <c r="C97" i="20"/>
  <c r="I96" i="20"/>
  <c r="F96" i="20"/>
  <c r="C96" i="20"/>
  <c r="I95" i="20"/>
  <c r="F95" i="20"/>
  <c r="C95" i="20"/>
  <c r="I94" i="20"/>
  <c r="F94" i="20"/>
  <c r="C94" i="20"/>
  <c r="I93" i="20"/>
  <c r="F93" i="20"/>
  <c r="C93" i="20"/>
  <c r="I92" i="20"/>
  <c r="F92" i="20"/>
  <c r="C92" i="20"/>
  <c r="I91" i="20"/>
  <c r="F91" i="20"/>
  <c r="C91" i="20"/>
  <c r="I90" i="20"/>
  <c r="F90" i="20"/>
  <c r="C90" i="20"/>
  <c r="I89" i="20"/>
  <c r="F89" i="20"/>
  <c r="C89" i="20"/>
  <c r="I88" i="20"/>
  <c r="F88" i="20"/>
  <c r="C88" i="20"/>
  <c r="I87" i="20"/>
  <c r="F87" i="20"/>
  <c r="C87" i="20"/>
  <c r="I86" i="20"/>
  <c r="F86" i="20"/>
  <c r="C86" i="20"/>
  <c r="I85" i="20"/>
  <c r="F85" i="20"/>
  <c r="C85" i="20"/>
  <c r="I84" i="20"/>
  <c r="F84" i="20"/>
  <c r="C84" i="20"/>
  <c r="I83" i="20"/>
  <c r="F83" i="20"/>
  <c r="C83" i="20"/>
  <c r="I82" i="20"/>
  <c r="F82" i="20"/>
  <c r="C82" i="20"/>
  <c r="I81" i="20"/>
  <c r="F81" i="20"/>
  <c r="C81" i="20"/>
  <c r="I80" i="20"/>
  <c r="F80" i="20"/>
  <c r="C80" i="20"/>
  <c r="I79" i="20"/>
  <c r="F79" i="20"/>
  <c r="C79" i="20"/>
  <c r="I78" i="20"/>
  <c r="F78" i="20"/>
  <c r="C78" i="20"/>
  <c r="I77" i="20"/>
  <c r="F77" i="20"/>
  <c r="C77" i="20"/>
  <c r="I76" i="20"/>
  <c r="F76" i="20"/>
  <c r="C76" i="20"/>
  <c r="I75" i="20"/>
  <c r="F75" i="20"/>
  <c r="C75" i="20"/>
  <c r="I74" i="20"/>
  <c r="F74" i="20"/>
  <c r="C74" i="20"/>
  <c r="I73" i="20"/>
  <c r="F73" i="20"/>
  <c r="C73" i="20"/>
  <c r="I72" i="20"/>
  <c r="F72" i="20"/>
  <c r="C72" i="20"/>
  <c r="I71" i="20"/>
  <c r="F71" i="20"/>
  <c r="C71" i="20"/>
  <c r="I70" i="20"/>
  <c r="F70" i="20"/>
  <c r="C70" i="20"/>
  <c r="I69" i="20"/>
  <c r="F69" i="20"/>
  <c r="C69" i="20"/>
  <c r="I68" i="20"/>
  <c r="F68" i="20"/>
  <c r="C68" i="20"/>
  <c r="I67" i="20"/>
  <c r="F67" i="20"/>
  <c r="C67" i="20"/>
  <c r="I66" i="20"/>
  <c r="F66" i="20"/>
  <c r="C66" i="20"/>
  <c r="I65" i="20"/>
  <c r="F65" i="20"/>
  <c r="C65" i="20"/>
  <c r="I64" i="20"/>
  <c r="F64" i="20"/>
  <c r="C64" i="20"/>
  <c r="I63" i="20"/>
  <c r="F63" i="20"/>
  <c r="C63" i="20"/>
  <c r="I62" i="20"/>
  <c r="F62" i="20"/>
  <c r="C62" i="20"/>
  <c r="I61" i="20"/>
  <c r="F61" i="20"/>
  <c r="C61" i="20"/>
  <c r="I60" i="20"/>
  <c r="F60" i="20"/>
  <c r="C60" i="20"/>
  <c r="I59" i="20"/>
  <c r="F59" i="20"/>
  <c r="C59" i="20"/>
  <c r="I58" i="20"/>
  <c r="F58" i="20"/>
  <c r="C58" i="20"/>
  <c r="I57" i="20"/>
  <c r="F57" i="20"/>
  <c r="C57" i="20"/>
  <c r="I56" i="20"/>
  <c r="F56" i="20"/>
  <c r="C56" i="20"/>
  <c r="I55" i="20"/>
  <c r="F55" i="20"/>
  <c r="C55" i="20"/>
  <c r="I54" i="20"/>
  <c r="F54" i="20"/>
  <c r="C54" i="20"/>
  <c r="I53" i="20"/>
  <c r="F53" i="20"/>
  <c r="C53" i="20"/>
  <c r="I52" i="20"/>
  <c r="F52" i="20"/>
  <c r="C52" i="20"/>
  <c r="I51" i="20"/>
  <c r="F51" i="20"/>
  <c r="C51" i="20"/>
  <c r="I50" i="20"/>
  <c r="F50" i="20"/>
  <c r="C50" i="20"/>
  <c r="I49" i="20"/>
  <c r="F49" i="20"/>
  <c r="C49" i="20"/>
  <c r="I48" i="20"/>
  <c r="F48" i="20"/>
  <c r="C48" i="20"/>
  <c r="I47" i="20"/>
  <c r="F47" i="20"/>
  <c r="C47" i="20"/>
  <c r="I46" i="20"/>
  <c r="F46" i="20"/>
  <c r="C46" i="20"/>
  <c r="I45" i="20"/>
  <c r="F45" i="20"/>
  <c r="C45" i="20"/>
  <c r="I44" i="20"/>
  <c r="F44" i="20"/>
  <c r="C44" i="20"/>
  <c r="I43" i="20"/>
  <c r="F43" i="20"/>
  <c r="C43" i="20"/>
  <c r="I42" i="20"/>
  <c r="F42" i="20"/>
  <c r="C42" i="20"/>
  <c r="I41" i="20"/>
  <c r="F41" i="20"/>
  <c r="C41" i="20"/>
  <c r="I40" i="20"/>
  <c r="F40" i="20"/>
  <c r="C40" i="20"/>
  <c r="I39" i="20"/>
  <c r="F39" i="20"/>
  <c r="C39" i="20"/>
  <c r="I38" i="20"/>
  <c r="F38" i="20"/>
  <c r="C38" i="20"/>
  <c r="I37" i="20"/>
  <c r="F37" i="20"/>
  <c r="C37" i="20"/>
  <c r="I36" i="20"/>
  <c r="F36" i="20"/>
  <c r="C36" i="20"/>
  <c r="I35" i="20"/>
  <c r="F35" i="20"/>
  <c r="C35" i="20"/>
  <c r="I34" i="20"/>
  <c r="F34" i="20"/>
  <c r="C34" i="20"/>
  <c r="I33" i="20"/>
  <c r="F33" i="20"/>
  <c r="C33" i="20"/>
  <c r="I32" i="20"/>
  <c r="F32" i="20"/>
  <c r="C32" i="20"/>
  <c r="I31" i="20"/>
  <c r="F31" i="20"/>
  <c r="C31" i="20"/>
  <c r="I30" i="20"/>
  <c r="F30" i="20"/>
  <c r="C30" i="20"/>
  <c r="I29" i="20"/>
  <c r="F29" i="20"/>
  <c r="C29" i="20"/>
  <c r="I28" i="20"/>
  <c r="F28" i="20"/>
  <c r="C28" i="20"/>
  <c r="I27" i="20"/>
  <c r="F27" i="20"/>
  <c r="C27" i="20"/>
  <c r="I26" i="20"/>
  <c r="F26" i="20"/>
  <c r="C26" i="20"/>
  <c r="I25" i="20"/>
  <c r="F25" i="20"/>
  <c r="C25" i="20"/>
  <c r="I24" i="20"/>
  <c r="F24" i="20"/>
  <c r="C24" i="20"/>
  <c r="I23" i="20"/>
  <c r="F23" i="20"/>
  <c r="C23" i="20"/>
  <c r="I22" i="20"/>
  <c r="F22" i="20"/>
  <c r="C22" i="20"/>
  <c r="I21" i="20"/>
  <c r="F21" i="20"/>
  <c r="C21" i="20"/>
  <c r="I20" i="20"/>
  <c r="F20" i="20"/>
  <c r="C20" i="20"/>
  <c r="I19" i="20"/>
  <c r="F19" i="20"/>
  <c r="C19" i="20"/>
  <c r="I18" i="20"/>
  <c r="F18" i="20"/>
  <c r="C18" i="20"/>
  <c r="I17" i="20"/>
  <c r="F17" i="20"/>
  <c r="C17" i="20"/>
  <c r="I16" i="20"/>
  <c r="F16" i="20"/>
  <c r="C16" i="20"/>
  <c r="I15" i="20"/>
  <c r="F15" i="20"/>
  <c r="C15" i="20"/>
  <c r="I14" i="20"/>
  <c r="F14" i="20"/>
  <c r="C14" i="20"/>
  <c r="I13" i="20"/>
  <c r="F13" i="20"/>
  <c r="C13" i="20"/>
  <c r="I12" i="20"/>
  <c r="F12" i="20"/>
  <c r="C12" i="20"/>
  <c r="I11" i="20"/>
  <c r="F11" i="20"/>
  <c r="C11" i="20"/>
  <c r="I10" i="20"/>
  <c r="F10" i="20"/>
  <c r="C10" i="20"/>
  <c r="I9" i="20"/>
  <c r="F9" i="20"/>
  <c r="C9" i="20"/>
  <c r="I8" i="20"/>
  <c r="F8" i="20"/>
  <c r="C8" i="20"/>
  <c r="I7" i="20"/>
  <c r="F7" i="20"/>
  <c r="C7" i="20"/>
  <c r="I6" i="20"/>
  <c r="F6" i="20"/>
  <c r="C6" i="20"/>
  <c r="I5" i="20"/>
  <c r="F5" i="20"/>
  <c r="C5" i="20"/>
  <c r="I4" i="20"/>
  <c r="F4" i="20"/>
  <c r="C4" i="20"/>
  <c r="I3" i="20"/>
  <c r="F3" i="20"/>
  <c r="C3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156" i="20" s="1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I2" i="20"/>
  <c r="F2" i="20"/>
  <c r="C2" i="20"/>
  <c r="G48" i="18"/>
  <c r="G47" i="18"/>
  <c r="C47" i="18"/>
  <c r="A47" i="18"/>
  <c r="G46" i="18"/>
  <c r="C46" i="18"/>
  <c r="A46" i="18"/>
  <c r="G45" i="18"/>
  <c r="C45" i="18"/>
  <c r="A45" i="18"/>
  <c r="G44" i="18"/>
  <c r="C44" i="18"/>
  <c r="A44" i="18"/>
  <c r="G43" i="18"/>
  <c r="C43" i="18"/>
  <c r="A43" i="18"/>
  <c r="G42" i="18"/>
  <c r="C42" i="18"/>
  <c r="A42" i="18"/>
  <c r="G41" i="18"/>
  <c r="C41" i="18"/>
  <c r="A41" i="18"/>
  <c r="G40" i="18"/>
  <c r="C40" i="18"/>
  <c r="A40" i="18"/>
  <c r="G39" i="18"/>
  <c r="C39" i="18"/>
  <c r="A39" i="18"/>
  <c r="G38" i="18"/>
  <c r="C38" i="18"/>
  <c r="A38" i="18"/>
  <c r="G37" i="18"/>
  <c r="C37" i="18"/>
  <c r="A37" i="18"/>
  <c r="G36" i="18"/>
  <c r="C36" i="18"/>
  <c r="A36" i="18"/>
  <c r="G35" i="18"/>
  <c r="C35" i="18"/>
  <c r="A35" i="18"/>
  <c r="G34" i="18"/>
  <c r="C34" i="18"/>
  <c r="A34" i="18"/>
  <c r="G33" i="18"/>
  <c r="C33" i="18"/>
  <c r="A33" i="18"/>
  <c r="G32" i="18"/>
  <c r="C32" i="18"/>
  <c r="A32" i="18"/>
  <c r="G31" i="18"/>
  <c r="C31" i="18"/>
  <c r="A31" i="18"/>
  <c r="G30" i="18"/>
  <c r="C30" i="18"/>
  <c r="A30" i="18"/>
  <c r="G29" i="18"/>
  <c r="C29" i="18"/>
  <c r="A29" i="18"/>
  <c r="G28" i="18"/>
  <c r="C28" i="18"/>
  <c r="A28" i="18"/>
  <c r="G27" i="18"/>
  <c r="C27" i="18"/>
  <c r="A27" i="18"/>
  <c r="G26" i="18"/>
  <c r="C26" i="18"/>
  <c r="A26" i="18"/>
  <c r="G25" i="18"/>
  <c r="C25" i="18"/>
  <c r="A25" i="18"/>
  <c r="G24" i="18"/>
  <c r="C24" i="18"/>
  <c r="A24" i="18"/>
  <c r="G23" i="18"/>
  <c r="C23" i="18"/>
  <c r="A23" i="18"/>
  <c r="G22" i="18"/>
  <c r="C22" i="18"/>
  <c r="A22" i="18"/>
  <c r="G21" i="18"/>
  <c r="C21" i="18"/>
  <c r="A21" i="18"/>
  <c r="G20" i="18"/>
  <c r="C20" i="18"/>
  <c r="A20" i="18"/>
  <c r="G19" i="18"/>
  <c r="C19" i="18"/>
  <c r="A19" i="18"/>
  <c r="G18" i="18"/>
  <c r="C18" i="18"/>
  <c r="A18" i="18"/>
  <c r="G17" i="18"/>
  <c r="C17" i="18"/>
  <c r="A17" i="18"/>
  <c r="G16" i="18"/>
  <c r="C16" i="18"/>
  <c r="A16" i="18"/>
  <c r="G15" i="18"/>
  <c r="C15" i="18"/>
  <c r="A15" i="18"/>
  <c r="G14" i="18"/>
  <c r="C14" i="18"/>
  <c r="A14" i="18"/>
  <c r="G13" i="18"/>
  <c r="C13" i="18"/>
  <c r="A13" i="18"/>
  <c r="G12" i="18"/>
  <c r="C12" i="18"/>
  <c r="A12" i="18"/>
  <c r="G11" i="18"/>
  <c r="C11" i="18"/>
  <c r="A11" i="18"/>
  <c r="G10" i="18"/>
  <c r="C10" i="18"/>
  <c r="A10" i="18"/>
  <c r="G9" i="18"/>
  <c r="C9" i="18"/>
  <c r="A9" i="18"/>
  <c r="P8" i="18"/>
  <c r="L8" i="18"/>
  <c r="J8" i="18"/>
  <c r="G8" i="18"/>
  <c r="C8" i="18"/>
  <c r="A8" i="18"/>
  <c r="P7" i="18"/>
  <c r="L7" i="18"/>
  <c r="J7" i="18"/>
  <c r="G7" i="18"/>
  <c r="C7" i="18"/>
  <c r="A7" i="18"/>
  <c r="P6" i="18"/>
  <c r="L6" i="18"/>
  <c r="J6" i="18"/>
  <c r="G6" i="18"/>
  <c r="C6" i="18"/>
  <c r="A6" i="18"/>
  <c r="P5" i="18"/>
  <c r="L5" i="18"/>
  <c r="J5" i="18"/>
  <c r="G5" i="18"/>
  <c r="C5" i="18"/>
  <c r="A5" i="18"/>
  <c r="P4" i="18"/>
  <c r="L4" i="18"/>
  <c r="J4" i="18"/>
  <c r="G4" i="18"/>
  <c r="C4" i="18"/>
  <c r="A4" i="18"/>
  <c r="P3" i="18"/>
  <c r="L3" i="18"/>
  <c r="J3" i="18"/>
  <c r="G3" i="18"/>
  <c r="C3" i="18"/>
  <c r="A3" i="18"/>
  <c r="P2" i="18"/>
  <c r="L2" i="18"/>
  <c r="J2" i="18"/>
  <c r="G2" i="18"/>
  <c r="C2" i="18"/>
  <c r="A2" i="18"/>
  <c r="G16" i="17"/>
  <c r="H14" i="17" s="1"/>
  <c r="F15" i="17"/>
  <c r="F14" i="17"/>
  <c r="H13" i="17"/>
  <c r="F13" i="17"/>
  <c r="H12" i="17"/>
  <c r="F12" i="17"/>
  <c r="I11" i="17"/>
  <c r="E11" i="17" s="1"/>
  <c r="H11" i="17"/>
  <c r="J11" i="17" s="1"/>
  <c r="F11" i="17"/>
  <c r="H10" i="17"/>
  <c r="F10" i="17"/>
  <c r="H9" i="17"/>
  <c r="F9" i="17"/>
  <c r="H8" i="17"/>
  <c r="F8" i="17"/>
  <c r="H7" i="17"/>
  <c r="F7" i="17"/>
  <c r="H6" i="17"/>
  <c r="F6" i="17"/>
  <c r="H5" i="17"/>
  <c r="F5" i="17"/>
  <c r="H4" i="17"/>
  <c r="I4" i="17" s="1"/>
  <c r="F4" i="17"/>
  <c r="I3" i="17"/>
  <c r="E3" i="17" s="1"/>
  <c r="H3" i="17"/>
  <c r="J3" i="17" s="1"/>
  <c r="F3" i="17"/>
  <c r="BT374" i="16"/>
  <c r="BS374" i="16"/>
  <c r="BR374" i="16"/>
  <c r="BQ374" i="16"/>
  <c r="BP374" i="16"/>
  <c r="BO374" i="16"/>
  <c r="BN374" i="16"/>
  <c r="BM374" i="16"/>
  <c r="BL374" i="16"/>
  <c r="BK374" i="16"/>
  <c r="BJ374" i="16"/>
  <c r="BI374" i="16"/>
  <c r="BH374" i="16"/>
  <c r="BG374" i="16"/>
  <c r="BF374" i="16"/>
  <c r="BE374" i="16"/>
  <c r="BD374" i="16"/>
  <c r="AZ374" i="16"/>
  <c r="BT373" i="16"/>
  <c r="BS373" i="16"/>
  <c r="BR373" i="16"/>
  <c r="BQ373" i="16"/>
  <c r="BO373" i="16"/>
  <c r="BN373" i="16"/>
  <c r="BM373" i="16"/>
  <c r="BL373" i="16"/>
  <c r="BK373" i="16"/>
  <c r="BJ373" i="16"/>
  <c r="BI373" i="16"/>
  <c r="BH373" i="16"/>
  <c r="BG373" i="16"/>
  <c r="BF373" i="16"/>
  <c r="BE373" i="16"/>
  <c r="BD373" i="16"/>
  <c r="AZ373" i="16"/>
  <c r="BP373" i="16" s="1"/>
  <c r="BT372" i="16"/>
  <c r="BS372" i="16"/>
  <c r="BR372" i="16"/>
  <c r="BQ372" i="16"/>
  <c r="BP372" i="16"/>
  <c r="BO372" i="16"/>
  <c r="BN372" i="16"/>
  <c r="BM372" i="16"/>
  <c r="BL372" i="16"/>
  <c r="BK372" i="16"/>
  <c r="BJ372" i="16"/>
  <c r="BI372" i="16"/>
  <c r="BH372" i="16"/>
  <c r="BG372" i="16"/>
  <c r="BF372" i="16"/>
  <c r="BE372" i="16"/>
  <c r="BD372" i="16"/>
  <c r="AZ372" i="16"/>
  <c r="BT371" i="16"/>
  <c r="BS371" i="16"/>
  <c r="BR371" i="16"/>
  <c r="BQ371" i="16"/>
  <c r="BP371" i="16"/>
  <c r="BO371" i="16"/>
  <c r="BN371" i="16"/>
  <c r="BM371" i="16"/>
  <c r="BL371" i="16"/>
  <c r="BK371" i="16"/>
  <c r="BJ371" i="16"/>
  <c r="BI371" i="16"/>
  <c r="BH371" i="16"/>
  <c r="BG371" i="16"/>
  <c r="BF371" i="16"/>
  <c r="BE371" i="16"/>
  <c r="BD371" i="16"/>
  <c r="AZ371" i="16"/>
  <c r="BT370" i="16"/>
  <c r="BS370" i="16"/>
  <c r="BR370" i="16"/>
  <c r="BQ370" i="16"/>
  <c r="BP370" i="16"/>
  <c r="BO370" i="16"/>
  <c r="BN370" i="16"/>
  <c r="BM370" i="16"/>
  <c r="BL370" i="16"/>
  <c r="BK370" i="16"/>
  <c r="BJ370" i="16"/>
  <c r="BI370" i="16"/>
  <c r="BH370" i="16"/>
  <c r="BG370" i="16"/>
  <c r="BF370" i="16"/>
  <c r="BE370" i="16"/>
  <c r="BD370" i="16"/>
  <c r="AZ370" i="16"/>
  <c r="BT369" i="16"/>
  <c r="BS369" i="16"/>
  <c r="BR369" i="16"/>
  <c r="BQ369" i="16"/>
  <c r="BP369" i="16"/>
  <c r="BO369" i="16"/>
  <c r="BN369" i="16"/>
  <c r="BM369" i="16"/>
  <c r="BL369" i="16"/>
  <c r="BK369" i="16"/>
  <c r="BJ369" i="16"/>
  <c r="BI369" i="16"/>
  <c r="BH369" i="16"/>
  <c r="BG369" i="16"/>
  <c r="BF369" i="16"/>
  <c r="BE369" i="16"/>
  <c r="BD369" i="16"/>
  <c r="AZ369" i="16"/>
  <c r="BT368" i="16"/>
  <c r="BS368" i="16"/>
  <c r="BR368" i="16"/>
  <c r="BQ368" i="16"/>
  <c r="BP368" i="16"/>
  <c r="BO368" i="16"/>
  <c r="BN368" i="16"/>
  <c r="BM368" i="16"/>
  <c r="BL368" i="16"/>
  <c r="BK368" i="16"/>
  <c r="BJ368" i="16"/>
  <c r="BI368" i="16"/>
  <c r="BH368" i="16"/>
  <c r="BG368" i="16"/>
  <c r="BF368" i="16"/>
  <c r="BE368" i="16"/>
  <c r="BD368" i="16"/>
  <c r="AZ368" i="16"/>
  <c r="BT367" i="16"/>
  <c r="BS367" i="16"/>
  <c r="BR367" i="16"/>
  <c r="BQ367" i="16"/>
  <c r="BP367" i="16"/>
  <c r="BO367" i="16"/>
  <c r="BN367" i="16"/>
  <c r="BM367" i="16"/>
  <c r="BL367" i="16"/>
  <c r="BK367" i="16"/>
  <c r="BJ367" i="16"/>
  <c r="BI367" i="16"/>
  <c r="BH367" i="16"/>
  <c r="BG367" i="16"/>
  <c r="BF367" i="16"/>
  <c r="BE367" i="16"/>
  <c r="BD367" i="16"/>
  <c r="AZ367" i="16"/>
  <c r="BT366" i="16"/>
  <c r="BS366" i="16"/>
  <c r="BR366" i="16"/>
  <c r="BQ366" i="16"/>
  <c r="BP366" i="16"/>
  <c r="BO366" i="16"/>
  <c r="BN366" i="16"/>
  <c r="BM366" i="16"/>
  <c r="BL366" i="16"/>
  <c r="BK366" i="16"/>
  <c r="BJ366" i="16"/>
  <c r="BI366" i="16"/>
  <c r="BH366" i="16"/>
  <c r="BG366" i="16"/>
  <c r="BF366" i="16"/>
  <c r="BE366" i="16"/>
  <c r="BD366" i="16"/>
  <c r="AZ366" i="16"/>
  <c r="BT365" i="16"/>
  <c r="BS365" i="16"/>
  <c r="BR365" i="16"/>
  <c r="BQ365" i="16"/>
  <c r="BP365" i="16"/>
  <c r="BO365" i="16"/>
  <c r="BN365" i="16"/>
  <c r="BM365" i="16"/>
  <c r="BL365" i="16"/>
  <c r="BK365" i="16"/>
  <c r="BJ365" i="16"/>
  <c r="BI365" i="16"/>
  <c r="BH365" i="16"/>
  <c r="BG365" i="16"/>
  <c r="BF365" i="16"/>
  <c r="BE365" i="16"/>
  <c r="BD365" i="16"/>
  <c r="AZ365" i="16"/>
  <c r="BT364" i="16"/>
  <c r="BS364" i="16"/>
  <c r="BR364" i="16"/>
  <c r="BQ364" i="16"/>
  <c r="BP364" i="16"/>
  <c r="BO364" i="16"/>
  <c r="BN364" i="16"/>
  <c r="BM364" i="16"/>
  <c r="BL364" i="16"/>
  <c r="BK364" i="16"/>
  <c r="BJ364" i="16"/>
  <c r="BI364" i="16"/>
  <c r="BH364" i="16"/>
  <c r="BG364" i="16"/>
  <c r="BF364" i="16"/>
  <c r="BE364" i="16"/>
  <c r="BD364" i="16"/>
  <c r="AZ364" i="16"/>
  <c r="BT363" i="16"/>
  <c r="BS363" i="16"/>
  <c r="BR363" i="16"/>
  <c r="BQ363" i="16"/>
  <c r="BP363" i="16"/>
  <c r="BO363" i="16"/>
  <c r="BN363" i="16"/>
  <c r="BM363" i="16"/>
  <c r="BL363" i="16"/>
  <c r="BK363" i="16"/>
  <c r="BJ363" i="16"/>
  <c r="BI363" i="16"/>
  <c r="BH363" i="16"/>
  <c r="BG363" i="16"/>
  <c r="BF363" i="16"/>
  <c r="BE363" i="16"/>
  <c r="BD363" i="16"/>
  <c r="AZ363" i="16"/>
  <c r="BT362" i="16"/>
  <c r="BS362" i="16"/>
  <c r="BR362" i="16"/>
  <c r="BQ362" i="16"/>
  <c r="BP362" i="16"/>
  <c r="BO362" i="16"/>
  <c r="BN362" i="16"/>
  <c r="BM362" i="16"/>
  <c r="BL362" i="16"/>
  <c r="BK362" i="16"/>
  <c r="BJ362" i="16"/>
  <c r="BI362" i="16"/>
  <c r="BH362" i="16"/>
  <c r="BG362" i="16"/>
  <c r="BF362" i="16"/>
  <c r="BE362" i="16"/>
  <c r="BD362" i="16"/>
  <c r="AZ362" i="16"/>
  <c r="BT361" i="16"/>
  <c r="BS361" i="16"/>
  <c r="BR361" i="16"/>
  <c r="BQ361" i="16"/>
  <c r="BP361" i="16"/>
  <c r="BO361" i="16"/>
  <c r="BN361" i="16"/>
  <c r="BM361" i="16"/>
  <c r="BL361" i="16"/>
  <c r="BK361" i="16"/>
  <c r="BJ361" i="16"/>
  <c r="BI361" i="16"/>
  <c r="BH361" i="16"/>
  <c r="BG361" i="16"/>
  <c r="BF361" i="16"/>
  <c r="BE361" i="16"/>
  <c r="BD361" i="16"/>
  <c r="AZ361" i="16"/>
  <c r="BT360" i="16"/>
  <c r="BS360" i="16"/>
  <c r="BR360" i="16"/>
  <c r="BQ360" i="16"/>
  <c r="BP360" i="16"/>
  <c r="BO360" i="16"/>
  <c r="BN360" i="16"/>
  <c r="BM360" i="16"/>
  <c r="BL360" i="16"/>
  <c r="BK360" i="16"/>
  <c r="BJ360" i="16"/>
  <c r="BI360" i="16"/>
  <c r="BH360" i="16"/>
  <c r="BG360" i="16"/>
  <c r="BF360" i="16"/>
  <c r="BE360" i="16"/>
  <c r="BD360" i="16"/>
  <c r="AZ360" i="16"/>
  <c r="BT359" i="16"/>
  <c r="BS359" i="16"/>
  <c r="BR359" i="16"/>
  <c r="BQ359" i="16"/>
  <c r="BP359" i="16"/>
  <c r="BO359" i="16"/>
  <c r="BN359" i="16"/>
  <c r="BM359" i="16"/>
  <c r="BL359" i="16"/>
  <c r="BK359" i="16"/>
  <c r="BJ359" i="16"/>
  <c r="BI359" i="16"/>
  <c r="BH359" i="16"/>
  <c r="BG359" i="16"/>
  <c r="BF359" i="16"/>
  <c r="BE359" i="16"/>
  <c r="BD359" i="16"/>
  <c r="AZ359" i="16"/>
  <c r="BT358" i="16"/>
  <c r="BS358" i="16"/>
  <c r="BR358" i="16"/>
  <c r="BQ358" i="16"/>
  <c r="BP358" i="16"/>
  <c r="BO358" i="16"/>
  <c r="BN358" i="16"/>
  <c r="BM358" i="16"/>
  <c r="BL358" i="16"/>
  <c r="BK358" i="16"/>
  <c r="BJ358" i="16"/>
  <c r="BI358" i="16"/>
  <c r="BH358" i="16"/>
  <c r="BG358" i="16"/>
  <c r="BF358" i="16"/>
  <c r="BE358" i="16"/>
  <c r="BD358" i="16"/>
  <c r="AZ358" i="16"/>
  <c r="BT357" i="16"/>
  <c r="BS357" i="16"/>
  <c r="BR357" i="16"/>
  <c r="BQ357" i="16"/>
  <c r="BP357" i="16"/>
  <c r="BO357" i="16"/>
  <c r="BN357" i="16"/>
  <c r="BM357" i="16"/>
  <c r="BL357" i="16"/>
  <c r="BK357" i="16"/>
  <c r="BJ357" i="16"/>
  <c r="BI357" i="16"/>
  <c r="BH357" i="16"/>
  <c r="BG357" i="16"/>
  <c r="BF357" i="16"/>
  <c r="BE357" i="16"/>
  <c r="BD357" i="16"/>
  <c r="AZ357" i="16"/>
  <c r="BT356" i="16"/>
  <c r="BS356" i="16"/>
  <c r="BR356" i="16"/>
  <c r="BQ356" i="16"/>
  <c r="BP356" i="16"/>
  <c r="BO356" i="16"/>
  <c r="BN356" i="16"/>
  <c r="BM356" i="16"/>
  <c r="BL356" i="16"/>
  <c r="BK356" i="16"/>
  <c r="BJ356" i="16"/>
  <c r="BI356" i="16"/>
  <c r="BH356" i="16"/>
  <c r="BG356" i="16"/>
  <c r="BF356" i="16"/>
  <c r="BE356" i="16"/>
  <c r="BD356" i="16"/>
  <c r="AZ356" i="16"/>
  <c r="BT355" i="16"/>
  <c r="BS355" i="16"/>
  <c r="BR355" i="16"/>
  <c r="BQ355" i="16"/>
  <c r="BP355" i="16"/>
  <c r="BO355" i="16"/>
  <c r="BN355" i="16"/>
  <c r="BM355" i="16"/>
  <c r="BL355" i="16"/>
  <c r="BK355" i="16"/>
  <c r="BJ355" i="16"/>
  <c r="BI355" i="16"/>
  <c r="BH355" i="16"/>
  <c r="BG355" i="16"/>
  <c r="BF355" i="16"/>
  <c r="BE355" i="16"/>
  <c r="BD355" i="16"/>
  <c r="AZ355" i="16"/>
  <c r="BT354" i="16"/>
  <c r="BS354" i="16"/>
  <c r="BR354" i="16"/>
  <c r="BQ354" i="16"/>
  <c r="BP354" i="16"/>
  <c r="BO354" i="16"/>
  <c r="BN354" i="16"/>
  <c r="BM354" i="16"/>
  <c r="BL354" i="16"/>
  <c r="BK354" i="16"/>
  <c r="BJ354" i="16"/>
  <c r="BI354" i="16"/>
  <c r="BH354" i="16"/>
  <c r="BG354" i="16"/>
  <c r="BF354" i="16"/>
  <c r="BE354" i="16"/>
  <c r="BD354" i="16"/>
  <c r="AZ354" i="16"/>
  <c r="BT353" i="16"/>
  <c r="BS353" i="16"/>
  <c r="BR353" i="16"/>
  <c r="BQ353" i="16"/>
  <c r="BP353" i="16"/>
  <c r="BO353" i="16"/>
  <c r="BN353" i="16"/>
  <c r="BM353" i="16"/>
  <c r="BL353" i="16"/>
  <c r="BK353" i="16"/>
  <c r="BJ353" i="16"/>
  <c r="BI353" i="16"/>
  <c r="BH353" i="16"/>
  <c r="BG353" i="16"/>
  <c r="BF353" i="16"/>
  <c r="BE353" i="16"/>
  <c r="BD353" i="16"/>
  <c r="AZ353" i="16"/>
  <c r="BT352" i="16"/>
  <c r="BS352" i="16"/>
  <c r="BR352" i="16"/>
  <c r="BQ352" i="16"/>
  <c r="BP352" i="16"/>
  <c r="BO352" i="16"/>
  <c r="BN352" i="16"/>
  <c r="BM352" i="16"/>
  <c r="BL352" i="16"/>
  <c r="BK352" i="16"/>
  <c r="BJ352" i="16"/>
  <c r="BI352" i="16"/>
  <c r="BH352" i="16"/>
  <c r="BG352" i="16"/>
  <c r="BF352" i="16"/>
  <c r="BE352" i="16"/>
  <c r="BD352" i="16"/>
  <c r="AZ352" i="16"/>
  <c r="BT351" i="16"/>
  <c r="BS351" i="16"/>
  <c r="BR351" i="16"/>
  <c r="BQ351" i="16"/>
  <c r="BP351" i="16"/>
  <c r="BO351" i="16"/>
  <c r="BN351" i="16"/>
  <c r="BM351" i="16"/>
  <c r="BL351" i="16"/>
  <c r="BK351" i="16"/>
  <c r="BJ351" i="16"/>
  <c r="BI351" i="16"/>
  <c r="BH351" i="16"/>
  <c r="BG351" i="16"/>
  <c r="BF351" i="16"/>
  <c r="BE351" i="16"/>
  <c r="BD351" i="16"/>
  <c r="AZ351" i="16"/>
  <c r="BT350" i="16"/>
  <c r="BS350" i="16"/>
  <c r="BR350" i="16"/>
  <c r="BQ350" i="16"/>
  <c r="BP350" i="16"/>
  <c r="BO350" i="16"/>
  <c r="BN350" i="16"/>
  <c r="BM350" i="16"/>
  <c r="BL350" i="16"/>
  <c r="BK350" i="16"/>
  <c r="BJ350" i="16"/>
  <c r="BI350" i="16"/>
  <c r="BH350" i="16"/>
  <c r="BG350" i="16"/>
  <c r="BF350" i="16"/>
  <c r="BE350" i="16"/>
  <c r="BD350" i="16"/>
  <c r="AZ350" i="16"/>
  <c r="BT349" i="16"/>
  <c r="BS349" i="16"/>
  <c r="BR349" i="16"/>
  <c r="BQ349" i="16"/>
  <c r="BP349" i="16"/>
  <c r="BO349" i="16"/>
  <c r="BN349" i="16"/>
  <c r="BM349" i="16"/>
  <c r="BL349" i="16"/>
  <c r="BK349" i="16"/>
  <c r="BJ349" i="16"/>
  <c r="BI349" i="16"/>
  <c r="BH349" i="16"/>
  <c r="BG349" i="16"/>
  <c r="BF349" i="16"/>
  <c r="BE349" i="16"/>
  <c r="BD349" i="16"/>
  <c r="AZ349" i="16"/>
  <c r="BT348" i="16"/>
  <c r="BS348" i="16"/>
  <c r="BR348" i="16"/>
  <c r="BQ348" i="16"/>
  <c r="BP348" i="16"/>
  <c r="BO348" i="16"/>
  <c r="BN348" i="16"/>
  <c r="BM348" i="16"/>
  <c r="BL348" i="16"/>
  <c r="BK348" i="16"/>
  <c r="BJ348" i="16"/>
  <c r="BI348" i="16"/>
  <c r="BH348" i="16"/>
  <c r="BG348" i="16"/>
  <c r="BF348" i="16"/>
  <c r="BE348" i="16"/>
  <c r="BD348" i="16"/>
  <c r="AZ348" i="16"/>
  <c r="BT347" i="16"/>
  <c r="BS347" i="16"/>
  <c r="BR347" i="16"/>
  <c r="BQ347" i="16"/>
  <c r="BP347" i="16"/>
  <c r="BO347" i="16"/>
  <c r="BN347" i="16"/>
  <c r="BM347" i="16"/>
  <c r="BL347" i="16"/>
  <c r="BK347" i="16"/>
  <c r="BJ347" i="16"/>
  <c r="BI347" i="16"/>
  <c r="BH347" i="16"/>
  <c r="BG347" i="16"/>
  <c r="BF347" i="16"/>
  <c r="BE347" i="16"/>
  <c r="BD347" i="16"/>
  <c r="AZ347" i="16"/>
  <c r="BT346" i="16"/>
  <c r="BS346" i="16"/>
  <c r="BR346" i="16"/>
  <c r="BQ346" i="16"/>
  <c r="BP346" i="16"/>
  <c r="BO346" i="16"/>
  <c r="BN346" i="16"/>
  <c r="BM346" i="16"/>
  <c r="BL346" i="16"/>
  <c r="BK346" i="16"/>
  <c r="BJ346" i="16"/>
  <c r="BI346" i="16"/>
  <c r="BH346" i="16"/>
  <c r="BG346" i="16"/>
  <c r="BF346" i="16"/>
  <c r="BE346" i="16"/>
  <c r="BD346" i="16"/>
  <c r="AZ346" i="16"/>
  <c r="BT345" i="16"/>
  <c r="BS345" i="16"/>
  <c r="BR345" i="16"/>
  <c r="BQ345" i="16"/>
  <c r="BP345" i="16"/>
  <c r="BO345" i="16"/>
  <c r="BN345" i="16"/>
  <c r="BM345" i="16"/>
  <c r="BL345" i="16"/>
  <c r="BK345" i="16"/>
  <c r="BJ345" i="16"/>
  <c r="BI345" i="16"/>
  <c r="BH345" i="16"/>
  <c r="BG345" i="16"/>
  <c r="BF345" i="16"/>
  <c r="BE345" i="16"/>
  <c r="BD345" i="16"/>
  <c r="AZ345" i="16"/>
  <c r="BT344" i="16"/>
  <c r="BS344" i="16"/>
  <c r="BR344" i="16"/>
  <c r="BQ344" i="16"/>
  <c r="BP344" i="16"/>
  <c r="BO344" i="16"/>
  <c r="BN344" i="16"/>
  <c r="BM344" i="16"/>
  <c r="BL344" i="16"/>
  <c r="BK344" i="16"/>
  <c r="BJ344" i="16"/>
  <c r="BI344" i="16"/>
  <c r="BH344" i="16"/>
  <c r="BG344" i="16"/>
  <c r="BF344" i="16"/>
  <c r="BE344" i="16"/>
  <c r="BD344" i="16"/>
  <c r="AZ344" i="16"/>
  <c r="BT343" i="16"/>
  <c r="BS343" i="16"/>
  <c r="BR343" i="16"/>
  <c r="BQ343" i="16"/>
  <c r="BP343" i="16"/>
  <c r="BO343" i="16"/>
  <c r="BN343" i="16"/>
  <c r="BM343" i="16"/>
  <c r="BL343" i="16"/>
  <c r="BK343" i="16"/>
  <c r="BJ343" i="16"/>
  <c r="BI343" i="16"/>
  <c r="BH343" i="16"/>
  <c r="BG343" i="16"/>
  <c r="BF343" i="16"/>
  <c r="BE343" i="16"/>
  <c r="BD343" i="16"/>
  <c r="AZ343" i="16"/>
  <c r="BT342" i="16"/>
  <c r="BS342" i="16"/>
  <c r="BR342" i="16"/>
  <c r="BQ342" i="16"/>
  <c r="BP342" i="16"/>
  <c r="BO342" i="16"/>
  <c r="BN342" i="16"/>
  <c r="BM342" i="16"/>
  <c r="BL342" i="16"/>
  <c r="BK342" i="16"/>
  <c r="BJ342" i="16"/>
  <c r="BI342" i="16"/>
  <c r="BH342" i="16"/>
  <c r="BG342" i="16"/>
  <c r="BF342" i="16"/>
  <c r="BE342" i="16"/>
  <c r="BD342" i="16"/>
  <c r="AZ342" i="16"/>
  <c r="BT341" i="16"/>
  <c r="BS341" i="16"/>
  <c r="BR341" i="16"/>
  <c r="BQ341" i="16"/>
  <c r="BP341" i="16"/>
  <c r="BO341" i="16"/>
  <c r="BN341" i="16"/>
  <c r="BM341" i="16"/>
  <c r="BL341" i="16"/>
  <c r="BK341" i="16"/>
  <c r="BJ341" i="16"/>
  <c r="BI341" i="16"/>
  <c r="BH341" i="16"/>
  <c r="BG341" i="16"/>
  <c r="BF341" i="16"/>
  <c r="BE341" i="16"/>
  <c r="BD341" i="16"/>
  <c r="AZ341" i="16"/>
  <c r="BT340" i="16"/>
  <c r="BS340" i="16"/>
  <c r="BR340" i="16"/>
  <c r="BQ340" i="16"/>
  <c r="BP340" i="16"/>
  <c r="BO340" i="16"/>
  <c r="BN340" i="16"/>
  <c r="BM340" i="16"/>
  <c r="BL340" i="16"/>
  <c r="BK340" i="16"/>
  <c r="BJ340" i="16"/>
  <c r="BI340" i="16"/>
  <c r="BH340" i="16"/>
  <c r="BG340" i="16"/>
  <c r="BF340" i="16"/>
  <c r="BE340" i="16"/>
  <c r="BD340" i="16"/>
  <c r="AZ340" i="16"/>
  <c r="BT339" i="16"/>
  <c r="BS339" i="16"/>
  <c r="BR339" i="16"/>
  <c r="BQ339" i="16"/>
  <c r="BP339" i="16"/>
  <c r="BO339" i="16"/>
  <c r="BN339" i="16"/>
  <c r="BM339" i="16"/>
  <c r="BL339" i="16"/>
  <c r="BK339" i="16"/>
  <c r="BJ339" i="16"/>
  <c r="BI339" i="16"/>
  <c r="BH339" i="16"/>
  <c r="BG339" i="16"/>
  <c r="BF339" i="16"/>
  <c r="BE339" i="16"/>
  <c r="BD339" i="16"/>
  <c r="AZ339" i="16"/>
  <c r="BT338" i="16"/>
  <c r="BS338" i="16"/>
  <c r="BR338" i="16"/>
  <c r="BQ338" i="16"/>
  <c r="BP338" i="16"/>
  <c r="BO338" i="16"/>
  <c r="BN338" i="16"/>
  <c r="BM338" i="16"/>
  <c r="BL338" i="16"/>
  <c r="BK338" i="16"/>
  <c r="BJ338" i="16"/>
  <c r="BI338" i="16"/>
  <c r="BH338" i="16"/>
  <c r="BG338" i="16"/>
  <c r="BF338" i="16"/>
  <c r="BE338" i="16"/>
  <c r="BD338" i="16"/>
  <c r="AZ338" i="16"/>
  <c r="BT337" i="16"/>
  <c r="BS337" i="16"/>
  <c r="BR337" i="16"/>
  <c r="BQ337" i="16"/>
  <c r="BP337" i="16"/>
  <c r="BO337" i="16"/>
  <c r="BN337" i="16"/>
  <c r="BM337" i="16"/>
  <c r="BL337" i="16"/>
  <c r="BK337" i="16"/>
  <c r="BJ337" i="16"/>
  <c r="BI337" i="16"/>
  <c r="BH337" i="16"/>
  <c r="BG337" i="16"/>
  <c r="BF337" i="16"/>
  <c r="BE337" i="16"/>
  <c r="BD337" i="16"/>
  <c r="AZ337" i="16"/>
  <c r="BT336" i="16"/>
  <c r="BS336" i="16"/>
  <c r="BR336" i="16"/>
  <c r="BQ336" i="16"/>
  <c r="BP336" i="16"/>
  <c r="BO336" i="16"/>
  <c r="BN336" i="16"/>
  <c r="BM336" i="16"/>
  <c r="BL336" i="16"/>
  <c r="BK336" i="16"/>
  <c r="BJ336" i="16"/>
  <c r="BI336" i="16"/>
  <c r="BH336" i="16"/>
  <c r="BG336" i="16"/>
  <c r="BF336" i="16"/>
  <c r="BE336" i="16"/>
  <c r="BD336" i="16"/>
  <c r="AZ336" i="16"/>
  <c r="BT335" i="16"/>
  <c r="BS335" i="16"/>
  <c r="BR335" i="16"/>
  <c r="BQ335" i="16"/>
  <c r="BP335" i="16"/>
  <c r="BO335" i="16"/>
  <c r="BN335" i="16"/>
  <c r="BM335" i="16"/>
  <c r="BL335" i="16"/>
  <c r="BK335" i="16"/>
  <c r="BJ335" i="16"/>
  <c r="BI335" i="16"/>
  <c r="BH335" i="16"/>
  <c r="BG335" i="16"/>
  <c r="BF335" i="16"/>
  <c r="BE335" i="16"/>
  <c r="BD335" i="16"/>
  <c r="AZ335" i="16"/>
  <c r="BT334" i="16"/>
  <c r="BS334" i="16"/>
  <c r="BR334" i="16"/>
  <c r="BQ334" i="16"/>
  <c r="BP334" i="16"/>
  <c r="BO334" i="16"/>
  <c r="BN334" i="16"/>
  <c r="BM334" i="16"/>
  <c r="BL334" i="16"/>
  <c r="BK334" i="16"/>
  <c r="BJ334" i="16"/>
  <c r="BI334" i="16"/>
  <c r="BH334" i="16"/>
  <c r="BG334" i="16"/>
  <c r="BF334" i="16"/>
  <c r="BE334" i="16"/>
  <c r="BD334" i="16"/>
  <c r="AZ334" i="16"/>
  <c r="BT333" i="16"/>
  <c r="BS333" i="16"/>
  <c r="BR333" i="16"/>
  <c r="BQ333" i="16"/>
  <c r="BP333" i="16"/>
  <c r="BO333" i="16"/>
  <c r="BN333" i="16"/>
  <c r="BM333" i="16"/>
  <c r="BL333" i="16"/>
  <c r="BK333" i="16"/>
  <c r="BJ333" i="16"/>
  <c r="BI333" i="16"/>
  <c r="BH333" i="16"/>
  <c r="BG333" i="16"/>
  <c r="BF333" i="16"/>
  <c r="BE333" i="16"/>
  <c r="BD333" i="16"/>
  <c r="AZ333" i="16"/>
  <c r="BT332" i="16"/>
  <c r="BS332" i="16"/>
  <c r="BR332" i="16"/>
  <c r="BQ332" i="16"/>
  <c r="BP332" i="16"/>
  <c r="BO332" i="16"/>
  <c r="BN332" i="16"/>
  <c r="BM332" i="16"/>
  <c r="BL332" i="16"/>
  <c r="BK332" i="16"/>
  <c r="BJ332" i="16"/>
  <c r="BI332" i="16"/>
  <c r="BH332" i="16"/>
  <c r="BG332" i="16"/>
  <c r="BF332" i="16"/>
  <c r="BE332" i="16"/>
  <c r="BD332" i="16"/>
  <c r="AZ332" i="16"/>
  <c r="BT331" i="16"/>
  <c r="BS331" i="16"/>
  <c r="BR331" i="16"/>
  <c r="BQ331" i="16"/>
  <c r="BP331" i="16"/>
  <c r="BO331" i="16"/>
  <c r="BN331" i="16"/>
  <c r="BM331" i="16"/>
  <c r="BL331" i="16"/>
  <c r="BK331" i="16"/>
  <c r="BJ331" i="16"/>
  <c r="BI331" i="16"/>
  <c r="BH331" i="16"/>
  <c r="BG331" i="16"/>
  <c r="BF331" i="16"/>
  <c r="BE331" i="16"/>
  <c r="BD331" i="16"/>
  <c r="AZ331" i="16"/>
  <c r="BT330" i="16"/>
  <c r="BS330" i="16"/>
  <c r="BR330" i="16"/>
  <c r="BQ330" i="16"/>
  <c r="BP330" i="16"/>
  <c r="BO330" i="16"/>
  <c r="BN330" i="16"/>
  <c r="BM330" i="16"/>
  <c r="BL330" i="16"/>
  <c r="BK330" i="16"/>
  <c r="BJ330" i="16"/>
  <c r="BI330" i="16"/>
  <c r="BH330" i="16"/>
  <c r="BG330" i="16"/>
  <c r="BF330" i="16"/>
  <c r="BE330" i="16"/>
  <c r="BD330" i="16"/>
  <c r="AZ330" i="16"/>
  <c r="BT329" i="16"/>
  <c r="BS329" i="16"/>
  <c r="BR329" i="16"/>
  <c r="BQ329" i="16"/>
  <c r="BP329" i="16"/>
  <c r="BO329" i="16"/>
  <c r="BN329" i="16"/>
  <c r="BM329" i="16"/>
  <c r="BL329" i="16"/>
  <c r="BK329" i="16"/>
  <c r="BJ329" i="16"/>
  <c r="BI329" i="16"/>
  <c r="BH329" i="16"/>
  <c r="BG329" i="16"/>
  <c r="BF329" i="16"/>
  <c r="BE329" i="16"/>
  <c r="BD329" i="16"/>
  <c r="AZ329" i="16"/>
  <c r="BT328" i="16"/>
  <c r="BS328" i="16"/>
  <c r="BR328" i="16"/>
  <c r="BQ328" i="16"/>
  <c r="BP328" i="16"/>
  <c r="BO328" i="16"/>
  <c r="BN328" i="16"/>
  <c r="BM328" i="16"/>
  <c r="BL328" i="16"/>
  <c r="BK328" i="16"/>
  <c r="BJ328" i="16"/>
  <c r="BI328" i="16"/>
  <c r="BH328" i="16"/>
  <c r="BG328" i="16"/>
  <c r="BF328" i="16"/>
  <c r="BE328" i="16"/>
  <c r="BD328" i="16"/>
  <c r="AZ328" i="16"/>
  <c r="BT327" i="16"/>
  <c r="BS327" i="16"/>
  <c r="BR327" i="16"/>
  <c r="BQ327" i="16"/>
  <c r="BP327" i="16"/>
  <c r="BO327" i="16"/>
  <c r="BN327" i="16"/>
  <c r="BM327" i="16"/>
  <c r="BL327" i="16"/>
  <c r="BK327" i="16"/>
  <c r="BJ327" i="16"/>
  <c r="BI327" i="16"/>
  <c r="BH327" i="16"/>
  <c r="BG327" i="16"/>
  <c r="BF327" i="16"/>
  <c r="BE327" i="16"/>
  <c r="BD327" i="16"/>
  <c r="AZ327" i="16"/>
  <c r="BT326" i="16"/>
  <c r="BS326" i="16"/>
  <c r="BR326" i="16"/>
  <c r="BQ326" i="16"/>
  <c r="BP326" i="16"/>
  <c r="BO326" i="16"/>
  <c r="BN326" i="16"/>
  <c r="BM326" i="16"/>
  <c r="BL326" i="16"/>
  <c r="BK326" i="16"/>
  <c r="BJ326" i="16"/>
  <c r="BI326" i="16"/>
  <c r="BH326" i="16"/>
  <c r="BG326" i="16"/>
  <c r="BF326" i="16"/>
  <c r="BE326" i="16"/>
  <c r="BD326" i="16"/>
  <c r="AZ326" i="16"/>
  <c r="BT325" i="16"/>
  <c r="BS325" i="16"/>
  <c r="BR325" i="16"/>
  <c r="BQ325" i="16"/>
  <c r="BP325" i="16"/>
  <c r="BO325" i="16"/>
  <c r="BN325" i="16"/>
  <c r="BM325" i="16"/>
  <c r="BL325" i="16"/>
  <c r="BK325" i="16"/>
  <c r="BJ325" i="16"/>
  <c r="BI325" i="16"/>
  <c r="BH325" i="16"/>
  <c r="BG325" i="16"/>
  <c r="BF325" i="16"/>
  <c r="BE325" i="16"/>
  <c r="BD325" i="16"/>
  <c r="AZ325" i="16"/>
  <c r="BT324" i="16"/>
  <c r="BS324" i="16"/>
  <c r="BR324" i="16"/>
  <c r="BQ324" i="16"/>
  <c r="BP324" i="16"/>
  <c r="BO324" i="16"/>
  <c r="BN324" i="16"/>
  <c r="BM324" i="16"/>
  <c r="BL324" i="16"/>
  <c r="BK324" i="16"/>
  <c r="BJ324" i="16"/>
  <c r="BI324" i="16"/>
  <c r="BH324" i="16"/>
  <c r="BG324" i="16"/>
  <c r="BF324" i="16"/>
  <c r="BE324" i="16"/>
  <c r="BD324" i="16"/>
  <c r="AZ324" i="16"/>
  <c r="BT323" i="16"/>
  <c r="BS323" i="16"/>
  <c r="BR323" i="16"/>
  <c r="BQ323" i="16"/>
  <c r="BP323" i="16"/>
  <c r="BO323" i="16"/>
  <c r="BN323" i="16"/>
  <c r="BM323" i="16"/>
  <c r="BL323" i="16"/>
  <c r="BK323" i="16"/>
  <c r="BJ323" i="16"/>
  <c r="BI323" i="16"/>
  <c r="BH323" i="16"/>
  <c r="BG323" i="16"/>
  <c r="BF323" i="16"/>
  <c r="BE323" i="16"/>
  <c r="BD323" i="16"/>
  <c r="AZ323" i="16"/>
  <c r="BT322" i="16"/>
  <c r="BS322" i="16"/>
  <c r="BR322" i="16"/>
  <c r="BQ322" i="16"/>
  <c r="BP322" i="16"/>
  <c r="BO322" i="16"/>
  <c r="BN322" i="16"/>
  <c r="BM322" i="16"/>
  <c r="BL322" i="16"/>
  <c r="BK322" i="16"/>
  <c r="BJ322" i="16"/>
  <c r="BI322" i="16"/>
  <c r="BH322" i="16"/>
  <c r="BG322" i="16"/>
  <c r="BF322" i="16"/>
  <c r="BE322" i="16"/>
  <c r="BD322" i="16"/>
  <c r="AZ322" i="16"/>
  <c r="BT321" i="16"/>
  <c r="BS321" i="16"/>
  <c r="BR321" i="16"/>
  <c r="BQ321" i="16"/>
  <c r="BP321" i="16"/>
  <c r="BO321" i="16"/>
  <c r="BN321" i="16"/>
  <c r="BM321" i="16"/>
  <c r="BL321" i="16"/>
  <c r="BK321" i="16"/>
  <c r="BJ321" i="16"/>
  <c r="BI321" i="16"/>
  <c r="BH321" i="16"/>
  <c r="BG321" i="16"/>
  <c r="BF321" i="16"/>
  <c r="BE321" i="16"/>
  <c r="BD321" i="16"/>
  <c r="AZ321" i="16"/>
  <c r="BT320" i="16"/>
  <c r="BS320" i="16"/>
  <c r="BR320" i="16"/>
  <c r="BQ320" i="16"/>
  <c r="BP320" i="16"/>
  <c r="BO320" i="16"/>
  <c r="BN320" i="16"/>
  <c r="BM320" i="16"/>
  <c r="BL320" i="16"/>
  <c r="BK320" i="16"/>
  <c r="BJ320" i="16"/>
  <c r="BI320" i="16"/>
  <c r="BH320" i="16"/>
  <c r="BG320" i="16"/>
  <c r="BF320" i="16"/>
  <c r="BE320" i="16"/>
  <c r="BD320" i="16"/>
  <c r="AZ320" i="16"/>
  <c r="BT319" i="16"/>
  <c r="BS319" i="16"/>
  <c r="BR319" i="16"/>
  <c r="BQ319" i="16"/>
  <c r="BP319" i="16"/>
  <c r="BO319" i="16"/>
  <c r="BN319" i="16"/>
  <c r="BM319" i="16"/>
  <c r="BL319" i="16"/>
  <c r="BK319" i="16"/>
  <c r="BJ319" i="16"/>
  <c r="BI319" i="16"/>
  <c r="BH319" i="16"/>
  <c r="BG319" i="16"/>
  <c r="BF319" i="16"/>
  <c r="BE319" i="16"/>
  <c r="BD319" i="16"/>
  <c r="AZ319" i="16"/>
  <c r="BT318" i="16"/>
  <c r="BS318" i="16"/>
  <c r="BR318" i="16"/>
  <c r="BQ318" i="16"/>
  <c r="BP318" i="16"/>
  <c r="BO318" i="16"/>
  <c r="BN318" i="16"/>
  <c r="BM318" i="16"/>
  <c r="BL318" i="16"/>
  <c r="BK318" i="16"/>
  <c r="BJ318" i="16"/>
  <c r="BI318" i="16"/>
  <c r="BH318" i="16"/>
  <c r="BG318" i="16"/>
  <c r="BF318" i="16"/>
  <c r="BE318" i="16"/>
  <c r="BD318" i="16"/>
  <c r="AZ318" i="16"/>
  <c r="BT317" i="16"/>
  <c r="BS317" i="16"/>
  <c r="BR317" i="16"/>
  <c r="BQ317" i="16"/>
  <c r="BP317" i="16"/>
  <c r="BO317" i="16"/>
  <c r="BN317" i="16"/>
  <c r="BM317" i="16"/>
  <c r="BL317" i="16"/>
  <c r="BK317" i="16"/>
  <c r="BJ317" i="16"/>
  <c r="BI317" i="16"/>
  <c r="BH317" i="16"/>
  <c r="BG317" i="16"/>
  <c r="BF317" i="16"/>
  <c r="BE317" i="16"/>
  <c r="BD317" i="16"/>
  <c r="AZ317" i="16"/>
  <c r="BT316" i="16"/>
  <c r="BS316" i="16"/>
  <c r="BR316" i="16"/>
  <c r="BQ316" i="16"/>
  <c r="BP316" i="16"/>
  <c r="BO316" i="16"/>
  <c r="BN316" i="16"/>
  <c r="BM316" i="16"/>
  <c r="BL316" i="16"/>
  <c r="BK316" i="16"/>
  <c r="BJ316" i="16"/>
  <c r="BI316" i="16"/>
  <c r="BH316" i="16"/>
  <c r="BG316" i="16"/>
  <c r="BF316" i="16"/>
  <c r="BE316" i="16"/>
  <c r="BD316" i="16"/>
  <c r="AZ316" i="16"/>
  <c r="BT315" i="16"/>
  <c r="BS315" i="16"/>
  <c r="BR315" i="16"/>
  <c r="BQ315" i="16"/>
  <c r="BP315" i="16"/>
  <c r="BO315" i="16"/>
  <c r="BN315" i="16"/>
  <c r="BM315" i="16"/>
  <c r="BL315" i="16"/>
  <c r="BK315" i="16"/>
  <c r="BJ315" i="16"/>
  <c r="BI315" i="16"/>
  <c r="BH315" i="16"/>
  <c r="BG315" i="16"/>
  <c r="BF315" i="16"/>
  <c r="BE315" i="16"/>
  <c r="BD315" i="16"/>
  <c r="AZ315" i="16"/>
  <c r="BT314" i="16"/>
  <c r="BS314" i="16"/>
  <c r="BR314" i="16"/>
  <c r="BQ314" i="16"/>
  <c r="BP314" i="16"/>
  <c r="BO314" i="16"/>
  <c r="BN314" i="16"/>
  <c r="BM314" i="16"/>
  <c r="BL314" i="16"/>
  <c r="BK314" i="16"/>
  <c r="BJ314" i="16"/>
  <c r="BI314" i="16"/>
  <c r="BH314" i="16"/>
  <c r="BG314" i="16"/>
  <c r="BF314" i="16"/>
  <c r="BE314" i="16"/>
  <c r="BD314" i="16"/>
  <c r="AZ314" i="16"/>
  <c r="BT313" i="16"/>
  <c r="BS313" i="16"/>
  <c r="BR313" i="16"/>
  <c r="BQ313" i="16"/>
  <c r="BP313" i="16"/>
  <c r="BO313" i="16"/>
  <c r="BN313" i="16"/>
  <c r="BM313" i="16"/>
  <c r="BL313" i="16"/>
  <c r="BK313" i="16"/>
  <c r="BJ313" i="16"/>
  <c r="BI313" i="16"/>
  <c r="BH313" i="16"/>
  <c r="BG313" i="16"/>
  <c r="BF313" i="16"/>
  <c r="BE313" i="16"/>
  <c r="BD313" i="16"/>
  <c r="AZ313" i="16"/>
  <c r="BT312" i="16"/>
  <c r="BS312" i="16"/>
  <c r="BR312" i="16"/>
  <c r="BQ312" i="16"/>
  <c r="BP312" i="16"/>
  <c r="BO312" i="16"/>
  <c r="BN312" i="16"/>
  <c r="BM312" i="16"/>
  <c r="BL312" i="16"/>
  <c r="BK312" i="16"/>
  <c r="BJ312" i="16"/>
  <c r="BI312" i="16"/>
  <c r="BH312" i="16"/>
  <c r="BG312" i="16"/>
  <c r="BF312" i="16"/>
  <c r="BE312" i="16"/>
  <c r="BD312" i="16"/>
  <c r="AZ312" i="16"/>
  <c r="BT311" i="16"/>
  <c r="BS311" i="16"/>
  <c r="BR311" i="16"/>
  <c r="BQ311" i="16"/>
  <c r="BP311" i="16"/>
  <c r="BO311" i="16"/>
  <c r="BN311" i="16"/>
  <c r="BM311" i="16"/>
  <c r="BL311" i="16"/>
  <c r="BK311" i="16"/>
  <c r="BJ311" i="16"/>
  <c r="BI311" i="16"/>
  <c r="BH311" i="16"/>
  <c r="BG311" i="16"/>
  <c r="BF311" i="16"/>
  <c r="BE311" i="16"/>
  <c r="BD311" i="16"/>
  <c r="AZ311" i="16"/>
  <c r="BT310" i="16"/>
  <c r="BS310" i="16"/>
  <c r="BR310" i="16"/>
  <c r="BQ310" i="16"/>
  <c r="BP310" i="16"/>
  <c r="BO310" i="16"/>
  <c r="BN310" i="16"/>
  <c r="BM310" i="16"/>
  <c r="BL310" i="16"/>
  <c r="BK310" i="16"/>
  <c r="BJ310" i="16"/>
  <c r="BI310" i="16"/>
  <c r="BH310" i="16"/>
  <c r="BG310" i="16"/>
  <c r="BF310" i="16"/>
  <c r="BE310" i="16"/>
  <c r="BD310" i="16"/>
  <c r="AZ310" i="16"/>
  <c r="BT309" i="16"/>
  <c r="BS309" i="16"/>
  <c r="BR309" i="16"/>
  <c r="BQ309" i="16"/>
  <c r="BP309" i="16"/>
  <c r="BO309" i="16"/>
  <c r="BN309" i="16"/>
  <c r="BM309" i="16"/>
  <c r="BL309" i="16"/>
  <c r="BK309" i="16"/>
  <c r="BJ309" i="16"/>
  <c r="BI309" i="16"/>
  <c r="BH309" i="16"/>
  <c r="BG309" i="16"/>
  <c r="BF309" i="16"/>
  <c r="BE309" i="16"/>
  <c r="BD309" i="16"/>
  <c r="AZ309" i="16"/>
  <c r="BT308" i="16"/>
  <c r="BS308" i="16"/>
  <c r="BR308" i="16"/>
  <c r="BQ308" i="16"/>
  <c r="BP308" i="16"/>
  <c r="BO308" i="16"/>
  <c r="BN308" i="16"/>
  <c r="BM308" i="16"/>
  <c r="BL308" i="16"/>
  <c r="BK308" i="16"/>
  <c r="BJ308" i="16"/>
  <c r="BI308" i="16"/>
  <c r="BH308" i="16"/>
  <c r="BG308" i="16"/>
  <c r="BF308" i="16"/>
  <c r="BE308" i="16"/>
  <c r="BD308" i="16"/>
  <c r="AZ308" i="16"/>
  <c r="BT307" i="16"/>
  <c r="BS307" i="16"/>
  <c r="BR307" i="16"/>
  <c r="BQ307" i="16"/>
  <c r="BP307" i="16"/>
  <c r="BO307" i="16"/>
  <c r="BN307" i="16"/>
  <c r="BM307" i="16"/>
  <c r="BL307" i="16"/>
  <c r="BK307" i="16"/>
  <c r="BJ307" i="16"/>
  <c r="BI307" i="16"/>
  <c r="BH307" i="16"/>
  <c r="BG307" i="16"/>
  <c r="BF307" i="16"/>
  <c r="BE307" i="16"/>
  <c r="BD307" i="16"/>
  <c r="AZ307" i="16"/>
  <c r="BT306" i="16"/>
  <c r="BS306" i="16"/>
  <c r="BR306" i="16"/>
  <c r="BQ306" i="16"/>
  <c r="BP306" i="16"/>
  <c r="BO306" i="16"/>
  <c r="BN306" i="16"/>
  <c r="BM306" i="16"/>
  <c r="BL306" i="16"/>
  <c r="BK306" i="16"/>
  <c r="BJ306" i="16"/>
  <c r="BI306" i="16"/>
  <c r="BH306" i="16"/>
  <c r="BG306" i="16"/>
  <c r="BF306" i="16"/>
  <c r="BE306" i="16"/>
  <c r="BD306" i="16"/>
  <c r="AZ306" i="16"/>
  <c r="BT305" i="16"/>
  <c r="BS305" i="16"/>
  <c r="BR305" i="16"/>
  <c r="BQ305" i="16"/>
  <c r="BP305" i="16"/>
  <c r="BO305" i="16"/>
  <c r="BN305" i="16"/>
  <c r="BM305" i="16"/>
  <c r="BL305" i="16"/>
  <c r="BK305" i="16"/>
  <c r="BJ305" i="16"/>
  <c r="BI305" i="16"/>
  <c r="BH305" i="16"/>
  <c r="BG305" i="16"/>
  <c r="BF305" i="16"/>
  <c r="BE305" i="16"/>
  <c r="BD305" i="16"/>
  <c r="AZ305" i="16"/>
  <c r="BT304" i="16"/>
  <c r="BS304" i="16"/>
  <c r="BR304" i="16"/>
  <c r="BQ304" i="16"/>
  <c r="BP304" i="16"/>
  <c r="BO304" i="16"/>
  <c r="BN304" i="16"/>
  <c r="BM304" i="16"/>
  <c r="BL304" i="16"/>
  <c r="BK304" i="16"/>
  <c r="BJ304" i="16"/>
  <c r="BI304" i="16"/>
  <c r="BH304" i="16"/>
  <c r="BG304" i="16"/>
  <c r="BF304" i="16"/>
  <c r="BE304" i="16"/>
  <c r="BD304" i="16"/>
  <c r="AZ304" i="16"/>
  <c r="BT303" i="16"/>
  <c r="BS303" i="16"/>
  <c r="BR303" i="16"/>
  <c r="BQ303" i="16"/>
  <c r="BP303" i="16"/>
  <c r="BO303" i="16"/>
  <c r="BN303" i="16"/>
  <c r="BM303" i="16"/>
  <c r="BL303" i="16"/>
  <c r="BK303" i="16"/>
  <c r="BJ303" i="16"/>
  <c r="BI303" i="16"/>
  <c r="BH303" i="16"/>
  <c r="BG303" i="16"/>
  <c r="BF303" i="16"/>
  <c r="BE303" i="16"/>
  <c r="BD303" i="16"/>
  <c r="AZ303" i="16"/>
  <c r="BT302" i="16"/>
  <c r="BS302" i="16"/>
  <c r="BR302" i="16"/>
  <c r="BQ302" i="16"/>
  <c r="BP302" i="16"/>
  <c r="BO302" i="16"/>
  <c r="BN302" i="16"/>
  <c r="BM302" i="16"/>
  <c r="BL302" i="16"/>
  <c r="BK302" i="16"/>
  <c r="BJ302" i="16"/>
  <c r="BI302" i="16"/>
  <c r="BH302" i="16"/>
  <c r="BG302" i="16"/>
  <c r="BF302" i="16"/>
  <c r="BE302" i="16"/>
  <c r="BD302" i="16"/>
  <c r="AZ302" i="16"/>
  <c r="BT301" i="16"/>
  <c r="BS301" i="16"/>
  <c r="BR301" i="16"/>
  <c r="BQ301" i="16"/>
  <c r="BP301" i="16"/>
  <c r="BO301" i="16"/>
  <c r="BN301" i="16"/>
  <c r="BM301" i="16"/>
  <c r="BL301" i="16"/>
  <c r="BK301" i="16"/>
  <c r="BJ301" i="16"/>
  <c r="BI301" i="16"/>
  <c r="BH301" i="16"/>
  <c r="BG301" i="16"/>
  <c r="BF301" i="16"/>
  <c r="BE301" i="16"/>
  <c r="BD301" i="16"/>
  <c r="AZ301" i="16"/>
  <c r="BT300" i="16"/>
  <c r="BS300" i="16"/>
  <c r="BR300" i="16"/>
  <c r="BQ300" i="16"/>
  <c r="BP300" i="16"/>
  <c r="BO300" i="16"/>
  <c r="BN300" i="16"/>
  <c r="BM300" i="16"/>
  <c r="BL300" i="16"/>
  <c r="BK300" i="16"/>
  <c r="BJ300" i="16"/>
  <c r="BI300" i="16"/>
  <c r="BH300" i="16"/>
  <c r="BG300" i="16"/>
  <c r="BF300" i="16"/>
  <c r="BE300" i="16"/>
  <c r="BD300" i="16"/>
  <c r="AZ300" i="16"/>
  <c r="BT299" i="16"/>
  <c r="BS299" i="16"/>
  <c r="BR299" i="16"/>
  <c r="BQ299" i="16"/>
  <c r="BP299" i="16"/>
  <c r="BO299" i="16"/>
  <c r="BN299" i="16"/>
  <c r="BM299" i="16"/>
  <c r="BL299" i="16"/>
  <c r="BK299" i="16"/>
  <c r="BJ299" i="16"/>
  <c r="BI299" i="16"/>
  <c r="BH299" i="16"/>
  <c r="BG299" i="16"/>
  <c r="BF299" i="16"/>
  <c r="BE299" i="16"/>
  <c r="BD299" i="16"/>
  <c r="AZ299" i="16"/>
  <c r="BT298" i="16"/>
  <c r="BS298" i="16"/>
  <c r="BR298" i="16"/>
  <c r="BQ298" i="16"/>
  <c r="BP298" i="16"/>
  <c r="BO298" i="16"/>
  <c r="BN298" i="16"/>
  <c r="BM298" i="16"/>
  <c r="BL298" i="16"/>
  <c r="BK298" i="16"/>
  <c r="BJ298" i="16"/>
  <c r="BI298" i="16"/>
  <c r="BH298" i="16"/>
  <c r="BG298" i="16"/>
  <c r="BF298" i="16"/>
  <c r="BE298" i="16"/>
  <c r="BD298" i="16"/>
  <c r="AZ298" i="16"/>
  <c r="BT297" i="16"/>
  <c r="BS297" i="16"/>
  <c r="BR297" i="16"/>
  <c r="BQ297" i="16"/>
  <c r="BP297" i="16"/>
  <c r="BO297" i="16"/>
  <c r="BN297" i="16"/>
  <c r="BM297" i="16"/>
  <c r="BL297" i="16"/>
  <c r="BK297" i="16"/>
  <c r="BJ297" i="16"/>
  <c r="BI297" i="16"/>
  <c r="BH297" i="16"/>
  <c r="BG297" i="16"/>
  <c r="BF297" i="16"/>
  <c r="BE297" i="16"/>
  <c r="BD297" i="16"/>
  <c r="AZ297" i="16"/>
  <c r="BT296" i="16"/>
  <c r="BS296" i="16"/>
  <c r="BR296" i="16"/>
  <c r="BQ296" i="16"/>
  <c r="BP296" i="16"/>
  <c r="BO296" i="16"/>
  <c r="BN296" i="16"/>
  <c r="BM296" i="16"/>
  <c r="BL296" i="16"/>
  <c r="BK296" i="16"/>
  <c r="BJ296" i="16"/>
  <c r="BI296" i="16"/>
  <c r="BH296" i="16"/>
  <c r="BG296" i="16"/>
  <c r="BF296" i="16"/>
  <c r="BE296" i="16"/>
  <c r="BD296" i="16"/>
  <c r="AZ296" i="16"/>
  <c r="BT295" i="16"/>
  <c r="BS295" i="16"/>
  <c r="BR295" i="16"/>
  <c r="BQ295" i="16"/>
  <c r="BP295" i="16"/>
  <c r="BO295" i="16"/>
  <c r="BN295" i="16"/>
  <c r="BM295" i="16"/>
  <c r="BL295" i="16"/>
  <c r="BK295" i="16"/>
  <c r="BJ295" i="16"/>
  <c r="BI295" i="16"/>
  <c r="BH295" i="16"/>
  <c r="BG295" i="16"/>
  <c r="BF295" i="16"/>
  <c r="BE295" i="16"/>
  <c r="BD295" i="16"/>
  <c r="AZ295" i="16"/>
  <c r="BT294" i="16"/>
  <c r="BS294" i="16"/>
  <c r="BR294" i="16"/>
  <c r="BQ294" i="16"/>
  <c r="BP294" i="16"/>
  <c r="BO294" i="16"/>
  <c r="BN294" i="16"/>
  <c r="BM294" i="16"/>
  <c r="BL294" i="16"/>
  <c r="BK294" i="16"/>
  <c r="BJ294" i="16"/>
  <c r="BI294" i="16"/>
  <c r="BH294" i="16"/>
  <c r="BG294" i="16"/>
  <c r="BF294" i="16"/>
  <c r="BE294" i="16"/>
  <c r="BD294" i="16"/>
  <c r="AZ294" i="16"/>
  <c r="BT293" i="16"/>
  <c r="BS293" i="16"/>
  <c r="BR293" i="16"/>
  <c r="BQ293" i="16"/>
  <c r="BP293" i="16"/>
  <c r="BO293" i="16"/>
  <c r="BN293" i="16"/>
  <c r="BM293" i="16"/>
  <c r="BL293" i="16"/>
  <c r="BK293" i="16"/>
  <c r="BJ293" i="16"/>
  <c r="BI293" i="16"/>
  <c r="BH293" i="16"/>
  <c r="BG293" i="16"/>
  <c r="BF293" i="16"/>
  <c r="BE293" i="16"/>
  <c r="BD293" i="16"/>
  <c r="AZ293" i="16"/>
  <c r="BT292" i="16"/>
  <c r="BS292" i="16"/>
  <c r="BR292" i="16"/>
  <c r="BQ292" i="16"/>
  <c r="BP292" i="16"/>
  <c r="BO292" i="16"/>
  <c r="BN292" i="16"/>
  <c r="BM292" i="16"/>
  <c r="BL292" i="16"/>
  <c r="BK292" i="16"/>
  <c r="BJ292" i="16"/>
  <c r="BI292" i="16"/>
  <c r="BH292" i="16"/>
  <c r="BG292" i="16"/>
  <c r="BF292" i="16"/>
  <c r="BE292" i="16"/>
  <c r="BD292" i="16"/>
  <c r="AZ292" i="16"/>
  <c r="BT291" i="16"/>
  <c r="BS291" i="16"/>
  <c r="BR291" i="16"/>
  <c r="BQ291" i="16"/>
  <c r="BP291" i="16"/>
  <c r="BO291" i="16"/>
  <c r="BN291" i="16"/>
  <c r="BM291" i="16"/>
  <c r="BL291" i="16"/>
  <c r="BK291" i="16"/>
  <c r="BJ291" i="16"/>
  <c r="BI291" i="16"/>
  <c r="BH291" i="16"/>
  <c r="BG291" i="16"/>
  <c r="BF291" i="16"/>
  <c r="BE291" i="16"/>
  <c r="BD291" i="16"/>
  <c r="AZ291" i="16"/>
  <c r="BT290" i="16"/>
  <c r="BS290" i="16"/>
  <c r="BR290" i="16"/>
  <c r="BQ290" i="16"/>
  <c r="BP290" i="16"/>
  <c r="BO290" i="16"/>
  <c r="BN290" i="16"/>
  <c r="BM290" i="16"/>
  <c r="BL290" i="16"/>
  <c r="BK290" i="16"/>
  <c r="BJ290" i="16"/>
  <c r="BI290" i="16"/>
  <c r="BH290" i="16"/>
  <c r="BG290" i="16"/>
  <c r="BF290" i="16"/>
  <c r="BE290" i="16"/>
  <c r="BD290" i="16"/>
  <c r="AZ290" i="16"/>
  <c r="BT289" i="16"/>
  <c r="BS289" i="16"/>
  <c r="BR289" i="16"/>
  <c r="BQ289" i="16"/>
  <c r="BP289" i="16"/>
  <c r="BO289" i="16"/>
  <c r="BN289" i="16"/>
  <c r="BM289" i="16"/>
  <c r="BL289" i="16"/>
  <c r="BK289" i="16"/>
  <c r="BJ289" i="16"/>
  <c r="BI289" i="16"/>
  <c r="BH289" i="16"/>
  <c r="BG289" i="16"/>
  <c r="BF289" i="16"/>
  <c r="BE289" i="16"/>
  <c r="BD289" i="16"/>
  <c r="AZ289" i="16"/>
  <c r="BT288" i="16"/>
  <c r="BS288" i="16"/>
  <c r="BR288" i="16"/>
  <c r="BQ288" i="16"/>
  <c r="BP288" i="16"/>
  <c r="BO288" i="16"/>
  <c r="BN288" i="16"/>
  <c r="BM288" i="16"/>
  <c r="BL288" i="16"/>
  <c r="BK288" i="16"/>
  <c r="BJ288" i="16"/>
  <c r="BI288" i="16"/>
  <c r="BH288" i="16"/>
  <c r="BG288" i="16"/>
  <c r="BF288" i="16"/>
  <c r="BE288" i="16"/>
  <c r="BD288" i="16"/>
  <c r="AZ288" i="16"/>
  <c r="BT287" i="16"/>
  <c r="BS287" i="16"/>
  <c r="BR287" i="16"/>
  <c r="BQ287" i="16"/>
  <c r="BP287" i="16"/>
  <c r="BO287" i="16"/>
  <c r="BN287" i="16"/>
  <c r="BM287" i="16"/>
  <c r="BL287" i="16"/>
  <c r="BK287" i="16"/>
  <c r="BJ287" i="16"/>
  <c r="BI287" i="16"/>
  <c r="BH287" i="16"/>
  <c r="BG287" i="16"/>
  <c r="BF287" i="16"/>
  <c r="BE287" i="16"/>
  <c r="BD287" i="16"/>
  <c r="AZ287" i="16"/>
  <c r="BT286" i="16"/>
  <c r="BS286" i="16"/>
  <c r="BR286" i="16"/>
  <c r="BQ286" i="16"/>
  <c r="BP286" i="16"/>
  <c r="BO286" i="16"/>
  <c r="BN286" i="16"/>
  <c r="BM286" i="16"/>
  <c r="BL286" i="16"/>
  <c r="BK286" i="16"/>
  <c r="BJ286" i="16"/>
  <c r="BI286" i="16"/>
  <c r="BH286" i="16"/>
  <c r="BG286" i="16"/>
  <c r="BF286" i="16"/>
  <c r="BE286" i="16"/>
  <c r="BD286" i="16"/>
  <c r="AZ286" i="16"/>
  <c r="BT285" i="16"/>
  <c r="BS285" i="16"/>
  <c r="BR285" i="16"/>
  <c r="BQ285" i="16"/>
  <c r="BP285" i="16"/>
  <c r="BO285" i="16"/>
  <c r="BN285" i="16"/>
  <c r="BM285" i="16"/>
  <c r="BL285" i="16"/>
  <c r="BK285" i="16"/>
  <c r="BJ285" i="16"/>
  <c r="BI285" i="16"/>
  <c r="BH285" i="16"/>
  <c r="BG285" i="16"/>
  <c r="BF285" i="16"/>
  <c r="BE285" i="16"/>
  <c r="BD285" i="16"/>
  <c r="AZ285" i="16"/>
  <c r="BT284" i="16"/>
  <c r="BS284" i="16"/>
  <c r="BR284" i="16"/>
  <c r="BQ284" i="16"/>
  <c r="BP284" i="16"/>
  <c r="BO284" i="16"/>
  <c r="BN284" i="16"/>
  <c r="BM284" i="16"/>
  <c r="BL284" i="16"/>
  <c r="BK284" i="16"/>
  <c r="BJ284" i="16"/>
  <c r="BI284" i="16"/>
  <c r="BH284" i="16"/>
  <c r="BG284" i="16"/>
  <c r="BF284" i="16"/>
  <c r="BE284" i="16"/>
  <c r="BD284" i="16"/>
  <c r="AZ284" i="16"/>
  <c r="BT283" i="16"/>
  <c r="BS283" i="16"/>
  <c r="BR283" i="16"/>
  <c r="BQ283" i="16"/>
  <c r="BP283" i="16"/>
  <c r="BO283" i="16"/>
  <c r="BN283" i="16"/>
  <c r="BM283" i="16"/>
  <c r="BL283" i="16"/>
  <c r="BK283" i="16"/>
  <c r="BJ283" i="16"/>
  <c r="BI283" i="16"/>
  <c r="BH283" i="16"/>
  <c r="BG283" i="16"/>
  <c r="BF283" i="16"/>
  <c r="BE283" i="16"/>
  <c r="BD283" i="16"/>
  <c r="AZ283" i="16"/>
  <c r="BT282" i="16"/>
  <c r="BS282" i="16"/>
  <c r="BR282" i="16"/>
  <c r="BQ282" i="16"/>
  <c r="BP282" i="16"/>
  <c r="BO282" i="16"/>
  <c r="BN282" i="16"/>
  <c r="BM282" i="16"/>
  <c r="BL282" i="16"/>
  <c r="BK282" i="16"/>
  <c r="BJ282" i="16"/>
  <c r="BI282" i="16"/>
  <c r="BH282" i="16"/>
  <c r="BG282" i="16"/>
  <c r="BF282" i="16"/>
  <c r="BE282" i="16"/>
  <c r="BD282" i="16"/>
  <c r="AZ282" i="16"/>
  <c r="BT281" i="16"/>
  <c r="BS281" i="16"/>
  <c r="BR281" i="16"/>
  <c r="BQ281" i="16"/>
  <c r="BP281" i="16"/>
  <c r="BO281" i="16"/>
  <c r="BN281" i="16"/>
  <c r="BM281" i="16"/>
  <c r="BL281" i="16"/>
  <c r="BK281" i="16"/>
  <c r="BJ281" i="16"/>
  <c r="BI281" i="16"/>
  <c r="BH281" i="16"/>
  <c r="BG281" i="16"/>
  <c r="BF281" i="16"/>
  <c r="BE281" i="16"/>
  <c r="BD281" i="16"/>
  <c r="AZ281" i="16"/>
  <c r="BT280" i="16"/>
  <c r="BS280" i="16"/>
  <c r="BR280" i="16"/>
  <c r="BQ280" i="16"/>
  <c r="BP280" i="16"/>
  <c r="BO280" i="16"/>
  <c r="BN280" i="16"/>
  <c r="BM280" i="16"/>
  <c r="BL280" i="16"/>
  <c r="BK280" i="16"/>
  <c r="BJ280" i="16"/>
  <c r="BI280" i="16"/>
  <c r="BH280" i="16"/>
  <c r="BG280" i="16"/>
  <c r="BF280" i="16"/>
  <c r="BE280" i="16"/>
  <c r="BD280" i="16"/>
  <c r="AZ280" i="16"/>
  <c r="BT279" i="16"/>
  <c r="BS279" i="16"/>
  <c r="BR279" i="16"/>
  <c r="BQ279" i="16"/>
  <c r="BP279" i="16"/>
  <c r="BO279" i="16"/>
  <c r="BN279" i="16"/>
  <c r="BM279" i="16"/>
  <c r="BL279" i="16"/>
  <c r="BK279" i="16"/>
  <c r="BJ279" i="16"/>
  <c r="BI279" i="16"/>
  <c r="BH279" i="16"/>
  <c r="BG279" i="16"/>
  <c r="BF279" i="16"/>
  <c r="BE279" i="16"/>
  <c r="BD279" i="16"/>
  <c r="AZ279" i="16"/>
  <c r="BT278" i="16"/>
  <c r="BS278" i="16"/>
  <c r="BR278" i="16"/>
  <c r="BQ278" i="16"/>
  <c r="BP278" i="16"/>
  <c r="BO278" i="16"/>
  <c r="BN278" i="16"/>
  <c r="BM278" i="16"/>
  <c r="BL278" i="16"/>
  <c r="BK278" i="16"/>
  <c r="BJ278" i="16"/>
  <c r="BI278" i="16"/>
  <c r="BH278" i="16"/>
  <c r="BG278" i="16"/>
  <c r="BF278" i="16"/>
  <c r="BE278" i="16"/>
  <c r="BD278" i="16"/>
  <c r="AZ278" i="16"/>
  <c r="BT277" i="16"/>
  <c r="BS277" i="16"/>
  <c r="BR277" i="16"/>
  <c r="BQ277" i="16"/>
  <c r="BP277" i="16"/>
  <c r="BO277" i="16"/>
  <c r="BN277" i="16"/>
  <c r="BM277" i="16"/>
  <c r="BL277" i="16"/>
  <c r="BK277" i="16"/>
  <c r="BJ277" i="16"/>
  <c r="BI277" i="16"/>
  <c r="BH277" i="16"/>
  <c r="BG277" i="16"/>
  <c r="BF277" i="16"/>
  <c r="BE277" i="16"/>
  <c r="BD277" i="16"/>
  <c r="AZ277" i="16"/>
  <c r="BT276" i="16"/>
  <c r="BS276" i="16"/>
  <c r="BR276" i="16"/>
  <c r="BQ276" i="16"/>
  <c r="BP276" i="16"/>
  <c r="BO276" i="16"/>
  <c r="BN276" i="16"/>
  <c r="BM276" i="16"/>
  <c r="BL276" i="16"/>
  <c r="BK276" i="16"/>
  <c r="BJ276" i="16"/>
  <c r="BI276" i="16"/>
  <c r="BH276" i="16"/>
  <c r="BG276" i="16"/>
  <c r="BF276" i="16"/>
  <c r="BE276" i="16"/>
  <c r="BD276" i="16"/>
  <c r="AZ276" i="16"/>
  <c r="BT275" i="16"/>
  <c r="BS275" i="16"/>
  <c r="BR275" i="16"/>
  <c r="BQ275" i="16"/>
  <c r="BP275" i="16"/>
  <c r="BO275" i="16"/>
  <c r="BN275" i="16"/>
  <c r="BM275" i="16"/>
  <c r="BL275" i="16"/>
  <c r="BK275" i="16"/>
  <c r="BJ275" i="16"/>
  <c r="BI275" i="16"/>
  <c r="BH275" i="16"/>
  <c r="BG275" i="16"/>
  <c r="BF275" i="16"/>
  <c r="BE275" i="16"/>
  <c r="BD275" i="16"/>
  <c r="AZ275" i="16"/>
  <c r="BT274" i="16"/>
  <c r="BS274" i="16"/>
  <c r="BR274" i="16"/>
  <c r="BQ274" i="16"/>
  <c r="BP274" i="16"/>
  <c r="BO274" i="16"/>
  <c r="BN274" i="16"/>
  <c r="BM274" i="16"/>
  <c r="BL274" i="16"/>
  <c r="BK274" i="16"/>
  <c r="BJ274" i="16"/>
  <c r="BI274" i="16"/>
  <c r="BH274" i="16"/>
  <c r="BG274" i="16"/>
  <c r="BF274" i="16"/>
  <c r="BE274" i="16"/>
  <c r="BD274" i="16"/>
  <c r="AZ274" i="16"/>
  <c r="BT273" i="16"/>
  <c r="BS273" i="16"/>
  <c r="BR273" i="16"/>
  <c r="BQ273" i="16"/>
  <c r="BP273" i="16"/>
  <c r="BO273" i="16"/>
  <c r="BN273" i="16"/>
  <c r="BM273" i="16"/>
  <c r="BL273" i="16"/>
  <c r="BK273" i="16"/>
  <c r="BJ273" i="16"/>
  <c r="BI273" i="16"/>
  <c r="BH273" i="16"/>
  <c r="BG273" i="16"/>
  <c r="BF273" i="16"/>
  <c r="BE273" i="16"/>
  <c r="BD273" i="16"/>
  <c r="AZ273" i="16"/>
  <c r="BT272" i="16"/>
  <c r="BS272" i="16"/>
  <c r="BR272" i="16"/>
  <c r="BQ272" i="16"/>
  <c r="BP272" i="16"/>
  <c r="BO272" i="16"/>
  <c r="BN272" i="16"/>
  <c r="BM272" i="16"/>
  <c r="BL272" i="16"/>
  <c r="BK272" i="16"/>
  <c r="BJ272" i="16"/>
  <c r="BI272" i="16"/>
  <c r="BH272" i="16"/>
  <c r="BG272" i="16"/>
  <c r="BF272" i="16"/>
  <c r="BE272" i="16"/>
  <c r="BD272" i="16"/>
  <c r="AZ272" i="16"/>
  <c r="BT271" i="16"/>
  <c r="BS271" i="16"/>
  <c r="BR271" i="16"/>
  <c r="BQ271" i="16"/>
  <c r="BP271" i="16"/>
  <c r="BO271" i="16"/>
  <c r="BN271" i="16"/>
  <c r="BM271" i="16"/>
  <c r="BL271" i="16"/>
  <c r="BK271" i="16"/>
  <c r="BJ271" i="16"/>
  <c r="BI271" i="16"/>
  <c r="BH271" i="16"/>
  <c r="BG271" i="16"/>
  <c r="BF271" i="16"/>
  <c r="BE271" i="16"/>
  <c r="BD271" i="16"/>
  <c r="AZ271" i="16"/>
  <c r="BT270" i="16"/>
  <c r="BS270" i="16"/>
  <c r="BR270" i="16"/>
  <c r="BQ270" i="16"/>
  <c r="BP270" i="16"/>
  <c r="BO270" i="16"/>
  <c r="BN270" i="16"/>
  <c r="BM270" i="16"/>
  <c r="BL270" i="16"/>
  <c r="BK270" i="16"/>
  <c r="BJ270" i="16"/>
  <c r="BI270" i="16"/>
  <c r="BH270" i="16"/>
  <c r="BG270" i="16"/>
  <c r="BF270" i="16"/>
  <c r="BE270" i="16"/>
  <c r="BD270" i="16"/>
  <c r="AZ270" i="16"/>
  <c r="BT269" i="16"/>
  <c r="BS269" i="16"/>
  <c r="BR269" i="16"/>
  <c r="BQ269" i="16"/>
  <c r="BP269" i="16"/>
  <c r="BO269" i="16"/>
  <c r="BN269" i="16"/>
  <c r="BM269" i="16"/>
  <c r="BL269" i="16"/>
  <c r="BK269" i="16"/>
  <c r="BJ269" i="16"/>
  <c r="BI269" i="16"/>
  <c r="BH269" i="16"/>
  <c r="BG269" i="16"/>
  <c r="BF269" i="16"/>
  <c r="BE269" i="16"/>
  <c r="BD269" i="16"/>
  <c r="AZ269" i="16"/>
  <c r="BT268" i="16"/>
  <c r="BS268" i="16"/>
  <c r="BR268" i="16"/>
  <c r="BQ268" i="16"/>
  <c r="BP268" i="16"/>
  <c r="BO268" i="16"/>
  <c r="BN268" i="16"/>
  <c r="BM268" i="16"/>
  <c r="BL268" i="16"/>
  <c r="BK268" i="16"/>
  <c r="BJ268" i="16"/>
  <c r="BI268" i="16"/>
  <c r="BH268" i="16"/>
  <c r="BG268" i="16"/>
  <c r="BF268" i="16"/>
  <c r="BE268" i="16"/>
  <c r="BD268" i="16"/>
  <c r="AZ268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AZ267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AZ266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AZ265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AZ264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AZ263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AZ262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AZ261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AZ260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AZ259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AZ258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AZ257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AZ256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AZ255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AZ254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AZ253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AZ252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AZ251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AZ250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AZ249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AZ248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AZ247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AZ246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AZ245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AZ244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AZ243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AZ242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AZ241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AZ240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AZ239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AZ238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AZ237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AZ236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AZ235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AZ234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AZ233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AZ232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AZ231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AZ230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AZ229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AZ228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AZ227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AZ226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AZ225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AZ224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AZ223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AZ222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AZ221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AZ220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AZ219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AZ218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AZ217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AZ216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AZ215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AZ214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AZ213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AZ212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AZ211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AZ210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AZ209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AZ208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AZ207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AZ206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AZ205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AZ204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AZ203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AZ202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AZ201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AZ200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AZ199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AZ198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AZ197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AZ196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AZ195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AZ194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AZ193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AZ192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AZ191" i="16"/>
  <c r="BT190" i="16"/>
  <c r="BS190" i="16"/>
  <c r="BR190" i="16"/>
  <c r="BQ190" i="16"/>
  <c r="BP190" i="16"/>
  <c r="BO190" i="16"/>
  <c r="BN190" i="16"/>
  <c r="BM190" i="16"/>
  <c r="BL190" i="16"/>
  <c r="BK190" i="16"/>
  <c r="BJ190" i="16"/>
  <c r="BI190" i="16"/>
  <c r="BH190" i="16"/>
  <c r="BG190" i="16"/>
  <c r="BF190" i="16"/>
  <c r="BE190" i="16"/>
  <c r="BD190" i="16"/>
  <c r="AZ190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AZ189" i="16"/>
  <c r="BT188" i="16"/>
  <c r="BS188" i="16"/>
  <c r="BR188" i="16"/>
  <c r="BQ188" i="16"/>
  <c r="BP188" i="16"/>
  <c r="BO188" i="16"/>
  <c r="BN188" i="16"/>
  <c r="BM188" i="16"/>
  <c r="BL188" i="16"/>
  <c r="BK188" i="16"/>
  <c r="BJ188" i="16"/>
  <c r="BI188" i="16"/>
  <c r="BH188" i="16"/>
  <c r="BG188" i="16"/>
  <c r="BF188" i="16"/>
  <c r="BE188" i="16"/>
  <c r="BD188" i="16"/>
  <c r="AZ188" i="16"/>
  <c r="BT187" i="16"/>
  <c r="BS187" i="16"/>
  <c r="BR187" i="16"/>
  <c r="BQ187" i="16"/>
  <c r="BP187" i="16"/>
  <c r="BO187" i="16"/>
  <c r="BN187" i="16"/>
  <c r="BM187" i="16"/>
  <c r="BL187" i="16"/>
  <c r="BK187" i="16"/>
  <c r="BJ187" i="16"/>
  <c r="BI187" i="16"/>
  <c r="BH187" i="16"/>
  <c r="BG187" i="16"/>
  <c r="BF187" i="16"/>
  <c r="BE187" i="16"/>
  <c r="BD187" i="16"/>
  <c r="AZ187" i="16"/>
  <c r="BT186" i="16"/>
  <c r="BS186" i="16"/>
  <c r="BR186" i="16"/>
  <c r="BQ186" i="16"/>
  <c r="BP186" i="16"/>
  <c r="BO186" i="16"/>
  <c r="BN186" i="16"/>
  <c r="BM186" i="16"/>
  <c r="BL186" i="16"/>
  <c r="BK186" i="16"/>
  <c r="BJ186" i="16"/>
  <c r="BI186" i="16"/>
  <c r="BH186" i="16"/>
  <c r="BG186" i="16"/>
  <c r="BF186" i="16"/>
  <c r="BE186" i="16"/>
  <c r="BD186" i="16"/>
  <c r="AZ186" i="16"/>
  <c r="BT185" i="16"/>
  <c r="BS185" i="16"/>
  <c r="BR185" i="16"/>
  <c r="BQ185" i="16"/>
  <c r="BP185" i="16"/>
  <c r="BO185" i="16"/>
  <c r="BN185" i="16"/>
  <c r="BM185" i="16"/>
  <c r="BL185" i="16"/>
  <c r="BK185" i="16"/>
  <c r="BJ185" i="16"/>
  <c r="BI185" i="16"/>
  <c r="BH185" i="16"/>
  <c r="BG185" i="16"/>
  <c r="BF185" i="16"/>
  <c r="BE185" i="16"/>
  <c r="BD185" i="16"/>
  <c r="AZ185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AZ184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AZ183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AZ182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AZ181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AZ180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AZ179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AZ178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AZ177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AZ176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AZ175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AZ174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AZ173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AZ172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AZ171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AZ170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AZ169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AZ168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AZ167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AZ166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AZ165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AZ164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AZ163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AZ162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AZ161" i="16"/>
  <c r="AZ160" i="16"/>
  <c r="AU160" i="16"/>
  <c r="AK160" i="16"/>
  <c r="AE160" i="16"/>
  <c r="S160" i="16"/>
  <c r="AW160" i="16" s="1"/>
  <c r="I160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AZ159" i="16"/>
  <c r="AU159" i="16"/>
  <c r="AK159" i="16"/>
  <c r="AE159" i="16"/>
  <c r="S159" i="16"/>
  <c r="AW159" i="16" s="1"/>
  <c r="I159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AZ158" i="16"/>
  <c r="AU158" i="16"/>
  <c r="AK158" i="16"/>
  <c r="AE158" i="16"/>
  <c r="AW158" i="16" s="1"/>
  <c r="S158" i="16"/>
  <c r="I158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AZ157" i="16"/>
  <c r="AU157" i="16"/>
  <c r="AK157" i="16"/>
  <c r="AE157" i="16"/>
  <c r="AW157" i="16" s="1"/>
  <c r="S157" i="16"/>
  <c r="I157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AZ156" i="16"/>
  <c r="AU156" i="16"/>
  <c r="AK156" i="16"/>
  <c r="AE156" i="16"/>
  <c r="S156" i="16"/>
  <c r="AW156" i="16" s="1"/>
  <c r="I156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AZ155" i="16"/>
  <c r="AU155" i="16"/>
  <c r="AK155" i="16"/>
  <c r="AE155" i="16"/>
  <c r="S155" i="16"/>
  <c r="AW155" i="16" s="1"/>
  <c r="I155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AZ154" i="16"/>
  <c r="AU154" i="16"/>
  <c r="AK154" i="16"/>
  <c r="AE154" i="16"/>
  <c r="AW154" i="16" s="1"/>
  <c r="S154" i="16"/>
  <c r="I154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AZ153" i="16"/>
  <c r="AU153" i="16"/>
  <c r="AK153" i="16"/>
  <c r="AE153" i="16"/>
  <c r="AW153" i="16" s="1"/>
  <c r="S153" i="16"/>
  <c r="I153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AZ152" i="16"/>
  <c r="AU152" i="16"/>
  <c r="AK152" i="16"/>
  <c r="AE152" i="16"/>
  <c r="S152" i="16"/>
  <c r="AW152" i="16" s="1"/>
  <c r="I152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AZ151" i="16"/>
  <c r="AU151" i="16"/>
  <c r="AK151" i="16"/>
  <c r="AE151" i="16"/>
  <c r="S151" i="16"/>
  <c r="AW151" i="16" s="1"/>
  <c r="I151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AZ150" i="16"/>
  <c r="AU150" i="16"/>
  <c r="AK150" i="16"/>
  <c r="AE150" i="16"/>
  <c r="AW150" i="16" s="1"/>
  <c r="S150" i="16"/>
  <c r="I150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AZ149" i="16"/>
  <c r="AU149" i="16"/>
  <c r="AK149" i="16"/>
  <c r="AE149" i="16"/>
  <c r="AW149" i="16" s="1"/>
  <c r="S149" i="16"/>
  <c r="I149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AZ148" i="16"/>
  <c r="AU148" i="16"/>
  <c r="AK148" i="16"/>
  <c r="AE148" i="16"/>
  <c r="S148" i="16"/>
  <c r="AW148" i="16" s="1"/>
  <c r="I148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AZ147" i="16"/>
  <c r="AU147" i="16"/>
  <c r="AK147" i="16"/>
  <c r="AE147" i="16"/>
  <c r="S147" i="16"/>
  <c r="AW147" i="16" s="1"/>
  <c r="I147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AZ146" i="16"/>
  <c r="AU146" i="16"/>
  <c r="AK146" i="16"/>
  <c r="AE146" i="16"/>
  <c r="S146" i="16"/>
  <c r="AW146" i="16" s="1"/>
  <c r="I146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AZ145" i="16"/>
  <c r="AU145" i="16"/>
  <c r="AK145" i="16"/>
  <c r="AE145" i="16"/>
  <c r="AW145" i="16" s="1"/>
  <c r="S145" i="16"/>
  <c r="I145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AZ144" i="16"/>
  <c r="AU144" i="16"/>
  <c r="AK144" i="16"/>
  <c r="AE144" i="16"/>
  <c r="S144" i="16"/>
  <c r="AW144" i="16" s="1"/>
  <c r="I144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AZ143" i="16"/>
  <c r="AU143" i="16"/>
  <c r="AK143" i="16"/>
  <c r="AE143" i="16"/>
  <c r="S143" i="16"/>
  <c r="I143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AZ142" i="16"/>
  <c r="AU142" i="16"/>
  <c r="AK142" i="16"/>
  <c r="AE142" i="16"/>
  <c r="S142" i="16"/>
  <c r="I142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AZ141" i="16"/>
  <c r="AU141" i="16"/>
  <c r="AK141" i="16"/>
  <c r="AE141" i="16"/>
  <c r="S141" i="16"/>
  <c r="I141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AZ140" i="16"/>
  <c r="AU140" i="16"/>
  <c r="AK140" i="16"/>
  <c r="AE140" i="16"/>
  <c r="S140" i="16"/>
  <c r="AW140" i="16" s="1"/>
  <c r="I140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AZ139" i="16"/>
  <c r="AU139" i="16"/>
  <c r="AK139" i="16"/>
  <c r="AE139" i="16"/>
  <c r="S139" i="16"/>
  <c r="AW139" i="16" s="1"/>
  <c r="I139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AZ138" i="16"/>
  <c r="AU138" i="16"/>
  <c r="AK138" i="16"/>
  <c r="AE138" i="16"/>
  <c r="S138" i="16"/>
  <c r="AW138" i="16" s="1"/>
  <c r="I138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AZ137" i="16"/>
  <c r="AU137" i="16"/>
  <c r="AK137" i="16"/>
  <c r="AE137" i="16"/>
  <c r="S137" i="16"/>
  <c r="I137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AZ136" i="16"/>
  <c r="AU136" i="16"/>
  <c r="AK136" i="16"/>
  <c r="AE136" i="16"/>
  <c r="S136" i="16"/>
  <c r="AW136" i="16" s="1"/>
  <c r="I136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AZ135" i="16"/>
  <c r="AU135" i="16"/>
  <c r="AK135" i="16"/>
  <c r="AE135" i="16"/>
  <c r="S135" i="16"/>
  <c r="I135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AZ134" i="16"/>
  <c r="AU134" i="16"/>
  <c r="AK134" i="16"/>
  <c r="AE134" i="16"/>
  <c r="S134" i="16"/>
  <c r="I134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AZ133" i="16"/>
  <c r="AU133" i="16"/>
  <c r="AK133" i="16"/>
  <c r="AE133" i="16"/>
  <c r="S133" i="16"/>
  <c r="I133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AZ132" i="16"/>
  <c r="AU132" i="16"/>
  <c r="AK132" i="16"/>
  <c r="AE132" i="16"/>
  <c r="S132" i="16"/>
  <c r="AW132" i="16" s="1"/>
  <c r="I132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AZ131" i="16"/>
  <c r="AU131" i="16"/>
  <c r="AK131" i="16"/>
  <c r="AE131" i="16"/>
  <c r="S131" i="16"/>
  <c r="I131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AZ130" i="16"/>
  <c r="AU130" i="16"/>
  <c r="AK130" i="16"/>
  <c r="AE130" i="16"/>
  <c r="S130" i="16"/>
  <c r="I130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AZ129" i="16"/>
  <c r="AU129" i="16"/>
  <c r="AK129" i="16"/>
  <c r="AE129" i="16"/>
  <c r="AW129" i="16" s="1"/>
  <c r="S129" i="16"/>
  <c r="I129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AZ128" i="16"/>
  <c r="AU128" i="16"/>
  <c r="AK128" i="16"/>
  <c r="AE128" i="16"/>
  <c r="S128" i="16"/>
  <c r="I128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AZ127" i="16"/>
  <c r="AU127" i="16"/>
  <c r="AK127" i="16"/>
  <c r="AE127" i="16"/>
  <c r="S127" i="16"/>
  <c r="AW127" i="16" s="1"/>
  <c r="I127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AZ126" i="16"/>
  <c r="AU126" i="16"/>
  <c r="AK126" i="16"/>
  <c r="AE126" i="16"/>
  <c r="S126" i="16"/>
  <c r="AW126" i="16" s="1"/>
  <c r="I126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AZ125" i="16"/>
  <c r="AU125" i="16"/>
  <c r="AK125" i="16"/>
  <c r="AE125" i="16"/>
  <c r="S125" i="16"/>
  <c r="I125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AZ124" i="16"/>
  <c r="AU124" i="16"/>
  <c r="AK124" i="16"/>
  <c r="AE124" i="16"/>
  <c r="S124" i="16"/>
  <c r="AW124" i="16" s="1"/>
  <c r="I124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AZ123" i="16"/>
  <c r="AU123" i="16"/>
  <c r="AK123" i="16"/>
  <c r="AE123" i="16"/>
  <c r="S123" i="16"/>
  <c r="I123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AZ122" i="16"/>
  <c r="AU122" i="16"/>
  <c r="AK122" i="16"/>
  <c r="AE122" i="16"/>
  <c r="S122" i="16"/>
  <c r="AW122" i="16" s="1"/>
  <c r="I122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AZ121" i="16"/>
  <c r="AU121" i="16"/>
  <c r="AK121" i="16"/>
  <c r="AE121" i="16"/>
  <c r="S121" i="16"/>
  <c r="I121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AZ120" i="16"/>
  <c r="AU120" i="16"/>
  <c r="AK120" i="16"/>
  <c r="AE120" i="16"/>
  <c r="S120" i="16"/>
  <c r="AW120" i="16" s="1"/>
  <c r="I120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AZ119" i="16"/>
  <c r="AU119" i="16"/>
  <c r="AK119" i="16"/>
  <c r="AE119" i="16"/>
  <c r="S119" i="16"/>
  <c r="I119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AZ118" i="16"/>
  <c r="AU118" i="16"/>
  <c r="AK118" i="16"/>
  <c r="AE118" i="16"/>
  <c r="S118" i="16"/>
  <c r="AW118" i="16" s="1"/>
  <c r="I118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AZ117" i="16"/>
  <c r="AU117" i="16"/>
  <c r="AK117" i="16"/>
  <c r="AE117" i="16"/>
  <c r="S117" i="16"/>
  <c r="I117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AZ116" i="16"/>
  <c r="AU116" i="16"/>
  <c r="AK116" i="16"/>
  <c r="AE116" i="16"/>
  <c r="S116" i="16"/>
  <c r="AW116" i="16" s="1"/>
  <c r="I116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AZ115" i="16"/>
  <c r="AU115" i="16"/>
  <c r="AK115" i="16"/>
  <c r="AE115" i="16"/>
  <c r="S115" i="16"/>
  <c r="I115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AZ114" i="16"/>
  <c r="AU114" i="16"/>
  <c r="AK114" i="16"/>
  <c r="AE114" i="16"/>
  <c r="S114" i="16"/>
  <c r="I114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AZ113" i="16"/>
  <c r="AU113" i="16"/>
  <c r="AK113" i="16"/>
  <c r="AE113" i="16"/>
  <c r="S113" i="16"/>
  <c r="I113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AZ112" i="16"/>
  <c r="AU112" i="16"/>
  <c r="AK112" i="16"/>
  <c r="AE112" i="16"/>
  <c r="S112" i="16"/>
  <c r="I112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AZ111" i="16"/>
  <c r="AU111" i="16"/>
  <c r="AK111" i="16"/>
  <c r="AE111" i="16"/>
  <c r="S111" i="16"/>
  <c r="I111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AZ110" i="16"/>
  <c r="AU110" i="16"/>
  <c r="AK110" i="16"/>
  <c r="AE110" i="16"/>
  <c r="S110" i="16"/>
  <c r="I110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AZ109" i="16"/>
  <c r="AU109" i="16"/>
  <c r="AK109" i="16"/>
  <c r="AE109" i="16"/>
  <c r="S109" i="16"/>
  <c r="I109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AZ108" i="16"/>
  <c r="AU108" i="16"/>
  <c r="AK108" i="16"/>
  <c r="AE108" i="16"/>
  <c r="S108" i="16"/>
  <c r="I108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AZ107" i="16"/>
  <c r="AU107" i="16"/>
  <c r="AK107" i="16"/>
  <c r="AE107" i="16"/>
  <c r="S107" i="16"/>
  <c r="I107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AZ106" i="16"/>
  <c r="AU106" i="16"/>
  <c r="AK106" i="16"/>
  <c r="AE106" i="16"/>
  <c r="S106" i="16"/>
  <c r="I106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AZ105" i="16"/>
  <c r="AU105" i="16"/>
  <c r="AK105" i="16"/>
  <c r="AE105" i="16"/>
  <c r="S105" i="16"/>
  <c r="I105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AZ104" i="16"/>
  <c r="AU104" i="16"/>
  <c r="AK104" i="16"/>
  <c r="AE104" i="16"/>
  <c r="S104" i="16"/>
  <c r="I104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AZ103" i="16"/>
  <c r="AU103" i="16"/>
  <c r="AK103" i="16"/>
  <c r="AE103" i="16"/>
  <c r="S103" i="16"/>
  <c r="I103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AZ102" i="16"/>
  <c r="AU102" i="16"/>
  <c r="AK102" i="16"/>
  <c r="AE102" i="16"/>
  <c r="S102" i="16"/>
  <c r="I102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AZ101" i="16"/>
  <c r="AU101" i="16"/>
  <c r="AK101" i="16"/>
  <c r="AE101" i="16"/>
  <c r="S101" i="16"/>
  <c r="I101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AZ100" i="16"/>
  <c r="AU100" i="16"/>
  <c r="AK100" i="16"/>
  <c r="AE100" i="16"/>
  <c r="S100" i="16"/>
  <c r="I100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AZ99" i="16"/>
  <c r="AU99" i="16"/>
  <c r="AK99" i="16"/>
  <c r="AE99" i="16"/>
  <c r="S99" i="16"/>
  <c r="I99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AZ98" i="16"/>
  <c r="AU98" i="16"/>
  <c r="AK98" i="16"/>
  <c r="AE98" i="16"/>
  <c r="S98" i="16"/>
  <c r="I98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AZ97" i="16"/>
  <c r="AU97" i="16"/>
  <c r="AK97" i="16"/>
  <c r="AE97" i="16"/>
  <c r="S97" i="16"/>
  <c r="I97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AZ96" i="16"/>
  <c r="AU96" i="16"/>
  <c r="AK96" i="16"/>
  <c r="AE96" i="16"/>
  <c r="S96" i="16"/>
  <c r="I96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AZ95" i="16"/>
  <c r="AU95" i="16"/>
  <c r="AK95" i="16"/>
  <c r="AE95" i="16"/>
  <c r="S95" i="16"/>
  <c r="I95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AZ94" i="16"/>
  <c r="AU94" i="16"/>
  <c r="AK94" i="16"/>
  <c r="AE94" i="16"/>
  <c r="S94" i="16"/>
  <c r="I94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AZ93" i="16"/>
  <c r="AU93" i="16"/>
  <c r="AK93" i="16"/>
  <c r="AE93" i="16"/>
  <c r="S93" i="16"/>
  <c r="I93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AZ92" i="16"/>
  <c r="AU92" i="16"/>
  <c r="AK92" i="16"/>
  <c r="AE92" i="16"/>
  <c r="S92" i="16"/>
  <c r="I92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AZ91" i="16"/>
  <c r="AU91" i="16"/>
  <c r="AK91" i="16"/>
  <c r="AE91" i="16"/>
  <c r="S91" i="16"/>
  <c r="I91" i="16"/>
  <c r="BT90" i="16"/>
  <c r="BS90" i="16"/>
  <c r="BR90" i="16"/>
  <c r="BQ90" i="16"/>
  <c r="BP90" i="16"/>
  <c r="BO90" i="16"/>
  <c r="BN90" i="16"/>
  <c r="BM90" i="16"/>
  <c r="BL90" i="16"/>
  <c r="BK90" i="16"/>
  <c r="BJ90" i="16"/>
  <c r="BI90" i="16"/>
  <c r="BH90" i="16"/>
  <c r="BG90" i="16"/>
  <c r="BF90" i="16"/>
  <c r="BE90" i="16"/>
  <c r="BD90" i="16"/>
  <c r="AZ90" i="16"/>
  <c r="AU90" i="16"/>
  <c r="AK90" i="16"/>
  <c r="AE90" i="16"/>
  <c r="S90" i="16"/>
  <c r="I90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AZ89" i="16"/>
  <c r="AU89" i="16"/>
  <c r="AK89" i="16"/>
  <c r="AE89" i="16"/>
  <c r="S89" i="16"/>
  <c r="I89" i="16"/>
  <c r="BT88" i="16"/>
  <c r="BS88" i="16"/>
  <c r="BR88" i="16"/>
  <c r="BQ88" i="16"/>
  <c r="BP88" i="16"/>
  <c r="BO88" i="16"/>
  <c r="BN88" i="16"/>
  <c r="BM88" i="16"/>
  <c r="BL88" i="16"/>
  <c r="BK88" i="16"/>
  <c r="BJ88" i="16"/>
  <c r="BI88" i="16"/>
  <c r="BH88" i="16"/>
  <c r="BG88" i="16"/>
  <c r="BF88" i="16"/>
  <c r="BE88" i="16"/>
  <c r="BD88" i="16"/>
  <c r="AZ88" i="16"/>
  <c r="AU88" i="16"/>
  <c r="AK88" i="16"/>
  <c r="AE88" i="16"/>
  <c r="S88" i="16"/>
  <c r="I88" i="16"/>
  <c r="BT87" i="16"/>
  <c r="BS87" i="16"/>
  <c r="BR87" i="16"/>
  <c r="BQ87" i="16"/>
  <c r="BP87" i="16"/>
  <c r="BO87" i="16"/>
  <c r="BN87" i="16"/>
  <c r="BM87" i="16"/>
  <c r="BL87" i="16"/>
  <c r="BK87" i="16"/>
  <c r="BJ87" i="16"/>
  <c r="BI87" i="16"/>
  <c r="BH87" i="16"/>
  <c r="BG87" i="16"/>
  <c r="BF87" i="16"/>
  <c r="BE87" i="16"/>
  <c r="BD87" i="16"/>
  <c r="AZ87" i="16"/>
  <c r="AU87" i="16"/>
  <c r="AK87" i="16"/>
  <c r="AE87" i="16"/>
  <c r="S87" i="16"/>
  <c r="I87" i="16"/>
  <c r="AW87" i="16" s="1"/>
  <c r="BT86" i="16"/>
  <c r="BS86" i="16"/>
  <c r="BR86" i="16"/>
  <c r="BQ86" i="16"/>
  <c r="BO86" i="16"/>
  <c r="BN86" i="16"/>
  <c r="BM86" i="16"/>
  <c r="BL86" i="16"/>
  <c r="BK86" i="16"/>
  <c r="BJ86" i="16"/>
  <c r="BI86" i="16"/>
  <c r="BH86" i="16"/>
  <c r="BG86" i="16"/>
  <c r="BF86" i="16"/>
  <c r="BE86" i="16"/>
  <c r="BD86" i="16"/>
  <c r="AZ86" i="16"/>
  <c r="BP86" i="16" s="1"/>
  <c r="AU86" i="16"/>
  <c r="AK86" i="16"/>
  <c r="AE86" i="16"/>
  <c r="AW86" i="16" s="1"/>
  <c r="S86" i="16"/>
  <c r="I86" i="16"/>
  <c r="BT85" i="16"/>
  <c r="BS85" i="16"/>
  <c r="BR85" i="16"/>
  <c r="BQ85" i="16"/>
  <c r="BP85" i="16"/>
  <c r="BO85" i="16"/>
  <c r="BN85" i="16"/>
  <c r="BM85" i="16"/>
  <c r="BL85" i="16"/>
  <c r="BK85" i="16"/>
  <c r="BJ85" i="16"/>
  <c r="BI85" i="16"/>
  <c r="BH85" i="16"/>
  <c r="BG85" i="16"/>
  <c r="BF85" i="16"/>
  <c r="BE85" i="16"/>
  <c r="BD85" i="16"/>
  <c r="AZ85" i="16"/>
  <c r="AU85" i="16"/>
  <c r="AK85" i="16"/>
  <c r="AE85" i="16"/>
  <c r="S85" i="16"/>
  <c r="AW85" i="16" s="1"/>
  <c r="I85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AZ84" i="16"/>
  <c r="AU84" i="16"/>
  <c r="AK84" i="16"/>
  <c r="AE84" i="16"/>
  <c r="S84" i="16"/>
  <c r="I84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AZ83" i="16"/>
  <c r="AU83" i="16"/>
  <c r="AK83" i="16"/>
  <c r="AE83" i="16"/>
  <c r="S83" i="16"/>
  <c r="I83" i="16"/>
  <c r="BT82" i="16"/>
  <c r="BS82" i="16"/>
  <c r="BR82" i="16"/>
  <c r="BQ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AZ82" i="16"/>
  <c r="BP82" i="16" s="1"/>
  <c r="AU82" i="16"/>
  <c r="AK82" i="16"/>
  <c r="AE82" i="16"/>
  <c r="AW82" i="16" s="1"/>
  <c r="S82" i="16"/>
  <c r="I82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AZ81" i="16"/>
  <c r="AU81" i="16"/>
  <c r="AK81" i="16"/>
  <c r="AE81" i="16"/>
  <c r="S81" i="16"/>
  <c r="I81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AZ80" i="16"/>
  <c r="AU80" i="16"/>
  <c r="AK80" i="16"/>
  <c r="AE80" i="16"/>
  <c r="S80" i="16"/>
  <c r="AW80" i="16" s="1"/>
  <c r="I80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AZ79" i="16"/>
  <c r="AU79" i="16"/>
  <c r="AK79" i="16"/>
  <c r="AE79" i="16"/>
  <c r="S79" i="16"/>
  <c r="I79" i="16"/>
  <c r="BT78" i="16"/>
  <c r="BS78" i="16"/>
  <c r="BR78" i="16"/>
  <c r="BQ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AZ78" i="16"/>
  <c r="BP78" i="16" s="1"/>
  <c r="AU78" i="16"/>
  <c r="AK78" i="16"/>
  <c r="AE78" i="16"/>
  <c r="AW78" i="16" s="1"/>
  <c r="S78" i="16"/>
  <c r="I78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AZ77" i="16"/>
  <c r="AU77" i="16"/>
  <c r="AK77" i="16"/>
  <c r="AE77" i="16"/>
  <c r="S77" i="16"/>
  <c r="AW77" i="16" s="1"/>
  <c r="I77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AZ76" i="16"/>
  <c r="AU76" i="16"/>
  <c r="AK76" i="16"/>
  <c r="AE76" i="16"/>
  <c r="S76" i="16"/>
  <c r="AW76" i="16" s="1"/>
  <c r="I76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AZ75" i="16"/>
  <c r="AU75" i="16"/>
  <c r="AK75" i="16"/>
  <c r="AE75" i="16"/>
  <c r="S75" i="16"/>
  <c r="I75" i="16"/>
  <c r="BT74" i="16"/>
  <c r="BS74" i="16"/>
  <c r="BR74" i="16"/>
  <c r="BQ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AZ74" i="16"/>
  <c r="BP74" i="16" s="1"/>
  <c r="AU74" i="16"/>
  <c r="AK74" i="16"/>
  <c r="AE74" i="16"/>
  <c r="AW74" i="16" s="1"/>
  <c r="S74" i="16"/>
  <c r="I74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AZ73" i="16"/>
  <c r="AU73" i="16"/>
  <c r="AK73" i="16"/>
  <c r="AE73" i="16"/>
  <c r="S73" i="16"/>
  <c r="I73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AZ72" i="16"/>
  <c r="AU72" i="16"/>
  <c r="AK72" i="16"/>
  <c r="AE72" i="16"/>
  <c r="S72" i="16"/>
  <c r="AW72" i="16" s="1"/>
  <c r="I72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AZ71" i="16"/>
  <c r="AU71" i="16"/>
  <c r="AK71" i="16"/>
  <c r="AE71" i="16"/>
  <c r="S71" i="16"/>
  <c r="I71" i="16"/>
  <c r="BT70" i="16"/>
  <c r="BS70" i="16"/>
  <c r="BR70" i="16"/>
  <c r="BQ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AZ70" i="16"/>
  <c r="BP70" i="16" s="1"/>
  <c r="AU70" i="16"/>
  <c r="AK70" i="16"/>
  <c r="AE70" i="16"/>
  <c r="AW70" i="16" s="1"/>
  <c r="S70" i="16"/>
  <c r="I70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AZ69" i="16"/>
  <c r="AU69" i="16"/>
  <c r="AK69" i="16"/>
  <c r="AE69" i="16"/>
  <c r="S69" i="16"/>
  <c r="AW69" i="16" s="1"/>
  <c r="I69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AZ68" i="16"/>
  <c r="AU68" i="16"/>
  <c r="AK68" i="16"/>
  <c r="AE68" i="16"/>
  <c r="S68" i="16"/>
  <c r="AW68" i="16" s="1"/>
  <c r="I68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AZ67" i="16"/>
  <c r="AU67" i="16"/>
  <c r="AK67" i="16"/>
  <c r="AE67" i="16"/>
  <c r="S67" i="16"/>
  <c r="I67" i="16"/>
  <c r="BT66" i="16"/>
  <c r="BS66" i="16"/>
  <c r="BR66" i="16"/>
  <c r="BQ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AZ66" i="16"/>
  <c r="BP66" i="16" s="1"/>
  <c r="AU66" i="16"/>
  <c r="AK66" i="16"/>
  <c r="AE66" i="16"/>
  <c r="AW66" i="16" s="1"/>
  <c r="S66" i="16"/>
  <c r="I66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AZ65" i="16"/>
  <c r="AU65" i="16"/>
  <c r="AK65" i="16"/>
  <c r="AE65" i="16"/>
  <c r="S65" i="16"/>
  <c r="I65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AZ64" i="16"/>
  <c r="AU64" i="16"/>
  <c r="AK64" i="16"/>
  <c r="AE64" i="16"/>
  <c r="S64" i="16"/>
  <c r="AW64" i="16" s="1"/>
  <c r="I64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AZ63" i="16"/>
  <c r="AU63" i="16"/>
  <c r="AW63" i="16" s="1"/>
  <c r="AK63" i="16"/>
  <c r="AE63" i="16"/>
  <c r="S63" i="16"/>
  <c r="I63" i="16"/>
  <c r="BT62" i="16"/>
  <c r="BS62" i="16"/>
  <c r="BR62" i="16"/>
  <c r="BQ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AZ62" i="16"/>
  <c r="BP62" i="16" s="1"/>
  <c r="AU62" i="16"/>
  <c r="AK62" i="16"/>
  <c r="AE62" i="16"/>
  <c r="AW62" i="16" s="1"/>
  <c r="S62" i="16"/>
  <c r="I62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AZ61" i="16"/>
  <c r="AU61" i="16"/>
  <c r="AK61" i="16"/>
  <c r="AE61" i="16"/>
  <c r="S61" i="16"/>
  <c r="AW61" i="16" s="1"/>
  <c r="I61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AZ60" i="16"/>
  <c r="AU60" i="16"/>
  <c r="AK60" i="16"/>
  <c r="AE60" i="16"/>
  <c r="S60" i="16"/>
  <c r="AW60" i="16" s="1"/>
  <c r="I60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AZ59" i="16"/>
  <c r="AU59" i="16"/>
  <c r="AW59" i="16" s="1"/>
  <c r="AK59" i="16"/>
  <c r="AE59" i="16"/>
  <c r="S59" i="16"/>
  <c r="I59" i="16"/>
  <c r="BT58" i="16"/>
  <c r="BS58" i="16"/>
  <c r="BR58" i="16"/>
  <c r="BQ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AZ58" i="16"/>
  <c r="BP58" i="16" s="1"/>
  <c r="AU58" i="16"/>
  <c r="AK58" i="16"/>
  <c r="AE58" i="16"/>
  <c r="AW58" i="16" s="1"/>
  <c r="S58" i="16"/>
  <c r="I58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AZ57" i="16"/>
  <c r="AU57" i="16"/>
  <c r="AK57" i="16"/>
  <c r="AE57" i="16"/>
  <c r="S57" i="16"/>
  <c r="I57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AZ56" i="16"/>
  <c r="AU56" i="16"/>
  <c r="AK56" i="16"/>
  <c r="AE56" i="16"/>
  <c r="S56" i="16"/>
  <c r="AW56" i="16" s="1"/>
  <c r="I56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AZ55" i="16"/>
  <c r="AU55" i="16"/>
  <c r="AW55" i="16" s="1"/>
  <c r="AK55" i="16"/>
  <c r="AE55" i="16"/>
  <c r="S55" i="16"/>
  <c r="I55" i="16"/>
  <c r="BT54" i="16"/>
  <c r="BS54" i="16"/>
  <c r="BR54" i="16"/>
  <c r="BQ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AZ54" i="16"/>
  <c r="BP54" i="16" s="1"/>
  <c r="AU54" i="16"/>
  <c r="AK54" i="16"/>
  <c r="AE54" i="16"/>
  <c r="AW54" i="16" s="1"/>
  <c r="S54" i="16"/>
  <c r="I54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AZ53" i="16"/>
  <c r="AU53" i="16"/>
  <c r="AK53" i="16"/>
  <c r="AE53" i="16"/>
  <c r="S53" i="16"/>
  <c r="AW53" i="16" s="1"/>
  <c r="I53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AZ52" i="16"/>
  <c r="AU52" i="16"/>
  <c r="AK52" i="16"/>
  <c r="AE52" i="16"/>
  <c r="S52" i="16"/>
  <c r="AW52" i="16" s="1"/>
  <c r="I52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AZ51" i="16"/>
  <c r="AU51" i="16"/>
  <c r="AW51" i="16" s="1"/>
  <c r="AK51" i="16"/>
  <c r="AE51" i="16"/>
  <c r="S51" i="16"/>
  <c r="I51" i="16"/>
  <c r="BT50" i="16"/>
  <c r="BS50" i="16"/>
  <c r="BR50" i="16"/>
  <c r="BQ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AZ50" i="16"/>
  <c r="BP50" i="16" s="1"/>
  <c r="AU50" i="16"/>
  <c r="AK50" i="16"/>
  <c r="AE50" i="16"/>
  <c r="AW50" i="16" s="1"/>
  <c r="S50" i="16"/>
  <c r="I50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AZ49" i="16"/>
  <c r="AU49" i="16"/>
  <c r="AK49" i="16"/>
  <c r="AE49" i="16"/>
  <c r="S49" i="16"/>
  <c r="I49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AZ48" i="16"/>
  <c r="AU48" i="16"/>
  <c r="AK48" i="16"/>
  <c r="AE48" i="16"/>
  <c r="S48" i="16"/>
  <c r="AW48" i="16" s="1"/>
  <c r="I48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AZ47" i="16"/>
  <c r="AU47" i="16"/>
  <c r="AW47" i="16" s="1"/>
  <c r="AK47" i="16"/>
  <c r="AE47" i="16"/>
  <c r="S47" i="16"/>
  <c r="I47" i="16"/>
  <c r="BT46" i="16"/>
  <c r="BS46" i="16"/>
  <c r="BR46" i="16"/>
  <c r="BQ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AZ46" i="16"/>
  <c r="BP46" i="16" s="1"/>
  <c r="AU46" i="16"/>
  <c r="AK46" i="16"/>
  <c r="AE46" i="16"/>
  <c r="AW46" i="16" s="1"/>
  <c r="S46" i="16"/>
  <c r="I46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AZ45" i="16"/>
  <c r="AU45" i="16"/>
  <c r="AK45" i="16"/>
  <c r="AE45" i="16"/>
  <c r="S45" i="16"/>
  <c r="AW45" i="16" s="1"/>
  <c r="I45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AZ44" i="16"/>
  <c r="AU44" i="16"/>
  <c r="AK44" i="16"/>
  <c r="AE44" i="16"/>
  <c r="S44" i="16"/>
  <c r="AW44" i="16" s="1"/>
  <c r="I44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AZ43" i="16"/>
  <c r="AU43" i="16"/>
  <c r="AW43" i="16" s="1"/>
  <c r="AK43" i="16"/>
  <c r="AE43" i="16"/>
  <c r="S43" i="16"/>
  <c r="I43" i="16"/>
  <c r="BT42" i="16"/>
  <c r="BS42" i="16"/>
  <c r="BR42" i="16"/>
  <c r="BQ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AZ42" i="16"/>
  <c r="BP42" i="16" s="1"/>
  <c r="AU42" i="16"/>
  <c r="AK42" i="16"/>
  <c r="AE42" i="16"/>
  <c r="AW42" i="16" s="1"/>
  <c r="S42" i="16"/>
  <c r="I42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AZ41" i="16"/>
  <c r="AU41" i="16"/>
  <c r="AK41" i="16"/>
  <c r="AE41" i="16"/>
  <c r="S41" i="16"/>
  <c r="I41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AZ40" i="16"/>
  <c r="AU40" i="16"/>
  <c r="AK40" i="16"/>
  <c r="AE40" i="16"/>
  <c r="AW40" i="16" s="1"/>
  <c r="S40" i="16"/>
  <c r="I40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AZ39" i="16"/>
  <c r="AU39" i="16"/>
  <c r="AW39" i="16" s="1"/>
  <c r="AK39" i="16"/>
  <c r="AE39" i="16"/>
  <c r="S39" i="16"/>
  <c r="I39" i="16"/>
  <c r="BT38" i="16"/>
  <c r="BS38" i="16"/>
  <c r="BR38" i="16"/>
  <c r="BQ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AZ38" i="16"/>
  <c r="BP38" i="16" s="1"/>
  <c r="AU38" i="16"/>
  <c r="AK38" i="16"/>
  <c r="AE38" i="16"/>
  <c r="S38" i="16"/>
  <c r="AW38" i="16" s="1"/>
  <c r="I38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AZ37" i="16"/>
  <c r="AU37" i="16"/>
  <c r="AK37" i="16"/>
  <c r="AE37" i="16"/>
  <c r="S37" i="16"/>
  <c r="AW37" i="16" s="1"/>
  <c r="I37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AZ36" i="16"/>
  <c r="AU36" i="16"/>
  <c r="AK36" i="16"/>
  <c r="AE36" i="16"/>
  <c r="S36" i="16"/>
  <c r="I36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AZ35" i="16"/>
  <c r="AW35" i="16"/>
  <c r="AU35" i="16"/>
  <c r="AK35" i="16"/>
  <c r="AE35" i="16"/>
  <c r="S35" i="16"/>
  <c r="I35" i="16"/>
  <c r="BT34" i="16"/>
  <c r="BS34" i="16"/>
  <c r="BR34" i="16"/>
  <c r="BQ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AZ34" i="16"/>
  <c r="BP34" i="16" s="1"/>
  <c r="AU34" i="16"/>
  <c r="AK34" i="16"/>
  <c r="AE34" i="16"/>
  <c r="S34" i="16"/>
  <c r="AW34" i="16" s="1"/>
  <c r="I34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AZ33" i="16"/>
  <c r="AU33" i="16"/>
  <c r="AK33" i="16"/>
  <c r="AE33" i="16"/>
  <c r="S33" i="16"/>
  <c r="I33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AZ32" i="16"/>
  <c r="AU32" i="16"/>
  <c r="AK32" i="16"/>
  <c r="AE32" i="16"/>
  <c r="S32" i="16"/>
  <c r="I32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AZ31" i="16"/>
  <c r="AW31" i="16"/>
  <c r="AU31" i="16"/>
  <c r="AK31" i="16"/>
  <c r="AE31" i="16"/>
  <c r="S31" i="16"/>
  <c r="I31" i="16"/>
  <c r="BT30" i="16"/>
  <c r="BS30" i="16"/>
  <c r="BR30" i="16"/>
  <c r="BQ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AZ30" i="16"/>
  <c r="BP30" i="16" s="1"/>
  <c r="AU30" i="16"/>
  <c r="AK30" i="16"/>
  <c r="AE30" i="16"/>
  <c r="S30" i="16"/>
  <c r="AW30" i="16" s="1"/>
  <c r="I30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AZ29" i="16"/>
  <c r="AU29" i="16"/>
  <c r="AK29" i="16"/>
  <c r="AE29" i="16"/>
  <c r="S29" i="16"/>
  <c r="I29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AZ28" i="16"/>
  <c r="AU28" i="16"/>
  <c r="AK28" i="16"/>
  <c r="AE28" i="16"/>
  <c r="S28" i="16"/>
  <c r="I28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AZ27" i="16"/>
  <c r="AU27" i="16"/>
  <c r="AW27" i="16" s="1"/>
  <c r="AK27" i="16"/>
  <c r="AE27" i="16"/>
  <c r="S27" i="16"/>
  <c r="I27" i="16"/>
  <c r="BT26" i="16"/>
  <c r="BS26" i="16"/>
  <c r="BR26" i="16"/>
  <c r="BQ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AZ26" i="16"/>
  <c r="BP26" i="16" s="1"/>
  <c r="AU26" i="16"/>
  <c r="AK26" i="16"/>
  <c r="AE26" i="16"/>
  <c r="S26" i="16"/>
  <c r="AW26" i="16" s="1"/>
  <c r="I26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AZ25" i="16"/>
  <c r="AU25" i="16"/>
  <c r="AK25" i="16"/>
  <c r="AE25" i="16"/>
  <c r="S25" i="16"/>
  <c r="I25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AZ24" i="16"/>
  <c r="AU24" i="16"/>
  <c r="AK24" i="16"/>
  <c r="AE24" i="16"/>
  <c r="S24" i="16"/>
  <c r="I24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AZ23" i="16"/>
  <c r="AW23" i="16"/>
  <c r="AU23" i="16"/>
  <c r="AK23" i="16"/>
  <c r="AE23" i="16"/>
  <c r="S23" i="16"/>
  <c r="I23" i="16"/>
  <c r="BT22" i="16"/>
  <c r="BS22" i="16"/>
  <c r="BR22" i="16"/>
  <c r="BQ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AZ22" i="16"/>
  <c r="BP22" i="16" s="1"/>
  <c r="AU22" i="16"/>
  <c r="AK22" i="16"/>
  <c r="AE22" i="16"/>
  <c r="S22" i="16"/>
  <c r="AW22" i="16" s="1"/>
  <c r="I22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AZ21" i="16"/>
  <c r="AU21" i="16"/>
  <c r="AK21" i="16"/>
  <c r="AE21" i="16"/>
  <c r="S21" i="16"/>
  <c r="I21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AZ20" i="16"/>
  <c r="AU20" i="16"/>
  <c r="AK20" i="16"/>
  <c r="AE20" i="16"/>
  <c r="S20" i="16"/>
  <c r="I20" i="16"/>
  <c r="C20" i="16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42" i="16" s="1"/>
  <c r="C43" i="16" s="1"/>
  <c r="C44" i="16" s="1"/>
  <c r="C45" i="16" s="1"/>
  <c r="C46" i="16" s="1"/>
  <c r="C47" i="16" s="1"/>
  <c r="C48" i="16" s="1"/>
  <c r="C49" i="16" s="1"/>
  <c r="C50" i="16" s="1"/>
  <c r="C51" i="16" s="1"/>
  <c r="C52" i="16" s="1"/>
  <c r="C53" i="16" s="1"/>
  <c r="C54" i="16" s="1"/>
  <c r="C55" i="16" s="1"/>
  <c r="C56" i="16" s="1"/>
  <c r="C57" i="16" s="1"/>
  <c r="C58" i="16" s="1"/>
  <c r="C59" i="16" s="1"/>
  <c r="C60" i="16" s="1"/>
  <c r="C61" i="16" s="1"/>
  <c r="C62" i="16" s="1"/>
  <c r="C63" i="16" s="1"/>
  <c r="C64" i="16" s="1"/>
  <c r="C65" i="16" s="1"/>
  <c r="C66" i="16" s="1"/>
  <c r="C67" i="16" s="1"/>
  <c r="C68" i="16" s="1"/>
  <c r="C69" i="16" s="1"/>
  <c r="C70" i="16" s="1"/>
  <c r="C71" i="16" s="1"/>
  <c r="C72" i="16" s="1"/>
  <c r="C73" i="16" s="1"/>
  <c r="C74" i="16" s="1"/>
  <c r="C75" i="16" s="1"/>
  <c r="C76" i="16" s="1"/>
  <c r="C77" i="16" s="1"/>
  <c r="C78" i="16" s="1"/>
  <c r="C79" i="16" s="1"/>
  <c r="C80" i="16" s="1"/>
  <c r="C81" i="16" s="1"/>
  <c r="C82" i="16" s="1"/>
  <c r="C83" i="16" s="1"/>
  <c r="C84" i="16" s="1"/>
  <c r="C85" i="16" s="1"/>
  <c r="C86" i="16" s="1"/>
  <c r="C87" i="16" s="1"/>
  <c r="C88" i="16" s="1"/>
  <c r="C89" i="16" s="1"/>
  <c r="C90" i="16" s="1"/>
  <c r="C91" i="16" s="1"/>
  <c r="C92" i="16" s="1"/>
  <c r="C93" i="16" s="1"/>
  <c r="C94" i="16" s="1"/>
  <c r="C95" i="16" s="1"/>
  <c r="C96" i="16" s="1"/>
  <c r="C97" i="16" s="1"/>
  <c r="C98" i="16" s="1"/>
  <c r="C99" i="16" s="1"/>
  <c r="C100" i="16" s="1"/>
  <c r="C101" i="16" s="1"/>
  <c r="C102" i="16" s="1"/>
  <c r="C103" i="16" s="1"/>
  <c r="C104" i="16" s="1"/>
  <c r="C105" i="16" s="1"/>
  <c r="C106" i="16" s="1"/>
  <c r="C107" i="16" s="1"/>
  <c r="C108" i="16" s="1"/>
  <c r="C109" i="16" s="1"/>
  <c r="C110" i="16" s="1"/>
  <c r="C111" i="16" s="1"/>
  <c r="C112" i="16" s="1"/>
  <c r="C113" i="16" s="1"/>
  <c r="C114" i="16" s="1"/>
  <c r="C115" i="16" s="1"/>
  <c r="C116" i="16" s="1"/>
  <c r="C117" i="16" s="1"/>
  <c r="C118" i="16" s="1"/>
  <c r="C119" i="16" s="1"/>
  <c r="C120" i="16" s="1"/>
  <c r="C121" i="16" s="1"/>
  <c r="C122" i="16" s="1"/>
  <c r="C123" i="16" s="1"/>
  <c r="C124" i="16" s="1"/>
  <c r="C125" i="16" s="1"/>
  <c r="C126" i="16" s="1"/>
  <c r="C127" i="16" s="1"/>
  <c r="C128" i="16" s="1"/>
  <c r="C129" i="16" s="1"/>
  <c r="C130" i="16" s="1"/>
  <c r="C131" i="16" s="1"/>
  <c r="C132" i="16" s="1"/>
  <c r="C133" i="16" s="1"/>
  <c r="C134" i="16" s="1"/>
  <c r="C135" i="16" s="1"/>
  <c r="C136" i="16" s="1"/>
  <c r="C137" i="16" s="1"/>
  <c r="C138" i="16" s="1"/>
  <c r="C139" i="16" s="1"/>
  <c r="C140" i="16" s="1"/>
  <c r="C141" i="16" s="1"/>
  <c r="C142" i="16" s="1"/>
  <c r="C143" i="16" s="1"/>
  <c r="C144" i="16" s="1"/>
  <c r="C145" i="16" s="1"/>
  <c r="C146" i="16" s="1"/>
  <c r="C147" i="16" s="1"/>
  <c r="C148" i="16" s="1"/>
  <c r="C149" i="16" s="1"/>
  <c r="C150" i="16" s="1"/>
  <c r="C151" i="16" s="1"/>
  <c r="C152" i="16" s="1"/>
  <c r="C153" i="16" s="1"/>
  <c r="C154" i="16" s="1"/>
  <c r="C155" i="16" s="1"/>
  <c r="C156" i="16" s="1"/>
  <c r="C157" i="16" s="1"/>
  <c r="C158" i="16" s="1"/>
  <c r="C159" i="16" s="1"/>
  <c r="C160" i="16" s="1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AZ19" i="16"/>
  <c r="AU19" i="16"/>
  <c r="AW19" i="16" s="1"/>
  <c r="AX19" i="16" s="1"/>
  <c r="AK19" i="16"/>
  <c r="AE19" i="16"/>
  <c r="S19" i="16"/>
  <c r="I19" i="16"/>
  <c r="BT18" i="16"/>
  <c r="BS18" i="16"/>
  <c r="BR18" i="16"/>
  <c r="BQ18" i="16"/>
  <c r="BQ160" i="16" s="1"/>
  <c r="BP18" i="16"/>
  <c r="BO18" i="16"/>
  <c r="BN18" i="16"/>
  <c r="BM18" i="16"/>
  <c r="BL18" i="16"/>
  <c r="BK18" i="16"/>
  <c r="BJ18" i="16"/>
  <c r="BJ160" i="16" s="1"/>
  <c r="BI18" i="16"/>
  <c r="BI160" i="16" s="1"/>
  <c r="BH18" i="16"/>
  <c r="BG18" i="16"/>
  <c r="BF18" i="16"/>
  <c r="BE18" i="16"/>
  <c r="BD18" i="16"/>
  <c r="BA16" i="16"/>
  <c r="AZ16" i="16"/>
  <c r="F8" i="15"/>
  <c r="E8" i="15"/>
  <c r="C8" i="15"/>
  <c r="D8" i="15" s="1"/>
  <c r="B8" i="15"/>
  <c r="F7" i="15"/>
  <c r="E7" i="15"/>
  <c r="C7" i="15"/>
  <c r="D7" i="15" s="1"/>
  <c r="B7" i="15"/>
  <c r="BH48" i="14"/>
  <c r="BH47" i="14"/>
  <c r="BH46" i="14"/>
  <c r="BH45" i="14"/>
  <c r="BH44" i="14"/>
  <c r="BH43" i="14"/>
  <c r="BH42" i="14"/>
  <c r="BH41" i="14"/>
  <c r="BH40" i="14"/>
  <c r="BH39" i="14"/>
  <c r="BH38" i="14"/>
  <c r="BH37" i="14"/>
  <c r="BH36" i="14"/>
  <c r="BH35" i="14"/>
  <c r="BH34" i="14"/>
  <c r="BH33" i="14"/>
  <c r="BH32" i="14"/>
  <c r="BH31" i="14"/>
  <c r="BH30" i="14"/>
  <c r="BH29" i="14"/>
  <c r="BH28" i="14"/>
  <c r="BH27" i="14"/>
  <c r="F27" i="14"/>
  <c r="E27" i="14"/>
  <c r="C27" i="14"/>
  <c r="D27" i="14" s="1"/>
  <c r="B27" i="14"/>
  <c r="BH26" i="14"/>
  <c r="F26" i="14"/>
  <c r="E26" i="14"/>
  <c r="C26" i="14"/>
  <c r="D26" i="14" s="1"/>
  <c r="B26" i="14"/>
  <c r="BH25" i="14"/>
  <c r="F25" i="14"/>
  <c r="E25" i="14"/>
  <c r="C25" i="14"/>
  <c r="D25" i="14" s="1"/>
  <c r="B25" i="14"/>
  <c r="BH24" i="14"/>
  <c r="F24" i="14"/>
  <c r="E24" i="14"/>
  <c r="C24" i="14"/>
  <c r="D24" i="14" s="1"/>
  <c r="B24" i="14"/>
  <c r="BH23" i="14"/>
  <c r="F23" i="14"/>
  <c r="E23" i="14"/>
  <c r="C23" i="14"/>
  <c r="D23" i="14" s="1"/>
  <c r="B23" i="14"/>
  <c r="BH22" i="14"/>
  <c r="F22" i="14"/>
  <c r="E22" i="14"/>
  <c r="C22" i="14"/>
  <c r="D22" i="14" s="1"/>
  <c r="B22" i="14"/>
  <c r="BH21" i="14"/>
  <c r="F21" i="14"/>
  <c r="E21" i="14"/>
  <c r="C21" i="14"/>
  <c r="D21" i="14" s="1"/>
  <c r="B21" i="14"/>
  <c r="BH20" i="14"/>
  <c r="F20" i="14"/>
  <c r="E20" i="14"/>
  <c r="C20" i="14"/>
  <c r="D20" i="14" s="1"/>
  <c r="B20" i="14"/>
  <c r="BH19" i="14"/>
  <c r="F19" i="14"/>
  <c r="E19" i="14"/>
  <c r="C19" i="14"/>
  <c r="D19" i="14" s="1"/>
  <c r="B19" i="14"/>
  <c r="BH18" i="14"/>
  <c r="F18" i="14"/>
  <c r="E18" i="14"/>
  <c r="D18" i="14"/>
  <c r="C18" i="14"/>
  <c r="B18" i="14"/>
  <c r="BH17" i="14"/>
  <c r="F17" i="14"/>
  <c r="E17" i="14"/>
  <c r="C17" i="14"/>
  <c r="D17" i="14" s="1"/>
  <c r="B17" i="14"/>
  <c r="BH16" i="14"/>
  <c r="F16" i="14"/>
  <c r="E16" i="14"/>
  <c r="C16" i="14"/>
  <c r="D16" i="14" s="1"/>
  <c r="B16" i="14"/>
  <c r="BH15" i="14"/>
  <c r="F15" i="14"/>
  <c r="E15" i="14"/>
  <c r="C15" i="14"/>
  <c r="D15" i="14" s="1"/>
  <c r="B15" i="14"/>
  <c r="BH14" i="14"/>
  <c r="F14" i="14"/>
  <c r="E14" i="14"/>
  <c r="C14" i="14"/>
  <c r="D14" i="14" s="1"/>
  <c r="B14" i="14"/>
  <c r="BN13" i="14"/>
  <c r="BH13" i="14"/>
  <c r="F13" i="14"/>
  <c r="E13" i="14"/>
  <c r="D13" i="14"/>
  <c r="C13" i="14"/>
  <c r="B13" i="14"/>
  <c r="F12" i="14"/>
  <c r="E12" i="14"/>
  <c r="D12" i="14"/>
  <c r="C12" i="14"/>
  <c r="B12" i="14"/>
  <c r="BL11" i="14"/>
  <c r="F11" i="14"/>
  <c r="E11" i="14"/>
  <c r="C11" i="14"/>
  <c r="D11" i="14" s="1"/>
  <c r="B11" i="14"/>
  <c r="BJ10" i="14"/>
  <c r="F10" i="14"/>
  <c r="E10" i="14"/>
  <c r="D10" i="14"/>
  <c r="C10" i="14"/>
  <c r="B10" i="14"/>
  <c r="F9" i="14"/>
  <c r="E9" i="14"/>
  <c r="C9" i="14"/>
  <c r="D9" i="14" s="1"/>
  <c r="B9" i="14"/>
  <c r="F8" i="14"/>
  <c r="E8" i="14"/>
  <c r="C8" i="14"/>
  <c r="D8" i="14" s="1"/>
  <c r="B8" i="14"/>
  <c r="F7" i="14"/>
  <c r="E7" i="14"/>
  <c r="C7" i="14"/>
  <c r="D7" i="14" s="1"/>
  <c r="B7" i="14"/>
  <c r="S519" i="13"/>
  <c r="S518" i="13"/>
  <c r="S517" i="13"/>
  <c r="S516" i="13"/>
  <c r="S515" i="13"/>
  <c r="S514" i="13"/>
  <c r="S513" i="13"/>
  <c r="S512" i="13"/>
  <c r="S511" i="13"/>
  <c r="S510" i="13"/>
  <c r="S509" i="13"/>
  <c r="S508" i="13"/>
  <c r="S507" i="13"/>
  <c r="S506" i="13"/>
  <c r="S505" i="13"/>
  <c r="S504" i="13"/>
  <c r="S503" i="13"/>
  <c r="S502" i="13"/>
  <c r="S501" i="13"/>
  <c r="S500" i="13"/>
  <c r="S499" i="13"/>
  <c r="S498" i="13"/>
  <c r="S497" i="13"/>
  <c r="S496" i="13"/>
  <c r="S495" i="13"/>
  <c r="S494" i="13"/>
  <c r="S493" i="13"/>
  <c r="S492" i="13"/>
  <c r="S491" i="13"/>
  <c r="S490" i="13"/>
  <c r="S489" i="13"/>
  <c r="S488" i="13"/>
  <c r="S487" i="13"/>
  <c r="S486" i="13"/>
  <c r="S485" i="13"/>
  <c r="S484" i="13"/>
  <c r="S483" i="13"/>
  <c r="S482" i="13"/>
  <c r="S481" i="13"/>
  <c r="S480" i="13"/>
  <c r="S479" i="13"/>
  <c r="S478" i="13"/>
  <c r="S477" i="13"/>
  <c r="S476" i="13"/>
  <c r="S475" i="13"/>
  <c r="S474" i="13"/>
  <c r="S473" i="13"/>
  <c r="S472" i="13"/>
  <c r="S471" i="13"/>
  <c r="S470" i="13"/>
  <c r="S469" i="13"/>
  <c r="S468" i="13"/>
  <c r="S467" i="13"/>
  <c r="S466" i="13"/>
  <c r="S465" i="13"/>
  <c r="S464" i="13"/>
  <c r="S463" i="13"/>
  <c r="S462" i="13"/>
  <c r="S461" i="13"/>
  <c r="S460" i="13"/>
  <c r="S459" i="13"/>
  <c r="S458" i="13"/>
  <c r="S457" i="13"/>
  <c r="S456" i="13"/>
  <c r="S455" i="13"/>
  <c r="S454" i="13"/>
  <c r="S453" i="13"/>
  <c r="S452" i="13"/>
  <c r="S451" i="13"/>
  <c r="S450" i="13"/>
  <c r="S449" i="13"/>
  <c r="S448" i="13"/>
  <c r="S447" i="13"/>
  <c r="S446" i="13"/>
  <c r="S445" i="13"/>
  <c r="S444" i="13"/>
  <c r="S443" i="13"/>
  <c r="S442" i="13"/>
  <c r="S441" i="13"/>
  <c r="S440" i="13"/>
  <c r="S439" i="13"/>
  <c r="S438" i="13"/>
  <c r="S437" i="13"/>
  <c r="S436" i="13"/>
  <c r="S435" i="13"/>
  <c r="S434" i="13"/>
  <c r="S433" i="13"/>
  <c r="S432" i="13"/>
  <c r="S431" i="13"/>
  <c r="S430" i="13"/>
  <c r="S429" i="13"/>
  <c r="S428" i="13"/>
  <c r="S427" i="13"/>
  <c r="S426" i="13"/>
  <c r="S425" i="13"/>
  <c r="S424" i="13"/>
  <c r="S423" i="13"/>
  <c r="S422" i="13"/>
  <c r="S421" i="13"/>
  <c r="S420" i="13"/>
  <c r="S419" i="13"/>
  <c r="S418" i="13"/>
  <c r="S417" i="13"/>
  <c r="S416" i="13"/>
  <c r="S415" i="13"/>
  <c r="S414" i="13"/>
  <c r="S413" i="13"/>
  <c r="S412" i="13"/>
  <c r="S411" i="13"/>
  <c r="S410" i="13"/>
  <c r="S409" i="13"/>
  <c r="S408" i="13"/>
  <c r="S407" i="13"/>
  <c r="S406" i="13"/>
  <c r="S405" i="13"/>
  <c r="S404" i="13"/>
  <c r="S403" i="13"/>
  <c r="S402" i="13"/>
  <c r="S401" i="13"/>
  <c r="S400" i="13"/>
  <c r="S399" i="13"/>
  <c r="S398" i="13"/>
  <c r="S397" i="13"/>
  <c r="S396" i="13"/>
  <c r="S395" i="13"/>
  <c r="S394" i="13"/>
  <c r="S393" i="13"/>
  <c r="S392" i="13"/>
  <c r="S391" i="13"/>
  <c r="S390" i="13"/>
  <c r="S389" i="13"/>
  <c r="S388" i="13"/>
  <c r="S387" i="13"/>
  <c r="S386" i="13"/>
  <c r="S385" i="13"/>
  <c r="S384" i="13"/>
  <c r="S383" i="13"/>
  <c r="S382" i="13"/>
  <c r="S381" i="13"/>
  <c r="S380" i="13"/>
  <c r="S379" i="13"/>
  <c r="S378" i="13"/>
  <c r="S377" i="13"/>
  <c r="S376" i="13"/>
  <c r="S375" i="13"/>
  <c r="S374" i="13"/>
  <c r="S373" i="13"/>
  <c r="S372" i="13"/>
  <c r="S371" i="13"/>
  <c r="S370" i="13"/>
  <c r="S369" i="13"/>
  <c r="S368" i="13"/>
  <c r="S367" i="13"/>
  <c r="S366" i="13"/>
  <c r="S365" i="13"/>
  <c r="S364" i="13"/>
  <c r="S363" i="13"/>
  <c r="S362" i="13"/>
  <c r="S361" i="13"/>
  <c r="S360" i="13"/>
  <c r="S359" i="13"/>
  <c r="S358" i="13"/>
  <c r="S357" i="13"/>
  <c r="S356" i="13"/>
  <c r="S355" i="13"/>
  <c r="S354" i="13"/>
  <c r="S353" i="13"/>
  <c r="S352" i="13"/>
  <c r="S351" i="13"/>
  <c r="S350" i="13"/>
  <c r="S349" i="13"/>
  <c r="S348" i="13"/>
  <c r="S347" i="13"/>
  <c r="S346" i="13"/>
  <c r="S345" i="13"/>
  <c r="S344" i="13"/>
  <c r="S343" i="13"/>
  <c r="S342" i="13"/>
  <c r="S341" i="13"/>
  <c r="S340" i="13"/>
  <c r="S339" i="13"/>
  <c r="S338" i="13"/>
  <c r="S337" i="13"/>
  <c r="S336" i="13"/>
  <c r="S335" i="13"/>
  <c r="S334" i="13"/>
  <c r="S333" i="13"/>
  <c r="S332" i="13"/>
  <c r="S331" i="13"/>
  <c r="S330" i="13"/>
  <c r="S329" i="13"/>
  <c r="S328" i="13"/>
  <c r="S327" i="13"/>
  <c r="S326" i="13"/>
  <c r="S325" i="13"/>
  <c r="S324" i="13"/>
  <c r="S323" i="13"/>
  <c r="S322" i="13"/>
  <c r="S321" i="13"/>
  <c r="S320" i="13"/>
  <c r="S319" i="13"/>
  <c r="S318" i="13"/>
  <c r="S317" i="13"/>
  <c r="S316" i="13"/>
  <c r="S315" i="13"/>
  <c r="S314" i="13"/>
  <c r="S313" i="13"/>
  <c r="S312" i="13"/>
  <c r="S311" i="13"/>
  <c r="S310" i="13"/>
  <c r="S309" i="13"/>
  <c r="S308" i="13"/>
  <c r="S307" i="13"/>
  <c r="S306" i="13"/>
  <c r="S305" i="13"/>
  <c r="S304" i="13"/>
  <c r="S303" i="13"/>
  <c r="S302" i="13"/>
  <c r="S301" i="13"/>
  <c r="S300" i="13"/>
  <c r="S299" i="13"/>
  <c r="S298" i="13"/>
  <c r="S297" i="13"/>
  <c r="S296" i="13"/>
  <c r="S295" i="13"/>
  <c r="S294" i="13"/>
  <c r="S293" i="13"/>
  <c r="S292" i="13"/>
  <c r="S291" i="13"/>
  <c r="S290" i="13"/>
  <c r="S289" i="13"/>
  <c r="S288" i="13"/>
  <c r="S287" i="13"/>
  <c r="S286" i="13"/>
  <c r="S285" i="13"/>
  <c r="S284" i="13"/>
  <c r="S283" i="13"/>
  <c r="S282" i="13"/>
  <c r="S281" i="13"/>
  <c r="S280" i="13"/>
  <c r="S279" i="13"/>
  <c r="S278" i="13"/>
  <c r="S277" i="13"/>
  <c r="S276" i="13"/>
  <c r="S275" i="13"/>
  <c r="S274" i="13"/>
  <c r="S273" i="13"/>
  <c r="S272" i="13"/>
  <c r="S271" i="13"/>
  <c r="S270" i="13"/>
  <c r="S269" i="13"/>
  <c r="S268" i="13"/>
  <c r="S267" i="13"/>
  <c r="S266" i="13"/>
  <c r="S265" i="13"/>
  <c r="S264" i="13"/>
  <c r="S263" i="13"/>
  <c r="S262" i="13"/>
  <c r="S261" i="13"/>
  <c r="S260" i="13"/>
  <c r="S259" i="13"/>
  <c r="S258" i="13"/>
  <c r="S257" i="13"/>
  <c r="S256" i="13"/>
  <c r="S255" i="13"/>
  <c r="S254" i="13"/>
  <c r="S253" i="13"/>
  <c r="S252" i="13"/>
  <c r="S251" i="13"/>
  <c r="S250" i="13"/>
  <c r="S249" i="13"/>
  <c r="S248" i="13"/>
  <c r="S247" i="13"/>
  <c r="S246" i="13"/>
  <c r="S245" i="13"/>
  <c r="S244" i="13"/>
  <c r="S243" i="13"/>
  <c r="S242" i="13"/>
  <c r="S241" i="13"/>
  <c r="S240" i="13"/>
  <c r="S239" i="13"/>
  <c r="S238" i="13"/>
  <c r="S237" i="13"/>
  <c r="S236" i="13"/>
  <c r="S235" i="13"/>
  <c r="S234" i="13"/>
  <c r="S233" i="13"/>
  <c r="S232" i="13"/>
  <c r="S231" i="13"/>
  <c r="S230" i="13"/>
  <c r="S229" i="13"/>
  <c r="S228" i="13"/>
  <c r="S227" i="13"/>
  <c r="S226" i="13"/>
  <c r="S225" i="13"/>
  <c r="S224" i="13"/>
  <c r="S223" i="13"/>
  <c r="S222" i="13"/>
  <c r="S221" i="13"/>
  <c r="S220" i="13"/>
  <c r="S219" i="13"/>
  <c r="S218" i="13"/>
  <c r="S217" i="13"/>
  <c r="S216" i="13"/>
  <c r="S215" i="13"/>
  <c r="S214" i="13"/>
  <c r="S213" i="13"/>
  <c r="S212" i="13"/>
  <c r="S211" i="13"/>
  <c r="S210" i="13"/>
  <c r="S209" i="13"/>
  <c r="S208" i="13"/>
  <c r="S207" i="13"/>
  <c r="S206" i="13"/>
  <c r="S205" i="13"/>
  <c r="S204" i="13"/>
  <c r="S203" i="13"/>
  <c r="S202" i="13"/>
  <c r="S201" i="13"/>
  <c r="S200" i="13"/>
  <c r="S199" i="13"/>
  <c r="S198" i="13"/>
  <c r="S197" i="13"/>
  <c r="S196" i="13"/>
  <c r="S195" i="13"/>
  <c r="S194" i="13"/>
  <c r="S193" i="13"/>
  <c r="S192" i="13"/>
  <c r="S191" i="13"/>
  <c r="S190" i="13"/>
  <c r="S189" i="13"/>
  <c r="S188" i="13"/>
  <c r="S187" i="13"/>
  <c r="S186" i="13"/>
  <c r="S185" i="13"/>
  <c r="S184" i="13"/>
  <c r="S183" i="13"/>
  <c r="S182" i="13"/>
  <c r="S181" i="13"/>
  <c r="S180" i="13"/>
  <c r="S179" i="13"/>
  <c r="S178" i="13"/>
  <c r="S177" i="13"/>
  <c r="S176" i="13"/>
  <c r="S175" i="13"/>
  <c r="S174" i="13"/>
  <c r="S173" i="13"/>
  <c r="S172" i="13"/>
  <c r="S171" i="13"/>
  <c r="S170" i="13"/>
  <c r="S169" i="13"/>
  <c r="S168" i="13"/>
  <c r="S167" i="13"/>
  <c r="S166" i="13"/>
  <c r="S165" i="13"/>
  <c r="S164" i="13"/>
  <c r="S163" i="13"/>
  <c r="S162" i="13"/>
  <c r="S161" i="13"/>
  <c r="S160" i="13"/>
  <c r="S159" i="13"/>
  <c r="S158" i="13"/>
  <c r="S157" i="13"/>
  <c r="S156" i="13"/>
  <c r="S155" i="13"/>
  <c r="S154" i="13"/>
  <c r="S153" i="13"/>
  <c r="S152" i="13"/>
  <c r="S151" i="13"/>
  <c r="S150" i="13"/>
  <c r="S149" i="13"/>
  <c r="S148" i="13"/>
  <c r="S147" i="13"/>
  <c r="S146" i="13"/>
  <c r="S145" i="13"/>
  <c r="S144" i="13"/>
  <c r="S143" i="13"/>
  <c r="S142" i="13"/>
  <c r="S141" i="13"/>
  <c r="S140" i="13"/>
  <c r="S139" i="13"/>
  <c r="S138" i="13"/>
  <c r="S137" i="13"/>
  <c r="S136" i="13"/>
  <c r="S135" i="13"/>
  <c r="S134" i="13"/>
  <c r="S133" i="13"/>
  <c r="S132" i="13"/>
  <c r="S131" i="13"/>
  <c r="S130" i="13"/>
  <c r="S129" i="13"/>
  <c r="S128" i="13"/>
  <c r="S127" i="13"/>
  <c r="S126" i="13"/>
  <c r="S125" i="13"/>
  <c r="S124" i="13"/>
  <c r="S123" i="13"/>
  <c r="S122" i="13"/>
  <c r="S121" i="13"/>
  <c r="S120" i="13"/>
  <c r="S119" i="13"/>
  <c r="S118" i="13"/>
  <c r="S117" i="13"/>
  <c r="S116" i="13"/>
  <c r="S115" i="13"/>
  <c r="S114" i="13"/>
  <c r="S113" i="13"/>
  <c r="S112" i="13"/>
  <c r="S111" i="13"/>
  <c r="S110" i="13"/>
  <c r="S109" i="13"/>
  <c r="S108" i="13"/>
  <c r="S107" i="13"/>
  <c r="S106" i="13"/>
  <c r="S105" i="13"/>
  <c r="S104" i="13"/>
  <c r="S103" i="13"/>
  <c r="S102" i="13"/>
  <c r="S101" i="13"/>
  <c r="S100" i="13"/>
  <c r="S99" i="13"/>
  <c r="S98" i="13"/>
  <c r="S97" i="13"/>
  <c r="S96" i="13"/>
  <c r="S95" i="13"/>
  <c r="S94" i="13"/>
  <c r="S93" i="13"/>
  <c r="S92" i="13"/>
  <c r="S91" i="13"/>
  <c r="S90" i="13"/>
  <c r="S89" i="13"/>
  <c r="S88" i="13"/>
  <c r="S87" i="13"/>
  <c r="S86" i="13"/>
  <c r="S85" i="13"/>
  <c r="S84" i="13"/>
  <c r="S83" i="13"/>
  <c r="S82" i="13"/>
  <c r="S81" i="13"/>
  <c r="S80" i="13"/>
  <c r="S79" i="13"/>
  <c r="S78" i="13"/>
  <c r="S77" i="13"/>
  <c r="S76" i="13"/>
  <c r="S75" i="13"/>
  <c r="S74" i="13"/>
  <c r="S73" i="13"/>
  <c r="S72" i="13"/>
  <c r="S71" i="13"/>
  <c r="S70" i="13"/>
  <c r="S69" i="13"/>
  <c r="S68" i="13"/>
  <c r="S67" i="13"/>
  <c r="S66" i="13"/>
  <c r="S65" i="13"/>
  <c r="S64" i="13"/>
  <c r="S63" i="13"/>
  <c r="S62" i="13"/>
  <c r="S61" i="13"/>
  <c r="S60" i="13"/>
  <c r="S59" i="13"/>
  <c r="S58" i="13"/>
  <c r="S57" i="13"/>
  <c r="S56" i="13"/>
  <c r="S55" i="13"/>
  <c r="S54" i="13"/>
  <c r="S53" i="13"/>
  <c r="S52" i="13"/>
  <c r="S51" i="13"/>
  <c r="S50" i="13"/>
  <c r="S49" i="13"/>
  <c r="S48" i="13"/>
  <c r="S47" i="13"/>
  <c r="S46" i="13"/>
  <c r="S45" i="13"/>
  <c r="S44" i="13"/>
  <c r="S43" i="13"/>
  <c r="S42" i="13"/>
  <c r="S41" i="13"/>
  <c r="S40" i="13"/>
  <c r="S39" i="13"/>
  <c r="S38" i="13"/>
  <c r="S37" i="13"/>
  <c r="S36" i="13"/>
  <c r="S35" i="13"/>
  <c r="S34" i="13"/>
  <c r="S33" i="13"/>
  <c r="S32" i="13"/>
  <c r="S31" i="13"/>
  <c r="S30" i="13"/>
  <c r="S29" i="13"/>
  <c r="S28" i="13"/>
  <c r="S27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S12" i="13"/>
  <c r="S11" i="13"/>
  <c r="V10" i="13"/>
  <c r="S10" i="13"/>
  <c r="V9" i="13"/>
  <c r="S9" i="13"/>
  <c r="V8" i="13"/>
  <c r="S8" i="13"/>
  <c r="V7" i="13"/>
  <c r="S7" i="13"/>
  <c r="H24" i="12"/>
  <c r="G24" i="12"/>
  <c r="F24" i="12"/>
  <c r="E24" i="12"/>
  <c r="G23" i="12"/>
  <c r="F23" i="12"/>
  <c r="H23" i="12" s="1"/>
  <c r="E23" i="12"/>
  <c r="H22" i="12"/>
  <c r="G22" i="12"/>
  <c r="F22" i="12"/>
  <c r="E22" i="12"/>
  <c r="G21" i="12"/>
  <c r="F21" i="12"/>
  <c r="H21" i="12" s="1"/>
  <c r="E21" i="12"/>
  <c r="H20" i="12"/>
  <c r="G20" i="12"/>
  <c r="F20" i="12"/>
  <c r="E20" i="12"/>
  <c r="G19" i="12"/>
  <c r="F19" i="12"/>
  <c r="H19" i="12" s="1"/>
  <c r="E19" i="12"/>
  <c r="H18" i="12"/>
  <c r="G18" i="12"/>
  <c r="F18" i="12"/>
  <c r="E18" i="12"/>
  <c r="G17" i="12"/>
  <c r="F17" i="12"/>
  <c r="H17" i="12" s="1"/>
  <c r="E17" i="12"/>
  <c r="H16" i="12"/>
  <c r="G16" i="12"/>
  <c r="F16" i="12"/>
  <c r="E16" i="12"/>
  <c r="G15" i="12"/>
  <c r="F15" i="12"/>
  <c r="H15" i="12" s="1"/>
  <c r="E15" i="12"/>
  <c r="H14" i="12"/>
  <c r="G14" i="12"/>
  <c r="F14" i="12"/>
  <c r="E14" i="12"/>
  <c r="G13" i="12"/>
  <c r="F13" i="12"/>
  <c r="H13" i="12" s="1"/>
  <c r="E13" i="12"/>
  <c r="H12" i="12"/>
  <c r="G12" i="12"/>
  <c r="F12" i="12"/>
  <c r="E12" i="12"/>
  <c r="G11" i="12"/>
  <c r="F11" i="12"/>
  <c r="H11" i="12" s="1"/>
  <c r="E11" i="12"/>
  <c r="H10" i="12"/>
  <c r="G10" i="12"/>
  <c r="F10" i="12"/>
  <c r="E10" i="12"/>
  <c r="G9" i="12"/>
  <c r="F9" i="12"/>
  <c r="H9" i="12" s="1"/>
  <c r="E9" i="12"/>
  <c r="H8" i="12"/>
  <c r="G8" i="12"/>
  <c r="F8" i="12"/>
  <c r="E8" i="12"/>
  <c r="G7" i="12"/>
  <c r="F7" i="12"/>
  <c r="H7" i="12" s="1"/>
  <c r="E7" i="12"/>
  <c r="H6" i="12"/>
  <c r="G6" i="12"/>
  <c r="F6" i="12"/>
  <c r="E6" i="12"/>
  <c r="G5" i="12"/>
  <c r="F5" i="12"/>
  <c r="H5" i="12" s="1"/>
  <c r="E5" i="12"/>
  <c r="H4" i="12"/>
  <c r="G4" i="12"/>
  <c r="F4" i="12"/>
  <c r="E4" i="12"/>
  <c r="G3" i="12"/>
  <c r="F3" i="12"/>
  <c r="H3" i="12" s="1"/>
  <c r="E3" i="12"/>
  <c r="H2" i="12"/>
  <c r="G2" i="12"/>
  <c r="F2" i="12"/>
  <c r="E2" i="12"/>
  <c r="H65" i="11"/>
  <c r="F65" i="11"/>
  <c r="F66" i="11" s="1"/>
  <c r="R63" i="11"/>
  <c r="S63" i="11" s="1"/>
  <c r="T63" i="11" s="1"/>
  <c r="U63" i="11" s="1"/>
  <c r="V63" i="11" s="1"/>
  <c r="W63" i="11" s="1"/>
  <c r="X63" i="11" s="1"/>
  <c r="Y63" i="11" s="1"/>
  <c r="Z63" i="11" s="1"/>
  <c r="AA63" i="11" s="1"/>
  <c r="AB63" i="11" s="1"/>
  <c r="AC63" i="11" s="1"/>
  <c r="AD63" i="11" s="1"/>
  <c r="AE63" i="11" s="1"/>
  <c r="AF63" i="11" s="1"/>
  <c r="AG63" i="11" s="1"/>
  <c r="AH63" i="11" s="1"/>
  <c r="AI63" i="11" s="1"/>
  <c r="AJ63" i="11" s="1"/>
  <c r="AK63" i="11" s="1"/>
  <c r="AL63" i="11" s="1"/>
  <c r="AM63" i="11" s="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L63" i="11"/>
  <c r="M63" i="11" s="1"/>
  <c r="N63" i="11" s="1"/>
  <c r="O63" i="11" s="1"/>
  <c r="P63" i="11" s="1"/>
  <c r="Q63" i="11" s="1"/>
  <c r="J63" i="11"/>
  <c r="K63" i="11" s="1"/>
  <c r="I63" i="11"/>
  <c r="H7" i="11"/>
  <c r="F7" i="11"/>
  <c r="K5" i="11"/>
  <c r="J5" i="11"/>
  <c r="I5" i="11"/>
  <c r="D4" i="11"/>
  <c r="C4" i="11"/>
  <c r="C3" i="11"/>
  <c r="C2" i="11"/>
  <c r="U6" i="10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W5" i="10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C5" i="10"/>
  <c r="AC5" i="10" s="1"/>
  <c r="AC4" i="10"/>
  <c r="AB4" i="10"/>
  <c r="U4" i="10"/>
  <c r="U5" i="10" s="1"/>
  <c r="B4" i="10"/>
  <c r="AF3" i="10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AU3" i="10" s="1"/>
  <c r="AV3" i="10" s="1"/>
  <c r="AW3" i="10" s="1"/>
  <c r="AX3" i="10" s="1"/>
  <c r="AY3" i="10" s="1"/>
  <c r="AZ3" i="10" s="1"/>
  <c r="BA3" i="10" s="1"/>
  <c r="BB3" i="10" s="1"/>
  <c r="BC3" i="10" s="1"/>
  <c r="BD3" i="10" s="1"/>
  <c r="BE3" i="10" s="1"/>
  <c r="BF3" i="10" s="1"/>
  <c r="BG3" i="10" s="1"/>
  <c r="BH3" i="10" s="1"/>
  <c r="BI3" i="10" s="1"/>
  <c r="BJ3" i="10" s="1"/>
  <c r="BK3" i="10" s="1"/>
  <c r="BL3" i="10" s="1"/>
  <c r="BM3" i="10" s="1"/>
  <c r="BN3" i="10" s="1"/>
  <c r="BO3" i="10" s="1"/>
  <c r="BP3" i="10" s="1"/>
  <c r="BQ3" i="10" s="1"/>
  <c r="BR3" i="10" s="1"/>
  <c r="BS3" i="10" s="1"/>
  <c r="BT3" i="10" s="1"/>
  <c r="BU3" i="10" s="1"/>
  <c r="BV3" i="10" s="1"/>
  <c r="BW3" i="10" s="1"/>
  <c r="BX3" i="10" s="1"/>
  <c r="BY3" i="10" s="1"/>
  <c r="BZ3" i="10" s="1"/>
  <c r="CA3" i="10" s="1"/>
  <c r="CB3" i="10" s="1"/>
  <c r="CC3" i="10" s="1"/>
  <c r="AE3" i="10"/>
  <c r="AI2" i="10"/>
  <c r="AJ2" i="10" s="1"/>
  <c r="AD2" i="10"/>
  <c r="AE2" i="10" s="1"/>
  <c r="AF2" i="10" s="1"/>
  <c r="AG2" i="10" s="1"/>
  <c r="AH2" i="10" s="1"/>
  <c r="U47" i="9"/>
  <c r="P47" i="9"/>
  <c r="O47" i="9"/>
  <c r="N47" i="9"/>
  <c r="M47" i="9"/>
  <c r="K47" i="9"/>
  <c r="L47" i="9" s="1"/>
  <c r="Q47" i="9" s="1"/>
  <c r="E47" i="9"/>
  <c r="S47" i="9" s="1"/>
  <c r="D47" i="9"/>
  <c r="AD47" i="9" s="1"/>
  <c r="C47" i="9"/>
  <c r="B47" i="9"/>
  <c r="AC47" i="9" s="1"/>
  <c r="AC46" i="9"/>
  <c r="AA46" i="9"/>
  <c r="P46" i="9"/>
  <c r="O46" i="9"/>
  <c r="N46" i="9"/>
  <c r="M46" i="9"/>
  <c r="E46" i="9"/>
  <c r="H46" i="9" s="1"/>
  <c r="I46" i="9" s="1"/>
  <c r="D46" i="9"/>
  <c r="AD46" i="9" s="1"/>
  <c r="C46" i="9"/>
  <c r="AE46" i="9" s="1"/>
  <c r="B46" i="9"/>
  <c r="AE45" i="9"/>
  <c r="AA45" i="9"/>
  <c r="P45" i="9"/>
  <c r="O45" i="9"/>
  <c r="N45" i="9"/>
  <c r="M45" i="9"/>
  <c r="E45" i="9"/>
  <c r="D45" i="9"/>
  <c r="C45" i="9"/>
  <c r="B45" i="9"/>
  <c r="AC45" i="9" s="1"/>
  <c r="AF45" i="9" s="1"/>
  <c r="AG45" i="9" s="1"/>
  <c r="P44" i="9"/>
  <c r="O44" i="9"/>
  <c r="N44" i="9"/>
  <c r="M44" i="9"/>
  <c r="E44" i="9"/>
  <c r="R44" i="9" s="1"/>
  <c r="D44" i="9"/>
  <c r="C44" i="9"/>
  <c r="AE44" i="9" s="1"/>
  <c r="B44" i="9"/>
  <c r="AC44" i="9" s="1"/>
  <c r="AC43" i="9"/>
  <c r="AA43" i="9"/>
  <c r="S43" i="9"/>
  <c r="P43" i="9"/>
  <c r="O43" i="9"/>
  <c r="N43" i="9"/>
  <c r="M43" i="9"/>
  <c r="K43" i="9"/>
  <c r="L43" i="9" s="1"/>
  <c r="Q43" i="9" s="1"/>
  <c r="H43" i="9"/>
  <c r="I43" i="9" s="1"/>
  <c r="E43" i="9"/>
  <c r="T43" i="9" s="1"/>
  <c r="D43" i="9"/>
  <c r="C43" i="9"/>
  <c r="AE43" i="9" s="1"/>
  <c r="B43" i="9"/>
  <c r="AE42" i="9"/>
  <c r="AA42" i="9"/>
  <c r="R42" i="9"/>
  <c r="P42" i="9"/>
  <c r="O42" i="9"/>
  <c r="N42" i="9"/>
  <c r="M42" i="9"/>
  <c r="J42" i="9"/>
  <c r="E42" i="9"/>
  <c r="D42" i="9"/>
  <c r="C42" i="9"/>
  <c r="B42" i="9"/>
  <c r="AC42" i="9" s="1"/>
  <c r="AC41" i="9"/>
  <c r="T41" i="9"/>
  <c r="S41" i="9"/>
  <c r="P41" i="9"/>
  <c r="O41" i="9"/>
  <c r="N41" i="9"/>
  <c r="M41" i="9"/>
  <c r="K41" i="9"/>
  <c r="L41" i="9" s="1"/>
  <c r="Q41" i="9" s="1"/>
  <c r="H41" i="9"/>
  <c r="V41" i="9" s="1"/>
  <c r="G41" i="9"/>
  <c r="F41" i="9"/>
  <c r="E41" i="9"/>
  <c r="U41" i="9" s="1"/>
  <c r="D41" i="9"/>
  <c r="I41" i="9" s="1"/>
  <c r="C41" i="9"/>
  <c r="AA41" i="9" s="1"/>
  <c r="B41" i="9"/>
  <c r="AE40" i="9"/>
  <c r="P40" i="9"/>
  <c r="O40" i="9"/>
  <c r="N40" i="9"/>
  <c r="M40" i="9"/>
  <c r="E40" i="9"/>
  <c r="R40" i="9" s="1"/>
  <c r="D40" i="9"/>
  <c r="C40" i="9"/>
  <c r="AA40" i="9" s="1"/>
  <c r="B40" i="9"/>
  <c r="AC40" i="9" s="1"/>
  <c r="AC39" i="9"/>
  <c r="AA39" i="9"/>
  <c r="S39" i="9"/>
  <c r="P39" i="9"/>
  <c r="O39" i="9"/>
  <c r="N39" i="9"/>
  <c r="M39" i="9"/>
  <c r="K39" i="9"/>
  <c r="L39" i="9" s="1"/>
  <c r="Q39" i="9" s="1"/>
  <c r="H39" i="9"/>
  <c r="I39" i="9" s="1"/>
  <c r="E39" i="9"/>
  <c r="T39" i="9" s="1"/>
  <c r="D39" i="9"/>
  <c r="C39" i="9"/>
  <c r="AE39" i="9" s="1"/>
  <c r="B39" i="9"/>
  <c r="AE38" i="9"/>
  <c r="AA38" i="9"/>
  <c r="R38" i="9"/>
  <c r="P38" i="9"/>
  <c r="O38" i="9"/>
  <c r="N38" i="9"/>
  <c r="M38" i="9"/>
  <c r="J38" i="9"/>
  <c r="E38" i="9"/>
  <c r="D38" i="9"/>
  <c r="C38" i="9"/>
  <c r="B38" i="9"/>
  <c r="AC38" i="9" s="1"/>
  <c r="AC37" i="9"/>
  <c r="T37" i="9"/>
  <c r="S37" i="9"/>
  <c r="P37" i="9"/>
  <c r="O37" i="9"/>
  <c r="N37" i="9"/>
  <c r="M37" i="9"/>
  <c r="K37" i="9"/>
  <c r="L37" i="9" s="1"/>
  <c r="Q37" i="9" s="1"/>
  <c r="H37" i="9"/>
  <c r="V37" i="9" s="1"/>
  <c r="G37" i="9"/>
  <c r="F37" i="9"/>
  <c r="E37" i="9"/>
  <c r="U37" i="9" s="1"/>
  <c r="D37" i="9"/>
  <c r="I37" i="9" s="1"/>
  <c r="C37" i="9"/>
  <c r="AA37" i="9" s="1"/>
  <c r="B37" i="9"/>
  <c r="AE36" i="9"/>
  <c r="P36" i="9"/>
  <c r="O36" i="9"/>
  <c r="N36" i="9"/>
  <c r="M36" i="9"/>
  <c r="E36" i="9"/>
  <c r="R36" i="9" s="1"/>
  <c r="D36" i="9"/>
  <c r="C36" i="9"/>
  <c r="AA36" i="9" s="1"/>
  <c r="B36" i="9"/>
  <c r="AC36" i="9" s="1"/>
  <c r="AC35" i="9"/>
  <c r="AA35" i="9"/>
  <c r="S35" i="9"/>
  <c r="P35" i="9"/>
  <c r="O35" i="9"/>
  <c r="N35" i="9"/>
  <c r="M35" i="9"/>
  <c r="K35" i="9"/>
  <c r="L35" i="9" s="1"/>
  <c r="H35" i="9"/>
  <c r="I35" i="9" s="1"/>
  <c r="E35" i="9"/>
  <c r="T35" i="9" s="1"/>
  <c r="D35" i="9"/>
  <c r="C35" i="9"/>
  <c r="AE35" i="9" s="1"/>
  <c r="B35" i="9"/>
  <c r="AE34" i="9"/>
  <c r="AA34" i="9"/>
  <c r="R34" i="9"/>
  <c r="P34" i="9"/>
  <c r="O34" i="9"/>
  <c r="N34" i="9"/>
  <c r="M34" i="9"/>
  <c r="J34" i="9"/>
  <c r="E34" i="9"/>
  <c r="D34" i="9"/>
  <c r="C34" i="9"/>
  <c r="B34" i="9"/>
  <c r="AC34" i="9" s="1"/>
  <c r="AC33" i="9"/>
  <c r="T33" i="9"/>
  <c r="S33" i="9"/>
  <c r="P33" i="9"/>
  <c r="O33" i="9"/>
  <c r="N33" i="9"/>
  <c r="M33" i="9"/>
  <c r="K33" i="9"/>
  <c r="L33" i="9" s="1"/>
  <c r="Q33" i="9" s="1"/>
  <c r="H33" i="9"/>
  <c r="V33" i="9" s="1"/>
  <c r="G33" i="9"/>
  <c r="F33" i="9"/>
  <c r="E33" i="9"/>
  <c r="U33" i="9" s="1"/>
  <c r="D33" i="9"/>
  <c r="C33" i="9"/>
  <c r="B33" i="9"/>
  <c r="AE32" i="9"/>
  <c r="U32" i="9"/>
  <c r="P32" i="9"/>
  <c r="O32" i="9"/>
  <c r="N32" i="9"/>
  <c r="M32" i="9"/>
  <c r="E32" i="9"/>
  <c r="D32" i="9"/>
  <c r="C32" i="9"/>
  <c r="AA32" i="9" s="1"/>
  <c r="B32" i="9"/>
  <c r="AC32" i="9" s="1"/>
  <c r="AC31" i="9"/>
  <c r="AA31" i="9"/>
  <c r="T31" i="9"/>
  <c r="S31" i="9"/>
  <c r="P31" i="9"/>
  <c r="O31" i="9"/>
  <c r="N31" i="9"/>
  <c r="M31" i="9"/>
  <c r="K31" i="9"/>
  <c r="L31" i="9" s="1"/>
  <c r="Q31" i="9" s="1"/>
  <c r="H31" i="9"/>
  <c r="I31" i="9" s="1"/>
  <c r="E31" i="9"/>
  <c r="R31" i="9" s="1"/>
  <c r="D31" i="9"/>
  <c r="C31" i="9"/>
  <c r="AE31" i="9" s="1"/>
  <c r="B31" i="9"/>
  <c r="AE30" i="9"/>
  <c r="AA30" i="9"/>
  <c r="R30" i="9"/>
  <c r="P30" i="9"/>
  <c r="O30" i="9"/>
  <c r="N30" i="9"/>
  <c r="M30" i="9"/>
  <c r="J30" i="9"/>
  <c r="E30" i="9"/>
  <c r="D30" i="9"/>
  <c r="C30" i="9"/>
  <c r="B30" i="9"/>
  <c r="AC30" i="9" s="1"/>
  <c r="AC29" i="9"/>
  <c r="T29" i="9"/>
  <c r="S29" i="9"/>
  <c r="P29" i="9"/>
  <c r="O29" i="9"/>
  <c r="N29" i="9"/>
  <c r="M29" i="9"/>
  <c r="K29" i="9"/>
  <c r="L29" i="9" s="1"/>
  <c r="Q29" i="9" s="1"/>
  <c r="H29" i="9"/>
  <c r="V29" i="9" s="1"/>
  <c r="G29" i="9"/>
  <c r="F29" i="9"/>
  <c r="E29" i="9"/>
  <c r="U29" i="9" s="1"/>
  <c r="D29" i="9"/>
  <c r="C29" i="9"/>
  <c r="B29" i="9"/>
  <c r="AE28" i="9"/>
  <c r="P28" i="9"/>
  <c r="O28" i="9"/>
  <c r="N28" i="9"/>
  <c r="M28" i="9"/>
  <c r="E28" i="9"/>
  <c r="D28" i="9"/>
  <c r="C28" i="9"/>
  <c r="AA28" i="9" s="1"/>
  <c r="B28" i="9"/>
  <c r="AC28" i="9" s="1"/>
  <c r="AC27" i="9"/>
  <c r="AA27" i="9"/>
  <c r="T27" i="9"/>
  <c r="S27" i="9"/>
  <c r="P27" i="9"/>
  <c r="O27" i="9"/>
  <c r="N27" i="9"/>
  <c r="M27" i="9"/>
  <c r="K27" i="9"/>
  <c r="L27" i="9" s="1"/>
  <c r="Q27" i="9" s="1"/>
  <c r="H27" i="9"/>
  <c r="I27" i="9" s="1"/>
  <c r="E27" i="9"/>
  <c r="R27" i="9" s="1"/>
  <c r="D27" i="9"/>
  <c r="C27" i="9"/>
  <c r="AE27" i="9" s="1"/>
  <c r="B27" i="9"/>
  <c r="AE26" i="9"/>
  <c r="AA26" i="9"/>
  <c r="R26" i="9"/>
  <c r="P26" i="9"/>
  <c r="O26" i="9"/>
  <c r="N26" i="9"/>
  <c r="M26" i="9"/>
  <c r="E26" i="9"/>
  <c r="D26" i="9"/>
  <c r="C26" i="9"/>
  <c r="B26" i="9"/>
  <c r="AC26" i="9" s="1"/>
  <c r="AF26" i="9" s="1"/>
  <c r="AG26" i="9" s="1"/>
  <c r="AC25" i="9"/>
  <c r="T25" i="9"/>
  <c r="S25" i="9"/>
  <c r="P25" i="9"/>
  <c r="O25" i="9"/>
  <c r="N25" i="9"/>
  <c r="M25" i="9"/>
  <c r="K25" i="9"/>
  <c r="L25" i="9" s="1"/>
  <c r="Q25" i="9" s="1"/>
  <c r="H25" i="9"/>
  <c r="I25" i="9" s="1"/>
  <c r="E25" i="9"/>
  <c r="V25" i="9" s="1"/>
  <c r="D25" i="9"/>
  <c r="C25" i="9"/>
  <c r="B25" i="9"/>
  <c r="AE24" i="9"/>
  <c r="AA24" i="9"/>
  <c r="U24" i="9"/>
  <c r="P24" i="9"/>
  <c r="O24" i="9"/>
  <c r="N24" i="9"/>
  <c r="M24" i="9"/>
  <c r="E24" i="9"/>
  <c r="D24" i="9"/>
  <c r="C24" i="9"/>
  <c r="B24" i="9"/>
  <c r="AC24" i="9" s="1"/>
  <c r="AE23" i="9"/>
  <c r="AC23" i="9"/>
  <c r="AA23" i="9"/>
  <c r="T23" i="9"/>
  <c r="P23" i="9"/>
  <c r="O23" i="9"/>
  <c r="N23" i="9"/>
  <c r="M23" i="9"/>
  <c r="H23" i="9"/>
  <c r="I23" i="9" s="1"/>
  <c r="E23" i="9"/>
  <c r="U23" i="9" s="1"/>
  <c r="D23" i="9"/>
  <c r="C23" i="9"/>
  <c r="B23" i="9"/>
  <c r="T22" i="9"/>
  <c r="S22" i="9"/>
  <c r="P22" i="9"/>
  <c r="O22" i="9"/>
  <c r="N22" i="9"/>
  <c r="M22" i="9"/>
  <c r="H22" i="9"/>
  <c r="I22" i="9" s="1"/>
  <c r="E22" i="9"/>
  <c r="D22" i="9"/>
  <c r="C22" i="9"/>
  <c r="B22" i="9"/>
  <c r="AC22" i="9" s="1"/>
  <c r="AE21" i="9"/>
  <c r="V21" i="9"/>
  <c r="S21" i="9"/>
  <c r="R21" i="9"/>
  <c r="P21" i="9"/>
  <c r="O21" i="9"/>
  <c r="N21" i="9"/>
  <c r="M21" i="9"/>
  <c r="K21" i="9"/>
  <c r="L21" i="9" s="1"/>
  <c r="Q21" i="9" s="1"/>
  <c r="J21" i="9"/>
  <c r="H21" i="9"/>
  <c r="I21" i="9" s="1"/>
  <c r="F21" i="9"/>
  <c r="G21" i="9" s="1"/>
  <c r="E21" i="9"/>
  <c r="U21" i="9" s="1"/>
  <c r="D21" i="9"/>
  <c r="C21" i="9"/>
  <c r="AA21" i="9" s="1"/>
  <c r="B21" i="9"/>
  <c r="AC21" i="9" s="1"/>
  <c r="AE20" i="9"/>
  <c r="AC20" i="9"/>
  <c r="AA20" i="9"/>
  <c r="T20" i="9"/>
  <c r="P20" i="9"/>
  <c r="O20" i="9"/>
  <c r="N20" i="9"/>
  <c r="M20" i="9"/>
  <c r="H20" i="9"/>
  <c r="I20" i="9" s="1"/>
  <c r="E20" i="9"/>
  <c r="U20" i="9" s="1"/>
  <c r="D20" i="9"/>
  <c r="C20" i="9"/>
  <c r="B20" i="9"/>
  <c r="V19" i="9"/>
  <c r="T19" i="9"/>
  <c r="S19" i="9"/>
  <c r="R19" i="9"/>
  <c r="P19" i="9"/>
  <c r="O19" i="9"/>
  <c r="N19" i="9"/>
  <c r="M19" i="9"/>
  <c r="K19" i="9"/>
  <c r="L19" i="9" s="1"/>
  <c r="Q19" i="9" s="1"/>
  <c r="J19" i="9"/>
  <c r="H19" i="9"/>
  <c r="F19" i="9"/>
  <c r="G19" i="9" s="1"/>
  <c r="E19" i="9"/>
  <c r="U19" i="9" s="1"/>
  <c r="D19" i="9"/>
  <c r="I19" i="9" s="1"/>
  <c r="C19" i="9"/>
  <c r="AA19" i="9" s="1"/>
  <c r="B19" i="9"/>
  <c r="AC19" i="9" s="1"/>
  <c r="AE18" i="9"/>
  <c r="AC18" i="9"/>
  <c r="Y18" i="9"/>
  <c r="AF46" i="9" s="1"/>
  <c r="AG46" i="9" s="1"/>
  <c r="P18" i="9"/>
  <c r="O18" i="9"/>
  <c r="N18" i="9"/>
  <c r="M18" i="9"/>
  <c r="E18" i="9"/>
  <c r="U18" i="9" s="1"/>
  <c r="D18" i="9"/>
  <c r="C18" i="9"/>
  <c r="AA18" i="9" s="1"/>
  <c r="B18" i="9"/>
  <c r="AC17" i="9"/>
  <c r="AA17" i="9"/>
  <c r="T17" i="9"/>
  <c r="S17" i="9"/>
  <c r="P17" i="9"/>
  <c r="O17" i="9"/>
  <c r="N17" i="9"/>
  <c r="M17" i="9"/>
  <c r="K17" i="9"/>
  <c r="L17" i="9" s="1"/>
  <c r="Q17" i="9" s="1"/>
  <c r="H17" i="9"/>
  <c r="I17" i="9" s="1"/>
  <c r="E17" i="9"/>
  <c r="R17" i="9" s="1"/>
  <c r="D17" i="9"/>
  <c r="C17" i="9"/>
  <c r="AE17" i="9" s="1"/>
  <c r="B17" i="9"/>
  <c r="AE16" i="9"/>
  <c r="R16" i="9"/>
  <c r="P16" i="9"/>
  <c r="O16" i="9"/>
  <c r="N16" i="9"/>
  <c r="M16" i="9"/>
  <c r="E16" i="9"/>
  <c r="D16" i="9"/>
  <c r="C16" i="9"/>
  <c r="AA16" i="9" s="1"/>
  <c r="B16" i="9"/>
  <c r="AC16" i="9" s="1"/>
  <c r="AC15" i="9"/>
  <c r="T15" i="9"/>
  <c r="S15" i="9"/>
  <c r="P15" i="9"/>
  <c r="O15" i="9"/>
  <c r="N15" i="9"/>
  <c r="M15" i="9"/>
  <c r="K15" i="9"/>
  <c r="L15" i="9" s="1"/>
  <c r="Q15" i="9" s="1"/>
  <c r="H15" i="9"/>
  <c r="I15" i="9" s="1"/>
  <c r="E15" i="9"/>
  <c r="V15" i="9" s="1"/>
  <c r="D15" i="9"/>
  <c r="C15" i="9"/>
  <c r="B15" i="9"/>
  <c r="AE14" i="9"/>
  <c r="AA14" i="9"/>
  <c r="U14" i="9"/>
  <c r="P14" i="9"/>
  <c r="O14" i="9"/>
  <c r="N14" i="9"/>
  <c r="M14" i="9"/>
  <c r="E14" i="9"/>
  <c r="D14" i="9"/>
  <c r="C14" i="9"/>
  <c r="B14" i="9"/>
  <c r="AC14" i="9" s="1"/>
  <c r="AF14" i="9" s="1"/>
  <c r="AG14" i="9" s="1"/>
  <c r="AE13" i="9"/>
  <c r="AC13" i="9"/>
  <c r="AA13" i="9"/>
  <c r="T13" i="9"/>
  <c r="P13" i="9"/>
  <c r="O13" i="9"/>
  <c r="N13" i="9"/>
  <c r="M13" i="9"/>
  <c r="H13" i="9"/>
  <c r="I13" i="9" s="1"/>
  <c r="E13" i="9"/>
  <c r="U13" i="9" s="1"/>
  <c r="D13" i="9"/>
  <c r="C13" i="9"/>
  <c r="B13" i="9"/>
  <c r="T12" i="9"/>
  <c r="S12" i="9"/>
  <c r="P12" i="9"/>
  <c r="O12" i="9"/>
  <c r="N12" i="9"/>
  <c r="M12" i="9"/>
  <c r="H12" i="9"/>
  <c r="I12" i="9" s="1"/>
  <c r="E12" i="9"/>
  <c r="D12" i="9"/>
  <c r="C12" i="9"/>
  <c r="B12" i="9"/>
  <c r="AC12" i="9" s="1"/>
  <c r="AE11" i="9"/>
  <c r="AA11" i="9"/>
  <c r="U11" i="9"/>
  <c r="P11" i="9"/>
  <c r="O11" i="9"/>
  <c r="N11" i="9"/>
  <c r="M11" i="9"/>
  <c r="E11" i="9"/>
  <c r="D11" i="9"/>
  <c r="C11" i="9"/>
  <c r="B11" i="9"/>
  <c r="AC11" i="9" s="1"/>
  <c r="AF11" i="9" s="1"/>
  <c r="AG11" i="9" s="1"/>
  <c r="AC10" i="9"/>
  <c r="AA10" i="9"/>
  <c r="T10" i="9"/>
  <c r="S10" i="9"/>
  <c r="P10" i="9"/>
  <c r="O10" i="9"/>
  <c r="N10" i="9"/>
  <c r="M10" i="9"/>
  <c r="H10" i="9"/>
  <c r="I10" i="9" s="1"/>
  <c r="E10" i="9"/>
  <c r="R10" i="9" s="1"/>
  <c r="D10" i="9"/>
  <c r="C10" i="9"/>
  <c r="AE10" i="9" s="1"/>
  <c r="B10" i="9"/>
  <c r="AE9" i="9"/>
  <c r="R9" i="9"/>
  <c r="P9" i="9"/>
  <c r="O9" i="9"/>
  <c r="N9" i="9"/>
  <c r="M9" i="9"/>
  <c r="E9" i="9"/>
  <c r="D9" i="9"/>
  <c r="C9" i="9"/>
  <c r="AA9" i="9" s="1"/>
  <c r="B9" i="9"/>
  <c r="AC9" i="9" s="1"/>
  <c r="AC8" i="9"/>
  <c r="T8" i="9"/>
  <c r="S8" i="9"/>
  <c r="P8" i="9"/>
  <c r="O8" i="9"/>
  <c r="N8" i="9"/>
  <c r="M8" i="9"/>
  <c r="K8" i="9"/>
  <c r="L8" i="9" s="1"/>
  <c r="Q8" i="9" s="1"/>
  <c r="H8" i="9"/>
  <c r="I8" i="9" s="1"/>
  <c r="E8" i="9"/>
  <c r="V8" i="9" s="1"/>
  <c r="D8" i="9"/>
  <c r="C8" i="9"/>
  <c r="B8" i="9"/>
  <c r="AE7" i="9"/>
  <c r="AA7" i="9"/>
  <c r="U7" i="9"/>
  <c r="P7" i="9"/>
  <c r="O7" i="9"/>
  <c r="N7" i="9"/>
  <c r="M7" i="9"/>
  <c r="E7" i="9"/>
  <c r="D7" i="9"/>
  <c r="C7" i="9"/>
  <c r="B7" i="9"/>
  <c r="AC7" i="9" s="1"/>
  <c r="AF7" i="9" s="1"/>
  <c r="AG7" i="9" s="1"/>
  <c r="AC6" i="9"/>
  <c r="AA6" i="9"/>
  <c r="T6" i="9"/>
  <c r="S6" i="9"/>
  <c r="P6" i="9"/>
  <c r="O6" i="9"/>
  <c r="N6" i="9"/>
  <c r="M6" i="9"/>
  <c r="H6" i="9"/>
  <c r="I6" i="9" s="1"/>
  <c r="E6" i="9"/>
  <c r="R6" i="9" s="1"/>
  <c r="D6" i="9"/>
  <c r="C6" i="9"/>
  <c r="AE6" i="9" s="1"/>
  <c r="B6" i="9"/>
  <c r="AE5" i="9"/>
  <c r="R5" i="9"/>
  <c r="P5" i="9"/>
  <c r="O5" i="9"/>
  <c r="N5" i="9"/>
  <c r="M5" i="9"/>
  <c r="E5" i="9"/>
  <c r="D5" i="9"/>
  <c r="C5" i="9"/>
  <c r="AA5" i="9" s="1"/>
  <c r="B5" i="9"/>
  <c r="AC5" i="9" s="1"/>
  <c r="AC4" i="9"/>
  <c r="T4" i="9"/>
  <c r="S4" i="9"/>
  <c r="P4" i="9"/>
  <c r="O4" i="9"/>
  <c r="N4" i="9"/>
  <c r="M4" i="9"/>
  <c r="H4" i="9"/>
  <c r="I4" i="9" s="1"/>
  <c r="E4" i="9"/>
  <c r="D4" i="9"/>
  <c r="C4" i="9"/>
  <c r="B4" i="9"/>
  <c r="AE3" i="9"/>
  <c r="AA3" i="9"/>
  <c r="P3" i="9"/>
  <c r="O3" i="9"/>
  <c r="N3" i="9"/>
  <c r="M3" i="9"/>
  <c r="E3" i="9"/>
  <c r="D3" i="9"/>
  <c r="Y13" i="9" s="1"/>
  <c r="C3" i="9"/>
  <c r="B3" i="9"/>
  <c r="AC3" i="9" s="1"/>
  <c r="AC2" i="9"/>
  <c r="AA2" i="9"/>
  <c r="T2" i="9"/>
  <c r="S2" i="9"/>
  <c r="P2" i="9"/>
  <c r="O2" i="9"/>
  <c r="N2" i="9"/>
  <c r="M2" i="9"/>
  <c r="H2" i="9"/>
  <c r="I2" i="9" s="1"/>
  <c r="E2" i="9"/>
  <c r="R2" i="9" s="1"/>
  <c r="D2" i="9"/>
  <c r="Y12" i="9" s="1"/>
  <c r="C2" i="9"/>
  <c r="AE2" i="9" s="1"/>
  <c r="B2" i="9"/>
  <c r="Q85" i="8"/>
  <c r="O85" i="8"/>
  <c r="Q84" i="8"/>
  <c r="O84" i="8"/>
  <c r="Q83" i="8"/>
  <c r="O83" i="8"/>
  <c r="Q82" i="8"/>
  <c r="O82" i="8"/>
  <c r="Q81" i="8"/>
  <c r="O81" i="8"/>
  <c r="Q80" i="8"/>
  <c r="O80" i="8"/>
  <c r="Q79" i="8"/>
  <c r="O79" i="8"/>
  <c r="Q78" i="8"/>
  <c r="O78" i="8"/>
  <c r="Q77" i="8"/>
  <c r="O77" i="8"/>
  <c r="Q76" i="8"/>
  <c r="O76" i="8"/>
  <c r="Q75" i="8"/>
  <c r="O75" i="8"/>
  <c r="Q74" i="8"/>
  <c r="O74" i="8"/>
  <c r="Q73" i="8"/>
  <c r="O73" i="8"/>
  <c r="Q72" i="8"/>
  <c r="O72" i="8"/>
  <c r="Q71" i="8"/>
  <c r="O71" i="8"/>
  <c r="Q70" i="8"/>
  <c r="O70" i="8"/>
  <c r="E70" i="8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Q69" i="8"/>
  <c r="O69" i="8"/>
  <c r="Q68" i="8"/>
  <c r="O68" i="8"/>
  <c r="Q67" i="8"/>
  <c r="O67" i="8"/>
  <c r="Q66" i="8"/>
  <c r="O66" i="8"/>
  <c r="Q65" i="8"/>
  <c r="O65" i="8"/>
  <c r="Q64" i="8"/>
  <c r="O64" i="8"/>
  <c r="Q63" i="8"/>
  <c r="O63" i="8"/>
  <c r="Q62" i="8"/>
  <c r="O62" i="8"/>
  <c r="Q61" i="8"/>
  <c r="O61" i="8"/>
  <c r="Q60" i="8"/>
  <c r="O60" i="8"/>
  <c r="Q59" i="8"/>
  <c r="O59" i="8"/>
  <c r="Q58" i="8"/>
  <c r="O58" i="8"/>
  <c r="Q57" i="8"/>
  <c r="O57" i="8"/>
  <c r="Q56" i="8"/>
  <c r="O56" i="8"/>
  <c r="Q55" i="8"/>
  <c r="O55" i="8"/>
  <c r="Q54" i="8"/>
  <c r="O54" i="8"/>
  <c r="Q53" i="8"/>
  <c r="O53" i="8"/>
  <c r="Q52" i="8"/>
  <c r="O52" i="8"/>
  <c r="Q51" i="8"/>
  <c r="O51" i="8"/>
  <c r="Q50" i="8"/>
  <c r="O50" i="8"/>
  <c r="Q49" i="8"/>
  <c r="O49" i="8"/>
  <c r="Q48" i="8"/>
  <c r="O48" i="8"/>
  <c r="Q47" i="8"/>
  <c r="O47" i="8"/>
  <c r="Q46" i="8"/>
  <c r="O46" i="8"/>
  <c r="Q45" i="8"/>
  <c r="O45" i="8"/>
  <c r="Q44" i="8"/>
  <c r="O44" i="8"/>
  <c r="Q43" i="8"/>
  <c r="O43" i="8"/>
  <c r="Q42" i="8"/>
  <c r="O42" i="8"/>
  <c r="Q41" i="8"/>
  <c r="O41" i="8"/>
  <c r="Q40" i="8"/>
  <c r="O40" i="8"/>
  <c r="Q39" i="8"/>
  <c r="O39" i="8"/>
  <c r="Q38" i="8"/>
  <c r="O38" i="8"/>
  <c r="Q37" i="8"/>
  <c r="O37" i="8"/>
  <c r="Q36" i="8"/>
  <c r="O36" i="8"/>
  <c r="Q35" i="8"/>
  <c r="O35" i="8"/>
  <c r="Q34" i="8"/>
  <c r="O34" i="8"/>
  <c r="Q33" i="8"/>
  <c r="O33" i="8"/>
  <c r="Q32" i="8"/>
  <c r="O32" i="8"/>
  <c r="Q31" i="8"/>
  <c r="O31" i="8"/>
  <c r="Q30" i="8"/>
  <c r="O30" i="8"/>
  <c r="Q29" i="8"/>
  <c r="O29" i="8"/>
  <c r="Q28" i="8"/>
  <c r="O28" i="8"/>
  <c r="Q27" i="8"/>
  <c r="O27" i="8"/>
  <c r="Q26" i="8"/>
  <c r="O26" i="8"/>
  <c r="Q25" i="8"/>
  <c r="O25" i="8"/>
  <c r="Q24" i="8"/>
  <c r="O24" i="8"/>
  <c r="Q23" i="8"/>
  <c r="O23" i="8"/>
  <c r="Q22" i="8"/>
  <c r="O22" i="8"/>
  <c r="Q21" i="8"/>
  <c r="C21" i="8"/>
  <c r="O21" i="8" s="1"/>
  <c r="Q20" i="8"/>
  <c r="O20" i="8"/>
  <c r="Q19" i="8"/>
  <c r="O19" i="8"/>
  <c r="Q18" i="8"/>
  <c r="O18" i="8"/>
  <c r="Q17" i="8"/>
  <c r="O17" i="8"/>
  <c r="Q16" i="8"/>
  <c r="O16" i="8"/>
  <c r="Q15" i="8"/>
  <c r="O15" i="8"/>
  <c r="Q14" i="8"/>
  <c r="Q13" i="8"/>
  <c r="O13" i="8"/>
  <c r="Q12" i="8"/>
  <c r="O12" i="8"/>
  <c r="Q11" i="8"/>
  <c r="O11" i="8"/>
  <c r="Q10" i="8"/>
  <c r="O10" i="8"/>
  <c r="C10" i="8"/>
  <c r="Q9" i="8"/>
  <c r="O9" i="8"/>
  <c r="Q8" i="8"/>
  <c r="O8" i="8"/>
  <c r="C8" i="8"/>
  <c r="Q7" i="8"/>
  <c r="O7" i="8"/>
  <c r="Q6" i="8"/>
  <c r="O6" i="8"/>
  <c r="Q5" i="8"/>
  <c r="O5" i="8"/>
  <c r="Q4" i="8"/>
  <c r="O4" i="8"/>
  <c r="E4" i="8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D4" i="8"/>
  <c r="Y3" i="8"/>
  <c r="W3" i="8"/>
  <c r="X3" i="8" s="1"/>
  <c r="Q3" i="8"/>
  <c r="O3" i="8"/>
  <c r="F3" i="8"/>
  <c r="D3" i="8"/>
  <c r="AA2" i="8"/>
  <c r="W2" i="8"/>
  <c r="Q2" i="8"/>
  <c r="O2" i="8"/>
  <c r="AP105" i="7"/>
  <c r="F34" i="7"/>
  <c r="F33" i="7"/>
  <c r="E33" i="7"/>
  <c r="D33" i="7"/>
  <c r="AJ32" i="7"/>
  <c r="AC32" i="7"/>
  <c r="D32" i="7"/>
  <c r="F32" i="7" s="1"/>
  <c r="E31" i="7"/>
  <c r="F31" i="7" s="1"/>
  <c r="D31" i="7"/>
  <c r="D30" i="7"/>
  <c r="F30" i="7" s="1"/>
  <c r="H22" i="7"/>
  <c r="I22" i="7" s="1"/>
  <c r="D16" i="7"/>
  <c r="D17" i="7" s="1"/>
  <c r="K10" i="7"/>
  <c r="D25" i="7" s="1"/>
  <c r="F25" i="7" s="1"/>
  <c r="G25" i="7" s="1"/>
  <c r="H25" i="7" s="1"/>
  <c r="I25" i="7" s="1"/>
  <c r="H10" i="7"/>
  <c r="D10" i="7"/>
  <c r="B10" i="7"/>
  <c r="K9" i="7"/>
  <c r="D22" i="7" s="1"/>
  <c r="F22" i="7" s="1"/>
  <c r="G22" i="7" s="1"/>
  <c r="H9" i="7"/>
  <c r="D9" i="7"/>
  <c r="B9" i="7"/>
  <c r="K8" i="7"/>
  <c r="D21" i="7" s="1"/>
  <c r="F21" i="7" s="1"/>
  <c r="G21" i="7" s="1"/>
  <c r="H21" i="7" s="1"/>
  <c r="I21" i="7" s="1"/>
  <c r="H8" i="7"/>
  <c r="D8" i="7"/>
  <c r="B8" i="7"/>
  <c r="K7" i="7"/>
  <c r="H7" i="7"/>
  <c r="D7" i="7"/>
  <c r="B7" i="7"/>
  <c r="K6" i="7"/>
  <c r="C14" i="7" s="1"/>
  <c r="F16" i="7" s="1"/>
  <c r="H6" i="7"/>
  <c r="D6" i="7"/>
  <c r="B6" i="7"/>
  <c r="N5" i="7"/>
  <c r="K5" i="7"/>
  <c r="H5" i="7"/>
  <c r="D5" i="7"/>
  <c r="B5" i="7"/>
  <c r="O4" i="7"/>
  <c r="N4" i="7"/>
  <c r="K4" i="7"/>
  <c r="H4" i="7"/>
  <c r="D4" i="7"/>
  <c r="B4" i="7"/>
  <c r="O3" i="7"/>
  <c r="Y37" i="6"/>
  <c r="Y36" i="6"/>
  <c r="Y35" i="6"/>
  <c r="Y34" i="6"/>
  <c r="Y33" i="6"/>
  <c r="Y32" i="6"/>
  <c r="Y31" i="6"/>
  <c r="E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Y4" i="6"/>
  <c r="Y3" i="6"/>
  <c r="A3" i="6"/>
  <c r="AD2" i="6"/>
  <c r="AC2" i="6"/>
  <c r="Y2" i="6"/>
  <c r="C2" i="6"/>
  <c r="B2" i="6"/>
  <c r="AW157" i="5"/>
  <c r="E38" i="5"/>
  <c r="AP37" i="5"/>
  <c r="Z37" i="5"/>
  <c r="Y37" i="5"/>
  <c r="W37" i="5"/>
  <c r="AB37" i="5" s="1"/>
  <c r="E37" i="5"/>
  <c r="AB36" i="5"/>
  <c r="Z36" i="5"/>
  <c r="S36" i="5"/>
  <c r="E36" i="5"/>
  <c r="Z35" i="5"/>
  <c r="AB35" i="5" s="1"/>
  <c r="Y35" i="5"/>
  <c r="T35" i="5"/>
  <c r="E35" i="5"/>
  <c r="Z34" i="5"/>
  <c r="AB34" i="5" s="1"/>
  <c r="V34" i="5"/>
  <c r="T34" i="5"/>
  <c r="E34" i="5"/>
  <c r="AB33" i="5"/>
  <c r="Z33" i="5"/>
  <c r="Y33" i="5"/>
  <c r="S33" i="5"/>
  <c r="E33" i="5"/>
  <c r="Z32" i="5"/>
  <c r="AB32" i="5" s="1"/>
  <c r="E32" i="5"/>
  <c r="Z31" i="5"/>
  <c r="Y31" i="5"/>
  <c r="AB31" i="5" s="1"/>
  <c r="E31" i="5"/>
  <c r="Z30" i="5"/>
  <c r="Y30" i="5"/>
  <c r="AB30" i="5" s="1"/>
  <c r="E30" i="5"/>
  <c r="Z29" i="5"/>
  <c r="V29" i="5"/>
  <c r="AB29" i="5" s="1"/>
  <c r="S29" i="5"/>
  <c r="E29" i="5"/>
  <c r="Z28" i="5"/>
  <c r="Y28" i="5"/>
  <c r="AB28" i="5" s="1"/>
  <c r="E28" i="5"/>
  <c r="Z27" i="5"/>
  <c r="Y27" i="5"/>
  <c r="S27" i="5"/>
  <c r="AB27" i="5" s="1"/>
  <c r="E27" i="5"/>
  <c r="AF26" i="5"/>
  <c r="Z26" i="5"/>
  <c r="Y26" i="5"/>
  <c r="AB26" i="5" s="1"/>
  <c r="E26" i="5"/>
  <c r="AF25" i="5"/>
  <c r="Z25" i="5"/>
  <c r="Y25" i="5"/>
  <c r="AB25" i="5" s="1"/>
  <c r="V25" i="5"/>
  <c r="E25" i="5"/>
  <c r="AF24" i="5"/>
  <c r="Z24" i="5"/>
  <c r="Y24" i="5"/>
  <c r="S24" i="5"/>
  <c r="E24" i="5"/>
  <c r="AF23" i="5"/>
  <c r="AB23" i="5"/>
  <c r="Z23" i="5"/>
  <c r="E23" i="5"/>
  <c r="AF22" i="5"/>
  <c r="Z22" i="5"/>
  <c r="AB22" i="5" s="1"/>
  <c r="E22" i="5"/>
  <c r="AF21" i="5"/>
  <c r="AB21" i="5"/>
  <c r="Z21" i="5"/>
  <c r="E21" i="5"/>
  <c r="AF20" i="5"/>
  <c r="Z20" i="5"/>
  <c r="AB20" i="5" s="1"/>
  <c r="E20" i="5"/>
  <c r="AF19" i="5"/>
  <c r="Z19" i="5"/>
  <c r="AB19" i="5" s="1"/>
  <c r="E19" i="5"/>
  <c r="AF18" i="5"/>
  <c r="AB18" i="5"/>
  <c r="Z18" i="5"/>
  <c r="E18" i="5"/>
  <c r="AB17" i="5"/>
  <c r="E17" i="5"/>
  <c r="AB16" i="5"/>
  <c r="AD16" i="5" s="1"/>
  <c r="AH16" i="5" s="1"/>
  <c r="AB15" i="5"/>
  <c r="AD15" i="5" s="1"/>
  <c r="AH15" i="5" s="1"/>
  <c r="AD14" i="5"/>
  <c r="AH14" i="5" s="1"/>
  <c r="AB14" i="5"/>
  <c r="AD13" i="5"/>
  <c r="AH13" i="5" s="1"/>
  <c r="AB13" i="5"/>
  <c r="AB12" i="5"/>
  <c r="AD12" i="5" s="1"/>
  <c r="AH12" i="5" s="1"/>
  <c r="AD11" i="5"/>
  <c r="AH11" i="5" s="1"/>
  <c r="AB11" i="5"/>
  <c r="AB10" i="5"/>
  <c r="AD10" i="5" s="1"/>
  <c r="AH10" i="5" s="1"/>
  <c r="AD9" i="5"/>
  <c r="AH9" i="5" s="1"/>
  <c r="AB9" i="5"/>
  <c r="AB8" i="5"/>
  <c r="AD8" i="5" s="1"/>
  <c r="AH8" i="5" s="1"/>
  <c r="AB7" i="5"/>
  <c r="AD7" i="5" s="1"/>
  <c r="AH7" i="5" s="1"/>
  <c r="AD6" i="5"/>
  <c r="AH6" i="5" s="1"/>
  <c r="AB6" i="5"/>
  <c r="AD5" i="5"/>
  <c r="AH5" i="5" s="1"/>
  <c r="AB5" i="5"/>
  <c r="AK4" i="5"/>
  <c r="AB4" i="5"/>
  <c r="AD4" i="5" s="1"/>
  <c r="AH4" i="5" s="1"/>
  <c r="C4" i="5"/>
  <c r="A4" i="5"/>
  <c r="AL3" i="5"/>
  <c r="AB3" i="5"/>
  <c r="AD3" i="5" s="1"/>
  <c r="AH3" i="5" s="1"/>
  <c r="C3" i="5"/>
  <c r="B3" i="5"/>
  <c r="A3" i="5"/>
  <c r="AL2" i="5"/>
  <c r="AK2" i="5"/>
  <c r="AA2" i="6" s="1"/>
  <c r="AH2" i="5"/>
  <c r="AD2" i="5"/>
  <c r="AB2" i="5"/>
  <c r="N2" i="5"/>
  <c r="C2" i="5"/>
  <c r="B2" i="5"/>
  <c r="AO37" i="4"/>
  <c r="E38" i="4" s="1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AR3" i="4"/>
  <c r="AQ3" i="4"/>
  <c r="V3" i="4"/>
  <c r="K3" i="4"/>
  <c r="AH3" i="4" s="1"/>
  <c r="AM3" i="4" s="1"/>
  <c r="B3" i="4"/>
  <c r="A3" i="4"/>
  <c r="A4" i="4" s="1"/>
  <c r="AQ2" i="4"/>
  <c r="AG2" i="6" s="1"/>
  <c r="V2" i="4"/>
  <c r="K2" i="4"/>
  <c r="AH2" i="4" s="1"/>
  <c r="AM2" i="4" s="1"/>
  <c r="C2" i="4"/>
  <c r="B2" i="4"/>
  <c r="T31" i="3"/>
  <c r="T30" i="3"/>
  <c r="T29" i="3"/>
  <c r="T28" i="3"/>
  <c r="K28" i="3"/>
  <c r="K30" i="3" s="1"/>
  <c r="C11" i="8" s="1"/>
  <c r="C19" i="3"/>
  <c r="C20" i="3" s="1"/>
  <c r="N15" i="3"/>
  <c r="C14" i="3"/>
  <c r="C15" i="3" s="1"/>
  <c r="C18" i="3" s="1"/>
  <c r="C21" i="3" s="1"/>
  <c r="D11" i="3"/>
  <c r="D10" i="3"/>
  <c r="C10" i="3" s="1"/>
  <c r="D9" i="3"/>
  <c r="D8" i="3"/>
  <c r="Q6" i="3"/>
  <c r="K4" i="3"/>
  <c r="G4" i="3"/>
  <c r="C4" i="3"/>
  <c r="K3" i="3"/>
  <c r="C11" i="1" s="1"/>
  <c r="G3" i="3"/>
  <c r="N14" i="3" s="1"/>
  <c r="C3" i="3"/>
  <c r="P7" i="2"/>
  <c r="Q6" i="2"/>
  <c r="K2" i="2"/>
  <c r="C2" i="2"/>
  <c r="N1" i="2"/>
  <c r="M1" i="2"/>
  <c r="C31" i="1"/>
  <c r="C30" i="1"/>
  <c r="C29" i="1"/>
  <c r="C28" i="1"/>
  <c r="C26" i="1"/>
  <c r="C25" i="1"/>
  <c r="C23" i="1"/>
  <c r="C19" i="1"/>
  <c r="M18" i="1"/>
  <c r="C18" i="1"/>
  <c r="N16" i="1"/>
  <c r="M16" i="1"/>
  <c r="M17" i="1" s="1"/>
  <c r="M20" i="1" s="1"/>
  <c r="C6" i="1"/>
  <c r="C4" i="1"/>
  <c r="D2" i="1"/>
  <c r="C2" i="1"/>
  <c r="S4" i="4" l="1"/>
  <c r="BH4" i="4" s="1"/>
  <c r="AB4" i="4"/>
  <c r="H4" i="4"/>
  <c r="C4" i="4"/>
  <c r="A5" i="4"/>
  <c r="P4" i="4"/>
  <c r="BE4" i="4" s="1"/>
  <c r="B4" i="4"/>
  <c r="G3" i="8" s="1"/>
  <c r="O4" i="4"/>
  <c r="BD4" i="4" s="1"/>
  <c r="BD66" i="11"/>
  <c r="X66" i="11"/>
  <c r="AT65" i="11"/>
  <c r="N65" i="11"/>
  <c r="AR65" i="11"/>
  <c r="L65" i="11"/>
  <c r="AV66" i="11"/>
  <c r="P66" i="11"/>
  <c r="AL65" i="11"/>
  <c r="AJ65" i="11"/>
  <c r="AN66" i="11"/>
  <c r="AD65" i="11"/>
  <c r="AL66" i="11"/>
  <c r="BH65" i="11"/>
  <c r="AB65" i="11"/>
  <c r="AF66" i="11"/>
  <c r="BB65" i="11"/>
  <c r="V65" i="11"/>
  <c r="AD66" i="11"/>
  <c r="AZ65" i="11"/>
  <c r="T65" i="11"/>
  <c r="C5" i="11"/>
  <c r="O4" i="10"/>
  <c r="D5" i="8"/>
  <c r="C11" i="3"/>
  <c r="N10" i="3"/>
  <c r="AO2" i="6"/>
  <c r="AU2" i="6"/>
  <c r="AM2" i="6"/>
  <c r="AT2" i="6"/>
  <c r="AL2" i="6"/>
  <c r="AS2" i="6"/>
  <c r="AK2" i="6"/>
  <c r="AR2" i="6"/>
  <c r="AJ2" i="6"/>
  <c r="AQ2" i="6"/>
  <c r="AI2" i="6"/>
  <c r="AN2" i="6"/>
  <c r="AP2" i="6"/>
  <c r="C3" i="4"/>
  <c r="AT3" i="4" s="1"/>
  <c r="C5" i="1"/>
  <c r="C14" i="1"/>
  <c r="C9" i="1"/>
  <c r="C12" i="1"/>
  <c r="AD2" i="4"/>
  <c r="C15" i="1"/>
  <c r="R13" i="8"/>
  <c r="R5" i="8"/>
  <c r="R21" i="8"/>
  <c r="R15" i="8"/>
  <c r="R10" i="8"/>
  <c r="C9" i="8"/>
  <c r="R2" i="8"/>
  <c r="R4" i="8"/>
  <c r="R6" i="8"/>
  <c r="R20" i="8"/>
  <c r="R9" i="8"/>
  <c r="AD3" i="4"/>
  <c r="C10" i="1"/>
  <c r="C13" i="1"/>
  <c r="AT2" i="4"/>
  <c r="C8" i="1"/>
  <c r="G2" i="8"/>
  <c r="AB24" i="5"/>
  <c r="AP3" i="6"/>
  <c r="AG3" i="6"/>
  <c r="B3" i="6"/>
  <c r="A4" i="6"/>
  <c r="AD3" i="6"/>
  <c r="AM3" i="6"/>
  <c r="AC3" i="6"/>
  <c r="AF3" i="6" s="1"/>
  <c r="AR3" i="6"/>
  <c r="C3" i="6"/>
  <c r="AJ3" i="6" s="1"/>
  <c r="A5" i="5"/>
  <c r="N4" i="5"/>
  <c r="AL4" i="5"/>
  <c r="B4" i="5"/>
  <c r="AK3" i="5"/>
  <c r="AA3" i="6" s="1"/>
  <c r="AF2" i="6"/>
  <c r="AF38" i="5"/>
  <c r="N3" i="5"/>
  <c r="F15" i="7"/>
  <c r="F17" i="7"/>
  <c r="D23" i="7"/>
  <c r="F23" i="7" s="1"/>
  <c r="G23" i="7" s="1"/>
  <c r="H23" i="7" s="1"/>
  <c r="R3" i="9"/>
  <c r="J3" i="9"/>
  <c r="H3" i="9"/>
  <c r="I3" i="9" s="1"/>
  <c r="F3" i="9"/>
  <c r="G3" i="9" s="1"/>
  <c r="T3" i="9"/>
  <c r="S3" i="9"/>
  <c r="K3" i="9"/>
  <c r="L3" i="9" s="1"/>
  <c r="Q3" i="9" s="1"/>
  <c r="U3" i="9"/>
  <c r="AA4" i="9"/>
  <c r="AE4" i="9"/>
  <c r="R7" i="8"/>
  <c r="U14" i="8"/>
  <c r="R14" i="8"/>
  <c r="U20" i="8"/>
  <c r="R78" i="8"/>
  <c r="O5" i="7"/>
  <c r="R73" i="8"/>
  <c r="C13" i="8"/>
  <c r="U7" i="8" s="1"/>
  <c r="N6" i="7"/>
  <c r="R74" i="8"/>
  <c r="U4" i="8"/>
  <c r="U6" i="8"/>
  <c r="R17" i="8"/>
  <c r="U17" i="8"/>
  <c r="R23" i="8"/>
  <c r="U23" i="8"/>
  <c r="R82" i="8"/>
  <c r="D24" i="7"/>
  <c r="F24" i="7" s="1"/>
  <c r="G24" i="7" s="1"/>
  <c r="H24" i="7" s="1"/>
  <c r="I24" i="7" s="1"/>
  <c r="V5" i="9"/>
  <c r="R28" i="9"/>
  <c r="J28" i="9"/>
  <c r="H28" i="9"/>
  <c r="I28" i="9" s="1"/>
  <c r="V28" i="9"/>
  <c r="F28" i="9"/>
  <c r="G28" i="9" s="1"/>
  <c r="T28" i="9"/>
  <c r="S28" i="9"/>
  <c r="K28" i="9"/>
  <c r="L28" i="9" s="1"/>
  <c r="Q28" i="9" s="1"/>
  <c r="AA29" i="9"/>
  <c r="AE29" i="9"/>
  <c r="F4" i="8"/>
  <c r="AA3" i="8"/>
  <c r="Z3" i="8"/>
  <c r="R12" i="8"/>
  <c r="R72" i="8"/>
  <c r="AF9" i="9"/>
  <c r="AG9" i="9" s="1"/>
  <c r="AF16" i="9"/>
  <c r="AG16" i="9" s="1"/>
  <c r="Q35" i="9"/>
  <c r="R18" i="8"/>
  <c r="U18" i="8"/>
  <c r="R24" i="8"/>
  <c r="R71" i="8"/>
  <c r="R77" i="8"/>
  <c r="R81" i="8"/>
  <c r="R85" i="8"/>
  <c r="R7" i="9"/>
  <c r="H7" i="9"/>
  <c r="I7" i="9" s="1"/>
  <c r="F7" i="9"/>
  <c r="G7" i="9" s="1"/>
  <c r="T7" i="9"/>
  <c r="S7" i="9"/>
  <c r="K7" i="9"/>
  <c r="L7" i="9" s="1"/>
  <c r="Q7" i="9" s="1"/>
  <c r="V7" i="9" s="1"/>
  <c r="R14" i="9"/>
  <c r="H14" i="9"/>
  <c r="I14" i="9" s="1"/>
  <c r="F14" i="9"/>
  <c r="G14" i="9" s="1"/>
  <c r="T14" i="9"/>
  <c r="S14" i="9"/>
  <c r="K14" i="9"/>
  <c r="L14" i="9" s="1"/>
  <c r="Q14" i="9" s="1"/>
  <c r="V14" i="9" s="1"/>
  <c r="R24" i="9"/>
  <c r="H24" i="9"/>
  <c r="I24" i="9" s="1"/>
  <c r="F24" i="9"/>
  <c r="G24" i="9" s="1"/>
  <c r="T24" i="9"/>
  <c r="S24" i="9"/>
  <c r="AK2" i="10"/>
  <c r="R8" i="8"/>
  <c r="U8" i="8"/>
  <c r="R70" i="8"/>
  <c r="AA8" i="9"/>
  <c r="AE8" i="9"/>
  <c r="AA15" i="9"/>
  <c r="AE15" i="9"/>
  <c r="AF15" i="9" s="1"/>
  <c r="AG15" i="9" s="1"/>
  <c r="AA25" i="9"/>
  <c r="AE25" i="9"/>
  <c r="R3" i="8"/>
  <c r="R19" i="8"/>
  <c r="U19" i="8"/>
  <c r="U24" i="8"/>
  <c r="R25" i="8"/>
  <c r="R69" i="8"/>
  <c r="R76" i="8"/>
  <c r="R80" i="8"/>
  <c r="R84" i="8"/>
  <c r="AF3" i="9"/>
  <c r="AG3" i="9" s="1"/>
  <c r="U28" i="9"/>
  <c r="V38" i="9"/>
  <c r="X2" i="8"/>
  <c r="U13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11" i="9"/>
  <c r="J11" i="9"/>
  <c r="H11" i="9"/>
  <c r="I11" i="9" s="1"/>
  <c r="F11" i="9"/>
  <c r="G11" i="9" s="1"/>
  <c r="T11" i="9"/>
  <c r="S11" i="9"/>
  <c r="K11" i="9"/>
  <c r="L11" i="9" s="1"/>
  <c r="Q11" i="9" s="1"/>
  <c r="U3" i="8"/>
  <c r="U9" i="8"/>
  <c r="R11" i="8"/>
  <c r="R16" i="8"/>
  <c r="U16" i="8"/>
  <c r="R22" i="8"/>
  <c r="U25" i="8"/>
  <c r="R75" i="8"/>
  <c r="R79" i="8"/>
  <c r="R83" i="8"/>
  <c r="AF5" i="9"/>
  <c r="AG5" i="9" s="1"/>
  <c r="AA12" i="9"/>
  <c r="AE12" i="9"/>
  <c r="R18" i="9"/>
  <c r="H18" i="9"/>
  <c r="I18" i="9" s="1"/>
  <c r="F18" i="9"/>
  <c r="G18" i="9" s="1"/>
  <c r="T18" i="9"/>
  <c r="S18" i="9"/>
  <c r="AA22" i="9"/>
  <c r="AE22" i="9"/>
  <c r="R32" i="9"/>
  <c r="H32" i="9"/>
  <c r="I32" i="9" s="1"/>
  <c r="F32" i="9"/>
  <c r="G32" i="9" s="1"/>
  <c r="T32" i="9"/>
  <c r="S32" i="9"/>
  <c r="AA33" i="9"/>
  <c r="AE33" i="9"/>
  <c r="U2" i="9"/>
  <c r="U6" i="9"/>
  <c r="U10" i="9"/>
  <c r="F13" i="9"/>
  <c r="G13" i="9" s="1"/>
  <c r="V13" i="9"/>
  <c r="U17" i="9"/>
  <c r="AF18" i="9"/>
  <c r="AG18" i="9" s="1"/>
  <c r="F20" i="9"/>
  <c r="G20" i="9" s="1"/>
  <c r="T21" i="9"/>
  <c r="F23" i="9"/>
  <c r="G23" i="9" s="1"/>
  <c r="V23" i="9"/>
  <c r="U27" i="9"/>
  <c r="I29" i="9"/>
  <c r="U31" i="9"/>
  <c r="I33" i="9"/>
  <c r="U35" i="9"/>
  <c r="K36" i="9"/>
  <c r="L36" i="9" s="1"/>
  <c r="Q36" i="9" s="1"/>
  <c r="S36" i="9"/>
  <c r="AE37" i="9"/>
  <c r="U39" i="9"/>
  <c r="K40" i="9"/>
  <c r="L40" i="9" s="1"/>
  <c r="Q40" i="9" s="1"/>
  <c r="S40" i="9"/>
  <c r="AE41" i="9"/>
  <c r="U43" i="9"/>
  <c r="K44" i="9"/>
  <c r="L44" i="9" s="1"/>
  <c r="Q44" i="9" s="1"/>
  <c r="S44" i="9"/>
  <c r="O14" i="8"/>
  <c r="F2" i="9"/>
  <c r="G2" i="9" s="1"/>
  <c r="R4" i="9"/>
  <c r="H5" i="9"/>
  <c r="I5" i="9" s="1"/>
  <c r="F6" i="9"/>
  <c r="G6" i="9" s="1"/>
  <c r="J8" i="9"/>
  <c r="R8" i="9"/>
  <c r="AF8" i="9"/>
  <c r="AG8" i="9" s="1"/>
  <c r="H9" i="9"/>
  <c r="I9" i="9" s="1"/>
  <c r="F10" i="9"/>
  <c r="G10" i="9" s="1"/>
  <c r="R12" i="9"/>
  <c r="J15" i="9"/>
  <c r="R15" i="9"/>
  <c r="H16" i="9"/>
  <c r="I16" i="9" s="1"/>
  <c r="F17" i="9"/>
  <c r="G17" i="9" s="1"/>
  <c r="V17" i="9"/>
  <c r="AE19" i="9"/>
  <c r="AF19" i="9" s="1"/>
  <c r="AG19" i="9" s="1"/>
  <c r="R22" i="9"/>
  <c r="J25" i="9"/>
  <c r="R25" i="9"/>
  <c r="AF25" i="9"/>
  <c r="AG25" i="9" s="1"/>
  <c r="H26" i="9"/>
  <c r="I26" i="9" s="1"/>
  <c r="F27" i="9"/>
  <c r="G27" i="9" s="1"/>
  <c r="V27" i="9"/>
  <c r="J29" i="9"/>
  <c r="R29" i="9"/>
  <c r="AF29" i="9"/>
  <c r="AG29" i="9" s="1"/>
  <c r="H30" i="9"/>
  <c r="I30" i="9" s="1"/>
  <c r="F31" i="9"/>
  <c r="G31" i="9" s="1"/>
  <c r="V31" i="9"/>
  <c r="J33" i="9"/>
  <c r="R33" i="9"/>
  <c r="AF33" i="9"/>
  <c r="AG33" i="9" s="1"/>
  <c r="H34" i="9"/>
  <c r="I34" i="9" s="1"/>
  <c r="F35" i="9"/>
  <c r="G35" i="9" s="1"/>
  <c r="V35" i="9"/>
  <c r="T36" i="9"/>
  <c r="J37" i="9"/>
  <c r="R37" i="9"/>
  <c r="AF37" i="9"/>
  <c r="AG37" i="9" s="1"/>
  <c r="H38" i="9"/>
  <c r="I38" i="9" s="1"/>
  <c r="F39" i="9"/>
  <c r="G39" i="9" s="1"/>
  <c r="V39" i="9"/>
  <c r="T40" i="9"/>
  <c r="J41" i="9"/>
  <c r="R41" i="9"/>
  <c r="AF41" i="9"/>
  <c r="AG41" i="9" s="1"/>
  <c r="H42" i="9"/>
  <c r="I42" i="9" s="1"/>
  <c r="F43" i="9"/>
  <c r="G43" i="9" s="1"/>
  <c r="V43" i="9"/>
  <c r="T44" i="9"/>
  <c r="U36" i="9"/>
  <c r="U40" i="9"/>
  <c r="U44" i="9"/>
  <c r="AF30" i="9"/>
  <c r="AG30" i="9" s="1"/>
  <c r="AF34" i="9"/>
  <c r="AG34" i="9" s="1"/>
  <c r="F36" i="9"/>
  <c r="G36" i="9" s="1"/>
  <c r="AF38" i="9"/>
  <c r="AG38" i="9" s="1"/>
  <c r="F40" i="9"/>
  <c r="G40" i="9" s="1"/>
  <c r="AF42" i="9"/>
  <c r="AG42" i="9" s="1"/>
  <c r="F44" i="9"/>
  <c r="G44" i="9" s="1"/>
  <c r="F45" i="9"/>
  <c r="G45" i="9" s="1"/>
  <c r="T45" i="9"/>
  <c r="S45" i="9"/>
  <c r="K45" i="9"/>
  <c r="L45" i="9" s="1"/>
  <c r="Q45" i="9" s="1"/>
  <c r="AE47" i="9"/>
  <c r="AF47" i="9" s="1"/>
  <c r="AG47" i="9" s="1"/>
  <c r="AA47" i="9"/>
  <c r="U4" i="9"/>
  <c r="K5" i="9"/>
  <c r="L5" i="9" s="1"/>
  <c r="Q5" i="9" s="1"/>
  <c r="S5" i="9"/>
  <c r="U8" i="9"/>
  <c r="K9" i="9"/>
  <c r="L9" i="9" s="1"/>
  <c r="Q9" i="9" s="1"/>
  <c r="V9" i="9" s="1"/>
  <c r="S9" i="9"/>
  <c r="U12" i="9"/>
  <c r="J13" i="9"/>
  <c r="R13" i="9"/>
  <c r="U15" i="9"/>
  <c r="K16" i="9"/>
  <c r="L16" i="9" s="1"/>
  <c r="Q16" i="9" s="1"/>
  <c r="V16" i="9" s="1"/>
  <c r="S16" i="9"/>
  <c r="R20" i="9"/>
  <c r="AF20" i="9"/>
  <c r="AG20" i="9" s="1"/>
  <c r="U22" i="9"/>
  <c r="J23" i="9"/>
  <c r="R23" i="9"/>
  <c r="U25" i="9"/>
  <c r="K26" i="9"/>
  <c r="L26" i="9" s="1"/>
  <c r="Q26" i="9" s="1"/>
  <c r="V26" i="9" s="1"/>
  <c r="S26" i="9"/>
  <c r="K30" i="9"/>
  <c r="L30" i="9" s="1"/>
  <c r="Q30" i="9" s="1"/>
  <c r="S30" i="9"/>
  <c r="K34" i="9"/>
  <c r="L34" i="9" s="1"/>
  <c r="Q34" i="9" s="1"/>
  <c r="S34" i="9"/>
  <c r="K38" i="9"/>
  <c r="L38" i="9" s="1"/>
  <c r="Q38" i="9" s="1"/>
  <c r="S38" i="9"/>
  <c r="K42" i="9"/>
  <c r="L42" i="9" s="1"/>
  <c r="Q42" i="9" s="1"/>
  <c r="S42" i="9"/>
  <c r="AA44" i="9"/>
  <c r="AF2" i="9"/>
  <c r="F4" i="9"/>
  <c r="G4" i="9" s="1"/>
  <c r="T5" i="9"/>
  <c r="AF6" i="9"/>
  <c r="F8" i="9"/>
  <c r="G8" i="9" s="1"/>
  <c r="T9" i="9"/>
  <c r="AF10" i="9"/>
  <c r="F12" i="9"/>
  <c r="G12" i="9" s="1"/>
  <c r="K13" i="9"/>
  <c r="L13" i="9" s="1"/>
  <c r="Q13" i="9" s="1"/>
  <c r="S13" i="9"/>
  <c r="AF13" i="9"/>
  <c r="AG13" i="9" s="1"/>
  <c r="F15" i="9"/>
  <c r="G15" i="9" s="1"/>
  <c r="T16" i="9"/>
  <c r="J17" i="9"/>
  <c r="AF17" i="9"/>
  <c r="AG17" i="9" s="1"/>
  <c r="S20" i="9"/>
  <c r="F22" i="9"/>
  <c r="G22" i="9" s="1"/>
  <c r="K23" i="9"/>
  <c r="L23" i="9" s="1"/>
  <c r="Q23" i="9" s="1"/>
  <c r="S23" i="9"/>
  <c r="AF23" i="9"/>
  <c r="AG23" i="9" s="1"/>
  <c r="F25" i="9"/>
  <c r="G25" i="9" s="1"/>
  <c r="T26" i="9"/>
  <c r="J27" i="9"/>
  <c r="AF27" i="9"/>
  <c r="AG27" i="9" s="1"/>
  <c r="T30" i="9"/>
  <c r="J31" i="9"/>
  <c r="AF31" i="9"/>
  <c r="AG31" i="9" s="1"/>
  <c r="T34" i="9"/>
  <c r="J35" i="9"/>
  <c r="R35" i="9"/>
  <c r="AF35" i="9"/>
  <c r="AG35" i="9" s="1"/>
  <c r="H36" i="9"/>
  <c r="I36" i="9" s="1"/>
  <c r="T38" i="9"/>
  <c r="J39" i="9"/>
  <c r="R39" i="9"/>
  <c r="AF39" i="9"/>
  <c r="AG39" i="9" s="1"/>
  <c r="H40" i="9"/>
  <c r="I40" i="9" s="1"/>
  <c r="T42" i="9"/>
  <c r="J43" i="9"/>
  <c r="R43" i="9"/>
  <c r="AF43" i="9"/>
  <c r="AG43" i="9" s="1"/>
  <c r="H44" i="9"/>
  <c r="I44" i="9" s="1"/>
  <c r="H45" i="9"/>
  <c r="I45" i="9" s="1"/>
  <c r="R45" i="9"/>
  <c r="R47" i="9"/>
  <c r="J47" i="9"/>
  <c r="H47" i="9"/>
  <c r="I47" i="9" s="1"/>
  <c r="V47" i="9"/>
  <c r="F47" i="9"/>
  <c r="G47" i="9" s="1"/>
  <c r="T47" i="9"/>
  <c r="U5" i="9"/>
  <c r="U9" i="9"/>
  <c r="U16" i="9"/>
  <c r="U26" i="9"/>
  <c r="U30" i="9"/>
  <c r="U34" i="9"/>
  <c r="U38" i="9"/>
  <c r="U42" i="9"/>
  <c r="AF44" i="9"/>
  <c r="AG44" i="9" s="1"/>
  <c r="U45" i="9"/>
  <c r="T46" i="9"/>
  <c r="S46" i="9"/>
  <c r="K46" i="9"/>
  <c r="L46" i="9" s="1"/>
  <c r="Q46" i="9" s="1"/>
  <c r="R46" i="9"/>
  <c r="J46" i="9"/>
  <c r="U46" i="9"/>
  <c r="F5" i="9"/>
  <c r="G5" i="9" s="1"/>
  <c r="F9" i="9"/>
  <c r="G9" i="9" s="1"/>
  <c r="F16" i="9"/>
  <c r="G16" i="9" s="1"/>
  <c r="AF21" i="9"/>
  <c r="AG21" i="9" s="1"/>
  <c r="AF24" i="9"/>
  <c r="AG24" i="9" s="1"/>
  <c r="F26" i="9"/>
  <c r="G26" i="9" s="1"/>
  <c r="AF28" i="9"/>
  <c r="AG28" i="9" s="1"/>
  <c r="F30" i="9"/>
  <c r="G30" i="9" s="1"/>
  <c r="AF32" i="9"/>
  <c r="AG32" i="9" s="1"/>
  <c r="F34" i="9"/>
  <c r="G34" i="9" s="1"/>
  <c r="J36" i="9"/>
  <c r="AF36" i="9"/>
  <c r="AG36" i="9" s="1"/>
  <c r="F38" i="9"/>
  <c r="G38" i="9" s="1"/>
  <c r="J40" i="9"/>
  <c r="AF40" i="9"/>
  <c r="AG40" i="9" s="1"/>
  <c r="F42" i="9"/>
  <c r="G42" i="9" s="1"/>
  <c r="J44" i="9"/>
  <c r="J45" i="9"/>
  <c r="F46" i="9"/>
  <c r="G46" i="9" s="1"/>
  <c r="V46" i="9"/>
  <c r="G4" i="10"/>
  <c r="H4" i="10" s="1"/>
  <c r="C6" i="10"/>
  <c r="B5" i="10"/>
  <c r="O5" i="10" s="1"/>
  <c r="D5" i="11"/>
  <c r="H93" i="11"/>
  <c r="H35" i="11"/>
  <c r="L5" i="11"/>
  <c r="K7" i="11"/>
  <c r="F8" i="11"/>
  <c r="I7" i="11"/>
  <c r="J7" i="11"/>
  <c r="BC66" i="11"/>
  <c r="AU66" i="11"/>
  <c r="AM66" i="11"/>
  <c r="AE66" i="11"/>
  <c r="W66" i="11"/>
  <c r="O66" i="11"/>
  <c r="F67" i="11"/>
  <c r="BA66" i="11"/>
  <c r="AS66" i="11"/>
  <c r="AK66" i="11"/>
  <c r="AC66" i="11"/>
  <c r="U66" i="11"/>
  <c r="M66" i="11"/>
  <c r="BH66" i="11"/>
  <c r="AZ66" i="11"/>
  <c r="AR66" i="11"/>
  <c r="AJ66" i="11"/>
  <c r="AB66" i="11"/>
  <c r="T66" i="11"/>
  <c r="L66" i="11"/>
  <c r="BG66" i="11"/>
  <c r="AY66" i="11"/>
  <c r="AQ66" i="11"/>
  <c r="AI66" i="11"/>
  <c r="AA66" i="11"/>
  <c r="S66" i="11"/>
  <c r="K66" i="11"/>
  <c r="BF66" i="11"/>
  <c r="AX66" i="11"/>
  <c r="AP66" i="11"/>
  <c r="AH66" i="11"/>
  <c r="Z66" i="11"/>
  <c r="R66" i="11"/>
  <c r="J66" i="11"/>
  <c r="BE66" i="11"/>
  <c r="AW66" i="11"/>
  <c r="AO66" i="11"/>
  <c r="AG66" i="11"/>
  <c r="Y66" i="11"/>
  <c r="Q66" i="11"/>
  <c r="I66" i="11"/>
  <c r="N66" i="11"/>
  <c r="AT66" i="11"/>
  <c r="V66" i="11"/>
  <c r="BB66" i="11"/>
  <c r="O65" i="11"/>
  <c r="W65" i="11"/>
  <c r="AE65" i="11"/>
  <c r="AM65" i="11"/>
  <c r="AU65" i="11"/>
  <c r="BC65" i="11"/>
  <c r="P65" i="11"/>
  <c r="X65" i="11"/>
  <c r="AF65" i="11"/>
  <c r="AN65" i="11"/>
  <c r="AV65" i="11"/>
  <c r="BD65" i="11"/>
  <c r="I65" i="11"/>
  <c r="Q65" i="11"/>
  <c r="Y65" i="11"/>
  <c r="AG65" i="11"/>
  <c r="AO65" i="11"/>
  <c r="AW65" i="11"/>
  <c r="BE65" i="11"/>
  <c r="J65" i="11"/>
  <c r="R65" i="11"/>
  <c r="Z65" i="11"/>
  <c r="AH65" i="11"/>
  <c r="AP65" i="11"/>
  <c r="AX65" i="11"/>
  <c r="BF65" i="11"/>
  <c r="K65" i="11"/>
  <c r="S65" i="11"/>
  <c r="AA65" i="11"/>
  <c r="AI65" i="11"/>
  <c r="AQ65" i="11"/>
  <c r="AY65" i="11"/>
  <c r="BG65" i="11"/>
  <c r="M65" i="11"/>
  <c r="U65" i="11"/>
  <c r="AC65" i="11"/>
  <c r="AK65" i="11"/>
  <c r="AS65" i="11"/>
  <c r="BA65" i="11"/>
  <c r="V11" i="13"/>
  <c r="W10" i="13"/>
  <c r="W9" i="13"/>
  <c r="AX20" i="16"/>
  <c r="AX21" i="16" s="1"/>
  <c r="AX22" i="16" s="1"/>
  <c r="AX23" i="16" s="1"/>
  <c r="W8" i="13"/>
  <c r="AW67" i="16"/>
  <c r="AW75" i="16"/>
  <c r="AW83" i="16"/>
  <c r="AW84" i="16"/>
  <c r="BJ13" i="14"/>
  <c r="AW20" i="16"/>
  <c r="AW33" i="16"/>
  <c r="AW36" i="16"/>
  <c r="BR160" i="16"/>
  <c r="AF4" i="4" s="1"/>
  <c r="BS4" i="4" s="1"/>
  <c r="AW29" i="16"/>
  <c r="AW32" i="16"/>
  <c r="AW41" i="16"/>
  <c r="AW49" i="16"/>
  <c r="AW57" i="16"/>
  <c r="AW65" i="16"/>
  <c r="AW73" i="16"/>
  <c r="AW81" i="16"/>
  <c r="AW71" i="16"/>
  <c r="AW79" i="16"/>
  <c r="AW25" i="16"/>
  <c r="AW28" i="16"/>
  <c r="AW21" i="16"/>
  <c r="AW24" i="16"/>
  <c r="BK160" i="16"/>
  <c r="BS160" i="16"/>
  <c r="AW123" i="16"/>
  <c r="AW125" i="16"/>
  <c r="AW135" i="16"/>
  <c r="AW137" i="16"/>
  <c r="J13" i="17"/>
  <c r="BD160" i="16"/>
  <c r="BL160" i="16"/>
  <c r="T4" i="4" s="1"/>
  <c r="BI4" i="4" s="1"/>
  <c r="BT160" i="16"/>
  <c r="AK4" i="4" s="1"/>
  <c r="AW134" i="16"/>
  <c r="J6" i="17"/>
  <c r="BE160" i="16"/>
  <c r="M4" i="4" s="1"/>
  <c r="BM160" i="16"/>
  <c r="U4" i="4" s="1"/>
  <c r="BJ4" i="4" s="1"/>
  <c r="AW119" i="16"/>
  <c r="AW121" i="16"/>
  <c r="AW143" i="16"/>
  <c r="BF160" i="16"/>
  <c r="N4" i="4" s="1"/>
  <c r="BC4" i="4" s="1"/>
  <c r="BN160" i="16"/>
  <c r="X4" i="4" s="1"/>
  <c r="BM4" i="4" s="1"/>
  <c r="AW131" i="16"/>
  <c r="AW133" i="16"/>
  <c r="AW142" i="16"/>
  <c r="I14" i="17"/>
  <c r="BG160" i="16"/>
  <c r="Q4" i="4" s="1"/>
  <c r="BO160" i="16"/>
  <c r="Y4" i="4" s="1"/>
  <c r="BN4" i="4" s="1"/>
  <c r="AW88" i="16"/>
  <c r="AW90" i="16"/>
  <c r="AW91" i="16"/>
  <c r="AW92" i="16"/>
  <c r="AW94" i="16"/>
  <c r="AW95" i="16"/>
  <c r="AW98" i="16"/>
  <c r="AW99" i="16"/>
  <c r="AW102" i="16"/>
  <c r="AW103" i="16"/>
  <c r="AW104" i="16"/>
  <c r="AW106" i="16"/>
  <c r="AW107" i="16"/>
  <c r="AW108" i="16"/>
  <c r="AW110" i="16"/>
  <c r="AW111" i="16"/>
  <c r="AW112" i="16"/>
  <c r="AW114" i="16"/>
  <c r="AW115" i="16"/>
  <c r="AW117" i="16"/>
  <c r="AW130" i="16"/>
  <c r="BH160" i="16"/>
  <c r="R4" i="4" s="1"/>
  <c r="BP160" i="16"/>
  <c r="AA4" i="4" s="1"/>
  <c r="BP4" i="4" s="1"/>
  <c r="AW89" i="16"/>
  <c r="AW93" i="16"/>
  <c r="AW96" i="16"/>
  <c r="AW97" i="16"/>
  <c r="AW100" i="16"/>
  <c r="AW101" i="16"/>
  <c r="AW105" i="16"/>
  <c r="AW109" i="16"/>
  <c r="AW113" i="16"/>
  <c r="AW128" i="16"/>
  <c r="AW141" i="16"/>
  <c r="J4" i="17"/>
  <c r="E4" i="17"/>
  <c r="J8" i="17"/>
  <c r="I10" i="17"/>
  <c r="J10" i="17" s="1"/>
  <c r="I8" i="17"/>
  <c r="H15" i="17"/>
  <c r="I7" i="17"/>
  <c r="I6" i="17"/>
  <c r="I5" i="17"/>
  <c r="I13" i="17"/>
  <c r="I12" i="17"/>
  <c r="V4" i="4" l="1"/>
  <c r="BB4" i="4"/>
  <c r="BG4" i="4"/>
  <c r="BF4" i="4"/>
  <c r="BE67" i="11"/>
  <c r="AW67" i="11"/>
  <c r="AO67" i="11"/>
  <c r="AG67" i="11"/>
  <c r="Y67" i="11"/>
  <c r="Q67" i="11"/>
  <c r="I67" i="11"/>
  <c r="BC67" i="11"/>
  <c r="AU67" i="11"/>
  <c r="AM67" i="11"/>
  <c r="AE67" i="11"/>
  <c r="W67" i="11"/>
  <c r="O67" i="11"/>
  <c r="BB67" i="11"/>
  <c r="AT67" i="11"/>
  <c r="AL67" i="11"/>
  <c r="AD67" i="11"/>
  <c r="V67" i="11"/>
  <c r="N67" i="11"/>
  <c r="F68" i="11"/>
  <c r="BA67" i="11"/>
  <c r="AS67" i="11"/>
  <c r="AK67" i="11"/>
  <c r="AC67" i="11"/>
  <c r="U67" i="11"/>
  <c r="M67" i="11"/>
  <c r="BH67" i="11"/>
  <c r="AZ67" i="11"/>
  <c r="AR67" i="11"/>
  <c r="AJ67" i="11"/>
  <c r="AB67" i="11"/>
  <c r="T67" i="11"/>
  <c r="L67" i="11"/>
  <c r="BG67" i="11"/>
  <c r="AY67" i="11"/>
  <c r="AQ67" i="11"/>
  <c r="AI67" i="11"/>
  <c r="AA67" i="11"/>
  <c r="S67" i="11"/>
  <c r="K67" i="11"/>
  <c r="AH67" i="11"/>
  <c r="AF67" i="11"/>
  <c r="BF67" i="11"/>
  <c r="Z67" i="11"/>
  <c r="BD67" i="11"/>
  <c r="X67" i="11"/>
  <c r="AX67" i="11"/>
  <c r="R67" i="11"/>
  <c r="AV67" i="11"/>
  <c r="P67" i="11"/>
  <c r="AP67" i="11"/>
  <c r="J67" i="11"/>
  <c r="AN67" i="11"/>
  <c r="L7" i="11"/>
  <c r="V40" i="9"/>
  <c r="S79" i="8"/>
  <c r="T79" i="8"/>
  <c r="S62" i="8"/>
  <c r="T62" i="8"/>
  <c r="S54" i="8"/>
  <c r="T54" i="8"/>
  <c r="S46" i="8"/>
  <c r="T46" i="8"/>
  <c r="S38" i="8"/>
  <c r="T38" i="8"/>
  <c r="S30" i="8"/>
  <c r="T30" i="8"/>
  <c r="AL2" i="10"/>
  <c r="T18" i="8"/>
  <c r="S18" i="8"/>
  <c r="T12" i="8"/>
  <c r="S12" i="8"/>
  <c r="S7" i="8"/>
  <c r="T7" i="8"/>
  <c r="AL5" i="5"/>
  <c r="B5" i="5"/>
  <c r="AK5" i="5"/>
  <c r="AJ5" i="5"/>
  <c r="A6" i="5"/>
  <c r="N5" i="5"/>
  <c r="C5" i="5"/>
  <c r="AU3" i="6"/>
  <c r="AJ2" i="5"/>
  <c r="AJ3" i="5"/>
  <c r="AJ4" i="5"/>
  <c r="BQ4" i="4"/>
  <c r="S75" i="8"/>
  <c r="T75" i="8"/>
  <c r="V42" i="9"/>
  <c r="S61" i="8"/>
  <c r="T61" i="8"/>
  <c r="S53" i="8"/>
  <c r="T53" i="8"/>
  <c r="S45" i="8"/>
  <c r="T45" i="8"/>
  <c r="S37" i="8"/>
  <c r="T37" i="8"/>
  <c r="S29" i="8"/>
  <c r="T29" i="8"/>
  <c r="T19" i="8"/>
  <c r="S19" i="8"/>
  <c r="K24" i="9"/>
  <c r="L24" i="9" s="1"/>
  <c r="Q24" i="9" s="1"/>
  <c r="V24" i="9" s="1"/>
  <c r="T17" i="8"/>
  <c r="S17" i="8"/>
  <c r="K20" i="3"/>
  <c r="AK3" i="6"/>
  <c r="C16" i="1"/>
  <c r="C21" i="1" s="1"/>
  <c r="T10" i="8"/>
  <c r="S10" i="8"/>
  <c r="W7" i="13"/>
  <c r="C6" i="11"/>
  <c r="D6" i="11" s="1"/>
  <c r="H112" i="11" s="1"/>
  <c r="E12" i="17"/>
  <c r="K14" i="17"/>
  <c r="E14" i="17"/>
  <c r="J14" i="17"/>
  <c r="V12" i="13"/>
  <c r="W11" i="13"/>
  <c r="AG6" i="9"/>
  <c r="K6" i="9"/>
  <c r="L6" i="9" s="1"/>
  <c r="Q6" i="9" s="1"/>
  <c r="V6" i="9" s="1"/>
  <c r="K32" i="9"/>
  <c r="L32" i="9" s="1"/>
  <c r="Q32" i="9" s="1"/>
  <c r="V32" i="9" s="1"/>
  <c r="S68" i="8"/>
  <c r="T68" i="8"/>
  <c r="S60" i="8"/>
  <c r="T60" i="8"/>
  <c r="S52" i="8"/>
  <c r="T52" i="8"/>
  <c r="S44" i="8"/>
  <c r="T44" i="8"/>
  <c r="S36" i="8"/>
  <c r="T36" i="8"/>
  <c r="S28" i="8"/>
  <c r="T28" i="8"/>
  <c r="S84" i="8"/>
  <c r="T84" i="8"/>
  <c r="S3" i="8"/>
  <c r="T3" i="8"/>
  <c r="S85" i="8"/>
  <c r="T85" i="8"/>
  <c r="V30" i="9"/>
  <c r="S74" i="8"/>
  <c r="T74" i="8"/>
  <c r="K21" i="3"/>
  <c r="AS3" i="6"/>
  <c r="S15" i="8"/>
  <c r="T15" i="8"/>
  <c r="AY4" i="4"/>
  <c r="AX24" i="16"/>
  <c r="AX25" i="16" s="1"/>
  <c r="AX26" i="16" s="1"/>
  <c r="AX27" i="16" s="1"/>
  <c r="AX28" i="16" s="1"/>
  <c r="AX29" i="16" s="1"/>
  <c r="AX30" i="16" s="1"/>
  <c r="AX31" i="16" s="1"/>
  <c r="AX32" i="16" s="1"/>
  <c r="AX33" i="16" s="1"/>
  <c r="AX34" i="16" s="1"/>
  <c r="AX35" i="16" s="1"/>
  <c r="AX36" i="16" s="1"/>
  <c r="AX37" i="16" s="1"/>
  <c r="AX38" i="16" s="1"/>
  <c r="AX39" i="16" s="1"/>
  <c r="AX40" i="16" s="1"/>
  <c r="AX41" i="16" s="1"/>
  <c r="AX42" i="16" s="1"/>
  <c r="AX43" i="16" s="1"/>
  <c r="AX44" i="16" s="1"/>
  <c r="AX45" i="16" s="1"/>
  <c r="AX46" i="16" s="1"/>
  <c r="AX47" i="16" s="1"/>
  <c r="AX48" i="16" s="1"/>
  <c r="AX49" i="16" s="1"/>
  <c r="AX50" i="16" s="1"/>
  <c r="AX51" i="16" s="1"/>
  <c r="AX52" i="16" s="1"/>
  <c r="AX53" i="16" s="1"/>
  <c r="AX54" i="16" s="1"/>
  <c r="AX55" i="16" s="1"/>
  <c r="AX56" i="16" s="1"/>
  <c r="AX57" i="16" s="1"/>
  <c r="AX58" i="16" s="1"/>
  <c r="AX59" i="16" s="1"/>
  <c r="AX60" i="16" s="1"/>
  <c r="AX61" i="16" s="1"/>
  <c r="AX62" i="16" s="1"/>
  <c r="AX63" i="16" s="1"/>
  <c r="AX64" i="16" s="1"/>
  <c r="AX65" i="16" s="1"/>
  <c r="AX66" i="16" s="1"/>
  <c r="AX67" i="16" s="1"/>
  <c r="AX68" i="16" s="1"/>
  <c r="AX69" i="16" s="1"/>
  <c r="AX70" i="16" s="1"/>
  <c r="AX71" i="16" s="1"/>
  <c r="AX72" i="16" s="1"/>
  <c r="AX73" i="16" s="1"/>
  <c r="AX74" i="16" s="1"/>
  <c r="AX75" i="16" s="1"/>
  <c r="AX76" i="16" s="1"/>
  <c r="AX77" i="16" s="1"/>
  <c r="AX78" i="16" s="1"/>
  <c r="AX79" i="16" s="1"/>
  <c r="AX80" i="16" s="1"/>
  <c r="AX81" i="16" s="1"/>
  <c r="AX82" i="16" s="1"/>
  <c r="AX83" i="16" s="1"/>
  <c r="AX84" i="16" s="1"/>
  <c r="AX85" i="16" s="1"/>
  <c r="AX86" i="16" s="1"/>
  <c r="AX87" i="16" s="1"/>
  <c r="AX88" i="16" s="1"/>
  <c r="AX89" i="16" s="1"/>
  <c r="AX90" i="16" s="1"/>
  <c r="AX91" i="16" s="1"/>
  <c r="AX92" i="16" s="1"/>
  <c r="AX93" i="16" s="1"/>
  <c r="AX94" i="16" s="1"/>
  <c r="AX95" i="16" s="1"/>
  <c r="AX96" i="16" s="1"/>
  <c r="AX97" i="16" s="1"/>
  <c r="AX98" i="16" s="1"/>
  <c r="AX99" i="16" s="1"/>
  <c r="AX100" i="16" s="1"/>
  <c r="AX101" i="16" s="1"/>
  <c r="AX102" i="16" s="1"/>
  <c r="AX103" i="16" s="1"/>
  <c r="AX104" i="16" s="1"/>
  <c r="AX105" i="16" s="1"/>
  <c r="AX106" i="16" s="1"/>
  <c r="AX107" i="16" s="1"/>
  <c r="AX108" i="16" s="1"/>
  <c r="AX109" i="16" s="1"/>
  <c r="AX110" i="16" s="1"/>
  <c r="AX111" i="16" s="1"/>
  <c r="AX112" i="16" s="1"/>
  <c r="AX113" i="16" s="1"/>
  <c r="AX114" i="16" s="1"/>
  <c r="AX115" i="16" s="1"/>
  <c r="AX116" i="16" s="1"/>
  <c r="AX117" i="16" s="1"/>
  <c r="AX118" i="16" s="1"/>
  <c r="AX119" i="16" s="1"/>
  <c r="AX120" i="16" s="1"/>
  <c r="AX121" i="16" s="1"/>
  <c r="AX122" i="16" s="1"/>
  <c r="AX123" i="16" s="1"/>
  <c r="AX124" i="16" s="1"/>
  <c r="AX125" i="16" s="1"/>
  <c r="AX126" i="16" s="1"/>
  <c r="AX127" i="16" s="1"/>
  <c r="AX128" i="16" s="1"/>
  <c r="AX129" i="16" s="1"/>
  <c r="AX130" i="16" s="1"/>
  <c r="AX131" i="16" s="1"/>
  <c r="AX132" i="16" s="1"/>
  <c r="AX133" i="16" s="1"/>
  <c r="AX134" i="16" s="1"/>
  <c r="AX135" i="16" s="1"/>
  <c r="AX136" i="16" s="1"/>
  <c r="AX137" i="16" s="1"/>
  <c r="AX138" i="16" s="1"/>
  <c r="AX139" i="16" s="1"/>
  <c r="AX140" i="16" s="1"/>
  <c r="AX141" i="16" s="1"/>
  <c r="AX142" i="16" s="1"/>
  <c r="AX143" i="16" s="1"/>
  <c r="AX144" i="16" s="1"/>
  <c r="AX145" i="16" s="1"/>
  <c r="AX146" i="16" s="1"/>
  <c r="AX147" i="16" s="1"/>
  <c r="AX148" i="16" s="1"/>
  <c r="AX149" i="16" s="1"/>
  <c r="AX150" i="16" s="1"/>
  <c r="AX151" i="16" s="1"/>
  <c r="AX152" i="16" s="1"/>
  <c r="AX153" i="16" s="1"/>
  <c r="AX154" i="16" s="1"/>
  <c r="AX155" i="16" s="1"/>
  <c r="AX156" i="16" s="1"/>
  <c r="AX157" i="16" s="1"/>
  <c r="AX158" i="16" s="1"/>
  <c r="AX159" i="16" s="1"/>
  <c r="AX160" i="16" s="1"/>
  <c r="S63" i="8"/>
  <c r="T63" i="8"/>
  <c r="S39" i="8"/>
  <c r="T39" i="8"/>
  <c r="S31" i="8"/>
  <c r="T31" i="8"/>
  <c r="K7" i="17"/>
  <c r="E7" i="17"/>
  <c r="L8" i="11"/>
  <c r="K8" i="11"/>
  <c r="J8" i="11"/>
  <c r="I8" i="11"/>
  <c r="F9" i="11"/>
  <c r="M5" i="11"/>
  <c r="V36" i="9"/>
  <c r="AF22" i="9"/>
  <c r="S22" i="8"/>
  <c r="T22" i="8"/>
  <c r="S67" i="8"/>
  <c r="T67" i="8"/>
  <c r="S59" i="8"/>
  <c r="T59" i="8"/>
  <c r="S51" i="8"/>
  <c r="T51" i="8"/>
  <c r="S43" i="8"/>
  <c r="T43" i="8"/>
  <c r="S35" i="8"/>
  <c r="T35" i="8"/>
  <c r="S27" i="8"/>
  <c r="T27" i="8"/>
  <c r="S80" i="8"/>
  <c r="T80" i="8"/>
  <c r="S81" i="8"/>
  <c r="T81" i="8"/>
  <c r="Z4" i="8"/>
  <c r="Y4" i="8"/>
  <c r="AA4" i="8"/>
  <c r="G4" i="8"/>
  <c r="W4" i="8"/>
  <c r="X4" i="8" s="1"/>
  <c r="F5" i="8"/>
  <c r="AI3" i="6"/>
  <c r="AN3" i="6"/>
  <c r="T9" i="8"/>
  <c r="S9" i="8"/>
  <c r="T21" i="8"/>
  <c r="S21" i="8"/>
  <c r="AB5" i="4"/>
  <c r="BQ5" i="4" s="1"/>
  <c r="R5" i="4"/>
  <c r="BG5" i="4" s="1"/>
  <c r="H5" i="4"/>
  <c r="AA5" i="4"/>
  <c r="Q5" i="4"/>
  <c r="A6" i="4"/>
  <c r="Y5" i="4"/>
  <c r="BN5" i="4" s="1"/>
  <c r="P5" i="4"/>
  <c r="C5" i="4"/>
  <c r="AY5" i="4"/>
  <c r="AK5" i="4"/>
  <c r="X5" i="4"/>
  <c r="BM5" i="4" s="1"/>
  <c r="O5" i="4"/>
  <c r="BD5" i="4" s="1"/>
  <c r="B5" i="4"/>
  <c r="N5" i="4"/>
  <c r="BC5" i="4" s="1"/>
  <c r="BP5" i="4"/>
  <c r="BF5" i="4"/>
  <c r="AW5" i="4"/>
  <c r="U5" i="4"/>
  <c r="BJ5" i="4" s="1"/>
  <c r="M5" i="4"/>
  <c r="BE5" i="4"/>
  <c r="AV5" i="4"/>
  <c r="AF5" i="4"/>
  <c r="BS5" i="4" s="1"/>
  <c r="T5" i="4"/>
  <c r="BI5" i="4" s="1"/>
  <c r="S5" i="4"/>
  <c r="BH5" i="4" s="1"/>
  <c r="AV4" i="4"/>
  <c r="S83" i="8"/>
  <c r="T83" i="8"/>
  <c r="S47" i="8"/>
  <c r="T47" i="8"/>
  <c r="S72" i="8"/>
  <c r="T72" i="8"/>
  <c r="S23" i="8"/>
  <c r="T23" i="8"/>
  <c r="T2" i="8"/>
  <c r="S2" i="8"/>
  <c r="E10" i="17"/>
  <c r="I15" i="17"/>
  <c r="J15" i="17" s="1"/>
  <c r="J7" i="17"/>
  <c r="V45" i="9"/>
  <c r="K18" i="9"/>
  <c r="L18" i="9" s="1"/>
  <c r="Q18" i="9" s="1"/>
  <c r="V18" i="9" s="1"/>
  <c r="S66" i="8"/>
  <c r="T66" i="8"/>
  <c r="S58" i="8"/>
  <c r="T58" i="8"/>
  <c r="S50" i="8"/>
  <c r="T50" i="8"/>
  <c r="S42" i="8"/>
  <c r="T42" i="8"/>
  <c r="S34" i="8"/>
  <c r="T34" i="8"/>
  <c r="S26" i="8"/>
  <c r="T26" i="8"/>
  <c r="S76" i="8"/>
  <c r="T76" i="8"/>
  <c r="S70" i="8"/>
  <c r="T70" i="8"/>
  <c r="S77" i="8"/>
  <c r="T77" i="8"/>
  <c r="V34" i="9"/>
  <c r="U84" i="8"/>
  <c r="U80" i="8"/>
  <c r="U76" i="8"/>
  <c r="U69" i="8"/>
  <c r="U15" i="8"/>
  <c r="U70" i="8"/>
  <c r="U21" i="8"/>
  <c r="U10" i="8"/>
  <c r="U85" i="8"/>
  <c r="U81" i="8"/>
  <c r="U77" i="8"/>
  <c r="U71" i="8"/>
  <c r="U12" i="8"/>
  <c r="U72" i="8"/>
  <c r="U2" i="8"/>
  <c r="U82" i="8"/>
  <c r="U78" i="8"/>
  <c r="U73" i="8"/>
  <c r="U74" i="8"/>
  <c r="U67" i="8"/>
  <c r="U65" i="8"/>
  <c r="U63" i="8"/>
  <c r="U61" i="8"/>
  <c r="U59" i="8"/>
  <c r="U57" i="8"/>
  <c r="U55" i="8"/>
  <c r="U53" i="8"/>
  <c r="U51" i="8"/>
  <c r="U49" i="8"/>
  <c r="U47" i="8"/>
  <c r="U45" i="8"/>
  <c r="U43" i="8"/>
  <c r="U41" i="8"/>
  <c r="U39" i="8"/>
  <c r="U37" i="8"/>
  <c r="U35" i="8"/>
  <c r="U33" i="8"/>
  <c r="U31" i="8"/>
  <c r="U29" i="8"/>
  <c r="U27" i="8"/>
  <c r="U11" i="8"/>
  <c r="U79" i="8"/>
  <c r="U22" i="8"/>
  <c r="U68" i="8"/>
  <c r="U66" i="8"/>
  <c r="U64" i="8"/>
  <c r="U62" i="8"/>
  <c r="U60" i="8"/>
  <c r="U58" i="8"/>
  <c r="U56" i="8"/>
  <c r="U54" i="8"/>
  <c r="U52" i="8"/>
  <c r="U50" i="8"/>
  <c r="U48" i="8"/>
  <c r="U46" i="8"/>
  <c r="U44" i="8"/>
  <c r="U42" i="8"/>
  <c r="U40" i="8"/>
  <c r="U38" i="8"/>
  <c r="U36" i="8"/>
  <c r="U34" i="8"/>
  <c r="U32" i="8"/>
  <c r="U30" i="8"/>
  <c r="U28" i="8"/>
  <c r="U26" i="8"/>
  <c r="U5" i="8"/>
  <c r="U83" i="8"/>
  <c r="U75" i="8"/>
  <c r="S78" i="8"/>
  <c r="T78" i="8"/>
  <c r="V3" i="9"/>
  <c r="AO3" i="6"/>
  <c r="AL3" i="6"/>
  <c r="C4" i="6"/>
  <c r="AN4" i="6" s="1"/>
  <c r="AO4" i="6"/>
  <c r="A5" i="6"/>
  <c r="AD4" i="6"/>
  <c r="AU4" i="6"/>
  <c r="AC4" i="6"/>
  <c r="AF4" i="6" s="1"/>
  <c r="AT4" i="6"/>
  <c r="AL4" i="6"/>
  <c r="AA4" i="6"/>
  <c r="AP4" i="6"/>
  <c r="AJ4" i="6"/>
  <c r="B4" i="6"/>
  <c r="T20" i="8"/>
  <c r="S20" i="8"/>
  <c r="S5" i="8"/>
  <c r="T5" i="8"/>
  <c r="J12" i="17"/>
  <c r="AC6" i="10"/>
  <c r="C7" i="10"/>
  <c r="Y22" i="9"/>
  <c r="K23" i="3"/>
  <c r="S55" i="8"/>
  <c r="T55" i="8"/>
  <c r="K22" i="3"/>
  <c r="K24" i="3"/>
  <c r="AW4" i="4"/>
  <c r="E13" i="17"/>
  <c r="K5" i="17"/>
  <c r="E5" i="17"/>
  <c r="E6" i="17"/>
  <c r="E8" i="17"/>
  <c r="K8" i="17"/>
  <c r="J5" i="17"/>
  <c r="K20" i="9"/>
  <c r="L20" i="9" s="1"/>
  <c r="Q20" i="9" s="1"/>
  <c r="V20" i="9" s="1"/>
  <c r="V44" i="9"/>
  <c r="AF12" i="9"/>
  <c r="T16" i="8"/>
  <c r="S16" i="8"/>
  <c r="S65" i="8"/>
  <c r="T65" i="8"/>
  <c r="S57" i="8"/>
  <c r="T57" i="8"/>
  <c r="S49" i="8"/>
  <c r="T49" i="8"/>
  <c r="S41" i="8"/>
  <c r="T41" i="8"/>
  <c r="S33" i="8"/>
  <c r="T33" i="8"/>
  <c r="S69" i="8"/>
  <c r="T69" i="8"/>
  <c r="S71" i="8"/>
  <c r="T71" i="8"/>
  <c r="Y21" i="9"/>
  <c r="S82" i="8"/>
  <c r="T82" i="8"/>
  <c r="O6" i="7"/>
  <c r="N7" i="7"/>
  <c r="S73" i="8"/>
  <c r="T73" i="8"/>
  <c r="G28" i="3"/>
  <c r="I9" i="17"/>
  <c r="K6" i="17" s="1"/>
  <c r="I23" i="7"/>
  <c r="AQ3" i="6"/>
  <c r="AT3" i="6"/>
  <c r="S6" i="8"/>
  <c r="T6" i="8"/>
  <c r="S13" i="8"/>
  <c r="T13" i="8"/>
  <c r="N5" i="10"/>
  <c r="AB5" i="10"/>
  <c r="B6" i="10"/>
  <c r="J5" i="10"/>
  <c r="G5" i="10"/>
  <c r="H5" i="10" s="1"/>
  <c r="AG10" i="9"/>
  <c r="K10" i="9"/>
  <c r="L10" i="9" s="1"/>
  <c r="Q10" i="9" s="1"/>
  <c r="V10" i="9" s="1"/>
  <c r="AG2" i="9"/>
  <c r="K2" i="9"/>
  <c r="L2" i="9" s="1"/>
  <c r="Q2" i="9" s="1"/>
  <c r="V2" i="9" s="1"/>
  <c r="S11" i="8"/>
  <c r="T11" i="8"/>
  <c r="V11" i="9"/>
  <c r="S64" i="8"/>
  <c r="T64" i="8"/>
  <c r="S56" i="8"/>
  <c r="T56" i="8"/>
  <c r="S48" i="8"/>
  <c r="T48" i="8"/>
  <c r="S40" i="8"/>
  <c r="T40" i="8"/>
  <c r="S32" i="8"/>
  <c r="T32" i="8"/>
  <c r="Y2" i="8"/>
  <c r="Z2" i="8"/>
  <c r="S25" i="8"/>
  <c r="T25" i="8"/>
  <c r="T8" i="8"/>
  <c r="S8" i="8"/>
  <c r="S24" i="8"/>
  <c r="T24" i="8"/>
  <c r="T14" i="8"/>
  <c r="S14" i="8"/>
  <c r="AF4" i="9"/>
  <c r="T4" i="8"/>
  <c r="S4" i="8"/>
  <c r="K5" i="10" l="1"/>
  <c r="AG4" i="9"/>
  <c r="Y23" i="9" s="1"/>
  <c r="K4" i="9"/>
  <c r="L4" i="9" s="1"/>
  <c r="Q4" i="9" s="1"/>
  <c r="V4" i="9" s="1"/>
  <c r="W52" i="9" s="1"/>
  <c r="K4" i="17"/>
  <c r="K13" i="17"/>
  <c r="A7" i="4"/>
  <c r="Y6" i="4"/>
  <c r="BN6" i="4" s="1"/>
  <c r="P6" i="4"/>
  <c r="BE6" i="4" s="1"/>
  <c r="C6" i="4"/>
  <c r="AK6" i="4"/>
  <c r="X6" i="4"/>
  <c r="O6" i="4"/>
  <c r="B6" i="4"/>
  <c r="BD6" i="4" s="1"/>
  <c r="N6" i="4"/>
  <c r="U6" i="4"/>
  <c r="M6" i="4"/>
  <c r="AF6" i="4"/>
  <c r="BS6" i="4" s="1"/>
  <c r="T6" i="4"/>
  <c r="BI6" i="4" s="1"/>
  <c r="S6" i="4"/>
  <c r="BH6" i="4" s="1"/>
  <c r="AB6" i="4"/>
  <c r="BQ6" i="4" s="1"/>
  <c r="R6" i="4"/>
  <c r="BG6" i="4" s="1"/>
  <c r="H6" i="4"/>
  <c r="AA6" i="4"/>
  <c r="BP6" i="4" s="1"/>
  <c r="Q6" i="4"/>
  <c r="K12" i="17"/>
  <c r="BG68" i="11"/>
  <c r="AY68" i="11"/>
  <c r="AQ68" i="11"/>
  <c r="AI68" i="11"/>
  <c r="AA68" i="11"/>
  <c r="S68" i="11"/>
  <c r="K68" i="11"/>
  <c r="BE68" i="11"/>
  <c r="AW68" i="11"/>
  <c r="AO68" i="11"/>
  <c r="AG68" i="11"/>
  <c r="Y68" i="11"/>
  <c r="Q68" i="11"/>
  <c r="I68" i="11"/>
  <c r="BD68" i="11"/>
  <c r="AV68" i="11"/>
  <c r="AN68" i="11"/>
  <c r="AF68" i="11"/>
  <c r="X68" i="11"/>
  <c r="P68" i="11"/>
  <c r="BC68" i="11"/>
  <c r="AU68" i="11"/>
  <c r="AM68" i="11"/>
  <c r="AE68" i="11"/>
  <c r="W68" i="11"/>
  <c r="O68" i="11"/>
  <c r="BB68" i="11"/>
  <c r="AT68" i="11"/>
  <c r="AL68" i="11"/>
  <c r="AD68" i="11"/>
  <c r="V68" i="11"/>
  <c r="N68" i="11"/>
  <c r="F69" i="11"/>
  <c r="BA68" i="11"/>
  <c r="AS68" i="11"/>
  <c r="AK68" i="11"/>
  <c r="AC68" i="11"/>
  <c r="U68" i="11"/>
  <c r="M68" i="11"/>
  <c r="AR68" i="11"/>
  <c r="L68" i="11"/>
  <c r="AP68" i="11"/>
  <c r="J68" i="11"/>
  <c r="AJ68" i="11"/>
  <c r="AH68" i="11"/>
  <c r="BH68" i="11"/>
  <c r="AB68" i="11"/>
  <c r="BF68" i="11"/>
  <c r="Z68" i="11"/>
  <c r="AZ68" i="11"/>
  <c r="T68" i="11"/>
  <c r="R68" i="11"/>
  <c r="AX68" i="11"/>
  <c r="N6" i="10"/>
  <c r="AB6" i="10"/>
  <c r="B7" i="10"/>
  <c r="J6" i="10"/>
  <c r="G6" i="10"/>
  <c r="H6" i="10" s="1"/>
  <c r="O6" i="10"/>
  <c r="N8" i="7"/>
  <c r="O7" i="7"/>
  <c r="AG12" i="9"/>
  <c r="K12" i="9"/>
  <c r="L12" i="9" s="1"/>
  <c r="Q12" i="9" s="1"/>
  <c r="V12" i="9" s="1"/>
  <c r="AI4" i="6"/>
  <c r="BK4" i="4"/>
  <c r="L5" i="10"/>
  <c r="AR4" i="6"/>
  <c r="AM4" i="6"/>
  <c r="AQ4" i="6"/>
  <c r="AJ5" i="6"/>
  <c r="B5" i="6"/>
  <c r="AO5" i="6"/>
  <c r="A6" i="6"/>
  <c r="AD5" i="6"/>
  <c r="AU5" i="6"/>
  <c r="AC5" i="6"/>
  <c r="AL5" i="6"/>
  <c r="AA5" i="6"/>
  <c r="C5" i="6"/>
  <c r="AP5" i="6" s="1"/>
  <c r="AS5" i="6"/>
  <c r="AQ5" i="6"/>
  <c r="V5" i="4"/>
  <c r="BB5" i="4"/>
  <c r="BK5" i="4" s="1"/>
  <c r="R5" i="10"/>
  <c r="P5" i="10"/>
  <c r="AC7" i="10"/>
  <c r="C8" i="10"/>
  <c r="J26" i="9"/>
  <c r="J16" i="9"/>
  <c r="J9" i="9"/>
  <c r="J5" i="9"/>
  <c r="J12" i="9"/>
  <c r="J22" i="9"/>
  <c r="J10" i="9"/>
  <c r="J7" i="9"/>
  <c r="J24" i="9"/>
  <c r="H22" i="3" s="1"/>
  <c r="J2" i="9"/>
  <c r="J6" i="9"/>
  <c r="J14" i="9"/>
  <c r="J18" i="9"/>
  <c r="J4" i="9"/>
  <c r="J20" i="9"/>
  <c r="J32" i="9"/>
  <c r="Q23" i="3"/>
  <c r="J4" i="10"/>
  <c r="AK4" i="6"/>
  <c r="W5" i="8"/>
  <c r="F6" i="8"/>
  <c r="AA5" i="8"/>
  <c r="AG22" i="9"/>
  <c r="K22" i="9"/>
  <c r="L22" i="9" s="1"/>
  <c r="Q22" i="9" s="1"/>
  <c r="V22" i="9" s="1"/>
  <c r="N9" i="11"/>
  <c r="F10" i="11"/>
  <c r="M9" i="11"/>
  <c r="L9" i="11"/>
  <c r="K9" i="11"/>
  <c r="J9" i="11"/>
  <c r="I9" i="11"/>
  <c r="W12" i="13"/>
  <c r="V13" i="13"/>
  <c r="AP4" i="5"/>
  <c r="AR4" i="5"/>
  <c r="AN4" i="5"/>
  <c r="AM2" i="10"/>
  <c r="N5" i="11"/>
  <c r="M7" i="11"/>
  <c r="C12" i="8"/>
  <c r="E9" i="17"/>
  <c r="K9" i="17"/>
  <c r="J9" i="17"/>
  <c r="L7" i="17" s="1"/>
  <c r="K11" i="17"/>
  <c r="K3" i="17"/>
  <c r="K15" i="17"/>
  <c r="E15" i="17"/>
  <c r="L3" i="17"/>
  <c r="L12" i="17"/>
  <c r="AS4" i="6"/>
  <c r="K10" i="17"/>
  <c r="M8" i="11"/>
  <c r="L14" i="17"/>
  <c r="H108" i="11"/>
  <c r="H102" i="11"/>
  <c r="H91" i="11"/>
  <c r="H84" i="11"/>
  <c r="H90" i="11"/>
  <c r="H103" i="11"/>
  <c r="H47" i="11"/>
  <c r="H48" i="11"/>
  <c r="H45" i="11"/>
  <c r="H30" i="11"/>
  <c r="H23" i="11"/>
  <c r="H13" i="11"/>
  <c r="H9" i="11"/>
  <c r="H104" i="11"/>
  <c r="H96" i="11"/>
  <c r="H87" i="11"/>
  <c r="H80" i="11"/>
  <c r="H86" i="11"/>
  <c r="H74" i="11"/>
  <c r="H43" i="11"/>
  <c r="H44" i="11"/>
  <c r="H41" i="11"/>
  <c r="H26" i="11"/>
  <c r="H19" i="11"/>
  <c r="H29" i="11"/>
  <c r="H111" i="11"/>
  <c r="H101" i="11"/>
  <c r="H21" i="11"/>
  <c r="H16" i="11"/>
  <c r="H105" i="11"/>
  <c r="H107" i="11"/>
  <c r="H83" i="11"/>
  <c r="H76" i="11"/>
  <c r="H72" i="11"/>
  <c r="H75" i="11"/>
  <c r="H39" i="11"/>
  <c r="H40" i="11"/>
  <c r="H37" i="11"/>
  <c r="H22" i="11"/>
  <c r="H15" i="11"/>
  <c r="H11" i="11"/>
  <c r="H88" i="11"/>
  <c r="H49" i="11"/>
  <c r="H17" i="11"/>
  <c r="H99" i="11"/>
  <c r="H115" i="11"/>
  <c r="H79" i="11"/>
  <c r="H97" i="11"/>
  <c r="H109" i="11"/>
  <c r="H70" i="11"/>
  <c r="H36" i="11"/>
  <c r="H33" i="11"/>
  <c r="H18" i="11"/>
  <c r="H50" i="11"/>
  <c r="H20" i="11"/>
  <c r="H77" i="11"/>
  <c r="H52" i="11"/>
  <c r="H42" i="11"/>
  <c r="H100" i="11"/>
  <c r="H114" i="11"/>
  <c r="H94" i="11"/>
  <c r="H89" i="11"/>
  <c r="H82" i="11"/>
  <c r="H68" i="11"/>
  <c r="H57" i="11"/>
  <c r="H66" i="11"/>
  <c r="H71" i="11"/>
  <c r="H14" i="11"/>
  <c r="H34" i="11"/>
  <c r="H12" i="11"/>
  <c r="H28" i="11"/>
  <c r="H106" i="11"/>
  <c r="H51" i="11"/>
  <c r="H27" i="11"/>
  <c r="H116" i="11"/>
  <c r="H113" i="11"/>
  <c r="H98" i="11"/>
  <c r="H85" i="11"/>
  <c r="H78" i="11"/>
  <c r="H58" i="11"/>
  <c r="H55" i="11"/>
  <c r="H53" i="11"/>
  <c r="H38" i="11"/>
  <c r="H46" i="11"/>
  <c r="H10" i="11"/>
  <c r="H8" i="11"/>
  <c r="H110" i="11"/>
  <c r="H95" i="11"/>
  <c r="H92" i="11"/>
  <c r="H81" i="11"/>
  <c r="H73" i="11"/>
  <c r="H69" i="11"/>
  <c r="H54" i="11"/>
  <c r="H56" i="11"/>
  <c r="H67" i="11"/>
  <c r="H31" i="11"/>
  <c r="H32" i="11"/>
  <c r="H25" i="11"/>
  <c r="N4" i="10"/>
  <c r="AP3" i="5"/>
  <c r="AR3" i="5"/>
  <c r="AN3" i="5"/>
  <c r="N6" i="5"/>
  <c r="AL6" i="5"/>
  <c r="B6" i="5"/>
  <c r="AJ6" i="5"/>
  <c r="A7" i="5"/>
  <c r="C6" i="5"/>
  <c r="AK6" i="5"/>
  <c r="H24" i="11"/>
  <c r="L11" i="17"/>
  <c r="AR2" i="5"/>
  <c r="AN2" i="5"/>
  <c r="AP2" i="5" s="1"/>
  <c r="AR5" i="5"/>
  <c r="AP5" i="5"/>
  <c r="AN5" i="5"/>
  <c r="K6" i="10" l="1"/>
  <c r="H23" i="3"/>
  <c r="H24" i="3"/>
  <c r="AU2" i="5"/>
  <c r="BJ6" i="4"/>
  <c r="BM6" i="4"/>
  <c r="L8" i="17"/>
  <c r="L5" i="17"/>
  <c r="W6" i="8"/>
  <c r="X6" i="8" s="1"/>
  <c r="Z6" i="8" s="1"/>
  <c r="F7" i="8"/>
  <c r="C9" i="10"/>
  <c r="AC8" i="10"/>
  <c r="L10" i="17"/>
  <c r="AR5" i="6"/>
  <c r="G7" i="10"/>
  <c r="H7" i="10" s="1"/>
  <c r="E7" i="10"/>
  <c r="AG5" i="10" s="1"/>
  <c r="N7" i="10"/>
  <c r="AB7" i="10"/>
  <c r="B8" i="10"/>
  <c r="J7" i="10"/>
  <c r="O7" i="10"/>
  <c r="L4" i="11"/>
  <c r="BF69" i="11"/>
  <c r="AX69" i="11"/>
  <c r="AP69" i="11"/>
  <c r="BE69" i="11"/>
  <c r="AW69" i="11"/>
  <c r="AO69" i="11"/>
  <c r="BD69" i="11"/>
  <c r="AV69" i="11"/>
  <c r="AN69" i="11"/>
  <c r="AY69" i="11"/>
  <c r="AK69" i="11"/>
  <c r="AC69" i="11"/>
  <c r="U69" i="11"/>
  <c r="M69" i="11"/>
  <c r="F70" i="11"/>
  <c r="BH69" i="11"/>
  <c r="AT69" i="11"/>
  <c r="AI69" i="11"/>
  <c r="AA69" i="11"/>
  <c r="S69" i="11"/>
  <c r="K69" i="11"/>
  <c r="BG69" i="11"/>
  <c r="AS69" i="11"/>
  <c r="AH69" i="11"/>
  <c r="Z69" i="11"/>
  <c r="R69" i="11"/>
  <c r="J69" i="11"/>
  <c r="BC69" i="11"/>
  <c r="AR69" i="11"/>
  <c r="AG69" i="11"/>
  <c r="Y69" i="11"/>
  <c r="Q69" i="11"/>
  <c r="I69" i="11"/>
  <c r="BB69" i="11"/>
  <c r="AQ69" i="11"/>
  <c r="AF69" i="11"/>
  <c r="X69" i="11"/>
  <c r="P69" i="11"/>
  <c r="BA69" i="11"/>
  <c r="AM69" i="11"/>
  <c r="AE69" i="11"/>
  <c r="W69" i="11"/>
  <c r="O69" i="11"/>
  <c r="V69" i="11"/>
  <c r="T69" i="11"/>
  <c r="AZ69" i="11"/>
  <c r="N69" i="11"/>
  <c r="AU69" i="11"/>
  <c r="L69" i="11"/>
  <c r="AL69" i="11"/>
  <c r="AJ69" i="11"/>
  <c r="AD69" i="11"/>
  <c r="AB69" i="11"/>
  <c r="BF6" i="4"/>
  <c r="O5" i="11"/>
  <c r="N7" i="11"/>
  <c r="N8" i="11"/>
  <c r="AU4" i="5"/>
  <c r="G5" i="8"/>
  <c r="AN5" i="6"/>
  <c r="AG6" i="10"/>
  <c r="L9" i="17"/>
  <c r="L6" i="17"/>
  <c r="L13" i="17"/>
  <c r="AU3" i="5"/>
  <c r="AS3" i="5"/>
  <c r="AS4" i="5" s="1"/>
  <c r="AS5" i="5" s="1"/>
  <c r="A8" i="5"/>
  <c r="AK7" i="5"/>
  <c r="C7" i="5"/>
  <c r="B7" i="5"/>
  <c r="AL7" i="5"/>
  <c r="AJ7" i="5"/>
  <c r="N7" i="5"/>
  <c r="X5" i="8"/>
  <c r="AK6" i="6"/>
  <c r="C6" i="6"/>
  <c r="AQ6" i="6" s="1"/>
  <c r="B6" i="6"/>
  <c r="AO6" i="6"/>
  <c r="A7" i="6"/>
  <c r="AD6" i="6"/>
  <c r="AU6" i="6"/>
  <c r="AC6" i="6"/>
  <c r="AA6" i="6"/>
  <c r="AT6" i="6"/>
  <c r="N9" i="7"/>
  <c r="O8" i="7"/>
  <c r="P6" i="10"/>
  <c r="R6" i="10"/>
  <c r="AV6" i="4"/>
  <c r="N7" i="4"/>
  <c r="AW7" i="4"/>
  <c r="U7" i="4"/>
  <c r="M7" i="4"/>
  <c r="AF7" i="4"/>
  <c r="T7" i="4"/>
  <c r="BI7" i="4" s="1"/>
  <c r="BM7" i="4"/>
  <c r="S7" i="4"/>
  <c r="AB7" i="4"/>
  <c r="BQ7" i="4" s="1"/>
  <c r="R7" i="4"/>
  <c r="H7" i="4"/>
  <c r="BJ7" i="4"/>
  <c r="AA7" i="4"/>
  <c r="BP7" i="4" s="1"/>
  <c r="Q7" i="4"/>
  <c r="A8" i="4"/>
  <c r="Y7" i="4"/>
  <c r="P7" i="4"/>
  <c r="BE7" i="4" s="1"/>
  <c r="C7" i="4"/>
  <c r="AK7" i="4"/>
  <c r="X7" i="4"/>
  <c r="O7" i="4"/>
  <c r="BD7" i="4" s="1"/>
  <c r="B7" i="4"/>
  <c r="G6" i="8" s="1"/>
  <c r="L62" i="11"/>
  <c r="L6" i="10"/>
  <c r="AW6" i="4"/>
  <c r="R4" i="10"/>
  <c r="P4" i="10"/>
  <c r="BC6" i="4"/>
  <c r="AY6" i="4"/>
  <c r="L15" i="17"/>
  <c r="AU5" i="5"/>
  <c r="AR6" i="5"/>
  <c r="AN6" i="5"/>
  <c r="AP6" i="5" s="1"/>
  <c r="V14" i="13"/>
  <c r="W13" i="13"/>
  <c r="O10" i="11"/>
  <c r="N10" i="11"/>
  <c r="F11" i="11"/>
  <c r="M10" i="11"/>
  <c r="L10" i="11"/>
  <c r="K10" i="11"/>
  <c r="J10" i="11"/>
  <c r="I10" i="11"/>
  <c r="K4" i="10"/>
  <c r="L4" i="10" s="1"/>
  <c r="AT5" i="6"/>
  <c r="AI5" i="6"/>
  <c r="AF5" i="6"/>
  <c r="L4" i="17"/>
  <c r="V6" i="4"/>
  <c r="G29" i="3"/>
  <c r="G34" i="3" s="1"/>
  <c r="Q25" i="3" s="1"/>
  <c r="AN2" i="10"/>
  <c r="AK5" i="6"/>
  <c r="AM5" i="6"/>
  <c r="BB6" i="4"/>
  <c r="BK6" i="4" s="1"/>
  <c r="K7" i="10" l="1"/>
  <c r="L7" i="10" s="1"/>
  <c r="AT7" i="6"/>
  <c r="AA7" i="6"/>
  <c r="AR7" i="6"/>
  <c r="AJ7" i="6"/>
  <c r="AQ7" i="6"/>
  <c r="C7" i="6"/>
  <c r="AI7" i="6" s="1"/>
  <c r="AP7" i="6"/>
  <c r="B7" i="6"/>
  <c r="AO7" i="6"/>
  <c r="A8" i="6"/>
  <c r="AN7" i="6"/>
  <c r="AM7" i="6"/>
  <c r="AK7" i="6"/>
  <c r="AU7" i="6"/>
  <c r="AS7" i="6"/>
  <c r="Q3" i="7"/>
  <c r="BF7" i="4"/>
  <c r="AJ6" i="6"/>
  <c r="AS6" i="6"/>
  <c r="A9" i="5"/>
  <c r="N8" i="5"/>
  <c r="AL8" i="5"/>
  <c r="AJ8" i="5"/>
  <c r="C8" i="5"/>
  <c r="B8" i="5"/>
  <c r="AK8" i="5"/>
  <c r="F71" i="11"/>
  <c r="BA70" i="11"/>
  <c r="AS70" i="11"/>
  <c r="AK70" i="11"/>
  <c r="BH70" i="11"/>
  <c r="AZ70" i="11"/>
  <c r="AR70" i="11"/>
  <c r="AJ70" i="11"/>
  <c r="AB70" i="11"/>
  <c r="T70" i="11"/>
  <c r="L70" i="11"/>
  <c r="BG70" i="11"/>
  <c r="AY70" i="11"/>
  <c r="AQ70" i="11"/>
  <c r="AI70" i="11"/>
  <c r="AA70" i="11"/>
  <c r="S70" i="11"/>
  <c r="K70" i="11"/>
  <c r="BF70" i="11"/>
  <c r="AX70" i="11"/>
  <c r="AP70" i="11"/>
  <c r="AH70" i="11"/>
  <c r="Z70" i="11"/>
  <c r="R70" i="11"/>
  <c r="J70" i="11"/>
  <c r="BD70" i="11"/>
  <c r="AV70" i="11"/>
  <c r="AN70" i="11"/>
  <c r="AF70" i="11"/>
  <c r="BE70" i="11"/>
  <c r="AL70" i="11"/>
  <c r="V70" i="11"/>
  <c r="BC70" i="11"/>
  <c r="AG70" i="11"/>
  <c r="U70" i="11"/>
  <c r="BB70" i="11"/>
  <c r="AE70" i="11"/>
  <c r="Q70" i="11"/>
  <c r="AW70" i="11"/>
  <c r="AD70" i="11"/>
  <c r="P70" i="11"/>
  <c r="AU70" i="11"/>
  <c r="AC70" i="11"/>
  <c r="O70" i="11"/>
  <c r="AT70" i="11"/>
  <c r="Y70" i="11"/>
  <c r="N70" i="11"/>
  <c r="AO70" i="11"/>
  <c r="X70" i="11"/>
  <c r="M70" i="11"/>
  <c r="W70" i="11"/>
  <c r="I70" i="11"/>
  <c r="AM70" i="11"/>
  <c r="AO2" i="10"/>
  <c r="O9" i="7"/>
  <c r="N10" i="7"/>
  <c r="J11" i="11"/>
  <c r="I11" i="11"/>
  <c r="O11" i="11"/>
  <c r="N11" i="11"/>
  <c r="F12" i="11"/>
  <c r="M11" i="11"/>
  <c r="L11" i="11"/>
  <c r="K11" i="11"/>
  <c r="AV7" i="4"/>
  <c r="AF6" i="6"/>
  <c r="AS6" i="5"/>
  <c r="AS7" i="5" s="1"/>
  <c r="Y6" i="8"/>
  <c r="AW2" i="5"/>
  <c r="AU6" i="5"/>
  <c r="BN8" i="4"/>
  <c r="BE8" i="4"/>
  <c r="AF8" i="4"/>
  <c r="BS8" i="4" s="1"/>
  <c r="T8" i="4"/>
  <c r="BI8" i="4" s="1"/>
  <c r="BM8" i="4"/>
  <c r="S8" i="4"/>
  <c r="AB8" i="4"/>
  <c r="R8" i="4"/>
  <c r="BG8" i="4" s="1"/>
  <c r="H8" i="4"/>
  <c r="AA8" i="4"/>
  <c r="BP8" i="4" s="1"/>
  <c r="Q8" i="4"/>
  <c r="BF8" i="4" s="1"/>
  <c r="A9" i="4"/>
  <c r="Y8" i="4"/>
  <c r="P8" i="4"/>
  <c r="C8" i="4"/>
  <c r="AY8" i="4"/>
  <c r="AK8" i="4"/>
  <c r="X8" i="4"/>
  <c r="O8" i="4"/>
  <c r="BD8" i="4" s="1"/>
  <c r="B8" i="4"/>
  <c r="AV8" i="4" s="1"/>
  <c r="BQ8" i="4"/>
  <c r="N8" i="4"/>
  <c r="BC8" i="4" s="1"/>
  <c r="AW8" i="4"/>
  <c r="U8" i="4"/>
  <c r="BJ8" i="4" s="1"/>
  <c r="M8" i="4"/>
  <c r="BC7" i="4"/>
  <c r="AM6" i="6"/>
  <c r="AP6" i="6"/>
  <c r="Z5" i="8"/>
  <c r="Y5" i="8"/>
  <c r="AR7" i="5"/>
  <c r="AP7" i="5"/>
  <c r="AN7" i="5"/>
  <c r="B9" i="10"/>
  <c r="J8" i="10"/>
  <c r="G8" i="10"/>
  <c r="H8" i="10" s="1"/>
  <c r="E8" i="10"/>
  <c r="M62" i="11" s="1"/>
  <c r="N8" i="10"/>
  <c r="AB8" i="10"/>
  <c r="O8" i="10"/>
  <c r="E4" i="10"/>
  <c r="E5" i="10"/>
  <c r="AE7" i="10" s="1"/>
  <c r="E6" i="10"/>
  <c r="AY7" i="4"/>
  <c r="BN7" i="4"/>
  <c r="AG7" i="10"/>
  <c r="AF7" i="10"/>
  <c r="AA6" i="8"/>
  <c r="BH7" i="4"/>
  <c r="V7" i="4"/>
  <c r="BG7" i="4"/>
  <c r="AL6" i="6"/>
  <c r="AI6" i="6"/>
  <c r="R7" i="10"/>
  <c r="P7" i="10"/>
  <c r="F8" i="8"/>
  <c r="W7" i="8"/>
  <c r="X7" i="8" s="1"/>
  <c r="Z7" i="8" s="1"/>
  <c r="G7" i="8"/>
  <c r="R3" i="7"/>
  <c r="Y3" i="7" s="1"/>
  <c r="V15" i="13"/>
  <c r="W14" i="13"/>
  <c r="BS7" i="4"/>
  <c r="BB7" i="4"/>
  <c r="BK7" i="4" s="1"/>
  <c r="AR6" i="6"/>
  <c r="AN6" i="6"/>
  <c r="P5" i="11"/>
  <c r="O7" i="11"/>
  <c r="O8" i="11"/>
  <c r="O9" i="11"/>
  <c r="AC9" i="10"/>
  <c r="C10" i="10"/>
  <c r="K8" i="10" l="1"/>
  <c r="AX2" i="5"/>
  <c r="AY2" i="5" s="1"/>
  <c r="AW3" i="5"/>
  <c r="F9" i="8"/>
  <c r="W8" i="8"/>
  <c r="X8" i="8" s="1"/>
  <c r="Y8" i="8" s="1"/>
  <c r="G8" i="8"/>
  <c r="M4" i="11"/>
  <c r="F13" i="11"/>
  <c r="L12" i="11"/>
  <c r="K12" i="11"/>
  <c r="J12" i="11"/>
  <c r="I12" i="11"/>
  <c r="P12" i="11"/>
  <c r="O12" i="11"/>
  <c r="N12" i="11"/>
  <c r="M12" i="11"/>
  <c r="BC71" i="11"/>
  <c r="AU71" i="11"/>
  <c r="AM71" i="11"/>
  <c r="AE71" i="11"/>
  <c r="W71" i="11"/>
  <c r="O71" i="11"/>
  <c r="BB71" i="11"/>
  <c r="AT71" i="11"/>
  <c r="AL71" i="11"/>
  <c r="AD71" i="11"/>
  <c r="V71" i="11"/>
  <c r="N71" i="11"/>
  <c r="F72" i="11"/>
  <c r="BA71" i="11"/>
  <c r="AS71" i="11"/>
  <c r="AK71" i="11"/>
  <c r="AC71" i="11"/>
  <c r="U71" i="11"/>
  <c r="M71" i="11"/>
  <c r="BH71" i="11"/>
  <c r="AZ71" i="11"/>
  <c r="AR71" i="11"/>
  <c r="AJ71" i="11"/>
  <c r="AB71" i="11"/>
  <c r="T71" i="11"/>
  <c r="L71" i="11"/>
  <c r="BF71" i="11"/>
  <c r="AX71" i="11"/>
  <c r="AP71" i="11"/>
  <c r="AH71" i="11"/>
  <c r="Z71" i="11"/>
  <c r="R71" i="11"/>
  <c r="J71" i="11"/>
  <c r="AV71" i="11"/>
  <c r="Y71" i="11"/>
  <c r="AQ71" i="11"/>
  <c r="X71" i="11"/>
  <c r="AO71" i="11"/>
  <c r="S71" i="11"/>
  <c r="BG71" i="11"/>
  <c r="AN71" i="11"/>
  <c r="Q71" i="11"/>
  <c r="BE71" i="11"/>
  <c r="AI71" i="11"/>
  <c r="P71" i="11"/>
  <c r="BD71" i="11"/>
  <c r="AG71" i="11"/>
  <c r="K71" i="11"/>
  <c r="AY71" i="11"/>
  <c r="AF71" i="11"/>
  <c r="I71" i="11"/>
  <c r="AW71" i="11"/>
  <c r="AA71" i="11"/>
  <c r="AB9" i="4"/>
  <c r="BQ9" i="4" s="1"/>
  <c r="R9" i="4"/>
  <c r="H9" i="4"/>
  <c r="AA9" i="4"/>
  <c r="Q9" i="4"/>
  <c r="A10" i="4"/>
  <c r="BI9" i="4"/>
  <c r="Y9" i="4"/>
  <c r="BN9" i="4" s="1"/>
  <c r="P9" i="4"/>
  <c r="C9" i="4"/>
  <c r="AK9" i="4"/>
  <c r="X9" i="4"/>
  <c r="BM9" i="4" s="1"/>
  <c r="O9" i="4"/>
  <c r="B9" i="4"/>
  <c r="AY9" i="4" s="1"/>
  <c r="BG9" i="4"/>
  <c r="N9" i="4"/>
  <c r="BC9" i="4" s="1"/>
  <c r="BP9" i="4"/>
  <c r="BF9" i="4"/>
  <c r="AW9" i="4"/>
  <c r="U9" i="4"/>
  <c r="BJ9" i="4" s="1"/>
  <c r="M9" i="4"/>
  <c r="V9" i="4" s="1"/>
  <c r="BE9" i="4"/>
  <c r="AV9" i="4"/>
  <c r="AF9" i="4"/>
  <c r="BS9" i="4" s="1"/>
  <c r="T9" i="4"/>
  <c r="BD9" i="4"/>
  <c r="S9" i="4"/>
  <c r="BH9" i="4" s="1"/>
  <c r="X3" i="7"/>
  <c r="AS8" i="6"/>
  <c r="AR8" i="6"/>
  <c r="AJ8" i="6"/>
  <c r="C8" i="6"/>
  <c r="AU8" i="6" s="1"/>
  <c r="AP8" i="6"/>
  <c r="B8" i="6"/>
  <c r="AO8" i="6"/>
  <c r="AT8" i="6"/>
  <c r="AA8" i="6"/>
  <c r="A9" i="6"/>
  <c r="T3" i="7"/>
  <c r="AA3" i="7" s="1"/>
  <c r="U4" i="7"/>
  <c r="AB4" i="7" s="1"/>
  <c r="AI4" i="7" s="1"/>
  <c r="AU7" i="5"/>
  <c r="L8" i="10"/>
  <c r="BH8" i="4"/>
  <c r="Q5" i="11"/>
  <c r="Q12" i="11" s="1"/>
  <c r="P7" i="11"/>
  <c r="P8" i="11"/>
  <c r="P9" i="11"/>
  <c r="P10" i="11"/>
  <c r="N9" i="10"/>
  <c r="AB9" i="10"/>
  <c r="B10" i="10"/>
  <c r="J9" i="10"/>
  <c r="G9" i="10"/>
  <c r="H9" i="10" s="1"/>
  <c r="E9" i="10"/>
  <c r="AI7" i="10" s="1"/>
  <c r="O9" i="10"/>
  <c r="N4" i="11"/>
  <c r="V8" i="4"/>
  <c r="BB8" i="4"/>
  <c r="AR8" i="5"/>
  <c r="AN8" i="5"/>
  <c r="AP8" i="5" s="1"/>
  <c r="T4" i="7"/>
  <c r="AA4" i="7" s="1"/>
  <c r="AH4" i="7" s="1"/>
  <c r="AL7" i="6"/>
  <c r="Y7" i="8"/>
  <c r="AP2" i="10"/>
  <c r="AF3" i="7"/>
  <c r="AT3" i="7"/>
  <c r="AH6" i="10"/>
  <c r="AH5" i="10"/>
  <c r="W15" i="13"/>
  <c r="V16" i="13"/>
  <c r="AF4" i="10"/>
  <c r="K62" i="11"/>
  <c r="AF5" i="10"/>
  <c r="K4" i="11"/>
  <c r="AF6" i="10"/>
  <c r="AH8" i="10"/>
  <c r="AG8" i="10"/>
  <c r="AF8" i="10"/>
  <c r="AE8" i="10"/>
  <c r="AD8" i="10"/>
  <c r="F4" i="10"/>
  <c r="F5" i="10" s="1"/>
  <c r="F6" i="10" s="1"/>
  <c r="F7" i="10" s="1"/>
  <c r="F8" i="10" s="1"/>
  <c r="I4" i="11"/>
  <c r="I62" i="11"/>
  <c r="AD4" i="10"/>
  <c r="AD5" i="10"/>
  <c r="AD6" i="10"/>
  <c r="AD7" i="10"/>
  <c r="AH4" i="10"/>
  <c r="N11" i="7"/>
  <c r="O10" i="7"/>
  <c r="AC10" i="10"/>
  <c r="C11" i="10"/>
  <c r="AH7" i="10"/>
  <c r="S3" i="7"/>
  <c r="Z3" i="7" s="1"/>
  <c r="AA7" i="8"/>
  <c r="J4" i="11"/>
  <c r="J62" i="11"/>
  <c r="AE4" i="10"/>
  <c r="AE5" i="10"/>
  <c r="AE6" i="10"/>
  <c r="R8" i="10"/>
  <c r="P8" i="10"/>
  <c r="P11" i="11"/>
  <c r="AJ9" i="5"/>
  <c r="B9" i="5"/>
  <c r="C9" i="5"/>
  <c r="AL9" i="5"/>
  <c r="AK9" i="5"/>
  <c r="A10" i="5"/>
  <c r="N9" i="5"/>
  <c r="R4" i="7"/>
  <c r="Y4" i="7" s="1"/>
  <c r="AF4" i="7" s="1"/>
  <c r="AG3" i="7" l="1"/>
  <c r="AU3" i="7"/>
  <c r="AU8" i="5"/>
  <c r="AS8" i="5"/>
  <c r="Z8" i="8"/>
  <c r="AR9" i="5"/>
  <c r="AP9" i="5"/>
  <c r="AN9" i="5"/>
  <c r="AH3" i="7"/>
  <c r="AV3" i="7"/>
  <c r="A11" i="4"/>
  <c r="Y10" i="4"/>
  <c r="P10" i="4"/>
  <c r="C10" i="4"/>
  <c r="AY10" i="4"/>
  <c r="AK10" i="4"/>
  <c r="X10" i="4"/>
  <c r="O10" i="4"/>
  <c r="B10" i="4"/>
  <c r="BD10" i="4" s="1"/>
  <c r="N10" i="4"/>
  <c r="BC10" i="4" s="1"/>
  <c r="AW10" i="4"/>
  <c r="U10" i="4"/>
  <c r="M10" i="4"/>
  <c r="BE10" i="4"/>
  <c r="AV10" i="4"/>
  <c r="AF10" i="4"/>
  <c r="BS10" i="4" s="1"/>
  <c r="T10" i="4"/>
  <c r="BI10" i="4" s="1"/>
  <c r="BM10" i="4"/>
  <c r="S10" i="4"/>
  <c r="BH10" i="4" s="1"/>
  <c r="AB10" i="4"/>
  <c r="BQ10" i="4" s="1"/>
  <c r="R10" i="4"/>
  <c r="BG10" i="4" s="1"/>
  <c r="H10" i="4"/>
  <c r="BJ10" i="4"/>
  <c r="AA10" i="4"/>
  <c r="BP10" i="4" s="1"/>
  <c r="Q10" i="4"/>
  <c r="BF10" i="4" s="1"/>
  <c r="AK10" i="5"/>
  <c r="C10" i="5"/>
  <c r="AJ10" i="5"/>
  <c r="B10" i="5"/>
  <c r="A11" i="5"/>
  <c r="N10" i="5"/>
  <c r="AL10" i="5"/>
  <c r="N12" i="7"/>
  <c r="O11" i="7"/>
  <c r="AI8" i="10"/>
  <c r="BK8" i="4"/>
  <c r="A10" i="6"/>
  <c r="AA9" i="6"/>
  <c r="AS9" i="6"/>
  <c r="AK9" i="6"/>
  <c r="AJ9" i="6"/>
  <c r="AI9" i="6"/>
  <c r="C9" i="6"/>
  <c r="AN9" i="6" s="1"/>
  <c r="AP9" i="6"/>
  <c r="B9" i="6"/>
  <c r="AO9" i="6"/>
  <c r="AK8" i="6"/>
  <c r="BE72" i="11"/>
  <c r="AW72" i="11"/>
  <c r="AO72" i="11"/>
  <c r="AG72" i="11"/>
  <c r="Y72" i="11"/>
  <c r="Q72" i="11"/>
  <c r="I72" i="11"/>
  <c r="BD72" i="11"/>
  <c r="AV72" i="11"/>
  <c r="AN72" i="11"/>
  <c r="AF72" i="11"/>
  <c r="X72" i="11"/>
  <c r="P72" i="11"/>
  <c r="BC72" i="11"/>
  <c r="AU72" i="11"/>
  <c r="AM72" i="11"/>
  <c r="AE72" i="11"/>
  <c r="W72" i="11"/>
  <c r="O72" i="11"/>
  <c r="BB72" i="11"/>
  <c r="AT72" i="11"/>
  <c r="AL72" i="11"/>
  <c r="AD72" i="11"/>
  <c r="V72" i="11"/>
  <c r="N72" i="11"/>
  <c r="BH72" i="11"/>
  <c r="AZ72" i="11"/>
  <c r="AR72" i="11"/>
  <c r="AJ72" i="11"/>
  <c r="AB72" i="11"/>
  <c r="T72" i="11"/>
  <c r="L72" i="11"/>
  <c r="BG72" i="11"/>
  <c r="AY72" i="11"/>
  <c r="AQ72" i="11"/>
  <c r="AI72" i="11"/>
  <c r="AA72" i="11"/>
  <c r="S72" i="11"/>
  <c r="K72" i="11"/>
  <c r="BF72" i="11"/>
  <c r="AX72" i="11"/>
  <c r="AP72" i="11"/>
  <c r="F73" i="11"/>
  <c r="R72" i="11"/>
  <c r="BA72" i="11"/>
  <c r="M72" i="11"/>
  <c r="AS72" i="11"/>
  <c r="J72" i="11"/>
  <c r="AK72" i="11"/>
  <c r="AH72" i="11"/>
  <c r="AC72" i="11"/>
  <c r="Z72" i="11"/>
  <c r="U72" i="11"/>
  <c r="AC11" i="10"/>
  <c r="C12" i="10"/>
  <c r="K9" i="10"/>
  <c r="L9" i="10" s="1"/>
  <c r="AT4" i="7"/>
  <c r="O13" i="11"/>
  <c r="N13" i="11"/>
  <c r="F14" i="11"/>
  <c r="M13" i="11"/>
  <c r="L13" i="11"/>
  <c r="I13" i="11"/>
  <c r="Q13" i="11"/>
  <c r="P13" i="11"/>
  <c r="K13" i="11"/>
  <c r="J13" i="11"/>
  <c r="AE3" i="7"/>
  <c r="AS3" i="7"/>
  <c r="E10" i="10"/>
  <c r="AJ6" i="10" s="1"/>
  <c r="N10" i="10"/>
  <c r="AB10" i="10"/>
  <c r="B11" i="10"/>
  <c r="J10" i="10"/>
  <c r="G10" i="10"/>
  <c r="H10" i="10" s="1"/>
  <c r="O10" i="10"/>
  <c r="O62" i="11"/>
  <c r="AJ7" i="10"/>
  <c r="BB9" i="4"/>
  <c r="BK9" i="4" s="1"/>
  <c r="F9" i="10"/>
  <c r="AQ2" i="10"/>
  <c r="N62" i="11"/>
  <c r="AJ9" i="10"/>
  <c r="AI9" i="10"/>
  <c r="AH9" i="10"/>
  <c r="AG9" i="10"/>
  <c r="AF9" i="10"/>
  <c r="AE9" i="10"/>
  <c r="AD9" i="10"/>
  <c r="W16" i="13"/>
  <c r="V17" i="13"/>
  <c r="AI6" i="10"/>
  <c r="R9" i="10"/>
  <c r="P9" i="10"/>
  <c r="R5" i="11"/>
  <c r="R13" i="11" s="1"/>
  <c r="Q7" i="11"/>
  <c r="Q8" i="11"/>
  <c r="Q9" i="11"/>
  <c r="Q10" i="11"/>
  <c r="Q11" i="11"/>
  <c r="AL8" i="6"/>
  <c r="AI8" i="6"/>
  <c r="AM8" i="6"/>
  <c r="AA9" i="8"/>
  <c r="G9" i="8"/>
  <c r="W9" i="8"/>
  <c r="X9" i="8" s="1"/>
  <c r="Y9" i="8" s="1"/>
  <c r="F10" i="8"/>
  <c r="AX3" i="5"/>
  <c r="AY3" i="5" s="1"/>
  <c r="AW4" i="5"/>
  <c r="AN8" i="6"/>
  <c r="AQ8" i="6"/>
  <c r="AA8" i="8"/>
  <c r="AZ2" i="5"/>
  <c r="BC2" i="5"/>
  <c r="K10" i="10" l="1"/>
  <c r="L10" i="10" s="1"/>
  <c r="N11" i="4"/>
  <c r="U11" i="4"/>
  <c r="BJ11" i="4" s="1"/>
  <c r="M11" i="4"/>
  <c r="AF11" i="4"/>
  <c r="T11" i="4"/>
  <c r="BI11" i="4" s="1"/>
  <c r="S11" i="4"/>
  <c r="AB11" i="4"/>
  <c r="BQ11" i="4" s="1"/>
  <c r="R11" i="4"/>
  <c r="BG11" i="4" s="1"/>
  <c r="H11" i="4"/>
  <c r="AW11" i="4" s="1"/>
  <c r="AA11" i="4"/>
  <c r="BP11" i="4" s="1"/>
  <c r="Q11" i="4"/>
  <c r="A12" i="4"/>
  <c r="Y11" i="4"/>
  <c r="BN11" i="4" s="1"/>
  <c r="P11" i="4"/>
  <c r="BE11" i="4" s="1"/>
  <c r="C11" i="4"/>
  <c r="AK11" i="4"/>
  <c r="X11" i="4"/>
  <c r="BM11" i="4" s="1"/>
  <c r="O11" i="4"/>
  <c r="BD11" i="4" s="1"/>
  <c r="B11" i="4"/>
  <c r="AY11" i="4" s="1"/>
  <c r="Z2" i="6"/>
  <c r="BA2" i="5"/>
  <c r="Z9" i="8"/>
  <c r="AU9" i="5"/>
  <c r="AZ3" i="5"/>
  <c r="Z3" i="6" s="1"/>
  <c r="BC3" i="5"/>
  <c r="AJ8" i="10"/>
  <c r="AK6" i="10"/>
  <c r="AL11" i="5"/>
  <c r="AK11" i="5"/>
  <c r="C11" i="5"/>
  <c r="B11" i="5"/>
  <c r="AJ11" i="5"/>
  <c r="A12" i="5"/>
  <c r="N11" i="5"/>
  <c r="BN10" i="4"/>
  <c r="AX4" i="5"/>
  <c r="AY4" i="5" s="1"/>
  <c r="AW5" i="5"/>
  <c r="AR2" i="10"/>
  <c r="R7" i="11"/>
  <c r="S5" i="11"/>
  <c r="R8" i="11"/>
  <c r="R9" i="11"/>
  <c r="R10" i="11"/>
  <c r="R11" i="11"/>
  <c r="R12" i="11"/>
  <c r="W17" i="13"/>
  <c r="V18" i="13"/>
  <c r="F10" i="10"/>
  <c r="F11" i="10" s="1"/>
  <c r="G11" i="10"/>
  <c r="H11" i="10" s="1"/>
  <c r="E11" i="10"/>
  <c r="N11" i="10"/>
  <c r="AB11" i="10"/>
  <c r="B12" i="10"/>
  <c r="J11" i="10"/>
  <c r="O11" i="10"/>
  <c r="BG73" i="11"/>
  <c r="AY73" i="11"/>
  <c r="AQ73" i="11"/>
  <c r="AI73" i="11"/>
  <c r="AA73" i="11"/>
  <c r="S73" i="11"/>
  <c r="K73" i="11"/>
  <c r="BF73" i="11"/>
  <c r="AX73" i="11"/>
  <c r="AP73" i="11"/>
  <c r="AH73" i="11"/>
  <c r="Z73" i="11"/>
  <c r="R73" i="11"/>
  <c r="J73" i="11"/>
  <c r="BE73" i="11"/>
  <c r="AW73" i="11"/>
  <c r="AO73" i="11"/>
  <c r="AG73" i="11"/>
  <c r="Y73" i="11"/>
  <c r="Q73" i="11"/>
  <c r="I73" i="11"/>
  <c r="BD73" i="11"/>
  <c r="AV73" i="11"/>
  <c r="AN73" i="11"/>
  <c r="AF73" i="11"/>
  <c r="X73" i="11"/>
  <c r="P73" i="11"/>
  <c r="BB73" i="11"/>
  <c r="AT73" i="11"/>
  <c r="AL73" i="11"/>
  <c r="AD73" i="11"/>
  <c r="V73" i="11"/>
  <c r="N73" i="11"/>
  <c r="F74" i="11"/>
  <c r="BA73" i="11"/>
  <c r="AS73" i="11"/>
  <c r="AK73" i="11"/>
  <c r="AC73" i="11"/>
  <c r="U73" i="11"/>
  <c r="M73" i="11"/>
  <c r="BH73" i="11"/>
  <c r="AZ73" i="11"/>
  <c r="AR73" i="11"/>
  <c r="AJ73" i="11"/>
  <c r="AB73" i="11"/>
  <c r="T73" i="11"/>
  <c r="L73" i="11"/>
  <c r="BC73" i="11"/>
  <c r="AU73" i="11"/>
  <c r="AM73" i="11"/>
  <c r="AE73" i="11"/>
  <c r="W73" i="11"/>
  <c r="O73" i="11"/>
  <c r="AL9" i="6"/>
  <c r="V10" i="4"/>
  <c r="AE10" i="10"/>
  <c r="AD10" i="10"/>
  <c r="AK10" i="10"/>
  <c r="AJ10" i="10"/>
  <c r="AI10" i="10"/>
  <c r="AH10" i="10"/>
  <c r="AG10" i="10"/>
  <c r="AF10" i="10"/>
  <c r="Q14" i="11"/>
  <c r="I14" i="11"/>
  <c r="P14" i="11"/>
  <c r="O14" i="11"/>
  <c r="N14" i="11"/>
  <c r="S14" i="11"/>
  <c r="R14" i="11"/>
  <c r="F15" i="11"/>
  <c r="M14" i="11"/>
  <c r="L14" i="11"/>
  <c r="K14" i="11"/>
  <c r="J14" i="11"/>
  <c r="AM9" i="6"/>
  <c r="AQ9" i="6"/>
  <c r="AT9" i="6"/>
  <c r="O12" i="7"/>
  <c r="N13" i="7"/>
  <c r="AP10" i="5"/>
  <c r="AR10" i="5"/>
  <c r="AN10" i="5"/>
  <c r="BB10" i="4"/>
  <c r="BK10" i="4" s="1"/>
  <c r="AV4" i="7"/>
  <c r="AS9" i="5"/>
  <c r="P10" i="10"/>
  <c r="R10" i="10"/>
  <c r="W10" i="8"/>
  <c r="X10" i="8" s="1"/>
  <c r="Y10" i="8" s="1"/>
  <c r="F11" i="8"/>
  <c r="G10" i="8"/>
  <c r="C13" i="10"/>
  <c r="AC12" i="10"/>
  <c r="AU9" i="6"/>
  <c r="AR9" i="6"/>
  <c r="O4" i="11"/>
  <c r="AO10" i="6"/>
  <c r="AM10" i="6"/>
  <c r="AA10" i="6"/>
  <c r="AS10" i="6"/>
  <c r="AK10" i="6"/>
  <c r="AR10" i="6"/>
  <c r="C10" i="6"/>
  <c r="AU10" i="6" s="1"/>
  <c r="B10" i="6"/>
  <c r="A11" i="6"/>
  <c r="AN10" i="6"/>
  <c r="S5" i="7"/>
  <c r="Z5" i="7" s="1"/>
  <c r="AG5" i="7" s="1"/>
  <c r="R5" i="7"/>
  <c r="Y5" i="7" s="1"/>
  <c r="T5" i="7"/>
  <c r="AA5" i="7" s="1"/>
  <c r="T6" i="7"/>
  <c r="AA6" i="7" s="1"/>
  <c r="AH6" i="7" s="1"/>
  <c r="AK8" i="10"/>
  <c r="K11" i="10" l="1"/>
  <c r="AL10" i="6"/>
  <c r="AV5" i="7"/>
  <c r="AV6" i="7" s="1"/>
  <c r="AG11" i="10"/>
  <c r="AF11" i="10"/>
  <c r="AE11" i="10"/>
  <c r="AD11" i="10"/>
  <c r="AK11" i="10"/>
  <c r="AJ11" i="10"/>
  <c r="AI11" i="10"/>
  <c r="AH11" i="10"/>
  <c r="AS2" i="10"/>
  <c r="BA3" i="5"/>
  <c r="BH11" i="4"/>
  <c r="V11" i="4"/>
  <c r="AH5" i="7"/>
  <c r="S15" i="11"/>
  <c r="K15" i="11"/>
  <c r="R15" i="11"/>
  <c r="J15" i="11"/>
  <c r="Q15" i="11"/>
  <c r="I15" i="11"/>
  <c r="P15" i="11"/>
  <c r="F16" i="11"/>
  <c r="M15" i="11"/>
  <c r="L15" i="11"/>
  <c r="O15" i="11"/>
  <c r="N15" i="11"/>
  <c r="AI10" i="6"/>
  <c r="AQ10" i="6"/>
  <c r="AT10" i="6"/>
  <c r="F75" i="11"/>
  <c r="BA74" i="11"/>
  <c r="AS74" i="11"/>
  <c r="AK74" i="11"/>
  <c r="AC74" i="11"/>
  <c r="U74" i="11"/>
  <c r="M74" i="11"/>
  <c r="BH74" i="11"/>
  <c r="AZ74" i="11"/>
  <c r="AR74" i="11"/>
  <c r="AJ74" i="11"/>
  <c r="AB74" i="11"/>
  <c r="T74" i="11"/>
  <c r="L74" i="11"/>
  <c r="BG74" i="11"/>
  <c r="AY74" i="11"/>
  <c r="AQ74" i="11"/>
  <c r="AI74" i="11"/>
  <c r="AA74" i="11"/>
  <c r="S74" i="11"/>
  <c r="K74" i="11"/>
  <c r="BF74" i="11"/>
  <c r="AX74" i="11"/>
  <c r="AP74" i="11"/>
  <c r="AH74" i="11"/>
  <c r="Z74" i="11"/>
  <c r="R74" i="11"/>
  <c r="J74" i="11"/>
  <c r="BD74" i="11"/>
  <c r="AV74" i="11"/>
  <c r="AN74" i="11"/>
  <c r="AF74" i="11"/>
  <c r="X74" i="11"/>
  <c r="P74" i="11"/>
  <c r="BC74" i="11"/>
  <c r="AU74" i="11"/>
  <c r="AM74" i="11"/>
  <c r="AE74" i="11"/>
  <c r="W74" i="11"/>
  <c r="O74" i="11"/>
  <c r="BB74" i="11"/>
  <c r="AT74" i="11"/>
  <c r="AL74" i="11"/>
  <c r="AD74" i="11"/>
  <c r="V74" i="11"/>
  <c r="N74" i="11"/>
  <c r="Q74" i="11"/>
  <c r="I74" i="11"/>
  <c r="BE74" i="11"/>
  <c r="AW74" i="11"/>
  <c r="AO74" i="11"/>
  <c r="AG74" i="11"/>
  <c r="Y74" i="11"/>
  <c r="R11" i="10"/>
  <c r="P11" i="10"/>
  <c r="AX5" i="5"/>
  <c r="AY5" i="5" s="1"/>
  <c r="AW6" i="5"/>
  <c r="BS11" i="4"/>
  <c r="BB11" i="4"/>
  <c r="L11" i="10"/>
  <c r="AF5" i="7"/>
  <c r="AJ10" i="6"/>
  <c r="Z10" i="8"/>
  <c r="O13" i="7"/>
  <c r="N14" i="7"/>
  <c r="P62" i="11"/>
  <c r="P4" i="11"/>
  <c r="AK9" i="10"/>
  <c r="AK5" i="10"/>
  <c r="AZ4" i="5"/>
  <c r="Z4" i="6" s="1"/>
  <c r="BC4" i="5"/>
  <c r="AL12" i="5"/>
  <c r="AJ12" i="5"/>
  <c r="B12" i="5"/>
  <c r="A13" i="5"/>
  <c r="N12" i="5"/>
  <c r="C12" i="5"/>
  <c r="AK12" i="5"/>
  <c r="AU10" i="5"/>
  <c r="AR11" i="5"/>
  <c r="AP11" i="5"/>
  <c r="AN11" i="5"/>
  <c r="BF11" i="4"/>
  <c r="AP10" i="6"/>
  <c r="AA10" i="8"/>
  <c r="AT5" i="7"/>
  <c r="F12" i="10"/>
  <c r="AP11" i="6"/>
  <c r="B11" i="6"/>
  <c r="A12" i="6"/>
  <c r="AA11" i="6"/>
  <c r="AJ11" i="6"/>
  <c r="C11" i="6"/>
  <c r="AT11" i="6" s="1"/>
  <c r="F12" i="8"/>
  <c r="Y11" i="8"/>
  <c r="W11" i="8"/>
  <c r="X11" i="8" s="1"/>
  <c r="Z11" i="8" s="1"/>
  <c r="V19" i="13"/>
  <c r="W18" i="13"/>
  <c r="AV11" i="4"/>
  <c r="AF12" i="4"/>
  <c r="BS12" i="4" s="1"/>
  <c r="T12" i="4"/>
  <c r="BI12" i="4" s="1"/>
  <c r="S12" i="4"/>
  <c r="AB12" i="4"/>
  <c r="BQ12" i="4" s="1"/>
  <c r="R12" i="4"/>
  <c r="BG12" i="4" s="1"/>
  <c r="H12" i="4"/>
  <c r="AA12" i="4"/>
  <c r="Q12" i="4"/>
  <c r="A13" i="4"/>
  <c r="Y12" i="4"/>
  <c r="BN12" i="4" s="1"/>
  <c r="P12" i="4"/>
  <c r="BE12" i="4" s="1"/>
  <c r="C12" i="4"/>
  <c r="AK12" i="4"/>
  <c r="X12" i="4"/>
  <c r="BM12" i="4" s="1"/>
  <c r="O12" i="4"/>
  <c r="BD12" i="4" s="1"/>
  <c r="B12" i="4"/>
  <c r="G11" i="8" s="1"/>
  <c r="N12" i="4"/>
  <c r="BC12" i="4" s="1"/>
  <c r="U12" i="4"/>
  <c r="BJ12" i="4" s="1"/>
  <c r="M12" i="4"/>
  <c r="BC11" i="4"/>
  <c r="AS10" i="5"/>
  <c r="AS11" i="5" s="1"/>
  <c r="AC13" i="10"/>
  <c r="C14" i="10"/>
  <c r="B13" i="10"/>
  <c r="J12" i="10"/>
  <c r="G12" i="10"/>
  <c r="H12" i="10" s="1"/>
  <c r="E12" i="10"/>
  <c r="N12" i="10"/>
  <c r="AB12" i="10"/>
  <c r="O12" i="10"/>
  <c r="Q62" i="11"/>
  <c r="AL9" i="10"/>
  <c r="T5" i="11"/>
  <c r="S7" i="11"/>
  <c r="S8" i="11"/>
  <c r="S9" i="11"/>
  <c r="S10" i="11"/>
  <c r="S11" i="11"/>
  <c r="S12" i="11"/>
  <c r="S13" i="11"/>
  <c r="K12" i="10" l="1"/>
  <c r="AW12" i="4"/>
  <c r="AV12" i="4"/>
  <c r="AR11" i="6"/>
  <c r="AM11" i="6"/>
  <c r="AR12" i="5"/>
  <c r="AN12" i="5"/>
  <c r="AP12" i="5" s="1"/>
  <c r="AX6" i="5"/>
  <c r="AY6" i="5" s="1"/>
  <c r="AW7" i="5"/>
  <c r="BE75" i="11"/>
  <c r="AW75" i="11"/>
  <c r="BD75" i="11"/>
  <c r="AV75" i="11"/>
  <c r="BC75" i="11"/>
  <c r="AU75" i="11"/>
  <c r="BB75" i="11"/>
  <c r="BH75" i="11"/>
  <c r="AZ75" i="11"/>
  <c r="AX75" i="11"/>
  <c r="AM75" i="11"/>
  <c r="AE75" i="11"/>
  <c r="W75" i="11"/>
  <c r="O75" i="11"/>
  <c r="AT75" i="11"/>
  <c r="AL75" i="11"/>
  <c r="AD75" i="11"/>
  <c r="V75" i="11"/>
  <c r="N75" i="11"/>
  <c r="AS75" i="11"/>
  <c r="AK75" i="11"/>
  <c r="AC75" i="11"/>
  <c r="U75" i="11"/>
  <c r="M75" i="11"/>
  <c r="F76" i="11"/>
  <c r="AR75" i="11"/>
  <c r="AJ75" i="11"/>
  <c r="AB75" i="11"/>
  <c r="T75" i="11"/>
  <c r="L75" i="11"/>
  <c r="BF75" i="11"/>
  <c r="AP75" i="11"/>
  <c r="AH75" i="11"/>
  <c r="Z75" i="11"/>
  <c r="R75" i="11"/>
  <c r="J75" i="11"/>
  <c r="BA75" i="11"/>
  <c r="AO75" i="11"/>
  <c r="AG75" i="11"/>
  <c r="Y75" i="11"/>
  <c r="Q75" i="11"/>
  <c r="I75" i="11"/>
  <c r="AY75" i="11"/>
  <c r="AN75" i="11"/>
  <c r="AF75" i="11"/>
  <c r="X75" i="11"/>
  <c r="P75" i="11"/>
  <c r="AA75" i="11"/>
  <c r="S75" i="11"/>
  <c r="K75" i="11"/>
  <c r="BG75" i="11"/>
  <c r="AQ75" i="11"/>
  <c r="AI75" i="11"/>
  <c r="F17" i="11"/>
  <c r="M16" i="11"/>
  <c r="T16" i="11"/>
  <c r="L16" i="11"/>
  <c r="S16" i="11"/>
  <c r="K16" i="11"/>
  <c r="R16" i="11"/>
  <c r="J16" i="11"/>
  <c r="Q16" i="11"/>
  <c r="P16" i="11"/>
  <c r="O16" i="11"/>
  <c r="N16" i="11"/>
  <c r="I16" i="11"/>
  <c r="AT2" i="10"/>
  <c r="BF12" i="4"/>
  <c r="V20" i="13"/>
  <c r="W19" i="13"/>
  <c r="BP12" i="4"/>
  <c r="U5" i="11"/>
  <c r="U16" i="11" s="1"/>
  <c r="T7" i="11"/>
  <c r="T8" i="11"/>
  <c r="T9" i="11"/>
  <c r="T10" i="11"/>
  <c r="T11" i="11"/>
  <c r="T12" i="11"/>
  <c r="T13" i="11"/>
  <c r="T14" i="11"/>
  <c r="AS12" i="5"/>
  <c r="AB13" i="4"/>
  <c r="R13" i="4"/>
  <c r="H13" i="4"/>
  <c r="AA13" i="4"/>
  <c r="BP13" i="4" s="1"/>
  <c r="Q13" i="4"/>
  <c r="A14" i="4"/>
  <c r="Y13" i="4"/>
  <c r="P13" i="4"/>
  <c r="BE13" i="4" s="1"/>
  <c r="C13" i="4"/>
  <c r="AK13" i="4"/>
  <c r="X13" i="4"/>
  <c r="O13" i="4"/>
  <c r="BD13" i="4" s="1"/>
  <c r="B13" i="4"/>
  <c r="AY13" i="4" s="1"/>
  <c r="N13" i="4"/>
  <c r="BC13" i="4" s="1"/>
  <c r="AW13" i="4"/>
  <c r="U13" i="4"/>
  <c r="BJ13" i="4" s="1"/>
  <c r="M13" i="4"/>
  <c r="AF13" i="4"/>
  <c r="T13" i="4"/>
  <c r="BI13" i="4" s="1"/>
  <c r="BM13" i="4"/>
  <c r="S13" i="4"/>
  <c r="BH13" i="4" s="1"/>
  <c r="AU11" i="6"/>
  <c r="AZ5" i="5"/>
  <c r="BC5" i="5"/>
  <c r="BA4" i="5"/>
  <c r="AL10" i="10"/>
  <c r="AL8" i="10"/>
  <c r="AL6" i="10"/>
  <c r="AY12" i="4"/>
  <c r="AK11" i="6"/>
  <c r="AL11" i="10"/>
  <c r="R12" i="10"/>
  <c r="P12" i="10"/>
  <c r="BH12" i="4"/>
  <c r="AI11" i="6"/>
  <c r="AS11" i="6"/>
  <c r="AN11" i="6"/>
  <c r="O14" i="7"/>
  <c r="N15" i="7"/>
  <c r="AI12" i="10"/>
  <c r="AH12" i="10"/>
  <c r="AG12" i="10"/>
  <c r="AF12" i="10"/>
  <c r="AM12" i="10"/>
  <c r="AE12" i="10"/>
  <c r="AL12" i="10"/>
  <c r="AD12" i="10"/>
  <c r="AK12" i="10"/>
  <c r="AJ12" i="10"/>
  <c r="Q4" i="11"/>
  <c r="L12" i="10"/>
  <c r="V12" i="4"/>
  <c r="BB12" i="4"/>
  <c r="BK12" i="4" s="1"/>
  <c r="F13" i="8"/>
  <c r="W12" i="8"/>
  <c r="X12" i="8" s="1"/>
  <c r="Z12" i="8" s="1"/>
  <c r="AA12" i="8"/>
  <c r="Y12" i="8"/>
  <c r="AO11" i="6"/>
  <c r="C12" i="6"/>
  <c r="AQ12" i="6" s="1"/>
  <c r="AO12" i="6"/>
  <c r="A13" i="6"/>
  <c r="AT12" i="6"/>
  <c r="AL12" i="6"/>
  <c r="AA12" i="6"/>
  <c r="AK12" i="6"/>
  <c r="B12" i="6"/>
  <c r="AR12" i="6"/>
  <c r="AP12" i="6"/>
  <c r="R7" i="7"/>
  <c r="Y7" i="7" s="1"/>
  <c r="AF7" i="7" s="1"/>
  <c r="BK11" i="4"/>
  <c r="AC14" i="10"/>
  <c r="C15" i="10"/>
  <c r="N13" i="10"/>
  <c r="AB13" i="10"/>
  <c r="B14" i="10"/>
  <c r="J13" i="10"/>
  <c r="G13" i="10"/>
  <c r="H13" i="10" s="1"/>
  <c r="E13" i="10"/>
  <c r="AM11" i="10" s="1"/>
  <c r="O13" i="10"/>
  <c r="AM10" i="10"/>
  <c r="AM8" i="10"/>
  <c r="R4" i="11"/>
  <c r="AA11" i="8"/>
  <c r="AQ11" i="6"/>
  <c r="AL11" i="6"/>
  <c r="T15" i="11"/>
  <c r="AU11" i="5"/>
  <c r="N13" i="5"/>
  <c r="AK13" i="5"/>
  <c r="C13" i="5"/>
  <c r="B13" i="5"/>
  <c r="AL13" i="5"/>
  <c r="AJ13" i="5"/>
  <c r="A14" i="5"/>
  <c r="K13" i="10" l="1"/>
  <c r="L13" i="10" s="1"/>
  <c r="AU12" i="6"/>
  <c r="BN13" i="4"/>
  <c r="BG76" i="11"/>
  <c r="AY76" i="11"/>
  <c r="AQ76" i="11"/>
  <c r="AI76" i="11"/>
  <c r="AA76" i="11"/>
  <c r="S76" i="11"/>
  <c r="K76" i="11"/>
  <c r="BF76" i="11"/>
  <c r="AX76" i="11"/>
  <c r="AP76" i="11"/>
  <c r="AH76" i="11"/>
  <c r="Z76" i="11"/>
  <c r="R76" i="11"/>
  <c r="J76" i="11"/>
  <c r="BE76" i="11"/>
  <c r="AW76" i="11"/>
  <c r="AO76" i="11"/>
  <c r="AG76" i="11"/>
  <c r="Y76" i="11"/>
  <c r="Q76" i="11"/>
  <c r="I76" i="11"/>
  <c r="BD76" i="11"/>
  <c r="AV76" i="11"/>
  <c r="AN76" i="11"/>
  <c r="AF76" i="11"/>
  <c r="X76" i="11"/>
  <c r="P76" i="11"/>
  <c r="BB76" i="11"/>
  <c r="AT76" i="11"/>
  <c r="AL76" i="11"/>
  <c r="AD76" i="11"/>
  <c r="V76" i="11"/>
  <c r="N76" i="11"/>
  <c r="BH76" i="11"/>
  <c r="AK76" i="11"/>
  <c r="O76" i="11"/>
  <c r="BC76" i="11"/>
  <c r="AJ76" i="11"/>
  <c r="M76" i="11"/>
  <c r="BA76" i="11"/>
  <c r="AE76" i="11"/>
  <c r="L76" i="11"/>
  <c r="AZ76" i="11"/>
  <c r="AC76" i="11"/>
  <c r="AS76" i="11"/>
  <c r="W76" i="11"/>
  <c r="AR76" i="11"/>
  <c r="U76" i="11"/>
  <c r="F77" i="11"/>
  <c r="AM76" i="11"/>
  <c r="T76" i="11"/>
  <c r="AU76" i="11"/>
  <c r="AB76" i="11"/>
  <c r="E14" i="10"/>
  <c r="S4" i="11" s="1"/>
  <c r="N14" i="10"/>
  <c r="AB14" i="10"/>
  <c r="B15" i="10"/>
  <c r="J14" i="10"/>
  <c r="G14" i="10"/>
  <c r="H14" i="10" s="1"/>
  <c r="O14" i="10"/>
  <c r="AN9" i="10"/>
  <c r="O15" i="7"/>
  <c r="N16" i="7"/>
  <c r="BA5" i="5"/>
  <c r="V13" i="4"/>
  <c r="BG13" i="4"/>
  <c r="BS13" i="4"/>
  <c r="BB13" i="4"/>
  <c r="AX7" i="5"/>
  <c r="AY7" i="5" s="1"/>
  <c r="AW8" i="5"/>
  <c r="AM9" i="10"/>
  <c r="AK13" i="10"/>
  <c r="AJ13" i="10"/>
  <c r="AI13" i="10"/>
  <c r="AH13" i="10"/>
  <c r="AG13" i="10"/>
  <c r="AN13" i="10"/>
  <c r="AF13" i="10"/>
  <c r="AM13" i="10"/>
  <c r="AE13" i="10"/>
  <c r="AL13" i="10"/>
  <c r="AD13" i="10"/>
  <c r="AS12" i="6"/>
  <c r="AN12" i="6"/>
  <c r="BQ13" i="4"/>
  <c r="AZ6" i="5"/>
  <c r="Z6" i="6" s="1"/>
  <c r="BC6" i="5"/>
  <c r="O17" i="11"/>
  <c r="N17" i="11"/>
  <c r="F18" i="11"/>
  <c r="U17" i="11"/>
  <c r="M17" i="11"/>
  <c r="T17" i="11"/>
  <c r="L17" i="11"/>
  <c r="Q17" i="11"/>
  <c r="P17" i="11"/>
  <c r="K17" i="11"/>
  <c r="J17" i="11"/>
  <c r="I17" i="11"/>
  <c r="S17" i="11"/>
  <c r="R17" i="11"/>
  <c r="R13" i="10"/>
  <c r="P13" i="10"/>
  <c r="Z5" i="6"/>
  <c r="G12" i="8"/>
  <c r="AN8" i="10"/>
  <c r="BF13" i="4"/>
  <c r="W20" i="13"/>
  <c r="V21" i="13"/>
  <c r="R62" i="11"/>
  <c r="AR13" i="6"/>
  <c r="AP13" i="6"/>
  <c r="B13" i="6"/>
  <c r="AO13" i="6"/>
  <c r="A14" i="6"/>
  <c r="AM13" i="6"/>
  <c r="AT13" i="6"/>
  <c r="AL13" i="6"/>
  <c r="AA13" i="6"/>
  <c r="AK13" i="6"/>
  <c r="C13" i="6"/>
  <c r="AN13" i="6" s="1"/>
  <c r="AS13" i="6"/>
  <c r="U8" i="7"/>
  <c r="AB8" i="7" s="1"/>
  <c r="AI8" i="7" s="1"/>
  <c r="R8" i="7"/>
  <c r="Y8" i="7" s="1"/>
  <c r="AF8" i="7" s="1"/>
  <c r="T8" i="7"/>
  <c r="AA8" i="7" s="1"/>
  <c r="AH8" i="7" s="1"/>
  <c r="N14" i="5"/>
  <c r="AL14" i="5"/>
  <c r="AJ14" i="5"/>
  <c r="B14" i="5"/>
  <c r="A15" i="5"/>
  <c r="C14" i="5"/>
  <c r="AK14" i="5"/>
  <c r="AC15" i="10"/>
  <c r="C16" i="10"/>
  <c r="AI12" i="6"/>
  <c r="F14" i="8"/>
  <c r="W13" i="8"/>
  <c r="X13" i="8" s="1"/>
  <c r="Y13" i="8" s="1"/>
  <c r="F13" i="10"/>
  <c r="F14" i="10" s="1"/>
  <c r="AV13" i="4"/>
  <c r="A15" i="4"/>
  <c r="Y14" i="4"/>
  <c r="BN14" i="4" s="1"/>
  <c r="P14" i="4"/>
  <c r="BE14" i="4" s="1"/>
  <c r="C14" i="4"/>
  <c r="AK14" i="4"/>
  <c r="X14" i="4"/>
  <c r="O14" i="4"/>
  <c r="B14" i="4"/>
  <c r="AY14" i="4" s="1"/>
  <c r="N14" i="4"/>
  <c r="AW14" i="4"/>
  <c r="U14" i="4"/>
  <c r="M14" i="4"/>
  <c r="AF14" i="4"/>
  <c r="BS14" i="4" s="1"/>
  <c r="T14" i="4"/>
  <c r="BM14" i="4"/>
  <c r="S14" i="4"/>
  <c r="BH14" i="4" s="1"/>
  <c r="AB14" i="4"/>
  <c r="R14" i="4"/>
  <c r="BG14" i="4" s="1"/>
  <c r="H14" i="4"/>
  <c r="BJ14" i="4"/>
  <c r="AA14" i="4"/>
  <c r="Q14" i="4"/>
  <c r="AN11" i="10"/>
  <c r="AU2" i="10"/>
  <c r="AU12" i="5"/>
  <c r="S62" i="11"/>
  <c r="AR13" i="5"/>
  <c r="AN13" i="5"/>
  <c r="AP13" i="5" s="1"/>
  <c r="AJ12" i="6"/>
  <c r="AM12" i="6"/>
  <c r="AS13" i="5"/>
  <c r="V5" i="11"/>
  <c r="U7" i="11"/>
  <c r="U8" i="11"/>
  <c r="U9" i="11"/>
  <c r="U10" i="11"/>
  <c r="U11" i="11"/>
  <c r="U12" i="11"/>
  <c r="U13" i="11"/>
  <c r="U14" i="11"/>
  <c r="U15" i="11"/>
  <c r="K14" i="10" l="1"/>
  <c r="W5" i="11"/>
  <c r="V7" i="11"/>
  <c r="V8" i="11"/>
  <c r="V9" i="11"/>
  <c r="V10" i="11"/>
  <c r="V11" i="11"/>
  <c r="V12" i="11"/>
  <c r="V13" i="11"/>
  <c r="V14" i="11"/>
  <c r="V15" i="11"/>
  <c r="V16" i="11"/>
  <c r="V14" i="4"/>
  <c r="Z13" i="8"/>
  <c r="AK14" i="6"/>
  <c r="AI14" i="6"/>
  <c r="C14" i="6"/>
  <c r="AS14" i="6" s="1"/>
  <c r="B14" i="6"/>
  <c r="AO14" i="6"/>
  <c r="A15" i="6"/>
  <c r="AU14" i="6"/>
  <c r="AR14" i="6"/>
  <c r="AL14" i="6"/>
  <c r="AA14" i="6"/>
  <c r="BB14" i="4"/>
  <c r="BD14" i="4"/>
  <c r="BQ14" i="4"/>
  <c r="Q18" i="11"/>
  <c r="I18" i="11"/>
  <c r="P18" i="11"/>
  <c r="W18" i="11"/>
  <c r="O18" i="11"/>
  <c r="V18" i="11"/>
  <c r="N18" i="11"/>
  <c r="K18" i="11"/>
  <c r="J18" i="11"/>
  <c r="U18" i="11"/>
  <c r="T18" i="11"/>
  <c r="S18" i="11"/>
  <c r="R18" i="11"/>
  <c r="F19" i="11"/>
  <c r="M18" i="11"/>
  <c r="L18" i="11"/>
  <c r="C17" i="10"/>
  <c r="AC16" i="10"/>
  <c r="BF14" i="4"/>
  <c r="A16" i="5"/>
  <c r="AK15" i="5"/>
  <c r="C15" i="5"/>
  <c r="B15" i="5"/>
  <c r="AL15" i="5"/>
  <c r="AJ15" i="5"/>
  <c r="N15" i="5"/>
  <c r="Q10" i="7"/>
  <c r="V17" i="11"/>
  <c r="BK13" i="4"/>
  <c r="AN12" i="10"/>
  <c r="BI14" i="4"/>
  <c r="G13" i="8"/>
  <c r="O16" i="7"/>
  <c r="N17" i="7"/>
  <c r="L14" i="10"/>
  <c r="BP14" i="4"/>
  <c r="AV2" i="10"/>
  <c r="AV14" i="4"/>
  <c r="N15" i="4"/>
  <c r="BC15" i="4" s="1"/>
  <c r="U15" i="4"/>
  <c r="BJ15" i="4" s="1"/>
  <c r="M15" i="4"/>
  <c r="AF15" i="4"/>
  <c r="T15" i="4"/>
  <c r="S15" i="4"/>
  <c r="AB15" i="4"/>
  <c r="BQ15" i="4" s="1"/>
  <c r="R15" i="4"/>
  <c r="BG15" i="4" s="1"/>
  <c r="H15" i="4"/>
  <c r="AW15" i="4" s="1"/>
  <c r="BB15" i="4"/>
  <c r="AA15" i="4"/>
  <c r="BP15" i="4" s="1"/>
  <c r="Q15" i="4"/>
  <c r="A16" i="4"/>
  <c r="Y15" i="4"/>
  <c r="BN15" i="4" s="1"/>
  <c r="P15" i="4"/>
  <c r="BE15" i="4" s="1"/>
  <c r="C15" i="4"/>
  <c r="BS15" i="4"/>
  <c r="AK15" i="4"/>
  <c r="X15" i="4"/>
  <c r="BM15" i="4" s="1"/>
  <c r="O15" i="4"/>
  <c r="B15" i="4"/>
  <c r="BH15" i="4" s="1"/>
  <c r="AA13" i="8"/>
  <c r="AR14" i="5"/>
  <c r="AS14" i="5" s="1"/>
  <c r="AN14" i="5"/>
  <c r="AP14" i="5" s="1"/>
  <c r="T9" i="7"/>
  <c r="AA9" i="7" s="1"/>
  <c r="AH9" i="7" s="1"/>
  <c r="AI13" i="6"/>
  <c r="AU13" i="6"/>
  <c r="AJ13" i="6"/>
  <c r="V22" i="13"/>
  <c r="W21" i="13"/>
  <c r="AX8" i="5"/>
  <c r="AY8" i="5" s="1"/>
  <c r="AW9" i="5"/>
  <c r="G15" i="10"/>
  <c r="H15" i="10" s="1"/>
  <c r="E15" i="10"/>
  <c r="AO12" i="10" s="1"/>
  <c r="N15" i="10"/>
  <c r="AB15" i="10"/>
  <c r="B16" i="10"/>
  <c r="J15" i="10"/>
  <c r="O15" i="10"/>
  <c r="AZ7" i="5"/>
  <c r="BC7" i="5"/>
  <c r="AM14" i="10"/>
  <c r="AE14" i="10"/>
  <c r="AL14" i="10"/>
  <c r="AD14" i="10"/>
  <c r="AK14" i="10"/>
  <c r="AJ14" i="10"/>
  <c r="AI14" i="10"/>
  <c r="AH14" i="10"/>
  <c r="AG14" i="10"/>
  <c r="AN14" i="10"/>
  <c r="AF14" i="10"/>
  <c r="F78" i="11"/>
  <c r="BA77" i="11"/>
  <c r="AS77" i="11"/>
  <c r="AK77" i="11"/>
  <c r="AC77" i="11"/>
  <c r="U77" i="11"/>
  <c r="M77" i="11"/>
  <c r="BH77" i="11"/>
  <c r="AZ77" i="11"/>
  <c r="AR77" i="11"/>
  <c r="AJ77" i="11"/>
  <c r="AB77" i="11"/>
  <c r="T77" i="11"/>
  <c r="L77" i="11"/>
  <c r="BG77" i="11"/>
  <c r="AY77" i="11"/>
  <c r="AQ77" i="11"/>
  <c r="AI77" i="11"/>
  <c r="AA77" i="11"/>
  <c r="S77" i="11"/>
  <c r="K77" i="11"/>
  <c r="BF77" i="11"/>
  <c r="AX77" i="11"/>
  <c r="AP77" i="11"/>
  <c r="AH77" i="11"/>
  <c r="Z77" i="11"/>
  <c r="R77" i="11"/>
  <c r="J77" i="11"/>
  <c r="BD77" i="11"/>
  <c r="AV77" i="11"/>
  <c r="AN77" i="11"/>
  <c r="AF77" i="11"/>
  <c r="X77" i="11"/>
  <c r="P77" i="11"/>
  <c r="AU77" i="11"/>
  <c r="Y77" i="11"/>
  <c r="AT77" i="11"/>
  <c r="W77" i="11"/>
  <c r="AO77" i="11"/>
  <c r="V77" i="11"/>
  <c r="AM77" i="11"/>
  <c r="Q77" i="11"/>
  <c r="BC77" i="11"/>
  <c r="AG77" i="11"/>
  <c r="N77" i="11"/>
  <c r="BB77" i="11"/>
  <c r="AE77" i="11"/>
  <c r="I77" i="11"/>
  <c r="AW77" i="11"/>
  <c r="AD77" i="11"/>
  <c r="BE77" i="11"/>
  <c r="AL77" i="11"/>
  <c r="O77" i="11"/>
  <c r="AN10" i="10"/>
  <c r="BC14" i="4"/>
  <c r="AA14" i="8"/>
  <c r="W14" i="8"/>
  <c r="X14" i="8" s="1"/>
  <c r="Y14" i="8" s="1"/>
  <c r="F15" i="8"/>
  <c r="G14" i="8"/>
  <c r="AU13" i="5"/>
  <c r="AQ13" i="6"/>
  <c r="BA6" i="5"/>
  <c r="BA7" i="5" s="1"/>
  <c r="P14" i="10"/>
  <c r="R14" i="10"/>
  <c r="K15" i="10" l="1"/>
  <c r="L15" i="10" s="1"/>
  <c r="AO14" i="10"/>
  <c r="V23" i="13"/>
  <c r="W22" i="13"/>
  <c r="BD15" i="4"/>
  <c r="BK15" i="4" s="1"/>
  <c r="AC17" i="10"/>
  <c r="C18" i="10"/>
  <c r="AM14" i="6"/>
  <c r="AP14" i="6"/>
  <c r="F16" i="8"/>
  <c r="W15" i="8"/>
  <c r="X15" i="8" s="1"/>
  <c r="Y15" i="8"/>
  <c r="Z15" i="8"/>
  <c r="T4" i="11"/>
  <c r="BC78" i="11"/>
  <c r="AU78" i="11"/>
  <c r="AM78" i="11"/>
  <c r="AE78" i="11"/>
  <c r="W78" i="11"/>
  <c r="O78" i="11"/>
  <c r="BB78" i="11"/>
  <c r="AT78" i="11"/>
  <c r="AL78" i="11"/>
  <c r="AD78" i="11"/>
  <c r="V78" i="11"/>
  <c r="N78" i="11"/>
  <c r="F79" i="11"/>
  <c r="BA78" i="11"/>
  <c r="AS78" i="11"/>
  <c r="AK78" i="11"/>
  <c r="AC78" i="11"/>
  <c r="U78" i="11"/>
  <c r="M78" i="11"/>
  <c r="BH78" i="11"/>
  <c r="AZ78" i="11"/>
  <c r="AR78" i="11"/>
  <c r="AJ78" i="11"/>
  <c r="AB78" i="11"/>
  <c r="T78" i="11"/>
  <c r="L78" i="11"/>
  <c r="BF78" i="11"/>
  <c r="AX78" i="11"/>
  <c r="AP78" i="11"/>
  <c r="AH78" i="11"/>
  <c r="Z78" i="11"/>
  <c r="R78" i="11"/>
  <c r="J78" i="11"/>
  <c r="BE78" i="11"/>
  <c r="AI78" i="11"/>
  <c r="P78" i="11"/>
  <c r="BD78" i="11"/>
  <c r="AG78" i="11"/>
  <c r="K78" i="11"/>
  <c r="AY78" i="11"/>
  <c r="AF78" i="11"/>
  <c r="I78" i="11"/>
  <c r="AW78" i="11"/>
  <c r="AA78" i="11"/>
  <c r="AQ78" i="11"/>
  <c r="X78" i="11"/>
  <c r="AO78" i="11"/>
  <c r="S78" i="11"/>
  <c r="BG78" i="11"/>
  <c r="AN78" i="11"/>
  <c r="Q78" i="11"/>
  <c r="AV78" i="11"/>
  <c r="Y78" i="11"/>
  <c r="BF15" i="4"/>
  <c r="AO13" i="10"/>
  <c r="AO9" i="10"/>
  <c r="T62" i="11"/>
  <c r="F15" i="10"/>
  <c r="Z14" i="8"/>
  <c r="AX9" i="5"/>
  <c r="AY9" i="5" s="1"/>
  <c r="AW10" i="5"/>
  <c r="AW2" i="10"/>
  <c r="S19" i="11"/>
  <c r="K19" i="11"/>
  <c r="R19" i="11"/>
  <c r="J19" i="11"/>
  <c r="Q19" i="11"/>
  <c r="I19" i="11"/>
  <c r="P19" i="11"/>
  <c r="U19" i="11"/>
  <c r="T19" i="11"/>
  <c r="O19" i="11"/>
  <c r="N19" i="11"/>
  <c r="F20" i="11"/>
  <c r="M19" i="11"/>
  <c r="L19" i="11"/>
  <c r="W19" i="11"/>
  <c r="V19" i="11"/>
  <c r="AJ14" i="6"/>
  <c r="AN14" i="6"/>
  <c r="AQ14" i="6"/>
  <c r="AB16" i="10"/>
  <c r="J16" i="10"/>
  <c r="B17" i="10"/>
  <c r="G16" i="10"/>
  <c r="H16" i="10" s="1"/>
  <c r="E16" i="10"/>
  <c r="N16" i="10"/>
  <c r="O16" i="10"/>
  <c r="AP13" i="10"/>
  <c r="AZ8" i="5"/>
  <c r="Z8" i="6" s="1"/>
  <c r="BC8" i="5"/>
  <c r="BI15" i="4"/>
  <c r="AV15" i="4"/>
  <c r="N16" i="5"/>
  <c r="AL16" i="5"/>
  <c r="AJ16" i="5"/>
  <c r="A17" i="5"/>
  <c r="C16" i="5"/>
  <c r="B16" i="5"/>
  <c r="AK16" i="5"/>
  <c r="BK14" i="4"/>
  <c r="AA15" i="6"/>
  <c r="AR15" i="6"/>
  <c r="C15" i="6"/>
  <c r="AT15" i="6" s="1"/>
  <c r="AP15" i="6"/>
  <c r="B15" i="6"/>
  <c r="AO15" i="6"/>
  <c r="A16" i="6"/>
  <c r="AU15" i="6"/>
  <c r="AS15" i="6"/>
  <c r="R11" i="7"/>
  <c r="Y11" i="7" s="1"/>
  <c r="AF11" i="7" s="1"/>
  <c r="T11" i="7"/>
  <c r="AA11" i="7" s="1"/>
  <c r="AH11" i="7" s="1"/>
  <c r="U11" i="7"/>
  <c r="AB11" i="7" s="1"/>
  <c r="AI11" i="7" s="1"/>
  <c r="R10" i="7"/>
  <c r="Y10" i="7" s="1"/>
  <c r="AF10" i="7" s="1"/>
  <c r="S10" i="7"/>
  <c r="Z10" i="7" s="1"/>
  <c r="AG10" i="7" s="1"/>
  <c r="AO15" i="10"/>
  <c r="AG15" i="10"/>
  <c r="AN15" i="10"/>
  <c r="AF15" i="10"/>
  <c r="AM15" i="10"/>
  <c r="AE15" i="10"/>
  <c r="AL15" i="10"/>
  <c r="AD15" i="10"/>
  <c r="AK15" i="10"/>
  <c r="AJ15" i="10"/>
  <c r="AI15" i="10"/>
  <c r="AP15" i="10"/>
  <c r="AH15" i="10"/>
  <c r="AV16" i="4"/>
  <c r="AF16" i="4"/>
  <c r="BS16" i="4" s="1"/>
  <c r="T16" i="4"/>
  <c r="S16" i="4"/>
  <c r="AB16" i="4"/>
  <c r="BQ16" i="4" s="1"/>
  <c r="R16" i="4"/>
  <c r="BG16" i="4" s="1"/>
  <c r="H16" i="4"/>
  <c r="AA16" i="4"/>
  <c r="BP16" i="4" s="1"/>
  <c r="Q16" i="4"/>
  <c r="A17" i="4"/>
  <c r="BI16" i="4"/>
  <c r="Y16" i="4"/>
  <c r="BN16" i="4" s="1"/>
  <c r="P16" i="4"/>
  <c r="BE16" i="4" s="1"/>
  <c r="C16" i="4"/>
  <c r="BH16" i="4"/>
  <c r="AY16" i="4"/>
  <c r="AK16" i="4"/>
  <c r="X16" i="4"/>
  <c r="BM16" i="4" s="1"/>
  <c r="O16" i="4"/>
  <c r="BD16" i="4" s="1"/>
  <c r="B16" i="4"/>
  <c r="G15" i="8" s="1"/>
  <c r="N16" i="4"/>
  <c r="BC16" i="4" s="1"/>
  <c r="BF16" i="4"/>
  <c r="AW16" i="4"/>
  <c r="U16" i="4"/>
  <c r="BJ16" i="4" s="1"/>
  <c r="M16" i="4"/>
  <c r="X5" i="11"/>
  <c r="W7" i="11"/>
  <c r="W8" i="11"/>
  <c r="W9" i="11"/>
  <c r="W10" i="11"/>
  <c r="W11" i="11"/>
  <c r="W12" i="11"/>
  <c r="W13" i="11"/>
  <c r="W14" i="11"/>
  <c r="W15" i="11"/>
  <c r="W16" i="11"/>
  <c r="W17" i="11"/>
  <c r="Z7" i="6"/>
  <c r="R15" i="10"/>
  <c r="P15" i="10"/>
  <c r="AY15" i="4"/>
  <c r="X10" i="7"/>
  <c r="AR15" i="5"/>
  <c r="AN15" i="5"/>
  <c r="AP15" i="5" s="1"/>
  <c r="AT14" i="6"/>
  <c r="AU14" i="5"/>
  <c r="V15" i="4"/>
  <c r="N18" i="7"/>
  <c r="O17" i="7"/>
  <c r="K16" i="10" l="1"/>
  <c r="R16" i="10"/>
  <c r="P16" i="10"/>
  <c r="V16" i="4"/>
  <c r="BB16" i="4"/>
  <c r="BK16" i="4" s="1"/>
  <c r="AI15" i="6"/>
  <c r="AL17" i="5"/>
  <c r="N17" i="5"/>
  <c r="C17" i="5"/>
  <c r="AK17" i="5"/>
  <c r="B17" i="5"/>
  <c r="A18" i="5"/>
  <c r="G17" i="5"/>
  <c r="AJ17" i="5"/>
  <c r="F17" i="5"/>
  <c r="AP10" i="10"/>
  <c r="AP14" i="10"/>
  <c r="F16" i="10"/>
  <c r="W16" i="8"/>
  <c r="X16" i="8" s="1"/>
  <c r="F17" i="8"/>
  <c r="Z16" i="8"/>
  <c r="Y16" i="8"/>
  <c r="N19" i="7"/>
  <c r="O18" i="7"/>
  <c r="Y5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AN15" i="6"/>
  <c r="AQ15" i="6"/>
  <c r="AR16" i="5"/>
  <c r="AN16" i="5"/>
  <c r="BA8" i="5"/>
  <c r="AP12" i="10"/>
  <c r="AU15" i="5"/>
  <c r="AR16" i="6"/>
  <c r="AJ16" i="6"/>
  <c r="C16" i="6"/>
  <c r="AU16" i="6" s="1"/>
  <c r="B16" i="6"/>
  <c r="AO16" i="6"/>
  <c r="AA16" i="6"/>
  <c r="A17" i="6"/>
  <c r="AN16" i="6"/>
  <c r="S11" i="7"/>
  <c r="Z11" i="7" s="1"/>
  <c r="AG11" i="7" s="1"/>
  <c r="AJ15" i="6"/>
  <c r="U62" i="11"/>
  <c r="E17" i="10"/>
  <c r="N17" i="10"/>
  <c r="AB17" i="10"/>
  <c r="J17" i="10"/>
  <c r="B18" i="10"/>
  <c r="G17" i="10"/>
  <c r="H17" i="10" s="1"/>
  <c r="O17" i="10"/>
  <c r="AQ13" i="10"/>
  <c r="BE79" i="11"/>
  <c r="AW79" i="11"/>
  <c r="AO79" i="11"/>
  <c r="AG79" i="11"/>
  <c r="Y79" i="11"/>
  <c r="Q79" i="11"/>
  <c r="I79" i="11"/>
  <c r="BD79" i="11"/>
  <c r="AV79" i="11"/>
  <c r="AN79" i="11"/>
  <c r="AF79" i="11"/>
  <c r="X79" i="11"/>
  <c r="P79" i="11"/>
  <c r="BC79" i="11"/>
  <c r="AU79" i="11"/>
  <c r="AM79" i="11"/>
  <c r="AE79" i="11"/>
  <c r="W79" i="11"/>
  <c r="O79" i="11"/>
  <c r="BB79" i="11"/>
  <c r="AT79" i="11"/>
  <c r="AL79" i="11"/>
  <c r="AD79" i="11"/>
  <c r="V79" i="11"/>
  <c r="N79" i="11"/>
  <c r="BH79" i="11"/>
  <c r="AZ79" i="11"/>
  <c r="AR79" i="11"/>
  <c r="AJ79" i="11"/>
  <c r="AB79" i="11"/>
  <c r="T79" i="11"/>
  <c r="L79" i="11"/>
  <c r="AS79" i="11"/>
  <c r="Z79" i="11"/>
  <c r="AQ79" i="11"/>
  <c r="U79" i="11"/>
  <c r="F80" i="11"/>
  <c r="AP79" i="11"/>
  <c r="S79" i="11"/>
  <c r="BG79" i="11"/>
  <c r="AK79" i="11"/>
  <c r="R79" i="11"/>
  <c r="BA79" i="11"/>
  <c r="AH79" i="11"/>
  <c r="K79" i="11"/>
  <c r="AY79" i="11"/>
  <c r="AC79" i="11"/>
  <c r="J79" i="11"/>
  <c r="AX79" i="11"/>
  <c r="AA79" i="11"/>
  <c r="BF79" i="11"/>
  <c r="AI79" i="11"/>
  <c r="M79" i="11"/>
  <c r="AQ12" i="10"/>
  <c r="L16" i="10"/>
  <c r="X19" i="11"/>
  <c r="AX2" i="10"/>
  <c r="AK15" i="6"/>
  <c r="AJ16" i="10"/>
  <c r="AQ16" i="10"/>
  <c r="AI16" i="10"/>
  <c r="AP16" i="10"/>
  <c r="AH16" i="10"/>
  <c r="AO16" i="10"/>
  <c r="AG16" i="10"/>
  <c r="AN16" i="10"/>
  <c r="AF16" i="10"/>
  <c r="AM16" i="10"/>
  <c r="AE16" i="10"/>
  <c r="AL16" i="10"/>
  <c r="AD16" i="10"/>
  <c r="AK16" i="10"/>
  <c r="AX10" i="5"/>
  <c r="AY10" i="5" s="1"/>
  <c r="AW11" i="5"/>
  <c r="V24" i="13"/>
  <c r="W23" i="13"/>
  <c r="AE10" i="7"/>
  <c r="AB17" i="4"/>
  <c r="R17" i="4"/>
  <c r="H17" i="4"/>
  <c r="AA17" i="4"/>
  <c r="BP17" i="4" s="1"/>
  <c r="Q17" i="4"/>
  <c r="BF17" i="4" s="1"/>
  <c r="A18" i="4"/>
  <c r="Y17" i="4"/>
  <c r="P17" i="4"/>
  <c r="C17" i="4"/>
  <c r="AY17" i="4"/>
  <c r="AK17" i="4"/>
  <c r="X17" i="4"/>
  <c r="O17" i="4"/>
  <c r="BD17" i="4" s="1"/>
  <c r="B17" i="4"/>
  <c r="AV17" i="4" s="1"/>
  <c r="N17" i="4"/>
  <c r="BC17" i="4" s="1"/>
  <c r="AW17" i="4"/>
  <c r="U17" i="4"/>
  <c r="BJ17" i="4" s="1"/>
  <c r="M17" i="4"/>
  <c r="BB17" i="4" s="1"/>
  <c r="BE17" i="4"/>
  <c r="AF17" i="4"/>
  <c r="T17" i="4"/>
  <c r="BI17" i="4" s="1"/>
  <c r="BM17" i="4"/>
  <c r="S17" i="4"/>
  <c r="BH17" i="4" s="1"/>
  <c r="AM15" i="6"/>
  <c r="AL15" i="6"/>
  <c r="U4" i="11"/>
  <c r="F21" i="11"/>
  <c r="U20" i="11"/>
  <c r="M20" i="11"/>
  <c r="T20" i="11"/>
  <c r="L20" i="11"/>
  <c r="S20" i="11"/>
  <c r="K20" i="11"/>
  <c r="R20" i="11"/>
  <c r="J20" i="11"/>
  <c r="O20" i="11"/>
  <c r="N20" i="11"/>
  <c r="Y20" i="11"/>
  <c r="I20" i="11"/>
  <c r="X20" i="11"/>
  <c r="W20" i="11"/>
  <c r="V20" i="11"/>
  <c r="Q20" i="11"/>
  <c r="P20" i="11"/>
  <c r="AZ9" i="5"/>
  <c r="BC9" i="5"/>
  <c r="AA15" i="8"/>
  <c r="AC18" i="10"/>
  <c r="C19" i="10"/>
  <c r="AS15" i="5"/>
  <c r="AS16" i="5" s="1"/>
  <c r="K17" i="10" l="1"/>
  <c r="AZ10" i="5"/>
  <c r="Z10" i="6" s="1"/>
  <c r="BC10" i="5"/>
  <c r="R17" i="10"/>
  <c r="P17" i="10"/>
  <c r="BA9" i="5"/>
  <c r="P17" i="5"/>
  <c r="BN17" i="4"/>
  <c r="AQ15" i="10"/>
  <c r="V4" i="11"/>
  <c r="AQ14" i="10"/>
  <c r="V62" i="11"/>
  <c r="BG17" i="4"/>
  <c r="BK17" i="4" s="1"/>
  <c r="BS17" i="4"/>
  <c r="N20" i="7"/>
  <c r="O19" i="7"/>
  <c r="AA17" i="8"/>
  <c r="W17" i="8"/>
  <c r="X17" i="8" s="1"/>
  <c r="Z17" i="8" s="1"/>
  <c r="F18" i="8"/>
  <c r="AC19" i="10"/>
  <c r="C20" i="10"/>
  <c r="V17" i="4"/>
  <c r="BQ17" i="4"/>
  <c r="BG80" i="11"/>
  <c r="AY80" i="11"/>
  <c r="AQ80" i="11"/>
  <c r="AI80" i="11"/>
  <c r="AA80" i="11"/>
  <c r="S80" i="11"/>
  <c r="K80" i="11"/>
  <c r="BF80" i="11"/>
  <c r="AX80" i="11"/>
  <c r="AP80" i="11"/>
  <c r="AH80" i="11"/>
  <c r="Z80" i="11"/>
  <c r="R80" i="11"/>
  <c r="J80" i="11"/>
  <c r="BE80" i="11"/>
  <c r="AW80" i="11"/>
  <c r="AO80" i="11"/>
  <c r="AG80" i="11"/>
  <c r="Y80" i="11"/>
  <c r="Q80" i="11"/>
  <c r="I80" i="11"/>
  <c r="BD80" i="11"/>
  <c r="AV80" i="11"/>
  <c r="AN80" i="11"/>
  <c r="AF80" i="11"/>
  <c r="X80" i="11"/>
  <c r="P80" i="11"/>
  <c r="BB80" i="11"/>
  <c r="AT80" i="11"/>
  <c r="AL80" i="11"/>
  <c r="AD80" i="11"/>
  <c r="V80" i="11"/>
  <c r="N80" i="11"/>
  <c r="BC80" i="11"/>
  <c r="AJ80" i="11"/>
  <c r="M80" i="11"/>
  <c r="BA80" i="11"/>
  <c r="AE80" i="11"/>
  <c r="L80" i="11"/>
  <c r="AZ80" i="11"/>
  <c r="AC80" i="11"/>
  <c r="AU80" i="11"/>
  <c r="AB80" i="11"/>
  <c r="AR80" i="11"/>
  <c r="U80" i="11"/>
  <c r="F81" i="11"/>
  <c r="AM80" i="11"/>
  <c r="T80" i="11"/>
  <c r="BH80" i="11"/>
  <c r="AK80" i="11"/>
  <c r="O80" i="11"/>
  <c r="AS80" i="11"/>
  <c r="W80" i="11"/>
  <c r="AK16" i="6"/>
  <c r="G16" i="8"/>
  <c r="AL16" i="6"/>
  <c r="AP16" i="6"/>
  <c r="AS16" i="6"/>
  <c r="AU16" i="5"/>
  <c r="G18" i="5"/>
  <c r="AL18" i="5"/>
  <c r="F18" i="5"/>
  <c r="AJ18" i="5"/>
  <c r="N18" i="5"/>
  <c r="C18" i="5"/>
  <c r="A19" i="5"/>
  <c r="B18" i="5"/>
  <c r="AK18" i="5"/>
  <c r="W21" i="11"/>
  <c r="O21" i="11"/>
  <c r="V21" i="11"/>
  <c r="N21" i="11"/>
  <c r="F22" i="11"/>
  <c r="U21" i="11"/>
  <c r="M21" i="11"/>
  <c r="T21" i="11"/>
  <c r="L21" i="11"/>
  <c r="Y21" i="11"/>
  <c r="I21" i="11"/>
  <c r="X21" i="11"/>
  <c r="S21" i="11"/>
  <c r="R21" i="11"/>
  <c r="Q21" i="11"/>
  <c r="P21" i="11"/>
  <c r="K21" i="11"/>
  <c r="J21" i="11"/>
  <c r="Z9" i="6"/>
  <c r="W24" i="13"/>
  <c r="V25" i="13"/>
  <c r="B19" i="10"/>
  <c r="G18" i="10"/>
  <c r="H18" i="10" s="1"/>
  <c r="E18" i="10"/>
  <c r="N18" i="10"/>
  <c r="AB18" i="10"/>
  <c r="J18" i="10"/>
  <c r="O18" i="10"/>
  <c r="AR13" i="10"/>
  <c r="AA16" i="8"/>
  <c r="AY2" i="10"/>
  <c r="L17" i="10"/>
  <c r="AT16" i="6"/>
  <c r="AI16" i="6"/>
  <c r="AM16" i="6"/>
  <c r="A19" i="4"/>
  <c r="Y18" i="4"/>
  <c r="P18" i="4"/>
  <c r="C18" i="4"/>
  <c r="AY18" i="4"/>
  <c r="AK18" i="4"/>
  <c r="X18" i="4"/>
  <c r="BM18" i="4" s="1"/>
  <c r="O18" i="4"/>
  <c r="B18" i="4"/>
  <c r="G17" i="8" s="1"/>
  <c r="BQ18" i="4"/>
  <c r="N18" i="4"/>
  <c r="BC18" i="4" s="1"/>
  <c r="U18" i="4"/>
  <c r="BJ18" i="4" s="1"/>
  <c r="M18" i="4"/>
  <c r="BN18" i="4"/>
  <c r="BE18" i="4"/>
  <c r="AV18" i="4"/>
  <c r="AF18" i="4"/>
  <c r="BS18" i="4" s="1"/>
  <c r="T18" i="4"/>
  <c r="BI18" i="4" s="1"/>
  <c r="BD18" i="4"/>
  <c r="S18" i="4"/>
  <c r="BH18" i="4" s="1"/>
  <c r="AB18" i="4"/>
  <c r="R18" i="4"/>
  <c r="BG18" i="4" s="1"/>
  <c r="H18" i="4"/>
  <c r="AW18" i="4" s="1"/>
  <c r="BB18" i="4"/>
  <c r="AA18" i="4"/>
  <c r="BP18" i="4" s="1"/>
  <c r="Q18" i="4"/>
  <c r="BF18" i="4" s="1"/>
  <c r="AX11" i="5"/>
  <c r="AY11" i="5" s="1"/>
  <c r="AW12" i="5"/>
  <c r="AM17" i="10"/>
  <c r="AE17" i="10"/>
  <c r="AL17" i="10"/>
  <c r="AD17" i="10"/>
  <c r="AK17" i="10"/>
  <c r="AR17" i="10"/>
  <c r="AJ17" i="10"/>
  <c r="AQ17" i="10"/>
  <c r="AI17" i="10"/>
  <c r="AP17" i="10"/>
  <c r="AH17" i="10"/>
  <c r="AO17" i="10"/>
  <c r="AG17" i="10"/>
  <c r="AN17" i="10"/>
  <c r="AF17" i="10"/>
  <c r="A18" i="6"/>
  <c r="AN17" i="6"/>
  <c r="AT17" i="6"/>
  <c r="AL17" i="6"/>
  <c r="AK17" i="6"/>
  <c r="AR17" i="6"/>
  <c r="AJ17" i="6"/>
  <c r="AQ17" i="6"/>
  <c r="AI17" i="6"/>
  <c r="C17" i="6"/>
  <c r="AS17" i="6" s="1"/>
  <c r="B17" i="6"/>
  <c r="AU17" i="6"/>
  <c r="AO17" i="6"/>
  <c r="AM17" i="6"/>
  <c r="U13" i="7"/>
  <c r="AB13" i="7" s="1"/>
  <c r="AI13" i="7" s="1"/>
  <c r="R12" i="7"/>
  <c r="Y12" i="7" s="1"/>
  <c r="AF12" i="7" s="1"/>
  <c r="R13" i="7"/>
  <c r="Y13" i="7" s="1"/>
  <c r="AF13" i="7" s="1"/>
  <c r="AQ16" i="6"/>
  <c r="Z5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F17" i="10"/>
  <c r="F18" i="10" s="1"/>
  <c r="K18" i="10" l="1"/>
  <c r="L18" i="10" s="1"/>
  <c r="AX12" i="5"/>
  <c r="AY12" i="5" s="1"/>
  <c r="AW13" i="5"/>
  <c r="BQ19" i="4"/>
  <c r="N19" i="4"/>
  <c r="BC19" i="4" s="1"/>
  <c r="U19" i="4"/>
  <c r="BJ19" i="4" s="1"/>
  <c r="M19" i="4"/>
  <c r="AF19" i="4"/>
  <c r="T19" i="4"/>
  <c r="BD19" i="4"/>
  <c r="S19" i="4"/>
  <c r="AB19" i="4"/>
  <c r="R19" i="4"/>
  <c r="H19" i="4"/>
  <c r="AW19" i="4" s="1"/>
  <c r="BB19" i="4"/>
  <c r="AA19" i="4"/>
  <c r="BP19" i="4" s="1"/>
  <c r="Q19" i="4"/>
  <c r="BF19" i="4" s="1"/>
  <c r="A20" i="4"/>
  <c r="BI19" i="4"/>
  <c r="Y19" i="4"/>
  <c r="BN19" i="4" s="1"/>
  <c r="P19" i="4"/>
  <c r="BE19" i="4" s="1"/>
  <c r="C19" i="4"/>
  <c r="BS19" i="4"/>
  <c r="BH19" i="4"/>
  <c r="AK19" i="4"/>
  <c r="X19" i="4"/>
  <c r="BM19" i="4" s="1"/>
  <c r="O19" i="4"/>
  <c r="B19" i="4"/>
  <c r="AV19" i="4" s="1"/>
  <c r="AR16" i="10"/>
  <c r="AR14" i="10"/>
  <c r="Y22" i="11"/>
  <c r="Q22" i="11"/>
  <c r="I22" i="11"/>
  <c r="X22" i="11"/>
  <c r="P22" i="11"/>
  <c r="W22" i="11"/>
  <c r="O22" i="11"/>
  <c r="V22" i="11"/>
  <c r="N22" i="11"/>
  <c r="S22" i="11"/>
  <c r="R22" i="11"/>
  <c r="F23" i="11"/>
  <c r="M22" i="11"/>
  <c r="L22" i="11"/>
  <c r="K22" i="11"/>
  <c r="Z22" i="11"/>
  <c r="J22" i="11"/>
  <c r="U22" i="11"/>
  <c r="T22" i="11"/>
  <c r="AZ11" i="5"/>
  <c r="Z11" i="6" s="1"/>
  <c r="BC11" i="5"/>
  <c r="W4" i="11"/>
  <c r="Z21" i="11"/>
  <c r="AR15" i="10"/>
  <c r="AB19" i="10"/>
  <c r="J19" i="10"/>
  <c r="B20" i="10"/>
  <c r="G19" i="10"/>
  <c r="H19" i="10" s="1"/>
  <c r="E19" i="10"/>
  <c r="N19" i="10"/>
  <c r="O19" i="10"/>
  <c r="F82" i="11"/>
  <c r="BA81" i="11"/>
  <c r="AS81" i="11"/>
  <c r="AK81" i="11"/>
  <c r="AC81" i="11"/>
  <c r="U81" i="11"/>
  <c r="M81" i="11"/>
  <c r="BH81" i="11"/>
  <c r="AZ81" i="11"/>
  <c r="AR81" i="11"/>
  <c r="AJ81" i="11"/>
  <c r="AB81" i="11"/>
  <c r="T81" i="11"/>
  <c r="L81" i="11"/>
  <c r="BG81" i="11"/>
  <c r="AY81" i="11"/>
  <c r="AQ81" i="11"/>
  <c r="AI81" i="11"/>
  <c r="AA81" i="11"/>
  <c r="S81" i="11"/>
  <c r="K81" i="11"/>
  <c r="BF81" i="11"/>
  <c r="AX81" i="11"/>
  <c r="AP81" i="11"/>
  <c r="AH81" i="11"/>
  <c r="Z81" i="11"/>
  <c r="R81" i="11"/>
  <c r="J81" i="11"/>
  <c r="BD81" i="11"/>
  <c r="AV81" i="11"/>
  <c r="AN81" i="11"/>
  <c r="AF81" i="11"/>
  <c r="X81" i="11"/>
  <c r="P81" i="11"/>
  <c r="AT81" i="11"/>
  <c r="W81" i="11"/>
  <c r="AO81" i="11"/>
  <c r="V81" i="11"/>
  <c r="AM81" i="11"/>
  <c r="Q81" i="11"/>
  <c r="BE81" i="11"/>
  <c r="AL81" i="11"/>
  <c r="O81" i="11"/>
  <c r="BB81" i="11"/>
  <c r="AE81" i="11"/>
  <c r="I81" i="11"/>
  <c r="AW81" i="11"/>
  <c r="AD81" i="11"/>
  <c r="AU81" i="11"/>
  <c r="Y81" i="11"/>
  <c r="N81" i="11"/>
  <c r="BC81" i="11"/>
  <c r="AG81" i="11"/>
  <c r="AL18" i="6"/>
  <c r="AI18" i="6"/>
  <c r="C18" i="6"/>
  <c r="AO18" i="6" s="1"/>
  <c r="B18" i="6"/>
  <c r="A19" i="6"/>
  <c r="T13" i="7"/>
  <c r="AA13" i="7" s="1"/>
  <c r="AH13" i="7" s="1"/>
  <c r="S14" i="7"/>
  <c r="Z14" i="7" s="1"/>
  <c r="AG14" i="7" s="1"/>
  <c r="V18" i="4"/>
  <c r="AZ2" i="10"/>
  <c r="W62" i="11"/>
  <c r="W25" i="13"/>
  <c r="V26" i="13"/>
  <c r="AC20" i="10"/>
  <c r="C21" i="10"/>
  <c r="AD17" i="5"/>
  <c r="AH17" i="5" s="1"/>
  <c r="AN17" i="5" s="1"/>
  <c r="Q17" i="5"/>
  <c r="P18" i="5"/>
  <c r="X62" i="11"/>
  <c r="BK18" i="4"/>
  <c r="AP17" i="6"/>
  <c r="Y17" i="8"/>
  <c r="F19" i="10"/>
  <c r="S13" i="7"/>
  <c r="Z13" i="7" s="1"/>
  <c r="AG13" i="7" s="1"/>
  <c r="AP18" i="10"/>
  <c r="AH18" i="10"/>
  <c r="AO18" i="10"/>
  <c r="AG18" i="10"/>
  <c r="AN18" i="10"/>
  <c r="AF18" i="10"/>
  <c r="AM18" i="10"/>
  <c r="AE18" i="10"/>
  <c r="AL18" i="10"/>
  <c r="AD18" i="10"/>
  <c r="AK18" i="10"/>
  <c r="AR18" i="10"/>
  <c r="AJ18" i="10"/>
  <c r="AQ18" i="10"/>
  <c r="AI18" i="10"/>
  <c r="N21" i="7"/>
  <c r="O20" i="7"/>
  <c r="BA10" i="5"/>
  <c r="BA11" i="5" s="1"/>
  <c r="Z7" i="11"/>
  <c r="AA5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R18" i="10"/>
  <c r="P18" i="10"/>
  <c r="G19" i="5"/>
  <c r="AL19" i="5"/>
  <c r="F19" i="5"/>
  <c r="AK19" i="5"/>
  <c r="B19" i="5"/>
  <c r="A20" i="5"/>
  <c r="N19" i="5"/>
  <c r="C19" i="5"/>
  <c r="AJ19" i="5"/>
  <c r="AA18" i="8"/>
  <c r="W18" i="8"/>
  <c r="X18" i="8" s="1"/>
  <c r="Z18" i="8" s="1"/>
  <c r="G18" i="8"/>
  <c r="F19" i="8"/>
  <c r="Y18" i="8"/>
  <c r="AS15" i="10"/>
  <c r="K19" i="10" l="1"/>
  <c r="P19" i="5"/>
  <c r="AB5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C22" i="10"/>
  <c r="AC21" i="10"/>
  <c r="AN18" i="6"/>
  <c r="AS18" i="6"/>
  <c r="R19" i="10"/>
  <c r="P19" i="10"/>
  <c r="AA23" i="11"/>
  <c r="S23" i="11"/>
  <c r="K23" i="11"/>
  <c r="Z23" i="11"/>
  <c r="R23" i="11"/>
  <c r="J23" i="11"/>
  <c r="Y23" i="11"/>
  <c r="Q23" i="11"/>
  <c r="I23" i="11"/>
  <c r="X23" i="11"/>
  <c r="P23" i="11"/>
  <c r="F24" i="11"/>
  <c r="M23" i="11"/>
  <c r="AB23" i="11"/>
  <c r="L23" i="11"/>
  <c r="W23" i="11"/>
  <c r="V23" i="11"/>
  <c r="U23" i="11"/>
  <c r="T23" i="11"/>
  <c r="O23" i="11"/>
  <c r="N23" i="11"/>
  <c r="AY19" i="4"/>
  <c r="AS12" i="10"/>
  <c r="AS17" i="10"/>
  <c r="X4" i="11"/>
  <c r="V19" i="4"/>
  <c r="BG19" i="4"/>
  <c r="BK19" i="4" s="1"/>
  <c r="A21" i="5"/>
  <c r="G20" i="5"/>
  <c r="AL20" i="5"/>
  <c r="F20" i="5"/>
  <c r="AJ20" i="5"/>
  <c r="N20" i="5"/>
  <c r="C20" i="5"/>
  <c r="AK20" i="5"/>
  <c r="B20" i="5"/>
  <c r="AS18" i="10"/>
  <c r="AS16" i="10"/>
  <c r="V27" i="13"/>
  <c r="W26" i="13"/>
  <c r="BA2" i="10"/>
  <c r="AP18" i="6"/>
  <c r="AQ18" i="6"/>
  <c r="AT18" i="6"/>
  <c r="E20" i="10"/>
  <c r="F20" i="10" s="1"/>
  <c r="N20" i="10"/>
  <c r="AB20" i="10"/>
  <c r="J20" i="10"/>
  <c r="B21" i="10"/>
  <c r="G20" i="10"/>
  <c r="H20" i="10" s="1"/>
  <c r="O20" i="10"/>
  <c r="AT17" i="10"/>
  <c r="AP19" i="6"/>
  <c r="B19" i="6"/>
  <c r="A20" i="6"/>
  <c r="AU19" i="6"/>
  <c r="AM19" i="6"/>
  <c r="AT19" i="6"/>
  <c r="AL19" i="6"/>
  <c r="AK19" i="6"/>
  <c r="AR19" i="6"/>
  <c r="AJ19" i="6"/>
  <c r="AQ19" i="6"/>
  <c r="AO19" i="6"/>
  <c r="C19" i="6"/>
  <c r="AI19" i="6" s="1"/>
  <c r="U14" i="7"/>
  <c r="AB14" i="7" s="1"/>
  <c r="AI14" i="7" s="1"/>
  <c r="R14" i="7"/>
  <c r="Y14" i="7" s="1"/>
  <c r="AF14" i="7" s="1"/>
  <c r="AJ18" i="6"/>
  <c r="L19" i="10"/>
  <c r="AX13" i="5"/>
  <c r="AY13" i="5" s="1"/>
  <c r="AW14" i="5"/>
  <c r="AA19" i="8"/>
  <c r="F20" i="8"/>
  <c r="W19" i="8"/>
  <c r="X19" i="8" s="1"/>
  <c r="Z19" i="8"/>
  <c r="Y19" i="8"/>
  <c r="Q18" i="5"/>
  <c r="AD18" i="5"/>
  <c r="AH18" i="5" s="1"/>
  <c r="AN18" i="5" s="1"/>
  <c r="AR18" i="6"/>
  <c r="AM18" i="6"/>
  <c r="AS19" i="10"/>
  <c r="AK19" i="10"/>
  <c r="AR19" i="10"/>
  <c r="AJ19" i="10"/>
  <c r="AQ19" i="10"/>
  <c r="AI19" i="10"/>
  <c r="AP19" i="10"/>
  <c r="AH19" i="10"/>
  <c r="AO19" i="10"/>
  <c r="AG19" i="10"/>
  <c r="AN19" i="10"/>
  <c r="AF19" i="10"/>
  <c r="AM19" i="10"/>
  <c r="AE19" i="10"/>
  <c r="AT19" i="10"/>
  <c r="AL19" i="10"/>
  <c r="AD19" i="10"/>
  <c r="AZ12" i="5"/>
  <c r="Z12" i="6" s="1"/>
  <c r="BC12" i="5"/>
  <c r="AU18" i="6"/>
  <c r="BC82" i="11"/>
  <c r="AU82" i="11"/>
  <c r="AM82" i="11"/>
  <c r="AE82" i="11"/>
  <c r="W82" i="11"/>
  <c r="O82" i="11"/>
  <c r="BB82" i="11"/>
  <c r="AT82" i="11"/>
  <c r="AL82" i="11"/>
  <c r="AD82" i="11"/>
  <c r="V82" i="11"/>
  <c r="N82" i="11"/>
  <c r="F83" i="11"/>
  <c r="BA82" i="11"/>
  <c r="AS82" i="11"/>
  <c r="AK82" i="11"/>
  <c r="AC82" i="11"/>
  <c r="U82" i="11"/>
  <c r="M82" i="11"/>
  <c r="BH82" i="11"/>
  <c r="AZ82" i="11"/>
  <c r="AR82" i="11"/>
  <c r="AJ82" i="11"/>
  <c r="AB82" i="11"/>
  <c r="T82" i="11"/>
  <c r="L82" i="11"/>
  <c r="BF82" i="11"/>
  <c r="AX82" i="11"/>
  <c r="AP82" i="11"/>
  <c r="AH82" i="11"/>
  <c r="Z82" i="11"/>
  <c r="R82" i="11"/>
  <c r="J82" i="11"/>
  <c r="BD82" i="11"/>
  <c r="AG82" i="11"/>
  <c r="K82" i="11"/>
  <c r="AY82" i="11"/>
  <c r="AF82" i="11"/>
  <c r="I82" i="11"/>
  <c r="AW82" i="11"/>
  <c r="AA82" i="11"/>
  <c r="AV82" i="11"/>
  <c r="Y82" i="11"/>
  <c r="AO82" i="11"/>
  <c r="S82" i="11"/>
  <c r="BG82" i="11"/>
  <c r="AN82" i="11"/>
  <c r="Q82" i="11"/>
  <c r="BE82" i="11"/>
  <c r="AI82" i="11"/>
  <c r="P82" i="11"/>
  <c r="AQ82" i="11"/>
  <c r="X82" i="11"/>
  <c r="AA22" i="11"/>
  <c r="N22" i="7"/>
  <c r="O21" i="7"/>
  <c r="AK18" i="6"/>
  <c r="AF20" i="4"/>
  <c r="T20" i="4"/>
  <c r="BI20" i="4" s="1"/>
  <c r="BM20" i="4"/>
  <c r="S20" i="4"/>
  <c r="AB20" i="4"/>
  <c r="R20" i="4"/>
  <c r="BG20" i="4" s="1"/>
  <c r="H20" i="4"/>
  <c r="AA20" i="4"/>
  <c r="BP20" i="4" s="1"/>
  <c r="Q20" i="4"/>
  <c r="A21" i="4"/>
  <c r="Y20" i="4"/>
  <c r="BN20" i="4" s="1"/>
  <c r="P20" i="4"/>
  <c r="BE20" i="4" s="1"/>
  <c r="C20" i="4"/>
  <c r="AK20" i="4"/>
  <c r="X20" i="4"/>
  <c r="O20" i="4"/>
  <c r="BD20" i="4" s="1"/>
  <c r="B20" i="4"/>
  <c r="AV20" i="4" s="1"/>
  <c r="BQ20" i="4"/>
  <c r="N20" i="4"/>
  <c r="BC20" i="4" s="1"/>
  <c r="U20" i="4"/>
  <c r="BJ20" i="4" s="1"/>
  <c r="M20" i="4"/>
  <c r="K20" i="10" l="1"/>
  <c r="AZ13" i="5"/>
  <c r="Z13" i="6" s="1"/>
  <c r="BC13" i="5"/>
  <c r="AW20" i="4"/>
  <c r="AB21" i="4"/>
  <c r="BQ21" i="4" s="1"/>
  <c r="R21" i="4"/>
  <c r="BG21" i="4" s="1"/>
  <c r="H21" i="4"/>
  <c r="AA21" i="4"/>
  <c r="Q21" i="4"/>
  <c r="A22" i="4"/>
  <c r="Y21" i="4"/>
  <c r="BN21" i="4" s="1"/>
  <c r="P21" i="4"/>
  <c r="BE21" i="4" s="1"/>
  <c r="C21" i="4"/>
  <c r="AK21" i="4"/>
  <c r="X21" i="4"/>
  <c r="O21" i="4"/>
  <c r="BD21" i="4" s="1"/>
  <c r="B21" i="4"/>
  <c r="AY21" i="4" s="1"/>
  <c r="N21" i="4"/>
  <c r="BC21" i="4" s="1"/>
  <c r="AW21" i="4"/>
  <c r="U21" i="4"/>
  <c r="BJ21" i="4" s="1"/>
  <c r="M21" i="4"/>
  <c r="AF21" i="4"/>
  <c r="BS21" i="4" s="1"/>
  <c r="T21" i="4"/>
  <c r="BI21" i="4" s="1"/>
  <c r="BM21" i="4"/>
  <c r="S21" i="4"/>
  <c r="BH21" i="4" s="1"/>
  <c r="AY20" i="4"/>
  <c r="N23" i="7"/>
  <c r="O22" i="7"/>
  <c r="Y4" i="11"/>
  <c r="Q19" i="5"/>
  <c r="AD19" i="5"/>
  <c r="AH19" i="5" s="1"/>
  <c r="AN19" i="5" s="1"/>
  <c r="BH20" i="4"/>
  <c r="BE83" i="11"/>
  <c r="AW83" i="11"/>
  <c r="AO83" i="11"/>
  <c r="AG83" i="11"/>
  <c r="Y83" i="11"/>
  <c r="Q83" i="11"/>
  <c r="I83" i="11"/>
  <c r="BD83" i="11"/>
  <c r="AV83" i="11"/>
  <c r="AN83" i="11"/>
  <c r="AF83" i="11"/>
  <c r="X83" i="11"/>
  <c r="P83" i="11"/>
  <c r="BC83" i="11"/>
  <c r="AU83" i="11"/>
  <c r="AM83" i="11"/>
  <c r="AE83" i="11"/>
  <c r="W83" i="11"/>
  <c r="O83" i="11"/>
  <c r="BB83" i="11"/>
  <c r="AT83" i="11"/>
  <c r="AL83" i="11"/>
  <c r="AD83" i="11"/>
  <c r="V83" i="11"/>
  <c r="N83" i="11"/>
  <c r="BH83" i="11"/>
  <c r="AZ83" i="11"/>
  <c r="AR83" i="11"/>
  <c r="AJ83" i="11"/>
  <c r="AB83" i="11"/>
  <c r="T83" i="11"/>
  <c r="L83" i="11"/>
  <c r="AQ83" i="11"/>
  <c r="U83" i="11"/>
  <c r="F84" i="11"/>
  <c r="AP83" i="11"/>
  <c r="S83" i="11"/>
  <c r="BG83" i="11"/>
  <c r="AK83" i="11"/>
  <c r="R83" i="11"/>
  <c r="BF83" i="11"/>
  <c r="AI83" i="11"/>
  <c r="M83" i="11"/>
  <c r="AY83" i="11"/>
  <c r="AC83" i="11"/>
  <c r="J83" i="11"/>
  <c r="AX83" i="11"/>
  <c r="AA83" i="11"/>
  <c r="AS83" i="11"/>
  <c r="Z83" i="11"/>
  <c r="BA83" i="11"/>
  <c r="AH83" i="11"/>
  <c r="K83" i="11"/>
  <c r="BB2" i="10"/>
  <c r="V20" i="4"/>
  <c r="BS20" i="4"/>
  <c r="BB20" i="4"/>
  <c r="BA12" i="5"/>
  <c r="BA13" i="5" s="1"/>
  <c r="AX14" i="5"/>
  <c r="AY14" i="5" s="1"/>
  <c r="AW15" i="5"/>
  <c r="P20" i="5"/>
  <c r="F25" i="11"/>
  <c r="U24" i="11"/>
  <c r="M24" i="11"/>
  <c r="AB24" i="11"/>
  <c r="T24" i="11"/>
  <c r="L24" i="11"/>
  <c r="AA24" i="11"/>
  <c r="S24" i="11"/>
  <c r="K24" i="11"/>
  <c r="Z24" i="11"/>
  <c r="R24" i="11"/>
  <c r="J24" i="11"/>
  <c r="W24" i="11"/>
  <c r="V24" i="11"/>
  <c r="Q24" i="11"/>
  <c r="P24" i="11"/>
  <c r="O24" i="11"/>
  <c r="N24" i="11"/>
  <c r="Y24" i="11"/>
  <c r="I24" i="11"/>
  <c r="X24" i="11"/>
  <c r="L20" i="10"/>
  <c r="V28" i="13"/>
  <c r="W27" i="13"/>
  <c r="BF20" i="4"/>
  <c r="G19" i="8"/>
  <c r="AS19" i="6"/>
  <c r="AN19" i="6"/>
  <c r="AN20" i="10"/>
  <c r="AF20" i="10"/>
  <c r="AM20" i="10"/>
  <c r="AE20" i="10"/>
  <c r="AT20" i="10"/>
  <c r="AL20" i="10"/>
  <c r="AD20" i="10"/>
  <c r="AS20" i="10"/>
  <c r="AK20" i="10"/>
  <c r="AR20" i="10"/>
  <c r="AJ20" i="10"/>
  <c r="AQ20" i="10"/>
  <c r="AI20" i="10"/>
  <c r="AP20" i="10"/>
  <c r="AH20" i="10"/>
  <c r="AO20" i="10"/>
  <c r="AG20" i="10"/>
  <c r="AC5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J21" i="10"/>
  <c r="B22" i="10"/>
  <c r="G21" i="10"/>
  <c r="H21" i="10" s="1"/>
  <c r="E21" i="10"/>
  <c r="F21" i="10" s="1"/>
  <c r="N21" i="10"/>
  <c r="AB21" i="10"/>
  <c r="O21" i="10"/>
  <c r="AU7" i="10"/>
  <c r="AU9" i="10"/>
  <c r="Z62" i="11"/>
  <c r="AU18" i="10"/>
  <c r="Z4" i="11"/>
  <c r="AU14" i="10"/>
  <c r="AU19" i="10"/>
  <c r="AQ20" i="6"/>
  <c r="C20" i="6"/>
  <c r="AI20" i="6" s="1"/>
  <c r="AO20" i="6"/>
  <c r="A21" i="6"/>
  <c r="AN20" i="6"/>
  <c r="AU20" i="6"/>
  <c r="AM20" i="6"/>
  <c r="AT20" i="6"/>
  <c r="AL20" i="6"/>
  <c r="AS20" i="6"/>
  <c r="AK20" i="6"/>
  <c r="AR20" i="6"/>
  <c r="AJ20" i="6"/>
  <c r="B20" i="6"/>
  <c r="R15" i="7"/>
  <c r="Y15" i="7" s="1"/>
  <c r="AF15" i="7" s="1"/>
  <c r="Q15" i="7"/>
  <c r="S16" i="7"/>
  <c r="Z16" i="7" s="1"/>
  <c r="AG16" i="7" s="1"/>
  <c r="U16" i="7"/>
  <c r="AB16" i="7" s="1"/>
  <c r="AI16" i="7" s="1"/>
  <c r="U15" i="7"/>
  <c r="AB15" i="7" s="1"/>
  <c r="AI15" i="7" s="1"/>
  <c r="R16" i="7"/>
  <c r="Y16" i="7" s="1"/>
  <c r="AF16" i="7" s="1"/>
  <c r="T15" i="7"/>
  <c r="AA15" i="7" s="1"/>
  <c r="AH15" i="7" s="1"/>
  <c r="Y62" i="11"/>
  <c r="P20" i="10"/>
  <c r="R20" i="10"/>
  <c r="A22" i="5"/>
  <c r="G21" i="5"/>
  <c r="AK21" i="5"/>
  <c r="N21" i="5"/>
  <c r="AL21" i="5"/>
  <c r="AJ21" i="5"/>
  <c r="F21" i="5"/>
  <c r="C21" i="5"/>
  <c r="B21" i="5"/>
  <c r="C23" i="10"/>
  <c r="AC22" i="10"/>
  <c r="AU17" i="10"/>
  <c r="Z20" i="8"/>
  <c r="AA20" i="8"/>
  <c r="Y20" i="8"/>
  <c r="G20" i="8"/>
  <c r="W20" i="8"/>
  <c r="X20" i="8" s="1"/>
  <c r="F21" i="8"/>
  <c r="AT18" i="10"/>
  <c r="AT16" i="10"/>
  <c r="AT14" i="10"/>
  <c r="AU16" i="10"/>
  <c r="K21" i="10" l="1"/>
  <c r="B22" i="5"/>
  <c r="A23" i="5"/>
  <c r="AL22" i="5"/>
  <c r="F22" i="5"/>
  <c r="N22" i="5"/>
  <c r="G22" i="5"/>
  <c r="AK22" i="5"/>
  <c r="C22" i="5"/>
  <c r="AJ22" i="5"/>
  <c r="AQ21" i="10"/>
  <c r="AI21" i="10"/>
  <c r="AP21" i="10"/>
  <c r="AH21" i="10"/>
  <c r="AO21" i="10"/>
  <c r="AG21" i="10"/>
  <c r="AN21" i="10"/>
  <c r="AF21" i="10"/>
  <c r="AU21" i="10"/>
  <c r="AM21" i="10"/>
  <c r="AE21" i="10"/>
  <c r="AT21" i="10"/>
  <c r="AL21" i="10"/>
  <c r="AD21" i="10"/>
  <c r="AS21" i="10"/>
  <c r="AK21" i="10"/>
  <c r="AR21" i="10"/>
  <c r="AJ21" i="10"/>
  <c r="W28" i="13"/>
  <c r="V29" i="13"/>
  <c r="BK20" i="4"/>
  <c r="X15" i="7"/>
  <c r="R21" i="10"/>
  <c r="P21" i="10"/>
  <c r="AU20" i="10"/>
  <c r="O23" i="7"/>
  <c r="N24" i="7"/>
  <c r="BF21" i="4"/>
  <c r="AR21" i="6"/>
  <c r="AQ21" i="6"/>
  <c r="AI21" i="6"/>
  <c r="C21" i="6"/>
  <c r="AJ21" i="6" s="1"/>
  <c r="AP21" i="6"/>
  <c r="B21" i="6"/>
  <c r="AO21" i="6"/>
  <c r="A22" i="6"/>
  <c r="AN21" i="6"/>
  <c r="AU21" i="6"/>
  <c r="AM21" i="6"/>
  <c r="AT21" i="6"/>
  <c r="AL21" i="6"/>
  <c r="AS21" i="6"/>
  <c r="AK21" i="6"/>
  <c r="Q16" i="7"/>
  <c r="Q17" i="7"/>
  <c r="S17" i="7"/>
  <c r="Z17" i="7" s="1"/>
  <c r="AG17" i="7" s="1"/>
  <c r="W25" i="11"/>
  <c r="O25" i="11"/>
  <c r="V25" i="11"/>
  <c r="N25" i="11"/>
  <c r="F26" i="11"/>
  <c r="AC25" i="11"/>
  <c r="U25" i="11"/>
  <c r="M25" i="11"/>
  <c r="AB25" i="11"/>
  <c r="T25" i="11"/>
  <c r="L25" i="11"/>
  <c r="Q25" i="11"/>
  <c r="P25" i="11"/>
  <c r="AA25" i="11"/>
  <c r="K25" i="11"/>
  <c r="Z25" i="11"/>
  <c r="J25" i="11"/>
  <c r="Y25" i="11"/>
  <c r="I25" i="11"/>
  <c r="X25" i="11"/>
  <c r="S25" i="11"/>
  <c r="R25" i="11"/>
  <c r="BC2" i="10"/>
  <c r="BP21" i="4"/>
  <c r="C24" i="10"/>
  <c r="AC23" i="10"/>
  <c r="AD20" i="5"/>
  <c r="AH20" i="5" s="1"/>
  <c r="AN20" i="5" s="1"/>
  <c r="Q20" i="5"/>
  <c r="AV21" i="4"/>
  <c r="A23" i="4"/>
  <c r="Y22" i="4"/>
  <c r="BN22" i="4" s="1"/>
  <c r="P22" i="4"/>
  <c r="BE22" i="4" s="1"/>
  <c r="C22" i="4"/>
  <c r="AK22" i="4"/>
  <c r="X22" i="4"/>
  <c r="O22" i="4"/>
  <c r="BD22" i="4" s="1"/>
  <c r="B22" i="4"/>
  <c r="AY22" i="4" s="1"/>
  <c r="N22" i="4"/>
  <c r="BC22" i="4" s="1"/>
  <c r="U22" i="4"/>
  <c r="M22" i="4"/>
  <c r="AV22" i="4"/>
  <c r="AF22" i="4"/>
  <c r="BS22" i="4" s="1"/>
  <c r="T22" i="4"/>
  <c r="BI22" i="4" s="1"/>
  <c r="BM22" i="4"/>
  <c r="S22" i="4"/>
  <c r="BH22" i="4" s="1"/>
  <c r="AB22" i="4"/>
  <c r="BQ22" i="4" s="1"/>
  <c r="R22" i="4"/>
  <c r="BG22" i="4" s="1"/>
  <c r="H22" i="4"/>
  <c r="AW22" i="4" s="1"/>
  <c r="BJ22" i="4"/>
  <c r="AA22" i="4"/>
  <c r="BP22" i="4" s="1"/>
  <c r="Q22" i="4"/>
  <c r="N22" i="10"/>
  <c r="B23" i="10"/>
  <c r="AB22" i="10"/>
  <c r="J22" i="10"/>
  <c r="G22" i="10"/>
  <c r="H22" i="10" s="1"/>
  <c r="E22" i="10"/>
  <c r="O22" i="10"/>
  <c r="AV16" i="10"/>
  <c r="W21" i="8"/>
  <c r="X21" i="8" s="1"/>
  <c r="Z21" i="8" s="1"/>
  <c r="F22" i="8"/>
  <c r="G21" i="8"/>
  <c r="AP20" i="6"/>
  <c r="L21" i="10"/>
  <c r="AD5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X15" i="5"/>
  <c r="AY15" i="5" s="1"/>
  <c r="AW16" i="5"/>
  <c r="BG84" i="11"/>
  <c r="AY84" i="11"/>
  <c r="AQ84" i="11"/>
  <c r="AI84" i="11"/>
  <c r="AA84" i="11"/>
  <c r="S84" i="11"/>
  <c r="K84" i="11"/>
  <c r="BF84" i="11"/>
  <c r="AX84" i="11"/>
  <c r="AP84" i="11"/>
  <c r="AH84" i="11"/>
  <c r="Z84" i="11"/>
  <c r="R84" i="11"/>
  <c r="J84" i="11"/>
  <c r="BE84" i="11"/>
  <c r="AW84" i="11"/>
  <c r="AO84" i="11"/>
  <c r="AG84" i="11"/>
  <c r="Y84" i="11"/>
  <c r="Q84" i="11"/>
  <c r="I84" i="11"/>
  <c r="BD84" i="11"/>
  <c r="AV84" i="11"/>
  <c r="AN84" i="11"/>
  <c r="AF84" i="11"/>
  <c r="X84" i="11"/>
  <c r="P84" i="11"/>
  <c r="BB84" i="11"/>
  <c r="AT84" i="11"/>
  <c r="AL84" i="11"/>
  <c r="AD84" i="11"/>
  <c r="V84" i="11"/>
  <c r="N84" i="11"/>
  <c r="BA84" i="11"/>
  <c r="AE84" i="11"/>
  <c r="L84" i="11"/>
  <c r="AZ84" i="11"/>
  <c r="AC84" i="11"/>
  <c r="AU84" i="11"/>
  <c r="AB84" i="11"/>
  <c r="AS84" i="11"/>
  <c r="W84" i="11"/>
  <c r="F85" i="11"/>
  <c r="AM84" i="11"/>
  <c r="T84" i="11"/>
  <c r="BH84" i="11"/>
  <c r="AK84" i="11"/>
  <c r="O84" i="11"/>
  <c r="BC84" i="11"/>
  <c r="AJ84" i="11"/>
  <c r="M84" i="11"/>
  <c r="U84" i="11"/>
  <c r="AR84" i="11"/>
  <c r="P21" i="5"/>
  <c r="AC24" i="11"/>
  <c r="AZ14" i="5"/>
  <c r="Z14" i="6" s="1"/>
  <c r="BC14" i="5"/>
  <c r="V21" i="4"/>
  <c r="BB21" i="4"/>
  <c r="BK21" i="4" s="1"/>
  <c r="K22" i="10" l="1"/>
  <c r="F23" i="8"/>
  <c r="W22" i="8"/>
  <c r="X22" i="8" s="1"/>
  <c r="Z22" i="8" s="1"/>
  <c r="BD2" i="10"/>
  <c r="AA26" i="11"/>
  <c r="S26" i="11"/>
  <c r="K26" i="11"/>
  <c r="Y26" i="11"/>
  <c r="Q26" i="11"/>
  <c r="I26" i="11"/>
  <c r="X26" i="11"/>
  <c r="P26" i="11"/>
  <c r="W26" i="11"/>
  <c r="O26" i="11"/>
  <c r="AD26" i="11"/>
  <c r="V26" i="11"/>
  <c r="N26" i="11"/>
  <c r="F27" i="11"/>
  <c r="AC26" i="11"/>
  <c r="U26" i="11"/>
  <c r="R26" i="11"/>
  <c r="M26" i="11"/>
  <c r="L26" i="11"/>
  <c r="J26" i="11"/>
  <c r="AB26" i="11"/>
  <c r="Z26" i="11"/>
  <c r="T26" i="11"/>
  <c r="X17" i="7"/>
  <c r="AJ22" i="6"/>
  <c r="AQ22" i="6"/>
  <c r="AI22" i="6"/>
  <c r="C22" i="6"/>
  <c r="AS22" i="6" s="1"/>
  <c r="B22" i="6"/>
  <c r="A23" i="6"/>
  <c r="AN22" i="6"/>
  <c r="AU22" i="6"/>
  <c r="AT22" i="6"/>
  <c r="R17" i="7"/>
  <c r="Y17" i="7" s="1"/>
  <c r="AF17" i="7" s="1"/>
  <c r="Q18" i="7"/>
  <c r="U17" i="7"/>
  <c r="AB17" i="7" s="1"/>
  <c r="AI17" i="7" s="1"/>
  <c r="T17" i="7"/>
  <c r="AA17" i="7" s="1"/>
  <c r="AH17" i="7" s="1"/>
  <c r="N25" i="7"/>
  <c r="O24" i="7"/>
  <c r="AA62" i="11"/>
  <c r="AA4" i="11"/>
  <c r="AV17" i="10"/>
  <c r="V22" i="4"/>
  <c r="AE15" i="7"/>
  <c r="P22" i="5"/>
  <c r="BA14" i="5"/>
  <c r="AX16" i="5"/>
  <c r="AY16" i="5" s="1"/>
  <c r="Y21" i="8"/>
  <c r="BB22" i="4"/>
  <c r="X16" i="7"/>
  <c r="AZ15" i="5"/>
  <c r="Z15" i="6" s="1"/>
  <c r="BC15" i="5"/>
  <c r="L22" i="10"/>
  <c r="AD25" i="11"/>
  <c r="AU22" i="10"/>
  <c r="AM22" i="10"/>
  <c r="AT22" i="10"/>
  <c r="AL22" i="10"/>
  <c r="AS22" i="10"/>
  <c r="AK22" i="10"/>
  <c r="AQ22" i="10"/>
  <c r="AO22" i="10"/>
  <c r="AD22" i="10"/>
  <c r="AN22" i="10"/>
  <c r="AJ22" i="10"/>
  <c r="AI22" i="10"/>
  <c r="AH22" i="10"/>
  <c r="AV22" i="10"/>
  <c r="AG22" i="10"/>
  <c r="AR22" i="10"/>
  <c r="AF22" i="10"/>
  <c r="AP22" i="10"/>
  <c r="AE22" i="10"/>
  <c r="BF22" i="4"/>
  <c r="AC24" i="10"/>
  <c r="C25" i="10"/>
  <c r="AJ23" i="5"/>
  <c r="N23" i="5"/>
  <c r="C23" i="5"/>
  <c r="B23" i="5"/>
  <c r="A24" i="5"/>
  <c r="G23" i="5"/>
  <c r="AL23" i="5"/>
  <c r="F23" i="5"/>
  <c r="AK23" i="5"/>
  <c r="F86" i="11"/>
  <c r="BA85" i="11"/>
  <c r="AS85" i="11"/>
  <c r="AK85" i="11"/>
  <c r="AC85" i="11"/>
  <c r="U85" i="11"/>
  <c r="M85" i="11"/>
  <c r="BH85" i="11"/>
  <c r="AZ85" i="11"/>
  <c r="AR85" i="11"/>
  <c r="AJ85" i="11"/>
  <c r="AB85" i="11"/>
  <c r="T85" i="11"/>
  <c r="L85" i="11"/>
  <c r="BG85" i="11"/>
  <c r="AY85" i="11"/>
  <c r="AQ85" i="11"/>
  <c r="AI85" i="11"/>
  <c r="AA85" i="11"/>
  <c r="S85" i="11"/>
  <c r="K85" i="11"/>
  <c r="BF85" i="11"/>
  <c r="AX85" i="11"/>
  <c r="AP85" i="11"/>
  <c r="AH85" i="11"/>
  <c r="Z85" i="11"/>
  <c r="R85" i="11"/>
  <c r="J85" i="11"/>
  <c r="BD85" i="11"/>
  <c r="AV85" i="11"/>
  <c r="AN85" i="11"/>
  <c r="AF85" i="11"/>
  <c r="X85" i="11"/>
  <c r="P85" i="11"/>
  <c r="AO85" i="11"/>
  <c r="V85" i="11"/>
  <c r="AM85" i="11"/>
  <c r="Q85" i="11"/>
  <c r="BE85" i="11"/>
  <c r="AL85" i="11"/>
  <c r="O85" i="11"/>
  <c r="BC85" i="11"/>
  <c r="AG85" i="11"/>
  <c r="N85" i="11"/>
  <c r="AW85" i="11"/>
  <c r="AD85" i="11"/>
  <c r="AU85" i="11"/>
  <c r="Y85" i="11"/>
  <c r="AT85" i="11"/>
  <c r="W85" i="11"/>
  <c r="BB85" i="11"/>
  <c r="AE85" i="11"/>
  <c r="I85" i="11"/>
  <c r="AE5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B24" i="10"/>
  <c r="G23" i="10"/>
  <c r="H23" i="10" s="1"/>
  <c r="E23" i="10"/>
  <c r="AW21" i="10" s="1"/>
  <c r="N23" i="10"/>
  <c r="AB23" i="10"/>
  <c r="J23" i="10"/>
  <c r="O23" i="10"/>
  <c r="AB62" i="11"/>
  <c r="AW5" i="10"/>
  <c r="AW10" i="10"/>
  <c r="AW6" i="10"/>
  <c r="AW13" i="10"/>
  <c r="AW8" i="10"/>
  <c r="AW11" i="10"/>
  <c r="V30" i="13"/>
  <c r="W29" i="13"/>
  <c r="AV21" i="10"/>
  <c r="R22" i="10"/>
  <c r="P22" i="10"/>
  <c r="N23" i="4"/>
  <c r="AW23" i="4"/>
  <c r="U23" i="4"/>
  <c r="M23" i="4"/>
  <c r="BE23" i="4"/>
  <c r="AF23" i="4"/>
  <c r="T23" i="4"/>
  <c r="S23" i="4"/>
  <c r="BC23" i="4"/>
  <c r="AB23" i="4"/>
  <c r="BQ23" i="4" s="1"/>
  <c r="R23" i="4"/>
  <c r="BG23" i="4" s="1"/>
  <c r="H23" i="4"/>
  <c r="BJ23" i="4"/>
  <c r="AA23" i="4"/>
  <c r="BP23" i="4" s="1"/>
  <c r="Q23" i="4"/>
  <c r="BF23" i="4" s="1"/>
  <c r="A24" i="4"/>
  <c r="BI23" i="4"/>
  <c r="Y23" i="4"/>
  <c r="BN23" i="4" s="1"/>
  <c r="P23" i="4"/>
  <c r="C23" i="4"/>
  <c r="BH23" i="4"/>
  <c r="AK23" i="4"/>
  <c r="X23" i="4"/>
  <c r="BM23" i="4" s="1"/>
  <c r="O23" i="4"/>
  <c r="BD23" i="4" s="1"/>
  <c r="B23" i="4"/>
  <c r="AV23" i="4" s="1"/>
  <c r="F22" i="10"/>
  <c r="F23" i="10" s="1"/>
  <c r="AD21" i="5"/>
  <c r="AH21" i="5" s="1"/>
  <c r="AN21" i="5" s="1"/>
  <c r="Q21" i="5"/>
  <c r="AA21" i="8"/>
  <c r="AW19" i="10"/>
  <c r="AV20" i="10"/>
  <c r="K23" i="10" l="1"/>
  <c r="AB24" i="10"/>
  <c r="J24" i="10"/>
  <c r="B25" i="10"/>
  <c r="G24" i="10"/>
  <c r="H24" i="10" s="1"/>
  <c r="E24" i="10"/>
  <c r="N24" i="10"/>
  <c r="O24" i="10"/>
  <c r="AC62" i="11"/>
  <c r="AX17" i="10"/>
  <c r="AX16" i="10"/>
  <c r="AC4" i="11"/>
  <c r="AX19" i="10"/>
  <c r="V17" i="7"/>
  <c r="AF24" i="4"/>
  <c r="BS24" i="4" s="1"/>
  <c r="T24" i="4"/>
  <c r="S24" i="4"/>
  <c r="AB24" i="4"/>
  <c r="BQ24" i="4" s="1"/>
  <c r="R24" i="4"/>
  <c r="BG24" i="4" s="1"/>
  <c r="H24" i="4"/>
  <c r="AA24" i="4"/>
  <c r="Q24" i="4"/>
  <c r="A25" i="4"/>
  <c r="Y24" i="4"/>
  <c r="BN24" i="4" s="1"/>
  <c r="P24" i="4"/>
  <c r="BE24" i="4" s="1"/>
  <c r="C24" i="4"/>
  <c r="AK24" i="4"/>
  <c r="X24" i="4"/>
  <c r="BM24" i="4" s="1"/>
  <c r="O24" i="4"/>
  <c r="BD24" i="4" s="1"/>
  <c r="B24" i="4"/>
  <c r="BH24" i="4" s="1"/>
  <c r="N24" i="4"/>
  <c r="BC24" i="4" s="1"/>
  <c r="BF24" i="4"/>
  <c r="AW24" i="4"/>
  <c r="U24" i="4"/>
  <c r="BJ24" i="4" s="1"/>
  <c r="M24" i="4"/>
  <c r="AY23" i="4"/>
  <c r="N24" i="5"/>
  <c r="C24" i="5"/>
  <c r="A25" i="5"/>
  <c r="B24" i="5"/>
  <c r="AL24" i="5"/>
  <c r="AK24" i="5"/>
  <c r="G24" i="5"/>
  <c r="AJ24" i="5"/>
  <c r="F24" i="5"/>
  <c r="AW22" i="10"/>
  <c r="BK22" i="4"/>
  <c r="AX21" i="10"/>
  <c r="V23" i="4"/>
  <c r="BC86" i="11"/>
  <c r="AU86" i="11"/>
  <c r="AM86" i="11"/>
  <c r="AE86" i="11"/>
  <c r="W86" i="11"/>
  <c r="O86" i="11"/>
  <c r="BB86" i="11"/>
  <c r="AT86" i="11"/>
  <c r="AL86" i="11"/>
  <c r="AD86" i="11"/>
  <c r="V86" i="11"/>
  <c r="N86" i="11"/>
  <c r="F87" i="11"/>
  <c r="BA86" i="11"/>
  <c r="AS86" i="11"/>
  <c r="AK86" i="11"/>
  <c r="AC86" i="11"/>
  <c r="U86" i="11"/>
  <c r="M86" i="11"/>
  <c r="BH86" i="11"/>
  <c r="AZ86" i="11"/>
  <c r="AR86" i="11"/>
  <c r="AJ86" i="11"/>
  <c r="AB86" i="11"/>
  <c r="T86" i="11"/>
  <c r="L86" i="11"/>
  <c r="BF86" i="11"/>
  <c r="AX86" i="11"/>
  <c r="AP86" i="11"/>
  <c r="AH86" i="11"/>
  <c r="Z86" i="11"/>
  <c r="R86" i="11"/>
  <c r="J86" i="11"/>
  <c r="AY86" i="11"/>
  <c r="AF86" i="11"/>
  <c r="I86" i="11"/>
  <c r="AW86" i="11"/>
  <c r="AA86" i="11"/>
  <c r="AV86" i="11"/>
  <c r="Y86" i="11"/>
  <c r="AQ86" i="11"/>
  <c r="X86" i="11"/>
  <c r="BG86" i="11"/>
  <c r="AN86" i="11"/>
  <c r="Q86" i="11"/>
  <c r="BE86" i="11"/>
  <c r="AI86" i="11"/>
  <c r="P86" i="11"/>
  <c r="BD86" i="11"/>
  <c r="AG86" i="11"/>
  <c r="K86" i="11"/>
  <c r="AO86" i="11"/>
  <c r="S86" i="11"/>
  <c r="X18" i="7"/>
  <c r="C23" i="6"/>
  <c r="AJ23" i="6" s="1"/>
  <c r="B23" i="6"/>
  <c r="A24" i="6"/>
  <c r="S19" i="7"/>
  <c r="Z19" i="7" s="1"/>
  <c r="AG19" i="7" s="1"/>
  <c r="S18" i="7"/>
  <c r="Z18" i="7" s="1"/>
  <c r="AG18" i="7" s="1"/>
  <c r="AX20" i="10"/>
  <c r="BS23" i="4"/>
  <c r="BB23" i="4"/>
  <c r="BK23" i="4" s="1"/>
  <c r="L23" i="10"/>
  <c r="AF5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C25" i="10"/>
  <c r="C26" i="10"/>
  <c r="AL22" i="6"/>
  <c r="AO22" i="6"/>
  <c r="AR22" i="6"/>
  <c r="Y22" i="8"/>
  <c r="AX23" i="10"/>
  <c r="AP23" i="10"/>
  <c r="AH23" i="10"/>
  <c r="AW23" i="10"/>
  <c r="AO23" i="10"/>
  <c r="AG23" i="10"/>
  <c r="AV23" i="10"/>
  <c r="AN23" i="10"/>
  <c r="AF23" i="10"/>
  <c r="AU23" i="10"/>
  <c r="AM23" i="10"/>
  <c r="AE23" i="10"/>
  <c r="AT23" i="10"/>
  <c r="AL23" i="10"/>
  <c r="AD23" i="10"/>
  <c r="AR23" i="10"/>
  <c r="AJ23" i="10"/>
  <c r="AS23" i="10"/>
  <c r="AQ23" i="10"/>
  <c r="AK23" i="10"/>
  <c r="AI23" i="10"/>
  <c r="AX22" i="10"/>
  <c r="AE16" i="7"/>
  <c r="U19" i="7"/>
  <c r="AB19" i="7" s="1"/>
  <c r="AI19" i="7" s="1"/>
  <c r="F24" i="10"/>
  <c r="V31" i="13"/>
  <c r="W30" i="13"/>
  <c r="R23" i="10"/>
  <c r="P23" i="10"/>
  <c r="P23" i="5"/>
  <c r="AZ16" i="5"/>
  <c r="Z16" i="6" s="1"/>
  <c r="BC16" i="5"/>
  <c r="O25" i="7"/>
  <c r="N26" i="7"/>
  <c r="R19" i="7"/>
  <c r="Y19" i="7" s="1"/>
  <c r="AF19" i="7" s="1"/>
  <c r="AK22" i="6"/>
  <c r="F28" i="11"/>
  <c r="AC27" i="11"/>
  <c r="U27" i="11"/>
  <c r="M27" i="11"/>
  <c r="AA27" i="11"/>
  <c r="S27" i="11"/>
  <c r="K27" i="11"/>
  <c r="Z27" i="11"/>
  <c r="R27" i="11"/>
  <c r="J27" i="11"/>
  <c r="Y27" i="11"/>
  <c r="Q27" i="11"/>
  <c r="I27" i="11"/>
  <c r="AF27" i="11"/>
  <c r="X27" i="11"/>
  <c r="P27" i="11"/>
  <c r="AE27" i="11"/>
  <c r="W27" i="11"/>
  <c r="O27" i="11"/>
  <c r="AB27" i="11"/>
  <c r="V27" i="11"/>
  <c r="T27" i="11"/>
  <c r="N27" i="11"/>
  <c r="L27" i="11"/>
  <c r="AD27" i="11"/>
  <c r="G22" i="8"/>
  <c r="AW20" i="10"/>
  <c r="AW18" i="10"/>
  <c r="AB4" i="11"/>
  <c r="BA15" i="5"/>
  <c r="BA16" i="5" s="1"/>
  <c r="AM22" i="6"/>
  <c r="AP22" i="6"/>
  <c r="AE26" i="11"/>
  <c r="AA23" i="8"/>
  <c r="G23" i="8"/>
  <c r="Z23" i="8"/>
  <c r="Y23" i="8"/>
  <c r="W23" i="8"/>
  <c r="X23" i="8" s="1"/>
  <c r="F24" i="8"/>
  <c r="AD22" i="5"/>
  <c r="AH22" i="5" s="1"/>
  <c r="AN22" i="5" s="1"/>
  <c r="Q22" i="5"/>
  <c r="T19" i="7"/>
  <c r="AA19" i="7" s="1"/>
  <c r="AH19" i="7" s="1"/>
  <c r="AC17" i="7"/>
  <c r="J22" i="5" s="1"/>
  <c r="AE17" i="7"/>
  <c r="AJ17" i="7" s="1"/>
  <c r="BE2" i="10"/>
  <c r="AA22" i="8"/>
  <c r="K24" i="10" l="1"/>
  <c r="L24" i="10" s="1"/>
  <c r="M22" i="5"/>
  <c r="I22" i="4"/>
  <c r="AA22" i="6"/>
  <c r="I22" i="5"/>
  <c r="AR22" i="5" s="1"/>
  <c r="V32" i="13"/>
  <c r="W31" i="13"/>
  <c r="C27" i="10"/>
  <c r="AC26" i="10"/>
  <c r="AO23" i="6"/>
  <c r="AR23" i="6"/>
  <c r="N25" i="5"/>
  <c r="C25" i="5"/>
  <c r="A26" i="5"/>
  <c r="B25" i="5"/>
  <c r="AK25" i="5"/>
  <c r="G25" i="5"/>
  <c r="AL25" i="5"/>
  <c r="AJ25" i="5"/>
  <c r="F25" i="5"/>
  <c r="AS24" i="10"/>
  <c r="AK24" i="10"/>
  <c r="AR24" i="10"/>
  <c r="AJ24" i="10"/>
  <c r="AQ24" i="10"/>
  <c r="AI24" i="10"/>
  <c r="AX24" i="10"/>
  <c r="AP24" i="10"/>
  <c r="AH24" i="10"/>
  <c r="AW24" i="10"/>
  <c r="AO24" i="10"/>
  <c r="AG24" i="10"/>
  <c r="AU24" i="10"/>
  <c r="AM24" i="10"/>
  <c r="AE24" i="10"/>
  <c r="AT24" i="10"/>
  <c r="AN24" i="10"/>
  <c r="AL24" i="10"/>
  <c r="AF24" i="10"/>
  <c r="AD24" i="10"/>
  <c r="AV24" i="10"/>
  <c r="AD23" i="5"/>
  <c r="AH23" i="5" s="1"/>
  <c r="AN23" i="5" s="1"/>
  <c r="Q23" i="5"/>
  <c r="AM23" i="6"/>
  <c r="AK23" i="6"/>
  <c r="BP24" i="4"/>
  <c r="BI24" i="4"/>
  <c r="AV24" i="4"/>
  <c r="AU23" i="6"/>
  <c r="AP23" i="6"/>
  <c r="AS23" i="6"/>
  <c r="AB25" i="4"/>
  <c r="R25" i="4"/>
  <c r="BG25" i="4" s="1"/>
  <c r="H25" i="4"/>
  <c r="AA25" i="4"/>
  <c r="Q25" i="4"/>
  <c r="A26" i="4"/>
  <c r="BI25" i="4"/>
  <c r="Y25" i="4"/>
  <c r="BN25" i="4" s="1"/>
  <c r="P25" i="4"/>
  <c r="C25" i="4"/>
  <c r="BH25" i="4"/>
  <c r="AK25" i="4"/>
  <c r="X25" i="4"/>
  <c r="BM25" i="4" s="1"/>
  <c r="O25" i="4"/>
  <c r="B25" i="4"/>
  <c r="AY25" i="4" s="1"/>
  <c r="BQ25" i="4"/>
  <c r="N25" i="4"/>
  <c r="BC25" i="4" s="1"/>
  <c r="BP25" i="4"/>
  <c r="BF25" i="4"/>
  <c r="AW25" i="4"/>
  <c r="U25" i="4"/>
  <c r="BJ25" i="4" s="1"/>
  <c r="M25" i="4"/>
  <c r="BE25" i="4"/>
  <c r="AV25" i="4"/>
  <c r="AF25" i="4"/>
  <c r="BS25" i="4" s="1"/>
  <c r="T25" i="4"/>
  <c r="BD25" i="4"/>
  <c r="S25" i="4"/>
  <c r="N27" i="7"/>
  <c r="O26" i="7"/>
  <c r="BE87" i="11"/>
  <c r="AW87" i="11"/>
  <c r="AO87" i="11"/>
  <c r="AG87" i="11"/>
  <c r="Y87" i="11"/>
  <c r="Q87" i="11"/>
  <c r="I87" i="11"/>
  <c r="BD87" i="11"/>
  <c r="AV87" i="11"/>
  <c r="AN87" i="11"/>
  <c r="AF87" i="11"/>
  <c r="X87" i="11"/>
  <c r="P87" i="11"/>
  <c r="BC87" i="11"/>
  <c r="AU87" i="11"/>
  <c r="AM87" i="11"/>
  <c r="AE87" i="11"/>
  <c r="W87" i="11"/>
  <c r="O87" i="11"/>
  <c r="BB87" i="11"/>
  <c r="AT87" i="11"/>
  <c r="AL87" i="11"/>
  <c r="AD87" i="11"/>
  <c r="V87" i="11"/>
  <c r="N87" i="11"/>
  <c r="BH87" i="11"/>
  <c r="AZ87" i="11"/>
  <c r="AR87" i="11"/>
  <c r="AJ87" i="11"/>
  <c r="AB87" i="11"/>
  <c r="T87" i="11"/>
  <c r="L87" i="11"/>
  <c r="F88" i="11"/>
  <c r="AP87" i="11"/>
  <c r="S87" i="11"/>
  <c r="BG87" i="11"/>
  <c r="AK87" i="11"/>
  <c r="R87" i="11"/>
  <c r="BF87" i="11"/>
  <c r="AI87" i="11"/>
  <c r="M87" i="11"/>
  <c r="BA87" i="11"/>
  <c r="AH87" i="11"/>
  <c r="K87" i="11"/>
  <c r="AX87" i="11"/>
  <c r="AA87" i="11"/>
  <c r="AS87" i="11"/>
  <c r="Z87" i="11"/>
  <c r="AQ87" i="11"/>
  <c r="U87" i="11"/>
  <c r="AC87" i="11"/>
  <c r="J87" i="11"/>
  <c r="AY87" i="11"/>
  <c r="AY24" i="4"/>
  <c r="R24" i="10"/>
  <c r="P24" i="10"/>
  <c r="BF2" i="10"/>
  <c r="Y24" i="8"/>
  <c r="W24" i="8"/>
  <c r="X24" i="8" s="1"/>
  <c r="Z24" i="8" s="1"/>
  <c r="F25" i="8"/>
  <c r="G24" i="8"/>
  <c r="AE28" i="11"/>
  <c r="W28" i="11"/>
  <c r="O28" i="11"/>
  <c r="F29" i="11"/>
  <c r="AC28" i="11"/>
  <c r="U28" i="11"/>
  <c r="M28" i="11"/>
  <c r="AB28" i="11"/>
  <c r="T28" i="11"/>
  <c r="L28" i="11"/>
  <c r="AA28" i="11"/>
  <c r="S28" i="11"/>
  <c r="K28" i="11"/>
  <c r="Z28" i="11"/>
  <c r="R28" i="11"/>
  <c r="J28" i="11"/>
  <c r="Y28" i="11"/>
  <c r="Q28" i="11"/>
  <c r="I28" i="11"/>
  <c r="AF28" i="11"/>
  <c r="AD28" i="11"/>
  <c r="X28" i="11"/>
  <c r="V28" i="11"/>
  <c r="P28" i="11"/>
  <c r="N28" i="11"/>
  <c r="AI23" i="6"/>
  <c r="AL23" i="6"/>
  <c r="AN23" i="6"/>
  <c r="AQ23" i="6"/>
  <c r="AT23" i="6"/>
  <c r="V24" i="4"/>
  <c r="BB24" i="4"/>
  <c r="BK24" i="4" s="1"/>
  <c r="AG5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U24" i="6"/>
  <c r="AT24" i="6"/>
  <c r="AS24" i="6"/>
  <c r="AK24" i="6"/>
  <c r="AJ24" i="6"/>
  <c r="AQ24" i="6"/>
  <c r="C24" i="6"/>
  <c r="AM24" i="6" s="1"/>
  <c r="AP24" i="6"/>
  <c r="B24" i="6"/>
  <c r="A25" i="6"/>
  <c r="R20" i="7" s="1"/>
  <c r="Y20" i="7" s="1"/>
  <c r="AF20" i="7" s="1"/>
  <c r="AN24" i="6"/>
  <c r="U20" i="7"/>
  <c r="AB20" i="7" s="1"/>
  <c r="AI20" i="7" s="1"/>
  <c r="AE18" i="7"/>
  <c r="P24" i="5"/>
  <c r="E25" i="10"/>
  <c r="N25" i="10"/>
  <c r="AB25" i="10"/>
  <c r="B26" i="10"/>
  <c r="J25" i="10"/>
  <c r="G25" i="10"/>
  <c r="H25" i="10" s="1"/>
  <c r="O25" i="10"/>
  <c r="AY20" i="10"/>
  <c r="K25" i="10" l="1"/>
  <c r="AY19" i="10"/>
  <c r="AD4" i="11"/>
  <c r="AD62" i="11"/>
  <c r="AY21" i="10"/>
  <c r="AY23" i="10"/>
  <c r="AV25" i="10"/>
  <c r="AN25" i="10"/>
  <c r="AF25" i="10"/>
  <c r="AU25" i="10"/>
  <c r="AM25" i="10"/>
  <c r="AE25" i="10"/>
  <c r="AT25" i="10"/>
  <c r="AL25" i="10"/>
  <c r="AD25" i="10"/>
  <c r="AS25" i="10"/>
  <c r="AK25" i="10"/>
  <c r="AR25" i="10"/>
  <c r="AJ25" i="10"/>
  <c r="AX25" i="10"/>
  <c r="AP25" i="10"/>
  <c r="AH25" i="10"/>
  <c r="AO25" i="10"/>
  <c r="AI25" i="10"/>
  <c r="AG25" i="10"/>
  <c r="AY25" i="10"/>
  <c r="AW25" i="10"/>
  <c r="AQ25" i="10"/>
  <c r="AI24" i="6"/>
  <c r="AL24" i="6"/>
  <c r="F26" i="8"/>
  <c r="W25" i="8"/>
  <c r="X25" i="8" s="1"/>
  <c r="Z25" i="8" s="1"/>
  <c r="AU22" i="5"/>
  <c r="P25" i="10"/>
  <c r="R25" i="10"/>
  <c r="S20" i="7"/>
  <c r="Z20" i="7" s="1"/>
  <c r="AG20" i="7" s="1"/>
  <c r="BG88" i="11"/>
  <c r="AY88" i="11"/>
  <c r="AQ88" i="11"/>
  <c r="AI88" i="11"/>
  <c r="AA88" i="11"/>
  <c r="S88" i="11"/>
  <c r="K88" i="11"/>
  <c r="BF88" i="11"/>
  <c r="AX88" i="11"/>
  <c r="AP88" i="11"/>
  <c r="AH88" i="11"/>
  <c r="Z88" i="11"/>
  <c r="R88" i="11"/>
  <c r="J88" i="11"/>
  <c r="BE88" i="11"/>
  <c r="AW88" i="11"/>
  <c r="AO88" i="11"/>
  <c r="AG88" i="11"/>
  <c r="Y88" i="11"/>
  <c r="Q88" i="11"/>
  <c r="I88" i="11"/>
  <c r="BD88" i="11"/>
  <c r="AV88" i="11"/>
  <c r="AN88" i="11"/>
  <c r="AF88" i="11"/>
  <c r="X88" i="11"/>
  <c r="P88" i="11"/>
  <c r="BB88" i="11"/>
  <c r="AT88" i="11"/>
  <c r="AL88" i="11"/>
  <c r="AD88" i="11"/>
  <c r="V88" i="11"/>
  <c r="N88" i="11"/>
  <c r="AZ88" i="11"/>
  <c r="AC88" i="11"/>
  <c r="AU88" i="11"/>
  <c r="AB88" i="11"/>
  <c r="AS88" i="11"/>
  <c r="W88" i="11"/>
  <c r="AR88" i="11"/>
  <c r="U88" i="11"/>
  <c r="BH88" i="11"/>
  <c r="AK88" i="11"/>
  <c r="O88" i="11"/>
  <c r="BC88" i="11"/>
  <c r="AJ88" i="11"/>
  <c r="M88" i="11"/>
  <c r="BA88" i="11"/>
  <c r="AE88" i="11"/>
  <c r="L88" i="11"/>
  <c r="F89" i="11"/>
  <c r="AM88" i="11"/>
  <c r="T88" i="11"/>
  <c r="V25" i="4"/>
  <c r="BB25" i="4"/>
  <c r="BK25" i="4" s="1"/>
  <c r="P25" i="5"/>
  <c r="AY24" i="10"/>
  <c r="AJ22" i="4"/>
  <c r="AQ22" i="4" s="1"/>
  <c r="AX22" i="4"/>
  <c r="AZ22" i="4" s="1"/>
  <c r="K22" i="4"/>
  <c r="AO24" i="6"/>
  <c r="AR24" i="6"/>
  <c r="AH5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A24" i="8"/>
  <c r="F25" i="10"/>
  <c r="B26" i="5"/>
  <c r="A27" i="5"/>
  <c r="AK26" i="5"/>
  <c r="F26" i="5"/>
  <c r="N26" i="5"/>
  <c r="AL26" i="5"/>
  <c r="G26" i="5"/>
  <c r="AJ26" i="5"/>
  <c r="C26" i="5"/>
  <c r="L22" i="5"/>
  <c r="AC22" i="6" s="1"/>
  <c r="AD22" i="6"/>
  <c r="A26" i="6"/>
  <c r="AN25" i="6"/>
  <c r="AU25" i="6"/>
  <c r="AM25" i="6"/>
  <c r="AT25" i="6"/>
  <c r="AL25" i="6"/>
  <c r="AS25" i="6"/>
  <c r="AK25" i="6"/>
  <c r="AR25" i="6"/>
  <c r="AJ25" i="6"/>
  <c r="AQ25" i="6"/>
  <c r="AI25" i="6"/>
  <c r="C25" i="6"/>
  <c r="AP25" i="6"/>
  <c r="B25" i="6"/>
  <c r="AO25" i="6"/>
  <c r="R21" i="7"/>
  <c r="Y21" i="7" s="1"/>
  <c r="AF21" i="7" s="1"/>
  <c r="Q20" i="7"/>
  <c r="T20" i="7"/>
  <c r="AA20" i="7" s="1"/>
  <c r="AH20" i="7" s="1"/>
  <c r="U21" i="7"/>
  <c r="AB21" i="7" s="1"/>
  <c r="AI21" i="7" s="1"/>
  <c r="S21" i="7"/>
  <c r="Z21" i="7" s="1"/>
  <c r="AG21" i="7" s="1"/>
  <c r="AC27" i="10"/>
  <c r="C28" i="10"/>
  <c r="AZ23" i="10"/>
  <c r="AD24" i="5"/>
  <c r="AH24" i="5" s="1"/>
  <c r="AN24" i="5" s="1"/>
  <c r="Q24" i="5"/>
  <c r="AG29" i="11"/>
  <c r="Y29" i="11"/>
  <c r="Q29" i="11"/>
  <c r="I29" i="11"/>
  <c r="AE29" i="11"/>
  <c r="W29" i="11"/>
  <c r="O29" i="11"/>
  <c r="AD29" i="11"/>
  <c r="V29" i="11"/>
  <c r="N29" i="11"/>
  <c r="F30" i="11"/>
  <c r="AC29" i="11"/>
  <c r="U29" i="11"/>
  <c r="M29" i="11"/>
  <c r="AB29" i="11"/>
  <c r="T29" i="11"/>
  <c r="L29" i="11"/>
  <c r="AA29" i="11"/>
  <c r="S29" i="11"/>
  <c r="K29" i="11"/>
  <c r="P29" i="11"/>
  <c r="J29" i="11"/>
  <c r="AF29" i="11"/>
  <c r="Z29" i="11"/>
  <c r="X29" i="11"/>
  <c r="R29" i="11"/>
  <c r="N28" i="7"/>
  <c r="O27" i="7"/>
  <c r="A27" i="4"/>
  <c r="Y26" i="4"/>
  <c r="P26" i="4"/>
  <c r="BE26" i="4" s="1"/>
  <c r="C26" i="4"/>
  <c r="BH26" i="4"/>
  <c r="AK26" i="4"/>
  <c r="X26" i="4"/>
  <c r="O26" i="4"/>
  <c r="B26" i="4"/>
  <c r="AY26" i="4" s="1"/>
  <c r="N26" i="4"/>
  <c r="BC26" i="4" s="1"/>
  <c r="AW26" i="4"/>
  <c r="U26" i="4"/>
  <c r="M26" i="4"/>
  <c r="BN26" i="4"/>
  <c r="AV26" i="4"/>
  <c r="AF26" i="4"/>
  <c r="BS26" i="4" s="1"/>
  <c r="T26" i="4"/>
  <c r="BI26" i="4" s="1"/>
  <c r="BM26" i="4"/>
  <c r="S26" i="4"/>
  <c r="AB26" i="4"/>
  <c r="BQ26" i="4" s="1"/>
  <c r="R26" i="4"/>
  <c r="BG26" i="4" s="1"/>
  <c r="H26" i="4"/>
  <c r="BJ26" i="4"/>
  <c r="AA26" i="4"/>
  <c r="BP26" i="4" s="1"/>
  <c r="Q26" i="4"/>
  <c r="BF26" i="4" s="1"/>
  <c r="W32" i="13"/>
  <c r="V33" i="13"/>
  <c r="L25" i="10"/>
  <c r="J26" i="10"/>
  <c r="B27" i="10"/>
  <c r="G26" i="10"/>
  <c r="H26" i="10" s="1"/>
  <c r="E26" i="10"/>
  <c r="AZ20" i="10" s="1"/>
  <c r="AB26" i="10"/>
  <c r="N26" i="10"/>
  <c r="O26" i="10"/>
  <c r="AZ4" i="10"/>
  <c r="AZ13" i="10"/>
  <c r="AZ16" i="10"/>
  <c r="AZ10" i="10"/>
  <c r="AZ14" i="10"/>
  <c r="Q21" i="7"/>
  <c r="T21" i="7"/>
  <c r="AA21" i="7" s="1"/>
  <c r="AH21" i="7" s="1"/>
  <c r="AG28" i="11"/>
  <c r="BG2" i="10"/>
  <c r="K26" i="10" l="1"/>
  <c r="BA25" i="10"/>
  <c r="AZ25" i="10"/>
  <c r="V26" i="4"/>
  <c r="AH29" i="11"/>
  <c r="AC28" i="10"/>
  <c r="C29" i="10"/>
  <c r="V20" i="7"/>
  <c r="X20" i="7"/>
  <c r="A27" i="6"/>
  <c r="AN26" i="6"/>
  <c r="AS26" i="6"/>
  <c r="AK26" i="6"/>
  <c r="C26" i="6"/>
  <c r="AU26" i="6" s="1"/>
  <c r="AP26" i="6"/>
  <c r="B26" i="6"/>
  <c r="F26" i="10"/>
  <c r="AD25" i="5"/>
  <c r="AH25" i="5" s="1"/>
  <c r="AN25" i="5" s="1"/>
  <c r="Q25" i="5"/>
  <c r="Y25" i="8"/>
  <c r="AH7" i="11"/>
  <c r="AI5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E4" i="11"/>
  <c r="BB26" i="4"/>
  <c r="BD26" i="4"/>
  <c r="P26" i="5"/>
  <c r="L26" i="10"/>
  <c r="R26" i="10"/>
  <c r="P26" i="10"/>
  <c r="AI30" i="11"/>
  <c r="AA30" i="11"/>
  <c r="S30" i="11"/>
  <c r="K30" i="11"/>
  <c r="AG30" i="11"/>
  <c r="Y30" i="11"/>
  <c r="Q30" i="11"/>
  <c r="I30" i="11"/>
  <c r="AF30" i="11"/>
  <c r="X30" i="11"/>
  <c r="P30" i="11"/>
  <c r="AE30" i="11"/>
  <c r="W30" i="11"/>
  <c r="O30" i="11"/>
  <c r="AD30" i="11"/>
  <c r="V30" i="11"/>
  <c r="N30" i="11"/>
  <c r="F31" i="11"/>
  <c r="AC30" i="11"/>
  <c r="U30" i="11"/>
  <c r="M30" i="11"/>
  <c r="Z30" i="11"/>
  <c r="T30" i="11"/>
  <c r="R30" i="11"/>
  <c r="L30" i="11"/>
  <c r="J30" i="11"/>
  <c r="AH30" i="11"/>
  <c r="AB30" i="11"/>
  <c r="AF22" i="6"/>
  <c r="AZ24" i="10"/>
  <c r="AZ19" i="10"/>
  <c r="V21" i="7"/>
  <c r="X21" i="7"/>
  <c r="AY26" i="10"/>
  <c r="AQ26" i="10"/>
  <c r="AI26" i="10"/>
  <c r="AX26" i="10"/>
  <c r="AP26" i="10"/>
  <c r="AH26" i="10"/>
  <c r="AW26" i="10"/>
  <c r="AO26" i="10"/>
  <c r="AG26" i="10"/>
  <c r="AV26" i="10"/>
  <c r="AN26" i="10"/>
  <c r="AF26" i="10"/>
  <c r="AU26" i="10"/>
  <c r="AM26" i="10"/>
  <c r="AE26" i="10"/>
  <c r="AS26" i="10"/>
  <c r="AK26" i="10"/>
  <c r="AJ26" i="10"/>
  <c r="AD26" i="10"/>
  <c r="AZ26" i="10"/>
  <c r="AT26" i="10"/>
  <c r="AR26" i="10"/>
  <c r="AL26" i="10"/>
  <c r="W33" i="13"/>
  <c r="V34" i="13"/>
  <c r="AD22" i="4"/>
  <c r="AH22" i="4"/>
  <c r="AM22" i="4" s="1"/>
  <c r="G25" i="8"/>
  <c r="N29" i="7"/>
  <c r="O28" i="7"/>
  <c r="W26" i="8"/>
  <c r="X26" i="8" s="1"/>
  <c r="Y26" i="8" s="1"/>
  <c r="AA26" i="8"/>
  <c r="F27" i="8"/>
  <c r="Z26" i="8"/>
  <c r="AE62" i="11"/>
  <c r="B27" i="5"/>
  <c r="A28" i="5"/>
  <c r="AK27" i="5"/>
  <c r="F27" i="5"/>
  <c r="N27" i="5"/>
  <c r="AL27" i="5"/>
  <c r="G27" i="5"/>
  <c r="AJ27" i="5"/>
  <c r="C27" i="5"/>
  <c r="AT22" i="4"/>
  <c r="AG22" i="6"/>
  <c r="AA25" i="8"/>
  <c r="AZ21" i="10"/>
  <c r="N27" i="4"/>
  <c r="BC27" i="4" s="1"/>
  <c r="U27" i="4"/>
  <c r="BJ27" i="4" s="1"/>
  <c r="M27" i="4"/>
  <c r="BN27" i="4"/>
  <c r="BE27" i="4"/>
  <c r="AV27" i="4"/>
  <c r="AF27" i="4"/>
  <c r="T27" i="4"/>
  <c r="S27" i="4"/>
  <c r="AB27" i="4"/>
  <c r="BQ27" i="4" s="1"/>
  <c r="R27" i="4"/>
  <c r="H27" i="4"/>
  <c r="AW27" i="4" s="1"/>
  <c r="AA27" i="4"/>
  <c r="BP27" i="4" s="1"/>
  <c r="Q27" i="4"/>
  <c r="BF27" i="4" s="1"/>
  <c r="A28" i="4"/>
  <c r="BI27" i="4"/>
  <c r="Y27" i="4"/>
  <c r="P27" i="4"/>
  <c r="C27" i="4"/>
  <c r="BH27" i="4"/>
  <c r="AY27" i="4"/>
  <c r="AK27" i="4"/>
  <c r="X27" i="4"/>
  <c r="BM27" i="4" s="1"/>
  <c r="O27" i="4"/>
  <c r="BD27" i="4" s="1"/>
  <c r="B27" i="4"/>
  <c r="BS27" i="4" s="1"/>
  <c r="BH2" i="10"/>
  <c r="AZ22" i="10"/>
  <c r="N27" i="10"/>
  <c r="AB27" i="10"/>
  <c r="J27" i="10"/>
  <c r="B28" i="10"/>
  <c r="G27" i="10"/>
  <c r="H27" i="10" s="1"/>
  <c r="E27" i="10"/>
  <c r="AF4" i="11" s="1"/>
  <c r="O27" i="10"/>
  <c r="AF62" i="11"/>
  <c r="F90" i="11"/>
  <c r="BA89" i="11"/>
  <c r="AS89" i="11"/>
  <c r="AK89" i="11"/>
  <c r="AC89" i="11"/>
  <c r="U89" i="11"/>
  <c r="M89" i="11"/>
  <c r="BH89" i="11"/>
  <c r="AZ89" i="11"/>
  <c r="AR89" i="11"/>
  <c r="AJ89" i="11"/>
  <c r="AB89" i="11"/>
  <c r="T89" i="11"/>
  <c r="L89" i="11"/>
  <c r="BG89" i="11"/>
  <c r="AY89" i="11"/>
  <c r="AQ89" i="11"/>
  <c r="AI89" i="11"/>
  <c r="AA89" i="11"/>
  <c r="S89" i="11"/>
  <c r="K89" i="11"/>
  <c r="BF89" i="11"/>
  <c r="AX89" i="11"/>
  <c r="AP89" i="11"/>
  <c r="AH89" i="11"/>
  <c r="Z89" i="11"/>
  <c r="R89" i="11"/>
  <c r="J89" i="11"/>
  <c r="BD89" i="11"/>
  <c r="AV89" i="11"/>
  <c r="AN89" i="11"/>
  <c r="AF89" i="11"/>
  <c r="X89" i="11"/>
  <c r="P89" i="11"/>
  <c r="AM89" i="11"/>
  <c r="Q89" i="11"/>
  <c r="BE89" i="11"/>
  <c r="AL89" i="11"/>
  <c r="O89" i="11"/>
  <c r="BC89" i="11"/>
  <c r="AG89" i="11"/>
  <c r="N89" i="11"/>
  <c r="BB89" i="11"/>
  <c r="AE89" i="11"/>
  <c r="I89" i="11"/>
  <c r="AW89" i="11"/>
  <c r="AD89" i="11"/>
  <c r="AU89" i="11"/>
  <c r="Y89" i="11"/>
  <c r="AT89" i="11"/>
  <c r="W89" i="11"/>
  <c r="AO89" i="11"/>
  <c r="V89" i="11"/>
  <c r="BA24" i="10"/>
  <c r="K27" i="10" l="1"/>
  <c r="L27" i="10" s="1"/>
  <c r="B28" i="5"/>
  <c r="A29" i="5"/>
  <c r="AL28" i="5"/>
  <c r="F28" i="5"/>
  <c r="AK28" i="5"/>
  <c r="C28" i="5"/>
  <c r="AJ28" i="5"/>
  <c r="N28" i="5"/>
  <c r="G28" i="5"/>
  <c r="V27" i="4"/>
  <c r="BG27" i="4"/>
  <c r="G26" i="8"/>
  <c r="B27" i="6"/>
  <c r="A28" i="6"/>
  <c r="AN27" i="6"/>
  <c r="AU27" i="6"/>
  <c r="AS27" i="6"/>
  <c r="C27" i="6"/>
  <c r="AP27" i="6" s="1"/>
  <c r="U22" i="7"/>
  <c r="AB22" i="7" s="1"/>
  <c r="AI22" i="7" s="1"/>
  <c r="R22" i="7"/>
  <c r="Y22" i="7" s="1"/>
  <c r="AF22" i="7" s="1"/>
  <c r="Q22" i="7"/>
  <c r="U23" i="7"/>
  <c r="AB23" i="7" s="1"/>
  <c r="AI23" i="7" s="1"/>
  <c r="R23" i="7"/>
  <c r="Y23" i="7" s="1"/>
  <c r="AF23" i="7" s="1"/>
  <c r="T22" i="7"/>
  <c r="AA22" i="7" s="1"/>
  <c r="AH22" i="7" s="1"/>
  <c r="S22" i="7"/>
  <c r="Z22" i="7" s="1"/>
  <c r="AG22" i="7" s="1"/>
  <c r="Q23" i="7"/>
  <c r="S23" i="7"/>
  <c r="Z23" i="7" s="1"/>
  <c r="AG23" i="7" s="1"/>
  <c r="BB27" i="4"/>
  <c r="BK27" i="4" s="1"/>
  <c r="AI26" i="6"/>
  <c r="AL26" i="6"/>
  <c r="AO26" i="6"/>
  <c r="BC90" i="11"/>
  <c r="AU90" i="11"/>
  <c r="AM90" i="11"/>
  <c r="AE90" i="11"/>
  <c r="W90" i="11"/>
  <c r="O90" i="11"/>
  <c r="BB90" i="11"/>
  <c r="AT90" i="11"/>
  <c r="AL90" i="11"/>
  <c r="AD90" i="11"/>
  <c r="V90" i="11"/>
  <c r="N90" i="11"/>
  <c r="F91" i="11"/>
  <c r="BA90" i="11"/>
  <c r="AS90" i="11"/>
  <c r="AK90" i="11"/>
  <c r="AC90" i="11"/>
  <c r="U90" i="11"/>
  <c r="M90" i="11"/>
  <c r="BH90" i="11"/>
  <c r="AZ90" i="11"/>
  <c r="AR90" i="11"/>
  <c r="AJ90" i="11"/>
  <c r="AB90" i="11"/>
  <c r="T90" i="11"/>
  <c r="L90" i="11"/>
  <c r="BF90" i="11"/>
  <c r="AX90" i="11"/>
  <c r="AP90" i="11"/>
  <c r="AH90" i="11"/>
  <c r="Z90" i="11"/>
  <c r="R90" i="11"/>
  <c r="J90" i="11"/>
  <c r="AW90" i="11"/>
  <c r="AA90" i="11"/>
  <c r="AV90" i="11"/>
  <c r="Y90" i="11"/>
  <c r="AQ90" i="11"/>
  <c r="X90" i="11"/>
  <c r="AO90" i="11"/>
  <c r="S90" i="11"/>
  <c r="BG90" i="11"/>
  <c r="AN90" i="11"/>
  <c r="Q90" i="11"/>
  <c r="BE90" i="11"/>
  <c r="AI90" i="11"/>
  <c r="P90" i="11"/>
  <c r="BD90" i="11"/>
  <c r="AG90" i="11"/>
  <c r="K90" i="11"/>
  <c r="AY90" i="11"/>
  <c r="AF90" i="11"/>
  <c r="I90" i="11"/>
  <c r="AT27" i="10"/>
  <c r="AL27" i="10"/>
  <c r="AD27" i="10"/>
  <c r="BA27" i="10"/>
  <c r="AS27" i="10"/>
  <c r="AK27" i="10"/>
  <c r="AZ27" i="10"/>
  <c r="AR27" i="10"/>
  <c r="AJ27" i="10"/>
  <c r="AY27" i="10"/>
  <c r="AQ27" i="10"/>
  <c r="AI27" i="10"/>
  <c r="AX27" i="10"/>
  <c r="AP27" i="10"/>
  <c r="AH27" i="10"/>
  <c r="AV27" i="10"/>
  <c r="AN27" i="10"/>
  <c r="AF27" i="10"/>
  <c r="AE27" i="10"/>
  <c r="AW27" i="10"/>
  <c r="AU27" i="10"/>
  <c r="AO27" i="10"/>
  <c r="AM27" i="10"/>
  <c r="AG27" i="10"/>
  <c r="BI2" i="10"/>
  <c r="P27" i="10"/>
  <c r="R27" i="10"/>
  <c r="AD26" i="5"/>
  <c r="AH26" i="5" s="1"/>
  <c r="AN26" i="5" s="1"/>
  <c r="Q26" i="5"/>
  <c r="F27" i="10"/>
  <c r="AQ26" i="6"/>
  <c r="AT26" i="6"/>
  <c r="AC20" i="7"/>
  <c r="J25" i="5" s="1"/>
  <c r="AE20" i="7"/>
  <c r="AJ20" i="7" s="1"/>
  <c r="BA22" i="10"/>
  <c r="BA23" i="10"/>
  <c r="P27" i="5"/>
  <c r="O29" i="7"/>
  <c r="N30" i="7"/>
  <c r="AC21" i="7"/>
  <c r="J26" i="5" s="1"/>
  <c r="AE21" i="7"/>
  <c r="AJ21" i="7" s="1"/>
  <c r="AJ26" i="6"/>
  <c r="F32" i="11"/>
  <c r="AC31" i="11"/>
  <c r="U31" i="11"/>
  <c r="M31" i="11"/>
  <c r="AI31" i="11"/>
  <c r="AA31" i="11"/>
  <c r="S31" i="11"/>
  <c r="K31" i="11"/>
  <c r="AH31" i="11"/>
  <c r="Z31" i="11"/>
  <c r="R31" i="11"/>
  <c r="J31" i="11"/>
  <c r="AG31" i="11"/>
  <c r="Y31" i="11"/>
  <c r="Q31" i="11"/>
  <c r="I31" i="11"/>
  <c r="AF31" i="11"/>
  <c r="X31" i="11"/>
  <c r="P31" i="11"/>
  <c r="AE31" i="11"/>
  <c r="W31" i="11"/>
  <c r="O31" i="11"/>
  <c r="AD31" i="11"/>
  <c r="AB31" i="11"/>
  <c r="V31" i="11"/>
  <c r="T31" i="11"/>
  <c r="N31" i="11"/>
  <c r="L31" i="11"/>
  <c r="AR26" i="6"/>
  <c r="AM26" i="6"/>
  <c r="C30" i="10"/>
  <c r="AC29" i="10"/>
  <c r="V35" i="13"/>
  <c r="W34" i="13"/>
  <c r="BK26" i="4"/>
  <c r="G28" i="10"/>
  <c r="H28" i="10" s="1"/>
  <c r="E28" i="10"/>
  <c r="BB26" i="10" s="1"/>
  <c r="N28" i="10"/>
  <c r="J28" i="10"/>
  <c r="B29" i="10"/>
  <c r="AB28" i="10"/>
  <c r="O28" i="10"/>
  <c r="BB22" i="10"/>
  <c r="BE28" i="4"/>
  <c r="AF28" i="4"/>
  <c r="BS28" i="4" s="1"/>
  <c r="T28" i="4"/>
  <c r="BM28" i="4"/>
  <c r="S28" i="4"/>
  <c r="AB28" i="4"/>
  <c r="R28" i="4"/>
  <c r="BG28" i="4" s="1"/>
  <c r="H28" i="4"/>
  <c r="AA28" i="4"/>
  <c r="BP28" i="4" s="1"/>
  <c r="Q28" i="4"/>
  <c r="A29" i="4"/>
  <c r="Y28" i="4"/>
  <c r="BN28" i="4" s="1"/>
  <c r="P28" i="4"/>
  <c r="C28" i="4"/>
  <c r="BH28" i="4"/>
  <c r="AK28" i="4"/>
  <c r="X28" i="4"/>
  <c r="O28" i="4"/>
  <c r="BD28" i="4" s="1"/>
  <c r="B28" i="4"/>
  <c r="AY28" i="4" s="1"/>
  <c r="BQ28" i="4"/>
  <c r="N28" i="4"/>
  <c r="BC28" i="4" s="1"/>
  <c r="BF28" i="4"/>
  <c r="AW28" i="4"/>
  <c r="U28" i="4"/>
  <c r="BJ28" i="4" s="1"/>
  <c r="M28" i="4"/>
  <c r="W27" i="8"/>
  <c r="X27" i="8" s="1"/>
  <c r="G27" i="8"/>
  <c r="AA27" i="8"/>
  <c r="F28" i="8"/>
  <c r="Z27" i="8"/>
  <c r="Y27" i="8"/>
  <c r="BA26" i="10"/>
  <c r="AJ5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BB25" i="10"/>
  <c r="BB23" i="10"/>
  <c r="K28" i="10" l="1"/>
  <c r="N31" i="7"/>
  <c r="O30" i="7"/>
  <c r="M25" i="5"/>
  <c r="I25" i="4"/>
  <c r="BE91" i="11"/>
  <c r="AW91" i="11"/>
  <c r="AO91" i="11"/>
  <c r="AG91" i="11"/>
  <c r="Y91" i="11"/>
  <c r="Q91" i="11"/>
  <c r="I91" i="11"/>
  <c r="BD91" i="11"/>
  <c r="AV91" i="11"/>
  <c r="AN91" i="11"/>
  <c r="AF91" i="11"/>
  <c r="X91" i="11"/>
  <c r="P91" i="11"/>
  <c r="BC91" i="11"/>
  <c r="AU91" i="11"/>
  <c r="AM91" i="11"/>
  <c r="AE91" i="11"/>
  <c r="W91" i="11"/>
  <c r="O91" i="11"/>
  <c r="BB91" i="11"/>
  <c r="AT91" i="11"/>
  <c r="AL91" i="11"/>
  <c r="AD91" i="11"/>
  <c r="V91" i="11"/>
  <c r="N91" i="11"/>
  <c r="BH91" i="11"/>
  <c r="AZ91" i="11"/>
  <c r="AR91" i="11"/>
  <c r="AJ91" i="11"/>
  <c r="AB91" i="11"/>
  <c r="T91" i="11"/>
  <c r="L91" i="11"/>
  <c r="BG91" i="11"/>
  <c r="AK91" i="11"/>
  <c r="R91" i="11"/>
  <c r="BF91" i="11"/>
  <c r="AI91" i="11"/>
  <c r="M91" i="11"/>
  <c r="BA91" i="11"/>
  <c r="AH91" i="11"/>
  <c r="K91" i="11"/>
  <c r="AY91" i="11"/>
  <c r="AC91" i="11"/>
  <c r="J91" i="11"/>
  <c r="AX91" i="11"/>
  <c r="AA91" i="11"/>
  <c r="AS91" i="11"/>
  <c r="Z91" i="11"/>
  <c r="AQ91" i="11"/>
  <c r="U91" i="11"/>
  <c r="F92" i="11"/>
  <c r="AP91" i="11"/>
  <c r="S91" i="11"/>
  <c r="AG4" i="11"/>
  <c r="P28" i="5"/>
  <c r="V28" i="4"/>
  <c r="BB28" i="4"/>
  <c r="I25" i="5"/>
  <c r="AR25" i="5" s="1"/>
  <c r="AA25" i="6"/>
  <c r="AK27" i="6"/>
  <c r="AK5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C30" i="10"/>
  <c r="C31" i="10"/>
  <c r="AJ31" i="11"/>
  <c r="F33" i="11"/>
  <c r="AE32" i="11"/>
  <c r="W32" i="11"/>
  <c r="O32" i="11"/>
  <c r="AK32" i="11"/>
  <c r="AC32" i="11"/>
  <c r="U32" i="11"/>
  <c r="M32" i="11"/>
  <c r="AJ32" i="11"/>
  <c r="AB32" i="11"/>
  <c r="T32" i="11"/>
  <c r="L32" i="11"/>
  <c r="AI32" i="11"/>
  <c r="AA32" i="11"/>
  <c r="S32" i="11"/>
  <c r="K32" i="11"/>
  <c r="AH32" i="11"/>
  <c r="Z32" i="11"/>
  <c r="R32" i="11"/>
  <c r="J32" i="11"/>
  <c r="AG32" i="11"/>
  <c r="Y32" i="11"/>
  <c r="Q32" i="11"/>
  <c r="I32" i="11"/>
  <c r="N32" i="11"/>
  <c r="AF32" i="11"/>
  <c r="AD32" i="11"/>
  <c r="X32" i="11"/>
  <c r="V32" i="11"/>
  <c r="P32" i="11"/>
  <c r="BJ2" i="10"/>
  <c r="V22" i="7"/>
  <c r="X22" i="7"/>
  <c r="AQ27" i="6"/>
  <c r="AQ28" i="6"/>
  <c r="AI28" i="6"/>
  <c r="C28" i="6"/>
  <c r="AP28" i="6"/>
  <c r="B28" i="6"/>
  <c r="AO28" i="6"/>
  <c r="A29" i="6"/>
  <c r="AN28" i="6"/>
  <c r="AU28" i="6"/>
  <c r="AM28" i="6"/>
  <c r="AT28" i="6"/>
  <c r="AL28" i="6"/>
  <c r="AS28" i="6"/>
  <c r="AK28" i="6"/>
  <c r="AR28" i="6"/>
  <c r="AJ28" i="6"/>
  <c r="S24" i="7"/>
  <c r="Z24" i="7" s="1"/>
  <c r="AG24" i="7" s="1"/>
  <c r="R24" i="7"/>
  <c r="Y24" i="7" s="1"/>
  <c r="AF24" i="7" s="1"/>
  <c r="N29" i="5"/>
  <c r="C29" i="5"/>
  <c r="B29" i="5"/>
  <c r="A30" i="5"/>
  <c r="AL29" i="5"/>
  <c r="G29" i="5"/>
  <c r="AK29" i="5"/>
  <c r="F29" i="5"/>
  <c r="AJ29" i="5"/>
  <c r="AG62" i="11"/>
  <c r="W28" i="8"/>
  <c r="X28" i="8" s="1"/>
  <c r="Z28" i="8" s="1"/>
  <c r="F29" i="8"/>
  <c r="AW28" i="10"/>
  <c r="AO28" i="10"/>
  <c r="AG28" i="10"/>
  <c r="AV28" i="10"/>
  <c r="AN28" i="10"/>
  <c r="AF28" i="10"/>
  <c r="BC28" i="10"/>
  <c r="AU28" i="10"/>
  <c r="AM28" i="10"/>
  <c r="AE28" i="10"/>
  <c r="BB28" i="10"/>
  <c r="AT28" i="10"/>
  <c r="AL28" i="10"/>
  <c r="AD28" i="10"/>
  <c r="BA28" i="10"/>
  <c r="AS28" i="10"/>
  <c r="AK28" i="10"/>
  <c r="AY28" i="10"/>
  <c r="AQ28" i="10"/>
  <c r="AI28" i="10"/>
  <c r="AZ28" i="10"/>
  <c r="AX28" i="10"/>
  <c r="AR28" i="10"/>
  <c r="AP28" i="10"/>
  <c r="AJ28" i="10"/>
  <c r="AH28" i="10"/>
  <c r="F28" i="10"/>
  <c r="F29" i="10" s="1"/>
  <c r="BB27" i="10"/>
  <c r="AL27" i="6"/>
  <c r="AO27" i="6"/>
  <c r="BI28" i="4"/>
  <c r="AV28" i="4"/>
  <c r="AB29" i="10"/>
  <c r="J29" i="10"/>
  <c r="B30" i="10"/>
  <c r="G29" i="10"/>
  <c r="H29" i="10" s="1"/>
  <c r="N29" i="10"/>
  <c r="E29" i="10"/>
  <c r="AH4" i="11" s="1"/>
  <c r="O29" i="10"/>
  <c r="BC26" i="10"/>
  <c r="BC24" i="10"/>
  <c r="BC25" i="10"/>
  <c r="X23" i="7"/>
  <c r="AI27" i="6"/>
  <c r="AT27" i="6"/>
  <c r="M26" i="5"/>
  <c r="I26" i="4"/>
  <c r="BC27" i="10"/>
  <c r="T24" i="7"/>
  <c r="AA24" i="7" s="1"/>
  <c r="AH24" i="7" s="1"/>
  <c r="AJ27" i="6"/>
  <c r="AB29" i="4"/>
  <c r="BQ29" i="4" s="1"/>
  <c r="R29" i="4"/>
  <c r="BG29" i="4" s="1"/>
  <c r="H29" i="4"/>
  <c r="AA29" i="4"/>
  <c r="Q29" i="4"/>
  <c r="A30" i="4"/>
  <c r="Y29" i="4"/>
  <c r="BN29" i="4" s="1"/>
  <c r="P29" i="4"/>
  <c r="C29" i="4"/>
  <c r="AY29" i="4"/>
  <c r="AK29" i="4"/>
  <c r="X29" i="4"/>
  <c r="BM29" i="4" s="1"/>
  <c r="O29" i="4"/>
  <c r="BD29" i="4" s="1"/>
  <c r="B29" i="4"/>
  <c r="G28" i="8" s="1"/>
  <c r="N29" i="4"/>
  <c r="BC29" i="4" s="1"/>
  <c r="BP29" i="4"/>
  <c r="BF29" i="4"/>
  <c r="AW29" i="4"/>
  <c r="U29" i="4"/>
  <c r="BJ29" i="4" s="1"/>
  <c r="M29" i="4"/>
  <c r="BE29" i="4"/>
  <c r="AV29" i="4"/>
  <c r="AF29" i="4"/>
  <c r="BS29" i="4" s="1"/>
  <c r="T29" i="4"/>
  <c r="BI29" i="4" s="1"/>
  <c r="S29" i="4"/>
  <c r="BH29" i="4" s="1"/>
  <c r="L28" i="10"/>
  <c r="R28" i="10"/>
  <c r="P28" i="10"/>
  <c r="W35" i="13"/>
  <c r="V36" i="13"/>
  <c r="I26" i="5"/>
  <c r="AR26" i="5" s="1"/>
  <c r="AA26" i="6"/>
  <c r="AD27" i="5"/>
  <c r="AH27" i="5" s="1"/>
  <c r="AN27" i="5" s="1"/>
  <c r="Q27" i="5"/>
  <c r="AR27" i="6"/>
  <c r="AM27" i="6"/>
  <c r="K29" i="10" l="1"/>
  <c r="L29" i="10" s="1"/>
  <c r="V29" i="4"/>
  <c r="BB29" i="4"/>
  <c r="BK29" i="4" s="1"/>
  <c r="AD26" i="6"/>
  <c r="L26" i="5"/>
  <c r="AC26" i="6" s="1"/>
  <c r="R29" i="10"/>
  <c r="P29" i="10"/>
  <c r="W29" i="8"/>
  <c r="X29" i="8" s="1"/>
  <c r="Y29" i="8" s="1"/>
  <c r="AA29" i="8"/>
  <c r="F30" i="8"/>
  <c r="AH62" i="11"/>
  <c r="BK2" i="10"/>
  <c r="AJ33" i="11"/>
  <c r="AB33" i="11"/>
  <c r="T33" i="11"/>
  <c r="L33" i="11"/>
  <c r="AI33" i="11"/>
  <c r="AA33" i="11"/>
  <c r="S33" i="11"/>
  <c r="K33" i="11"/>
  <c r="AH33" i="11"/>
  <c r="Z33" i="11"/>
  <c r="R33" i="11"/>
  <c r="J33" i="11"/>
  <c r="AG33" i="11"/>
  <c r="Y33" i="11"/>
  <c r="Q33" i="11"/>
  <c r="I33" i="11"/>
  <c r="AF33" i="11"/>
  <c r="X33" i="11"/>
  <c r="P33" i="11"/>
  <c r="AE33" i="11"/>
  <c r="W33" i="11"/>
  <c r="O33" i="11"/>
  <c r="V33" i="11"/>
  <c r="N33" i="11"/>
  <c r="M33" i="11"/>
  <c r="AK33" i="11"/>
  <c r="AD33" i="11"/>
  <c r="F34" i="11"/>
  <c r="AC33" i="11"/>
  <c r="U33" i="11"/>
  <c r="AU25" i="5"/>
  <c r="W36" i="13"/>
  <c r="V37" i="13"/>
  <c r="AA28" i="8"/>
  <c r="BK28" i="4"/>
  <c r="E30" i="10"/>
  <c r="F30" i="10" s="1"/>
  <c r="N30" i="10"/>
  <c r="AB30" i="10"/>
  <c r="J30" i="10"/>
  <c r="G30" i="10"/>
  <c r="H30" i="10" s="1"/>
  <c r="B31" i="10"/>
  <c r="O30" i="10"/>
  <c r="AI62" i="11"/>
  <c r="BD15" i="10"/>
  <c r="AJ30" i="5"/>
  <c r="N30" i="5"/>
  <c r="C30" i="5"/>
  <c r="B30" i="5"/>
  <c r="A31" i="5"/>
  <c r="G30" i="5"/>
  <c r="F30" i="5"/>
  <c r="AL30" i="5"/>
  <c r="AK30" i="5"/>
  <c r="AC31" i="10"/>
  <c r="C32" i="10"/>
  <c r="AJ25" i="4"/>
  <c r="AQ25" i="4" s="1"/>
  <c r="AX25" i="4"/>
  <c r="AZ25" i="4" s="1"/>
  <c r="K25" i="4"/>
  <c r="BG92" i="11"/>
  <c r="AY92" i="11"/>
  <c r="F93" i="11"/>
  <c r="AZ92" i="11"/>
  <c r="AQ92" i="11"/>
  <c r="AI92" i="11"/>
  <c r="AA92" i="11"/>
  <c r="S92" i="11"/>
  <c r="K92" i="11"/>
  <c r="BH92" i="11"/>
  <c r="AX92" i="11"/>
  <c r="AP92" i="11"/>
  <c r="AH92" i="11"/>
  <c r="Z92" i="11"/>
  <c r="R92" i="11"/>
  <c r="J92" i="11"/>
  <c r="BF92" i="11"/>
  <c r="AW92" i="11"/>
  <c r="AO92" i="11"/>
  <c r="AG92" i="11"/>
  <c r="Y92" i="11"/>
  <c r="Q92" i="11"/>
  <c r="I92" i="11"/>
  <c r="BE92" i="11"/>
  <c r="AV92" i="11"/>
  <c r="AN92" i="11"/>
  <c r="AF92" i="11"/>
  <c r="X92" i="11"/>
  <c r="P92" i="11"/>
  <c r="BC92" i="11"/>
  <c r="AT92" i="11"/>
  <c r="AL92" i="11"/>
  <c r="AD92" i="11"/>
  <c r="V92" i="11"/>
  <c r="N92" i="11"/>
  <c r="AU92" i="11"/>
  <c r="AB92" i="11"/>
  <c r="AS92" i="11"/>
  <c r="W92" i="11"/>
  <c r="AR92" i="11"/>
  <c r="U92" i="11"/>
  <c r="AM92" i="11"/>
  <c r="T92" i="11"/>
  <c r="AK92" i="11"/>
  <c r="O92" i="11"/>
  <c r="BD92" i="11"/>
  <c r="AJ92" i="11"/>
  <c r="M92" i="11"/>
  <c r="BB92" i="11"/>
  <c r="AE92" i="11"/>
  <c r="L92" i="11"/>
  <c r="BA92" i="11"/>
  <c r="AC92" i="11"/>
  <c r="AD25" i="6"/>
  <c r="L25" i="5"/>
  <c r="AC25" i="6" s="1"/>
  <c r="AF25" i="6" s="1"/>
  <c r="O31" i="7"/>
  <c r="N32" i="7"/>
  <c r="AE23" i="7"/>
  <c r="AZ29" i="10"/>
  <c r="AR29" i="10"/>
  <c r="AJ29" i="10"/>
  <c r="AY29" i="10"/>
  <c r="AQ29" i="10"/>
  <c r="AI29" i="10"/>
  <c r="AX29" i="10"/>
  <c r="AP29" i="10"/>
  <c r="AH29" i="10"/>
  <c r="AW29" i="10"/>
  <c r="AO29" i="10"/>
  <c r="AG29" i="10"/>
  <c r="BD29" i="10"/>
  <c r="AV29" i="10"/>
  <c r="AN29" i="10"/>
  <c r="AF29" i="10"/>
  <c r="BB29" i="10"/>
  <c r="AT29" i="10"/>
  <c r="AL29" i="10"/>
  <c r="AD29" i="10"/>
  <c r="BA29" i="10"/>
  <c r="AU29" i="10"/>
  <c r="AS29" i="10"/>
  <c r="AM29" i="10"/>
  <c r="AK29" i="10"/>
  <c r="AE29" i="10"/>
  <c r="BC29" i="10"/>
  <c r="P29" i="5"/>
  <c r="A31" i="4"/>
  <c r="Y30" i="4"/>
  <c r="P30" i="4"/>
  <c r="C30" i="4"/>
  <c r="BS30" i="4"/>
  <c r="BH30" i="4"/>
  <c r="AY30" i="4"/>
  <c r="AK30" i="4"/>
  <c r="X30" i="4"/>
  <c r="O30" i="4"/>
  <c r="B30" i="4"/>
  <c r="G29" i="8" s="1"/>
  <c r="BQ30" i="4"/>
  <c r="BG30" i="4"/>
  <c r="N30" i="4"/>
  <c r="U30" i="4"/>
  <c r="BJ30" i="4" s="1"/>
  <c r="M30" i="4"/>
  <c r="BN30" i="4"/>
  <c r="BE30" i="4"/>
  <c r="AV30" i="4"/>
  <c r="AF30" i="4"/>
  <c r="T30" i="4"/>
  <c r="BI30" i="4" s="1"/>
  <c r="BM30" i="4"/>
  <c r="BD30" i="4"/>
  <c r="S30" i="4"/>
  <c r="BC30" i="4"/>
  <c r="AB30" i="4"/>
  <c r="R30" i="4"/>
  <c r="H30" i="4"/>
  <c r="AW30" i="4" s="1"/>
  <c r="BB30" i="4"/>
  <c r="AA30" i="4"/>
  <c r="BP30" i="4" s="1"/>
  <c r="Q30" i="4"/>
  <c r="BF30" i="4" s="1"/>
  <c r="C29" i="6"/>
  <c r="AJ29" i="6" s="1"/>
  <c r="AP29" i="6"/>
  <c r="B29" i="6"/>
  <c r="A30" i="6"/>
  <c r="AU29" i="6"/>
  <c r="AM29" i="6"/>
  <c r="AT29" i="6"/>
  <c r="U25" i="7"/>
  <c r="AB25" i="7" s="1"/>
  <c r="AI25" i="7" s="1"/>
  <c r="Q24" i="7"/>
  <c r="T25" i="7"/>
  <c r="AA25" i="7" s="1"/>
  <c r="AH25" i="7" s="1"/>
  <c r="Q25" i="7"/>
  <c r="U24" i="7"/>
  <c r="AB24" i="7" s="1"/>
  <c r="AI24" i="7" s="1"/>
  <c r="Y28" i="8"/>
  <c r="AC22" i="7"/>
  <c r="J27" i="5" s="1"/>
  <c r="AE22" i="7"/>
  <c r="AJ22" i="7" s="1"/>
  <c r="AL5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D28" i="5"/>
  <c r="AH28" i="5" s="1"/>
  <c r="AN28" i="5" s="1"/>
  <c r="Q28" i="5"/>
  <c r="AU26" i="5"/>
  <c r="AJ26" i="4"/>
  <c r="AQ26" i="4" s="1"/>
  <c r="AX26" i="4"/>
  <c r="AZ26" i="4" s="1"/>
  <c r="K26" i="4"/>
  <c r="K30" i="10" l="1"/>
  <c r="X25" i="7"/>
  <c r="AL29" i="6"/>
  <c r="AO29" i="6"/>
  <c r="AR29" i="6"/>
  <c r="N31" i="4"/>
  <c r="U31" i="4"/>
  <c r="M31" i="4"/>
  <c r="AF31" i="4"/>
  <c r="T31" i="4"/>
  <c r="S31" i="4"/>
  <c r="AB31" i="4"/>
  <c r="BQ31" i="4" s="1"/>
  <c r="R31" i="4"/>
  <c r="BG31" i="4" s="1"/>
  <c r="H31" i="4"/>
  <c r="AW31" i="4" s="1"/>
  <c r="AA31" i="4"/>
  <c r="BP31" i="4" s="1"/>
  <c r="Q31" i="4"/>
  <c r="BF31" i="4" s="1"/>
  <c r="A32" i="4"/>
  <c r="Y31" i="4"/>
  <c r="BN31" i="4" s="1"/>
  <c r="P31" i="4"/>
  <c r="BE31" i="4" s="1"/>
  <c r="C31" i="4"/>
  <c r="AK31" i="4"/>
  <c r="X31" i="4"/>
  <c r="BM31" i="4" s="1"/>
  <c r="O31" i="4"/>
  <c r="BD31" i="4" s="1"/>
  <c r="B31" i="4"/>
  <c r="BH31" i="4" s="1"/>
  <c r="N33" i="7"/>
  <c r="O32" i="7"/>
  <c r="AI4" i="11"/>
  <c r="R30" i="10"/>
  <c r="P30" i="10"/>
  <c r="Z29" i="8"/>
  <c r="P30" i="5"/>
  <c r="BD27" i="10"/>
  <c r="BD28" i="10"/>
  <c r="BD25" i="10"/>
  <c r="W37" i="13"/>
  <c r="V38" i="13"/>
  <c r="W30" i="8"/>
  <c r="X30" i="8" s="1"/>
  <c r="Y30" i="8" s="1"/>
  <c r="G30" i="8"/>
  <c r="AA30" i="8"/>
  <c r="F31" i="8"/>
  <c r="Z30" i="8"/>
  <c r="V24" i="7"/>
  <c r="X24" i="7"/>
  <c r="V30" i="4"/>
  <c r="AL34" i="11"/>
  <c r="AD34" i="11"/>
  <c r="V34" i="11"/>
  <c r="N34" i="11"/>
  <c r="F35" i="11"/>
  <c r="AK34" i="11"/>
  <c r="AC34" i="11"/>
  <c r="U34" i="11"/>
  <c r="M34" i="11"/>
  <c r="AJ34" i="11"/>
  <c r="AB34" i="11"/>
  <c r="T34" i="11"/>
  <c r="L34" i="11"/>
  <c r="AI34" i="11"/>
  <c r="AA34" i="11"/>
  <c r="S34" i="11"/>
  <c r="K34" i="11"/>
  <c r="AH34" i="11"/>
  <c r="Z34" i="11"/>
  <c r="R34" i="11"/>
  <c r="J34" i="11"/>
  <c r="AG34" i="11"/>
  <c r="Y34" i="11"/>
  <c r="Q34" i="11"/>
  <c r="I34" i="11"/>
  <c r="AF34" i="11"/>
  <c r="X34" i="11"/>
  <c r="W34" i="11"/>
  <c r="P34" i="11"/>
  <c r="O34" i="11"/>
  <c r="AE34" i="11"/>
  <c r="BK30" i="4"/>
  <c r="AT25" i="4"/>
  <c r="AG25" i="6"/>
  <c r="AK31" i="5"/>
  <c r="AJ31" i="5"/>
  <c r="N31" i="5"/>
  <c r="C31" i="5"/>
  <c r="B31" i="5"/>
  <c r="F31" i="5"/>
  <c r="AL31" i="5"/>
  <c r="A32" i="5"/>
  <c r="G31" i="5"/>
  <c r="B32" i="10"/>
  <c r="G31" i="10"/>
  <c r="H31" i="10" s="1"/>
  <c r="E31" i="10"/>
  <c r="N31" i="10"/>
  <c r="AB31" i="10"/>
  <c r="J31" i="10"/>
  <c r="O31" i="10"/>
  <c r="BE27" i="10"/>
  <c r="AD26" i="4"/>
  <c r="AH26" i="4"/>
  <c r="AM26" i="4" s="1"/>
  <c r="M27" i="5"/>
  <c r="I27" i="4"/>
  <c r="R25" i="7"/>
  <c r="Y25" i="7" s="1"/>
  <c r="AF25" i="7" s="1"/>
  <c r="AK29" i="6"/>
  <c r="AI29" i="6"/>
  <c r="AD29" i="5"/>
  <c r="AH29" i="5" s="1"/>
  <c r="AN29" i="5" s="1"/>
  <c r="Q29" i="5"/>
  <c r="BL2" i="10"/>
  <c r="AH25" i="4"/>
  <c r="AM25" i="4" s="1"/>
  <c r="AD25" i="4"/>
  <c r="AA27" i="6"/>
  <c r="I27" i="5"/>
  <c r="AR27" i="5" s="1"/>
  <c r="AS29" i="6"/>
  <c r="AN29" i="6"/>
  <c r="AQ29" i="6"/>
  <c r="BC93" i="11"/>
  <c r="F94" i="11"/>
  <c r="BA93" i="11"/>
  <c r="AS93" i="11"/>
  <c r="AK93" i="11"/>
  <c r="AC93" i="11"/>
  <c r="U93" i="11"/>
  <c r="M93" i="11"/>
  <c r="BF93" i="11"/>
  <c r="AZ93" i="11"/>
  <c r="AQ93" i="11"/>
  <c r="AH93" i="11"/>
  <c r="Y93" i="11"/>
  <c r="P93" i="11"/>
  <c r="AY93" i="11"/>
  <c r="AP93" i="11"/>
  <c r="AG93" i="11"/>
  <c r="X93" i="11"/>
  <c r="O93" i="11"/>
  <c r="AX93" i="11"/>
  <c r="AO93" i="11"/>
  <c r="AF93" i="11"/>
  <c r="W93" i="11"/>
  <c r="N93" i="11"/>
  <c r="BH93" i="11"/>
  <c r="AW93" i="11"/>
  <c r="AN93" i="11"/>
  <c r="AE93" i="11"/>
  <c r="V93" i="11"/>
  <c r="L93" i="11"/>
  <c r="BE93" i="11"/>
  <c r="AU93" i="11"/>
  <c r="AL93" i="11"/>
  <c r="AB93" i="11"/>
  <c r="S93" i="11"/>
  <c r="J93" i="11"/>
  <c r="AR93" i="11"/>
  <c r="R93" i="11"/>
  <c r="AM93" i="11"/>
  <c r="Q93" i="11"/>
  <c r="AJ93" i="11"/>
  <c r="K93" i="11"/>
  <c r="BG93" i="11"/>
  <c r="AI93" i="11"/>
  <c r="I93" i="11"/>
  <c r="BD93" i="11"/>
  <c r="AD93" i="11"/>
  <c r="BB93" i="11"/>
  <c r="AA93" i="11"/>
  <c r="AV93" i="11"/>
  <c r="Z93" i="11"/>
  <c r="AT93" i="11"/>
  <c r="T93" i="11"/>
  <c r="BD26" i="10"/>
  <c r="L30" i="10"/>
  <c r="AL33" i="11"/>
  <c r="AT26" i="4"/>
  <c r="AG26" i="6"/>
  <c r="AM5" i="11"/>
  <c r="AM34" i="11" s="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S30" i="6"/>
  <c r="AR30" i="6"/>
  <c r="AJ30" i="6"/>
  <c r="AQ30" i="6"/>
  <c r="AI30" i="6"/>
  <c r="C30" i="6"/>
  <c r="AK30" i="6" s="1"/>
  <c r="AP30" i="6"/>
  <c r="B30" i="6"/>
  <c r="AO30" i="6"/>
  <c r="A31" i="6"/>
  <c r="AN30" i="6"/>
  <c r="AU30" i="6"/>
  <c r="AM30" i="6"/>
  <c r="AT30" i="6"/>
  <c r="AL30" i="6"/>
  <c r="S25" i="7"/>
  <c r="Z25" i="7" s="1"/>
  <c r="AG25" i="7" s="1"/>
  <c r="AC32" i="10"/>
  <c r="C33" i="10"/>
  <c r="BC30" i="10"/>
  <c r="AU30" i="10"/>
  <c r="AM30" i="10"/>
  <c r="AE30" i="10"/>
  <c r="BB30" i="10"/>
  <c r="AT30" i="10"/>
  <c r="AL30" i="10"/>
  <c r="AD30" i="10"/>
  <c r="BA30" i="10"/>
  <c r="AS30" i="10"/>
  <c r="AK30" i="10"/>
  <c r="AZ30" i="10"/>
  <c r="AR30" i="10"/>
  <c r="AJ30" i="10"/>
  <c r="AY30" i="10"/>
  <c r="AQ30" i="10"/>
  <c r="AI30" i="10"/>
  <c r="BE30" i="10"/>
  <c r="AW30" i="10"/>
  <c r="AO30" i="10"/>
  <c r="AG30" i="10"/>
  <c r="AV30" i="10"/>
  <c r="AP30" i="10"/>
  <c r="AN30" i="10"/>
  <c r="AH30" i="10"/>
  <c r="AF30" i="10"/>
  <c r="BD30" i="10"/>
  <c r="AX30" i="10"/>
  <c r="AF26" i="6"/>
  <c r="AJ62" i="11"/>
  <c r="K31" i="10" l="1"/>
  <c r="BE28" i="10"/>
  <c r="BE29" i="10"/>
  <c r="BE26" i="10"/>
  <c r="AJ4" i="11"/>
  <c r="F32" i="5"/>
  <c r="AL32" i="5"/>
  <c r="AK32" i="5"/>
  <c r="N32" i="5"/>
  <c r="C32" i="5"/>
  <c r="AJ32" i="5"/>
  <c r="B32" i="5"/>
  <c r="A33" i="5"/>
  <c r="G32" i="5"/>
  <c r="AD30" i="5"/>
  <c r="AH30" i="5" s="1"/>
  <c r="AN30" i="5" s="1"/>
  <c r="Q30" i="5"/>
  <c r="BS31" i="4"/>
  <c r="BB31" i="4"/>
  <c r="BE94" i="11"/>
  <c r="AW94" i="11"/>
  <c r="AO94" i="11"/>
  <c r="AG94" i="11"/>
  <c r="Y94" i="11"/>
  <c r="Q94" i="11"/>
  <c r="I94" i="11"/>
  <c r="BC94" i="11"/>
  <c r="AU94" i="11"/>
  <c r="AM94" i="11"/>
  <c r="AE94" i="11"/>
  <c r="W94" i="11"/>
  <c r="O94" i="11"/>
  <c r="BH94" i="11"/>
  <c r="AZ94" i="11"/>
  <c r="AR94" i="11"/>
  <c r="AJ94" i="11"/>
  <c r="AB94" i="11"/>
  <c r="T94" i="11"/>
  <c r="L94" i="11"/>
  <c r="AX94" i="11"/>
  <c r="AK94" i="11"/>
  <c r="X94" i="11"/>
  <c r="K94" i="11"/>
  <c r="F95" i="11"/>
  <c r="AV94" i="11"/>
  <c r="AI94" i="11"/>
  <c r="V94" i="11"/>
  <c r="J94" i="11"/>
  <c r="BG94" i="11"/>
  <c r="AT94" i="11"/>
  <c r="AH94" i="11"/>
  <c r="U94" i="11"/>
  <c r="BF94" i="11"/>
  <c r="AS94" i="11"/>
  <c r="AF94" i="11"/>
  <c r="S94" i="11"/>
  <c r="BB94" i="11"/>
  <c r="AP94" i="11"/>
  <c r="AC94" i="11"/>
  <c r="P94" i="11"/>
  <c r="BA94" i="11"/>
  <c r="R94" i="11"/>
  <c r="AY94" i="11"/>
  <c r="N94" i="11"/>
  <c r="AQ94" i="11"/>
  <c r="M94" i="11"/>
  <c r="AN94" i="11"/>
  <c r="AL94" i="11"/>
  <c r="AD94" i="11"/>
  <c r="AA94" i="11"/>
  <c r="BD94" i="11"/>
  <c r="Z94" i="11"/>
  <c r="AG33" i="7"/>
  <c r="X33" i="7"/>
  <c r="AE33" i="7"/>
  <c r="AJ33" i="7" s="1"/>
  <c r="U33" i="7"/>
  <c r="T33" i="7"/>
  <c r="N34" i="7"/>
  <c r="AB33" i="7"/>
  <c r="S33" i="7"/>
  <c r="AA33" i="7"/>
  <c r="Z33" i="7"/>
  <c r="Y33" i="7"/>
  <c r="R33" i="7"/>
  <c r="AI33" i="7"/>
  <c r="Q33" i="7"/>
  <c r="V33" i="7" s="1"/>
  <c r="AH33" i="7"/>
  <c r="O33" i="7"/>
  <c r="AF33" i="7"/>
  <c r="BJ31" i="4"/>
  <c r="AC33" i="10"/>
  <c r="C34" i="10"/>
  <c r="AB32" i="10"/>
  <c r="J32" i="10"/>
  <c r="B33" i="10"/>
  <c r="G32" i="10"/>
  <c r="H32" i="10" s="1"/>
  <c r="E32" i="10"/>
  <c r="AK4" i="11" s="1"/>
  <c r="N32" i="10"/>
  <c r="O32" i="10"/>
  <c r="BF18" i="10"/>
  <c r="BF5" i="10"/>
  <c r="BF13" i="10"/>
  <c r="BF29" i="10"/>
  <c r="AK62" i="11"/>
  <c r="BF10" i="10"/>
  <c r="P31" i="5"/>
  <c r="AF35" i="11"/>
  <c r="X35" i="11"/>
  <c r="P35" i="11"/>
  <c r="AM35" i="11"/>
  <c r="AE35" i="11"/>
  <c r="W35" i="11"/>
  <c r="O35" i="11"/>
  <c r="AL35" i="11"/>
  <c r="AD35" i="11"/>
  <c r="V35" i="11"/>
  <c r="N35" i="11"/>
  <c r="F36" i="11"/>
  <c r="AK35" i="11"/>
  <c r="AC35" i="11"/>
  <c r="U35" i="11"/>
  <c r="M35" i="11"/>
  <c r="AJ35" i="11"/>
  <c r="AB35" i="11"/>
  <c r="T35" i="11"/>
  <c r="L35" i="11"/>
  <c r="AI35" i="11"/>
  <c r="AA35" i="11"/>
  <c r="S35" i="11"/>
  <c r="K35" i="11"/>
  <c r="J35" i="11"/>
  <c r="AH35" i="11"/>
  <c r="AG35" i="11"/>
  <c r="Z35" i="11"/>
  <c r="Y35" i="11"/>
  <c r="R35" i="11"/>
  <c r="I35" i="11"/>
  <c r="Q35" i="11"/>
  <c r="V39" i="13"/>
  <c r="W38" i="13"/>
  <c r="W31" i="8"/>
  <c r="X31" i="8" s="1"/>
  <c r="Y31" i="8" s="1"/>
  <c r="AA31" i="8"/>
  <c r="F32" i="8"/>
  <c r="Z31" i="8"/>
  <c r="AC24" i="7"/>
  <c r="J29" i="5" s="1"/>
  <c r="AE24" i="7"/>
  <c r="AJ24" i="7" s="1"/>
  <c r="BI31" i="4"/>
  <c r="AV31" i="4"/>
  <c r="L31" i="10"/>
  <c r="BE32" i="4"/>
  <c r="AV32" i="4"/>
  <c r="AF32" i="4"/>
  <c r="BS32" i="4" s="1"/>
  <c r="T32" i="4"/>
  <c r="BM32" i="4"/>
  <c r="S32" i="4"/>
  <c r="AB32" i="4"/>
  <c r="R32" i="4"/>
  <c r="BG32" i="4" s="1"/>
  <c r="H32" i="4"/>
  <c r="AA32" i="4"/>
  <c r="BP32" i="4" s="1"/>
  <c r="Q32" i="4"/>
  <c r="A33" i="4"/>
  <c r="BI32" i="4"/>
  <c r="Y32" i="4"/>
  <c r="BN32" i="4" s="1"/>
  <c r="P32" i="4"/>
  <c r="C32" i="4"/>
  <c r="BH32" i="4"/>
  <c r="AY32" i="4"/>
  <c r="AK32" i="4"/>
  <c r="X32" i="4"/>
  <c r="O32" i="4"/>
  <c r="BD32" i="4" s="1"/>
  <c r="B32" i="4"/>
  <c r="G31" i="8" s="1"/>
  <c r="BQ32" i="4"/>
  <c r="N32" i="4"/>
  <c r="BC32" i="4" s="1"/>
  <c r="BF32" i="4"/>
  <c r="AW32" i="4"/>
  <c r="U32" i="4"/>
  <c r="BJ32" i="4" s="1"/>
  <c r="M32" i="4"/>
  <c r="BC31" i="4"/>
  <c r="AC25" i="7"/>
  <c r="J30" i="5" s="1"/>
  <c r="AE25" i="7"/>
  <c r="AJ25" i="7" s="1"/>
  <c r="AN5" i="11"/>
  <c r="AM7" i="11"/>
  <c r="AM8" i="11"/>
  <c r="AM9" i="11"/>
  <c r="AM10" i="11"/>
  <c r="AM11" i="11"/>
  <c r="AM12" i="11"/>
  <c r="AM13" i="11"/>
  <c r="AM14" i="11"/>
  <c r="AM15" i="11"/>
  <c r="AM16" i="11"/>
  <c r="AM17" i="11"/>
  <c r="AM18" i="11"/>
  <c r="AM19" i="11"/>
  <c r="AM20" i="11"/>
  <c r="AM21" i="11"/>
  <c r="AM22" i="11"/>
  <c r="AM23" i="11"/>
  <c r="AM24" i="11"/>
  <c r="AM25" i="11"/>
  <c r="AM26" i="11"/>
  <c r="AM27" i="11"/>
  <c r="AM28" i="11"/>
  <c r="AM29" i="11"/>
  <c r="AM30" i="11"/>
  <c r="AM31" i="11"/>
  <c r="AM32" i="11"/>
  <c r="AM33" i="11"/>
  <c r="AJ27" i="4"/>
  <c r="AQ27" i="4" s="1"/>
  <c r="AX27" i="4"/>
  <c r="AZ27" i="4" s="1"/>
  <c r="K27" i="4"/>
  <c r="BF31" i="10"/>
  <c r="AX31" i="10"/>
  <c r="AP31" i="10"/>
  <c r="AH31" i="10"/>
  <c r="BE31" i="10"/>
  <c r="AW31" i="10"/>
  <c r="AO31" i="10"/>
  <c r="AG31" i="10"/>
  <c r="BD31" i="10"/>
  <c r="AV31" i="10"/>
  <c r="AN31" i="10"/>
  <c r="AF31" i="10"/>
  <c r="BC31" i="10"/>
  <c r="AU31" i="10"/>
  <c r="AM31" i="10"/>
  <c r="AE31" i="10"/>
  <c r="BB31" i="10"/>
  <c r="AT31" i="10"/>
  <c r="AL31" i="10"/>
  <c r="AD31" i="10"/>
  <c r="AZ31" i="10"/>
  <c r="AR31" i="10"/>
  <c r="AJ31" i="10"/>
  <c r="AQ31" i="10"/>
  <c r="AK31" i="10"/>
  <c r="AI31" i="10"/>
  <c r="BA31" i="10"/>
  <c r="AY31" i="10"/>
  <c r="AS31" i="10"/>
  <c r="AY31" i="4"/>
  <c r="V25" i="7"/>
  <c r="AS31" i="6"/>
  <c r="AR31" i="6"/>
  <c r="AJ31" i="6"/>
  <c r="AQ31" i="6"/>
  <c r="AI31" i="6"/>
  <c r="AP31" i="6"/>
  <c r="C31" i="6"/>
  <c r="AK31" i="6" s="1"/>
  <c r="AO31" i="6"/>
  <c r="B31" i="6"/>
  <c r="A32" i="6"/>
  <c r="AN31" i="6"/>
  <c r="AU31" i="6"/>
  <c r="AM31" i="6"/>
  <c r="AL31" i="6"/>
  <c r="AT31" i="6"/>
  <c r="S26" i="7"/>
  <c r="Z26" i="7" s="1"/>
  <c r="AG26" i="7" s="1"/>
  <c r="T26" i="7"/>
  <c r="AA26" i="7" s="1"/>
  <c r="AH26" i="7" s="1"/>
  <c r="R26" i="7"/>
  <c r="Y26" i="7" s="1"/>
  <c r="AF26" i="7" s="1"/>
  <c r="Q27" i="7"/>
  <c r="U26" i="7"/>
  <c r="AB26" i="7" s="1"/>
  <c r="AI26" i="7" s="1"/>
  <c r="AU27" i="5"/>
  <c r="BM2" i="10"/>
  <c r="L27" i="5"/>
  <c r="AC27" i="6" s="1"/>
  <c r="AF27" i="6" s="1"/>
  <c r="AD27" i="6"/>
  <c r="R31" i="10"/>
  <c r="P31" i="10"/>
  <c r="V31" i="4"/>
  <c r="BF26" i="10"/>
  <c r="F31" i="10"/>
  <c r="F32" i="10" s="1"/>
  <c r="K32" i="10" l="1"/>
  <c r="BN2" i="10"/>
  <c r="R32" i="10"/>
  <c r="P32" i="10"/>
  <c r="AK32" i="6"/>
  <c r="C32" i="6"/>
  <c r="AS32" i="6" s="1"/>
  <c r="B32" i="6"/>
  <c r="A33" i="6"/>
  <c r="AU32" i="6"/>
  <c r="R27" i="7"/>
  <c r="Y27" i="7" s="1"/>
  <c r="AF27" i="7" s="1"/>
  <c r="Q28" i="7"/>
  <c r="AD31" i="5"/>
  <c r="AH31" i="5" s="1"/>
  <c r="AN31" i="5" s="1"/>
  <c r="Q31" i="5"/>
  <c r="AL33" i="5"/>
  <c r="G33" i="5"/>
  <c r="AK33" i="5"/>
  <c r="F33" i="5"/>
  <c r="AJ33" i="5"/>
  <c r="N33" i="5"/>
  <c r="C33" i="5"/>
  <c r="B33" i="5"/>
  <c r="A34" i="5"/>
  <c r="X27" i="7"/>
  <c r="AO5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V32" i="4"/>
  <c r="BB32" i="4"/>
  <c r="BK32" i="4" s="1"/>
  <c r="P32" i="5"/>
  <c r="I29" i="4"/>
  <c r="M29" i="5"/>
  <c r="T27" i="7"/>
  <c r="AA27" i="7" s="1"/>
  <c r="AH27" i="7" s="1"/>
  <c r="AA29" i="6"/>
  <c r="I29" i="5"/>
  <c r="AR29" i="5" s="1"/>
  <c r="AH36" i="11"/>
  <c r="Z36" i="11"/>
  <c r="R36" i="11"/>
  <c r="J36" i="11"/>
  <c r="AO36" i="11"/>
  <c r="AG36" i="11"/>
  <c r="Y36" i="11"/>
  <c r="Q36" i="11"/>
  <c r="I36" i="11"/>
  <c r="AN36" i="11"/>
  <c r="AF36" i="11"/>
  <c r="X36" i="11"/>
  <c r="P36" i="11"/>
  <c r="AM36" i="11"/>
  <c r="AE36" i="11"/>
  <c r="W36" i="11"/>
  <c r="O36" i="11"/>
  <c r="AL36" i="11"/>
  <c r="AD36" i="11"/>
  <c r="V36" i="11"/>
  <c r="N36" i="11"/>
  <c r="F37" i="11"/>
  <c r="AK36" i="11"/>
  <c r="AC36" i="11"/>
  <c r="U36" i="11"/>
  <c r="M36" i="11"/>
  <c r="T36" i="11"/>
  <c r="L36" i="11"/>
  <c r="K36" i="11"/>
  <c r="AJ36" i="11"/>
  <c r="AI36" i="11"/>
  <c r="AB36" i="11"/>
  <c r="AA36" i="11"/>
  <c r="S36" i="11"/>
  <c r="AN35" i="11"/>
  <c r="BF27" i="10"/>
  <c r="BF30" i="10"/>
  <c r="AC33" i="7"/>
  <c r="AD27" i="4"/>
  <c r="AH27" i="4"/>
  <c r="AM27" i="4" s="1"/>
  <c r="S28" i="7"/>
  <c r="Z28" i="7" s="1"/>
  <c r="AG28" i="7" s="1"/>
  <c r="W32" i="8"/>
  <c r="X32" i="8" s="1"/>
  <c r="Z32" i="8" s="1"/>
  <c r="AA32" i="8"/>
  <c r="F33" i="8"/>
  <c r="Y32" i="8"/>
  <c r="E33" i="10"/>
  <c r="BG28" i="10" s="1"/>
  <c r="N33" i="10"/>
  <c r="AB33" i="10"/>
  <c r="B34" i="10"/>
  <c r="G33" i="10"/>
  <c r="H33" i="10" s="1"/>
  <c r="O33" i="10"/>
  <c r="AL4" i="11"/>
  <c r="BG23" i="10"/>
  <c r="BG7" i="10"/>
  <c r="BG5" i="10"/>
  <c r="BG8" i="10"/>
  <c r="BG15" i="10"/>
  <c r="BG4" i="10"/>
  <c r="AL62" i="11"/>
  <c r="BG18" i="10"/>
  <c r="BG16" i="10"/>
  <c r="U28" i="7"/>
  <c r="AB28" i="7" s="1"/>
  <c r="AI28" i="7" s="1"/>
  <c r="BG95" i="11"/>
  <c r="AY95" i="11"/>
  <c r="AQ95" i="11"/>
  <c r="AI95" i="11"/>
  <c r="AA95" i="11"/>
  <c r="S95" i="11"/>
  <c r="K95" i="11"/>
  <c r="BE95" i="11"/>
  <c r="AW95" i="11"/>
  <c r="AO95" i="11"/>
  <c r="AG95" i="11"/>
  <c r="Y95" i="11"/>
  <c r="Q95" i="11"/>
  <c r="I95" i="11"/>
  <c r="BB95" i="11"/>
  <c r="AT95" i="11"/>
  <c r="AL95" i="11"/>
  <c r="AD95" i="11"/>
  <c r="V95" i="11"/>
  <c r="N95" i="11"/>
  <c r="BH95" i="11"/>
  <c r="AU95" i="11"/>
  <c r="AH95" i="11"/>
  <c r="U95" i="11"/>
  <c r="BF95" i="11"/>
  <c r="AS95" i="11"/>
  <c r="AF95" i="11"/>
  <c r="T95" i="11"/>
  <c r="BD95" i="11"/>
  <c r="AR95" i="11"/>
  <c r="AE95" i="11"/>
  <c r="R95" i="11"/>
  <c r="BC95" i="11"/>
  <c r="AP95" i="11"/>
  <c r="AC95" i="11"/>
  <c r="P95" i="11"/>
  <c r="AZ95" i="11"/>
  <c r="AM95" i="11"/>
  <c r="Z95" i="11"/>
  <c r="M95" i="11"/>
  <c r="AJ95" i="11"/>
  <c r="AB95" i="11"/>
  <c r="F96" i="11"/>
  <c r="X95" i="11"/>
  <c r="BA95" i="11"/>
  <c r="W95" i="11"/>
  <c r="AX95" i="11"/>
  <c r="O95" i="11"/>
  <c r="AV95" i="11"/>
  <c r="L95" i="11"/>
  <c r="AN95" i="11"/>
  <c r="J95" i="11"/>
  <c r="AK95" i="11"/>
  <c r="M30" i="5"/>
  <c r="I30" i="4"/>
  <c r="AB33" i="4"/>
  <c r="R33" i="4"/>
  <c r="BG33" i="4" s="1"/>
  <c r="H33" i="4"/>
  <c r="AA33" i="4"/>
  <c r="BP33" i="4" s="1"/>
  <c r="Q33" i="4"/>
  <c r="BF33" i="4" s="1"/>
  <c r="Y33" i="4"/>
  <c r="P33" i="4"/>
  <c r="C33" i="4"/>
  <c r="A34" i="4"/>
  <c r="AK33" i="4"/>
  <c r="X33" i="4"/>
  <c r="BM33" i="4" s="1"/>
  <c r="O33" i="4"/>
  <c r="BD33" i="4" s="1"/>
  <c r="B33" i="4"/>
  <c r="G32" i="8" s="1"/>
  <c r="BS33" i="4"/>
  <c r="BH33" i="4"/>
  <c r="N33" i="4"/>
  <c r="BC33" i="4" s="1"/>
  <c r="BQ33" i="4"/>
  <c r="U33" i="4"/>
  <c r="BJ33" i="4" s="1"/>
  <c r="M33" i="4"/>
  <c r="AW33" i="4"/>
  <c r="AF33" i="4"/>
  <c r="T33" i="4"/>
  <c r="BI33" i="4" s="1"/>
  <c r="BN33" i="4"/>
  <c r="BE33" i="4"/>
  <c r="AV33" i="4"/>
  <c r="S33" i="4"/>
  <c r="L32" i="10"/>
  <c r="J33" i="10" s="1"/>
  <c r="C35" i="10"/>
  <c r="AC34" i="10"/>
  <c r="BK31" i="4"/>
  <c r="AT27" i="4"/>
  <c r="AG27" i="6"/>
  <c r="I30" i="5"/>
  <c r="AR30" i="5" s="1"/>
  <c r="AA30" i="6"/>
  <c r="V40" i="13"/>
  <c r="W39" i="13"/>
  <c r="BA32" i="10"/>
  <c r="AS32" i="10"/>
  <c r="AK32" i="10"/>
  <c r="AZ32" i="10"/>
  <c r="AR32" i="10"/>
  <c r="AJ32" i="10"/>
  <c r="BG32" i="10"/>
  <c r="AY32" i="10"/>
  <c r="AQ32" i="10"/>
  <c r="AI32" i="10"/>
  <c r="BF32" i="10"/>
  <c r="AX32" i="10"/>
  <c r="AP32" i="10"/>
  <c r="AH32" i="10"/>
  <c r="BE32" i="10"/>
  <c r="AW32" i="10"/>
  <c r="AO32" i="10"/>
  <c r="AG32" i="10"/>
  <c r="BD32" i="10"/>
  <c r="BC32" i="10"/>
  <c r="AU32" i="10"/>
  <c r="AM32" i="10"/>
  <c r="AE32" i="10"/>
  <c r="AL32" i="10"/>
  <c r="AF32" i="10"/>
  <c r="AD32" i="10"/>
  <c r="BB32" i="10"/>
  <c r="AV32" i="10"/>
  <c r="AT32" i="10"/>
  <c r="AN32" i="10"/>
  <c r="AB34" i="7"/>
  <c r="S34" i="7"/>
  <c r="N35" i="7"/>
  <c r="AI34" i="7"/>
  <c r="Z34" i="7"/>
  <c r="Q34" i="7"/>
  <c r="AH34" i="7"/>
  <c r="Y34" i="7"/>
  <c r="O34" i="7"/>
  <c r="AG34" i="7"/>
  <c r="X34" i="7"/>
  <c r="U34" i="7"/>
  <c r="T34" i="7"/>
  <c r="R34" i="7"/>
  <c r="AF34" i="7"/>
  <c r="AE34" i="7"/>
  <c r="AJ34" i="7" s="1"/>
  <c r="AA34" i="7"/>
  <c r="K33" i="10" l="1"/>
  <c r="L33" i="10" s="1"/>
  <c r="J34" i="10" s="1"/>
  <c r="AX30" i="4"/>
  <c r="AZ30" i="4" s="1"/>
  <c r="AJ30" i="4"/>
  <c r="AQ30" i="4" s="1"/>
  <c r="K30" i="4"/>
  <c r="B35" i="10"/>
  <c r="G34" i="10"/>
  <c r="H34" i="10" s="1"/>
  <c r="E34" i="10"/>
  <c r="AM4" i="11" s="1"/>
  <c r="AB34" i="10"/>
  <c r="O34" i="10"/>
  <c r="AM62" i="11"/>
  <c r="W33" i="8"/>
  <c r="X33" i="8" s="1"/>
  <c r="Z33" i="8" s="1"/>
  <c r="AA33" i="8"/>
  <c r="F34" i="8"/>
  <c r="Y33" i="8"/>
  <c r="AE27" i="7"/>
  <c r="AL34" i="5"/>
  <c r="G34" i="5"/>
  <c r="AK34" i="5"/>
  <c r="F34" i="5"/>
  <c r="AJ34" i="5"/>
  <c r="N34" i="5"/>
  <c r="C34" i="5"/>
  <c r="B34" i="5"/>
  <c r="A35" i="5"/>
  <c r="AI32" i="6"/>
  <c r="AL32" i="6"/>
  <c r="AU30" i="5"/>
  <c r="AD30" i="6"/>
  <c r="L30" i="5"/>
  <c r="AC30" i="6" s="1"/>
  <c r="BH28" i="10"/>
  <c r="AN32" i="6"/>
  <c r="AQ32" i="6"/>
  <c r="AT32" i="6"/>
  <c r="BO2" i="10"/>
  <c r="V34" i="7"/>
  <c r="AY33" i="4"/>
  <c r="AA34" i="4"/>
  <c r="BP34" i="4" s="1"/>
  <c r="Q34" i="4"/>
  <c r="Y34" i="4"/>
  <c r="P34" i="4"/>
  <c r="C34" i="4"/>
  <c r="A35" i="4"/>
  <c r="AK34" i="4"/>
  <c r="X34" i="4"/>
  <c r="O34" i="4"/>
  <c r="B34" i="4"/>
  <c r="G33" i="8" s="1"/>
  <c r="BS34" i="4"/>
  <c r="BH34" i="4"/>
  <c r="AY34" i="4"/>
  <c r="N34" i="4"/>
  <c r="BC34" i="4" s="1"/>
  <c r="U34" i="4"/>
  <c r="BJ34" i="4" s="1"/>
  <c r="M34" i="4"/>
  <c r="BF34" i="4"/>
  <c r="AF34" i="4"/>
  <c r="T34" i="4"/>
  <c r="BI34" i="4" s="1"/>
  <c r="BN34" i="4"/>
  <c r="BE34" i="4"/>
  <c r="AV34" i="4"/>
  <c r="S34" i="4"/>
  <c r="BM34" i="4"/>
  <c r="BD34" i="4"/>
  <c r="AB34" i="4"/>
  <c r="BQ34" i="4" s="1"/>
  <c r="R34" i="4"/>
  <c r="BG34" i="4" s="1"/>
  <c r="H34" i="4"/>
  <c r="BD33" i="10"/>
  <c r="AV33" i="10"/>
  <c r="AN33" i="10"/>
  <c r="AF33" i="10"/>
  <c r="BC33" i="10"/>
  <c r="AU33" i="10"/>
  <c r="AM33" i="10"/>
  <c r="AE33" i="10"/>
  <c r="BB33" i="10"/>
  <c r="AT33" i="10"/>
  <c r="AL33" i="10"/>
  <c r="AD33" i="10"/>
  <c r="BA33" i="10"/>
  <c r="AS33" i="10"/>
  <c r="AK33" i="10"/>
  <c r="BH33" i="10"/>
  <c r="AZ33" i="10"/>
  <c r="AR33" i="10"/>
  <c r="AJ33" i="10"/>
  <c r="BG33" i="10"/>
  <c r="AY33" i="10"/>
  <c r="AQ33" i="10"/>
  <c r="AI33" i="10"/>
  <c r="BF33" i="10"/>
  <c r="AX33" i="10"/>
  <c r="AP33" i="10"/>
  <c r="AH33" i="10"/>
  <c r="BE33" i="10"/>
  <c r="AW33" i="10"/>
  <c r="AO33" i="10"/>
  <c r="AG33" i="10"/>
  <c r="Q32" i="5"/>
  <c r="AD32" i="5"/>
  <c r="AH32" i="5" s="1"/>
  <c r="AN32" i="5" s="1"/>
  <c r="AU33" i="6"/>
  <c r="AT33" i="6"/>
  <c r="AK33" i="6"/>
  <c r="AJ33" i="6"/>
  <c r="AQ33" i="6"/>
  <c r="C33" i="6"/>
  <c r="AL33" i="6" s="1"/>
  <c r="B33" i="6"/>
  <c r="AN33" i="6"/>
  <c r="A34" i="6"/>
  <c r="T28" i="7"/>
  <c r="AA28" i="7" s="1"/>
  <c r="AH28" i="7" s="1"/>
  <c r="AJ32" i="6"/>
  <c r="AC34" i="7"/>
  <c r="V33" i="4"/>
  <c r="P33" i="10"/>
  <c r="N34" i="10" s="1"/>
  <c r="R33" i="10"/>
  <c r="AJ37" i="11"/>
  <c r="AB37" i="11"/>
  <c r="T37" i="11"/>
  <c r="L37" i="11"/>
  <c r="AI37" i="11"/>
  <c r="AA37" i="11"/>
  <c r="S37" i="11"/>
  <c r="K37" i="11"/>
  <c r="AH37" i="11"/>
  <c r="Z37" i="11"/>
  <c r="R37" i="11"/>
  <c r="J37" i="11"/>
  <c r="AO37" i="11"/>
  <c r="AG37" i="11"/>
  <c r="Y37" i="11"/>
  <c r="Q37" i="11"/>
  <c r="I37" i="11"/>
  <c r="AN37" i="11"/>
  <c r="AF37" i="11"/>
  <c r="X37" i="11"/>
  <c r="P37" i="11"/>
  <c r="AM37" i="11"/>
  <c r="AE37" i="11"/>
  <c r="W37" i="11"/>
  <c r="O37" i="11"/>
  <c r="AD37" i="11"/>
  <c r="V37" i="11"/>
  <c r="U37" i="11"/>
  <c r="N37" i="11"/>
  <c r="M37" i="11"/>
  <c r="AL37" i="11"/>
  <c r="AC37" i="11"/>
  <c r="F38" i="11"/>
  <c r="AK37" i="11"/>
  <c r="X28" i="7"/>
  <c r="AO32" i="6"/>
  <c r="AR32" i="6"/>
  <c r="BG31" i="10"/>
  <c r="BG27" i="10"/>
  <c r="AU29" i="5"/>
  <c r="F33" i="10"/>
  <c r="F34" i="10" s="1"/>
  <c r="AC35" i="10"/>
  <c r="C36" i="10"/>
  <c r="AI35" i="7"/>
  <c r="Z35" i="7"/>
  <c r="Q35" i="7"/>
  <c r="V35" i="7" s="1"/>
  <c r="AH35" i="7"/>
  <c r="Y35" i="7"/>
  <c r="O35" i="7"/>
  <c r="AG35" i="7"/>
  <c r="X35" i="7"/>
  <c r="AF35" i="7"/>
  <c r="AE35" i="7"/>
  <c r="U35" i="7"/>
  <c r="T35" i="7"/>
  <c r="N36" i="7"/>
  <c r="R35" i="7"/>
  <c r="AB35" i="7"/>
  <c r="AA35" i="7"/>
  <c r="S35" i="7"/>
  <c r="W40" i="13"/>
  <c r="V41" i="13"/>
  <c r="BB33" i="4"/>
  <c r="BK33" i="4" s="1"/>
  <c r="F97" i="11"/>
  <c r="BA96" i="11"/>
  <c r="AS96" i="11"/>
  <c r="AK96" i="11"/>
  <c r="AC96" i="11"/>
  <c r="U96" i="11"/>
  <c r="M96" i="11"/>
  <c r="BG96" i="11"/>
  <c r="AY96" i="11"/>
  <c r="AQ96" i="11"/>
  <c r="AI96" i="11"/>
  <c r="AA96" i="11"/>
  <c r="S96" i="11"/>
  <c r="K96" i="11"/>
  <c r="BD96" i="11"/>
  <c r="AV96" i="11"/>
  <c r="AN96" i="11"/>
  <c r="AF96" i="11"/>
  <c r="X96" i="11"/>
  <c r="P96" i="11"/>
  <c r="BE96" i="11"/>
  <c r="AR96" i="11"/>
  <c r="AE96" i="11"/>
  <c r="R96" i="11"/>
  <c r="BC96" i="11"/>
  <c r="AP96" i="11"/>
  <c r="AD96" i="11"/>
  <c r="Q96" i="11"/>
  <c r="BB96" i="11"/>
  <c r="AO96" i="11"/>
  <c r="AB96" i="11"/>
  <c r="O96" i="11"/>
  <c r="AZ96" i="11"/>
  <c r="AM96" i="11"/>
  <c r="Z96" i="11"/>
  <c r="N96" i="11"/>
  <c r="AW96" i="11"/>
  <c r="AJ96" i="11"/>
  <c r="W96" i="11"/>
  <c r="J96" i="11"/>
  <c r="AU96" i="11"/>
  <c r="L96" i="11"/>
  <c r="AT96" i="11"/>
  <c r="I96" i="11"/>
  <c r="AL96" i="11"/>
  <c r="AH96" i="11"/>
  <c r="AG96" i="11"/>
  <c r="BH96" i="11"/>
  <c r="Y96" i="11"/>
  <c r="BF96" i="11"/>
  <c r="V96" i="11"/>
  <c r="AX96" i="11"/>
  <c r="T96" i="11"/>
  <c r="L29" i="5"/>
  <c r="AC29" i="6" s="1"/>
  <c r="AF29" i="6" s="1"/>
  <c r="AD29" i="6"/>
  <c r="AM32" i="6"/>
  <c r="AP32" i="6"/>
  <c r="BG30" i="10"/>
  <c r="BG26" i="10"/>
  <c r="AX29" i="4"/>
  <c r="AZ29" i="4" s="1"/>
  <c r="AJ29" i="4"/>
  <c r="AQ29" i="4" s="1"/>
  <c r="K29" i="4"/>
  <c r="AP5" i="11"/>
  <c r="AO7" i="11"/>
  <c r="AO8" i="11"/>
  <c r="AO9" i="11"/>
  <c r="AO10" i="11"/>
  <c r="AO11" i="11"/>
  <c r="AO12" i="11"/>
  <c r="AO13" i="11"/>
  <c r="AO14" i="11"/>
  <c r="AO15" i="11"/>
  <c r="AO16" i="11"/>
  <c r="AO17" i="11"/>
  <c r="AO18" i="11"/>
  <c r="AO19" i="11"/>
  <c r="AO20" i="11"/>
  <c r="AO21" i="11"/>
  <c r="AO22" i="11"/>
  <c r="AO23" i="11"/>
  <c r="AO24" i="11"/>
  <c r="AO25" i="11"/>
  <c r="AO26" i="11"/>
  <c r="AO27" i="11"/>
  <c r="AO28" i="11"/>
  <c r="AO29" i="11"/>
  <c r="AO30" i="11"/>
  <c r="AO31" i="11"/>
  <c r="AO32" i="11"/>
  <c r="AO33" i="11"/>
  <c r="AO34" i="11"/>
  <c r="AO35" i="11"/>
  <c r="P33" i="5"/>
  <c r="K34" i="10" l="1"/>
  <c r="R34" i="10"/>
  <c r="P34" i="10"/>
  <c r="AF36" i="7"/>
  <c r="AE36" i="7"/>
  <c r="U36" i="7"/>
  <c r="T36" i="7"/>
  <c r="AB36" i="7"/>
  <c r="S36" i="7"/>
  <c r="N37" i="7"/>
  <c r="AA36" i="7"/>
  <c r="R36" i="7"/>
  <c r="AI36" i="7"/>
  <c r="Z36" i="7"/>
  <c r="Q36" i="7"/>
  <c r="AH36" i="7"/>
  <c r="AG36" i="7"/>
  <c r="Y36" i="7"/>
  <c r="X36" i="7"/>
  <c r="O36" i="7"/>
  <c r="AC36" i="10"/>
  <c r="C37" i="10"/>
  <c r="AP37" i="11"/>
  <c r="AO33" i="6"/>
  <c r="AR33" i="6"/>
  <c r="AM33" i="6"/>
  <c r="A36" i="4"/>
  <c r="Y35" i="4"/>
  <c r="P35" i="4"/>
  <c r="BE35" i="4" s="1"/>
  <c r="C35" i="4"/>
  <c r="AK35" i="4"/>
  <c r="X35" i="4"/>
  <c r="O35" i="4"/>
  <c r="BD35" i="4" s="1"/>
  <c r="B35" i="4"/>
  <c r="AY35" i="4" s="1"/>
  <c r="N35" i="4"/>
  <c r="BC35" i="4" s="1"/>
  <c r="U35" i="4"/>
  <c r="M35" i="4"/>
  <c r="AF35" i="4"/>
  <c r="BS35" i="4" s="1"/>
  <c r="T35" i="4"/>
  <c r="BI35" i="4" s="1"/>
  <c r="BM35" i="4"/>
  <c r="S35" i="4"/>
  <c r="BH35" i="4" s="1"/>
  <c r="AB35" i="4"/>
  <c r="BQ35" i="4" s="1"/>
  <c r="R35" i="4"/>
  <c r="BG35" i="4" s="1"/>
  <c r="H35" i="4"/>
  <c r="AW35" i="4" s="1"/>
  <c r="BJ35" i="4"/>
  <c r="AA35" i="4"/>
  <c r="BP35" i="4" s="1"/>
  <c r="Q35" i="4"/>
  <c r="BF35" i="4" s="1"/>
  <c r="BG34" i="10"/>
  <c r="AY34" i="10"/>
  <c r="AQ34" i="10"/>
  <c r="AI34" i="10"/>
  <c r="BF34" i="10"/>
  <c r="AX34" i="10"/>
  <c r="AP34" i="10"/>
  <c r="AH34" i="10"/>
  <c r="BE34" i="10"/>
  <c r="AW34" i="10"/>
  <c r="AO34" i="10"/>
  <c r="AG34" i="10"/>
  <c r="BD34" i="10"/>
  <c r="AV34" i="10"/>
  <c r="AN34" i="10"/>
  <c r="AF34" i="10"/>
  <c r="BC34" i="10"/>
  <c r="AU34" i="10"/>
  <c r="AM34" i="10"/>
  <c r="AE34" i="10"/>
  <c r="BB34" i="10"/>
  <c r="AT34" i="10"/>
  <c r="AL34" i="10"/>
  <c r="AD34" i="10"/>
  <c r="BA34" i="10"/>
  <c r="AS34" i="10"/>
  <c r="AK34" i="10"/>
  <c r="BH34" i="10"/>
  <c r="AZ34" i="10"/>
  <c r="AR34" i="10"/>
  <c r="AJ34" i="10"/>
  <c r="V42" i="13"/>
  <c r="W41" i="13"/>
  <c r="V34" i="4"/>
  <c r="P34" i="5"/>
  <c r="BH32" i="10"/>
  <c r="BH30" i="10"/>
  <c r="BH29" i="10"/>
  <c r="AH29" i="4"/>
  <c r="AM29" i="4" s="1"/>
  <c r="AD29" i="4"/>
  <c r="AJ35" i="7"/>
  <c r="AP33" i="6"/>
  <c r="AS33" i="6"/>
  <c r="AF30" i="6"/>
  <c r="AL35" i="5"/>
  <c r="G35" i="5"/>
  <c r="AK35" i="5"/>
  <c r="F35" i="5"/>
  <c r="AJ35" i="5"/>
  <c r="N35" i="5"/>
  <c r="C35" i="5"/>
  <c r="B35" i="5"/>
  <c r="A36" i="5"/>
  <c r="AT29" i="4"/>
  <c r="AG29" i="6"/>
  <c r="BB34" i="4"/>
  <c r="BK34" i="4" s="1"/>
  <c r="W34" i="8"/>
  <c r="X34" i="8" s="1"/>
  <c r="G34" i="8"/>
  <c r="F35" i="8"/>
  <c r="Z34" i="8"/>
  <c r="Y34" i="8"/>
  <c r="N35" i="10"/>
  <c r="AB35" i="10"/>
  <c r="B36" i="10"/>
  <c r="G35" i="10"/>
  <c r="H35" i="10" s="1"/>
  <c r="E35" i="10"/>
  <c r="BI34" i="10" s="1"/>
  <c r="O35" i="10"/>
  <c r="BI32" i="10"/>
  <c r="Q33" i="5"/>
  <c r="AD33" i="5"/>
  <c r="AH33" i="5" s="1"/>
  <c r="AN33" i="5" s="1"/>
  <c r="F35" i="10"/>
  <c r="AE28" i="7"/>
  <c r="AL38" i="11"/>
  <c r="AD38" i="11"/>
  <c r="V38" i="11"/>
  <c r="N38" i="11"/>
  <c r="F39" i="11"/>
  <c r="AK38" i="11"/>
  <c r="AC38" i="11"/>
  <c r="U38" i="11"/>
  <c r="M38" i="11"/>
  <c r="AJ38" i="11"/>
  <c r="AB38" i="11"/>
  <c r="T38" i="11"/>
  <c r="L38" i="11"/>
  <c r="AI38" i="11"/>
  <c r="AA38" i="11"/>
  <c r="S38" i="11"/>
  <c r="K38" i="11"/>
  <c r="AP38" i="11"/>
  <c r="AH38" i="11"/>
  <c r="Z38" i="11"/>
  <c r="R38" i="11"/>
  <c r="J38" i="11"/>
  <c r="AO38" i="11"/>
  <c r="AG38" i="11"/>
  <c r="Y38" i="11"/>
  <c r="Q38" i="11"/>
  <c r="I38" i="11"/>
  <c r="AN38" i="11"/>
  <c r="AF38" i="11"/>
  <c r="AE38" i="11"/>
  <c r="X38" i="11"/>
  <c r="W38" i="11"/>
  <c r="P38" i="11"/>
  <c r="AM38" i="11"/>
  <c r="O38" i="11"/>
  <c r="A35" i="6"/>
  <c r="AM34" i="6"/>
  <c r="AT34" i="6"/>
  <c r="AL34" i="6"/>
  <c r="AK34" i="6"/>
  <c r="AR34" i="6"/>
  <c r="AQ34" i="6"/>
  <c r="AI34" i="6"/>
  <c r="C34" i="6"/>
  <c r="AJ34" i="6" s="1"/>
  <c r="B34" i="6"/>
  <c r="AO34" i="6"/>
  <c r="R30" i="7"/>
  <c r="Y30" i="7" s="1"/>
  <c r="AF30" i="7" s="1"/>
  <c r="S29" i="7"/>
  <c r="Z29" i="7" s="1"/>
  <c r="AG29" i="7" s="1"/>
  <c r="Q29" i="7"/>
  <c r="U29" i="7"/>
  <c r="AB29" i="7" s="1"/>
  <c r="AI29" i="7" s="1"/>
  <c r="Q30" i="7"/>
  <c r="R29" i="7"/>
  <c r="Y29" i="7" s="1"/>
  <c r="AF29" i="7" s="1"/>
  <c r="T29" i="7"/>
  <c r="AA29" i="7" s="1"/>
  <c r="AH29" i="7" s="1"/>
  <c r="AI33" i="6"/>
  <c r="L34" i="10"/>
  <c r="J35" i="10" s="1"/>
  <c r="AW34" i="4"/>
  <c r="BH31" i="10"/>
  <c r="AD30" i="4"/>
  <c r="AH30" i="4"/>
  <c r="AM30" i="4" s="1"/>
  <c r="AP7" i="11"/>
  <c r="AQ5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24" i="11"/>
  <c r="AP25" i="11"/>
  <c r="AP26" i="11"/>
  <c r="AP27" i="11"/>
  <c r="AP28" i="11"/>
  <c r="AP29" i="11"/>
  <c r="AP30" i="11"/>
  <c r="AP31" i="11"/>
  <c r="AP32" i="11"/>
  <c r="AP33" i="11"/>
  <c r="AP34" i="11"/>
  <c r="AP35" i="11"/>
  <c r="AP36" i="11"/>
  <c r="BC97" i="11"/>
  <c r="AU97" i="11"/>
  <c r="AM97" i="11"/>
  <c r="AE97" i="11"/>
  <c r="W97" i="11"/>
  <c r="O97" i="11"/>
  <c r="F98" i="11"/>
  <c r="BA97" i="11"/>
  <c r="AS97" i="11"/>
  <c r="AK97" i="11"/>
  <c r="AC97" i="11"/>
  <c r="U97" i="11"/>
  <c r="M97" i="11"/>
  <c r="BF97" i="11"/>
  <c r="AX97" i="11"/>
  <c r="AP97" i="11"/>
  <c r="AH97" i="11"/>
  <c r="Z97" i="11"/>
  <c r="R97" i="11"/>
  <c r="J97" i="11"/>
  <c r="BB97" i="11"/>
  <c r="AO97" i="11"/>
  <c r="AB97" i="11"/>
  <c r="P97" i="11"/>
  <c r="AZ97" i="11"/>
  <c r="AN97" i="11"/>
  <c r="AA97" i="11"/>
  <c r="N97" i="11"/>
  <c r="AY97" i="11"/>
  <c r="AL97" i="11"/>
  <c r="Y97" i="11"/>
  <c r="L97" i="11"/>
  <c r="AW97" i="11"/>
  <c r="AJ97" i="11"/>
  <c r="X97" i="11"/>
  <c r="K97" i="11"/>
  <c r="BG97" i="11"/>
  <c r="AT97" i="11"/>
  <c r="AG97" i="11"/>
  <c r="T97" i="11"/>
  <c r="BH97" i="11"/>
  <c r="AD97" i="11"/>
  <c r="BE97" i="11"/>
  <c r="V97" i="11"/>
  <c r="BD97" i="11"/>
  <c r="S97" i="11"/>
  <c r="AV97" i="11"/>
  <c r="Q97" i="11"/>
  <c r="AR97" i="11"/>
  <c r="I97" i="11"/>
  <c r="AQ97" i="11"/>
  <c r="AI97" i="11"/>
  <c r="AF97" i="11"/>
  <c r="AC35" i="7"/>
  <c r="BP2" i="10"/>
  <c r="AT30" i="4"/>
  <c r="AG30" i="6"/>
  <c r="K35" i="10" l="1"/>
  <c r="L35" i="10" s="1"/>
  <c r="J36" i="10" s="1"/>
  <c r="AA34" i="8"/>
  <c r="BN35" i="4"/>
  <c r="V29" i="7"/>
  <c r="X29" i="7"/>
  <c r="AU34" i="6"/>
  <c r="G36" i="10"/>
  <c r="H36" i="10" s="1"/>
  <c r="E36" i="10"/>
  <c r="AO62" i="11" s="1"/>
  <c r="AB36" i="10"/>
  <c r="B37" i="10"/>
  <c r="BJ14" i="10"/>
  <c r="BJ33" i="10"/>
  <c r="G36" i="5"/>
  <c r="AL36" i="5"/>
  <c r="F36" i="5"/>
  <c r="AK36" i="5"/>
  <c r="AJ36" i="5"/>
  <c r="N36" i="5"/>
  <c r="C36" i="5"/>
  <c r="B36" i="5"/>
  <c r="A37" i="5"/>
  <c r="V35" i="4"/>
  <c r="P35" i="5"/>
  <c r="BJ30" i="10"/>
  <c r="BB35" i="4"/>
  <c r="BK35" i="4" s="1"/>
  <c r="AC36" i="7"/>
  <c r="AJ36" i="7"/>
  <c r="AP34" i="6"/>
  <c r="AS34" i="6"/>
  <c r="AN34" i="6"/>
  <c r="AQ38" i="11"/>
  <c r="AN39" i="11"/>
  <c r="AF39" i="11"/>
  <c r="X39" i="11"/>
  <c r="P39" i="11"/>
  <c r="AM39" i="11"/>
  <c r="AE39" i="11"/>
  <c r="W39" i="11"/>
  <c r="O39" i="11"/>
  <c r="AL39" i="11"/>
  <c r="AD39" i="11"/>
  <c r="V39" i="11"/>
  <c r="N39" i="11"/>
  <c r="F40" i="11"/>
  <c r="AK39" i="11"/>
  <c r="AC39" i="11"/>
  <c r="U39" i="11"/>
  <c r="M39" i="11"/>
  <c r="AJ39" i="11"/>
  <c r="AB39" i="11"/>
  <c r="T39" i="11"/>
  <c r="L39" i="11"/>
  <c r="AQ39" i="11"/>
  <c r="AI39" i="11"/>
  <c r="AA39" i="11"/>
  <c r="S39" i="11"/>
  <c r="K39" i="11"/>
  <c r="R39" i="11"/>
  <c r="AP39" i="11"/>
  <c r="J39" i="11"/>
  <c r="AO39" i="11"/>
  <c r="I39" i="11"/>
  <c r="AH39" i="11"/>
  <c r="AG39" i="11"/>
  <c r="Z39" i="11"/>
  <c r="Y39" i="11"/>
  <c r="Q39" i="11"/>
  <c r="BJ35" i="10"/>
  <c r="BB35" i="10"/>
  <c r="AT35" i="10"/>
  <c r="AL35" i="10"/>
  <c r="AD35" i="10"/>
  <c r="BI35" i="10"/>
  <c r="BA35" i="10"/>
  <c r="AS35" i="10"/>
  <c r="AK35" i="10"/>
  <c r="BH35" i="10"/>
  <c r="AZ35" i="10"/>
  <c r="AR35" i="10"/>
  <c r="AJ35" i="10"/>
  <c r="BG35" i="10"/>
  <c r="AY35" i="10"/>
  <c r="AQ35" i="10"/>
  <c r="AI35" i="10"/>
  <c r="BF35" i="10"/>
  <c r="AX35" i="10"/>
  <c r="AP35" i="10"/>
  <c r="AH35" i="10"/>
  <c r="BE35" i="10"/>
  <c r="AW35" i="10"/>
  <c r="AO35" i="10"/>
  <c r="AG35" i="10"/>
  <c r="BD35" i="10"/>
  <c r="AV35" i="10"/>
  <c r="AN35" i="10"/>
  <c r="AF35" i="10"/>
  <c r="BC35" i="10"/>
  <c r="AU35" i="10"/>
  <c r="AM35" i="10"/>
  <c r="AE35" i="10"/>
  <c r="BJ32" i="10"/>
  <c r="BH98" i="11"/>
  <c r="AZ98" i="11"/>
  <c r="BF98" i="11"/>
  <c r="AW98" i="11"/>
  <c r="AO98" i="11"/>
  <c r="AG98" i="11"/>
  <c r="Y98" i="11"/>
  <c r="Q98" i="11"/>
  <c r="I98" i="11"/>
  <c r="BD98" i="11"/>
  <c r="AU98" i="11"/>
  <c r="AM98" i="11"/>
  <c r="AE98" i="11"/>
  <c r="W98" i="11"/>
  <c r="O98" i="11"/>
  <c r="BA98" i="11"/>
  <c r="AR98" i="11"/>
  <c r="AJ98" i="11"/>
  <c r="AB98" i="11"/>
  <c r="T98" i="11"/>
  <c r="L98" i="11"/>
  <c r="AY98" i="11"/>
  <c r="AL98" i="11"/>
  <c r="Z98" i="11"/>
  <c r="M98" i="11"/>
  <c r="AX98" i="11"/>
  <c r="AK98" i="11"/>
  <c r="X98" i="11"/>
  <c r="K98" i="11"/>
  <c r="AV98" i="11"/>
  <c r="AI98" i="11"/>
  <c r="V98" i="11"/>
  <c r="J98" i="11"/>
  <c r="F99" i="11"/>
  <c r="AT98" i="11"/>
  <c r="AH98" i="11"/>
  <c r="U98" i="11"/>
  <c r="BE98" i="11"/>
  <c r="AQ98" i="11"/>
  <c r="AD98" i="11"/>
  <c r="R98" i="11"/>
  <c r="AP98" i="11"/>
  <c r="AN98" i="11"/>
  <c r="AF98" i="11"/>
  <c r="AC98" i="11"/>
  <c r="BG98" i="11"/>
  <c r="AA98" i="11"/>
  <c r="BC98" i="11"/>
  <c r="S98" i="11"/>
  <c r="BB98" i="11"/>
  <c r="P98" i="11"/>
  <c r="AS98" i="11"/>
  <c r="N98" i="11"/>
  <c r="A36" i="6"/>
  <c r="AN35" i="6"/>
  <c r="AU35" i="6"/>
  <c r="AS35" i="6"/>
  <c r="AJ35" i="6"/>
  <c r="C35" i="6"/>
  <c r="AK35" i="6" s="1"/>
  <c r="AP35" i="6"/>
  <c r="B35" i="6"/>
  <c r="F36" i="10"/>
  <c r="R35" i="10"/>
  <c r="P35" i="10"/>
  <c r="N36" i="10" s="1"/>
  <c r="AR5" i="11"/>
  <c r="AQ7" i="11"/>
  <c r="AQ8" i="11"/>
  <c r="AQ9" i="11"/>
  <c r="AQ10" i="11"/>
  <c r="AQ11" i="11"/>
  <c r="AQ12" i="11"/>
  <c r="AQ13" i="11"/>
  <c r="AQ14" i="11"/>
  <c r="AQ15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X30" i="7"/>
  <c r="AB37" i="7"/>
  <c r="S37" i="7"/>
  <c r="N38" i="7"/>
  <c r="AA37" i="7"/>
  <c r="R37" i="7"/>
  <c r="AI37" i="7"/>
  <c r="Z37" i="7"/>
  <c r="Q37" i="7"/>
  <c r="AH37" i="7"/>
  <c r="Y37" i="7"/>
  <c r="O37" i="7"/>
  <c r="AG37" i="7"/>
  <c r="X37" i="7"/>
  <c r="AC37" i="7" s="1"/>
  <c r="AF37" i="7"/>
  <c r="AE37" i="7"/>
  <c r="U37" i="7"/>
  <c r="T37" i="7"/>
  <c r="BQ2" i="10"/>
  <c r="V43" i="13"/>
  <c r="W42" i="13"/>
  <c r="AV35" i="4"/>
  <c r="N36" i="4"/>
  <c r="BC36" i="4" s="1"/>
  <c r="U36" i="4"/>
  <c r="BJ36" i="4" s="1"/>
  <c r="M36" i="4"/>
  <c r="AF36" i="4"/>
  <c r="BS36" i="4" s="1"/>
  <c r="T36" i="4"/>
  <c r="S36" i="4"/>
  <c r="BH36" i="4" s="1"/>
  <c r="AB36" i="4"/>
  <c r="BQ36" i="4" s="1"/>
  <c r="R36" i="4"/>
  <c r="BG36" i="4" s="1"/>
  <c r="H36" i="4"/>
  <c r="AA36" i="4"/>
  <c r="Q36" i="4"/>
  <c r="BF36" i="4" s="1"/>
  <c r="A37" i="4"/>
  <c r="Y36" i="4"/>
  <c r="BN36" i="4" s="1"/>
  <c r="P36" i="4"/>
  <c r="C36" i="4"/>
  <c r="X36" i="4"/>
  <c r="BM36" i="4" s="1"/>
  <c r="O36" i="4"/>
  <c r="BD36" i="4" s="1"/>
  <c r="B36" i="4"/>
  <c r="AY36" i="4" s="1"/>
  <c r="C38" i="10"/>
  <c r="AC37" i="10"/>
  <c r="BI31" i="10"/>
  <c r="BI29" i="10"/>
  <c r="AN4" i="11"/>
  <c r="BI33" i="10"/>
  <c r="BI30" i="10"/>
  <c r="BI4" i="10"/>
  <c r="AN62" i="11"/>
  <c r="W35" i="8"/>
  <c r="X35" i="8" s="1"/>
  <c r="Z35" i="8" s="1"/>
  <c r="G35" i="8"/>
  <c r="F36" i="8"/>
  <c r="Q34" i="5"/>
  <c r="AD34" i="5"/>
  <c r="AH34" i="5" s="1"/>
  <c r="AN34" i="5" s="1"/>
  <c r="BJ34" i="10"/>
  <c r="V36" i="7"/>
  <c r="K36" i="10" l="1"/>
  <c r="R36" i="10"/>
  <c r="O36" i="10"/>
  <c r="P36" i="10" s="1"/>
  <c r="N37" i="10" s="1"/>
  <c r="V36" i="4"/>
  <c r="Q35" i="5"/>
  <c r="AD35" i="5"/>
  <c r="AH35" i="5" s="1"/>
  <c r="AN35" i="5" s="1"/>
  <c r="P36" i="5"/>
  <c r="AY37" i="4"/>
  <c r="T37" i="4"/>
  <c r="BI37" i="4" s="1"/>
  <c r="BQ37" i="4"/>
  <c r="AX37" i="4"/>
  <c r="AK37" i="4"/>
  <c r="AQ37" i="4" s="1"/>
  <c r="S37" i="4"/>
  <c r="BH37" i="4" s="1"/>
  <c r="I37" i="4"/>
  <c r="BP37" i="4"/>
  <c r="AW37" i="4"/>
  <c r="R37" i="4"/>
  <c r="BG37" i="4" s="1"/>
  <c r="H37" i="4"/>
  <c r="K37" i="4" s="1"/>
  <c r="BN37" i="4"/>
  <c r="AV37" i="4"/>
  <c r="AF37" i="4"/>
  <c r="BS37" i="4" s="1"/>
  <c r="Q37" i="4"/>
  <c r="BF37" i="4" s="1"/>
  <c r="BM37" i="4"/>
  <c r="P37" i="4"/>
  <c r="BE37" i="4" s="1"/>
  <c r="C37" i="4"/>
  <c r="AA37" i="4"/>
  <c r="O37" i="4"/>
  <c r="BD37" i="4" s="1"/>
  <c r="B37" i="4"/>
  <c r="N37" i="4"/>
  <c r="BC37" i="4" s="1"/>
  <c r="A38" i="4"/>
  <c r="U37" i="4"/>
  <c r="BJ37" i="4" s="1"/>
  <c r="M37" i="4"/>
  <c r="V37" i="4" s="1"/>
  <c r="Y35" i="8"/>
  <c r="BB36" i="4"/>
  <c r="B36" i="6"/>
  <c r="A37" i="6"/>
  <c r="AN36" i="6"/>
  <c r="AS36" i="6"/>
  <c r="AK36" i="6"/>
  <c r="AJ36" i="6"/>
  <c r="C36" i="6"/>
  <c r="AU36" i="6" s="1"/>
  <c r="Q31" i="7"/>
  <c r="R32" i="7"/>
  <c r="U32" i="7"/>
  <c r="AO4" i="11"/>
  <c r="BE36" i="4"/>
  <c r="W36" i="8"/>
  <c r="X36" i="8" s="1"/>
  <c r="Z36" i="8" s="1"/>
  <c r="G36" i="8"/>
  <c r="AA36" i="8"/>
  <c r="F37" i="8"/>
  <c r="AW36" i="4"/>
  <c r="AI35" i="6"/>
  <c r="AL35" i="6"/>
  <c r="AO35" i="6"/>
  <c r="BD99" i="11"/>
  <c r="AV99" i="11"/>
  <c r="AN99" i="11"/>
  <c r="AF99" i="11"/>
  <c r="X99" i="11"/>
  <c r="P99" i="11"/>
  <c r="BB99" i="11"/>
  <c r="AT99" i="11"/>
  <c r="AL99" i="11"/>
  <c r="AD99" i="11"/>
  <c r="V99" i="11"/>
  <c r="N99" i="11"/>
  <c r="BF99" i="11"/>
  <c r="AU99" i="11"/>
  <c r="AJ99" i="11"/>
  <c r="Z99" i="11"/>
  <c r="O99" i="11"/>
  <c r="BC99" i="11"/>
  <c r="AR99" i="11"/>
  <c r="AH99" i="11"/>
  <c r="W99" i="11"/>
  <c r="L99" i="11"/>
  <c r="F100" i="11"/>
  <c r="AY99" i="11"/>
  <c r="AO99" i="11"/>
  <c r="AC99" i="11"/>
  <c r="S99" i="11"/>
  <c r="I99" i="11"/>
  <c r="AW99" i="11"/>
  <c r="AE99" i="11"/>
  <c r="M99" i="11"/>
  <c r="AS99" i="11"/>
  <c r="AB99" i="11"/>
  <c r="K99" i="11"/>
  <c r="BH99" i="11"/>
  <c r="AQ99" i="11"/>
  <c r="AA99" i="11"/>
  <c r="J99" i="11"/>
  <c r="BG99" i="11"/>
  <c r="AP99" i="11"/>
  <c r="Y99" i="11"/>
  <c r="BA99" i="11"/>
  <c r="AK99" i="11"/>
  <c r="T99" i="11"/>
  <c r="AG99" i="11"/>
  <c r="U99" i="11"/>
  <c r="R99" i="11"/>
  <c r="BE99" i="11"/>
  <c r="Q99" i="11"/>
  <c r="AZ99" i="11"/>
  <c r="AX99" i="11"/>
  <c r="AM99" i="11"/>
  <c r="AI99" i="11"/>
  <c r="AA35" i="8"/>
  <c r="C39" i="10"/>
  <c r="AC38" i="10"/>
  <c r="AJ37" i="7"/>
  <c r="AH38" i="7"/>
  <c r="Y38" i="7"/>
  <c r="O38" i="7"/>
  <c r="AG38" i="7"/>
  <c r="X38" i="7"/>
  <c r="AC38" i="7" s="1"/>
  <c r="AF38" i="7"/>
  <c r="AE38" i="7"/>
  <c r="U38" i="7"/>
  <c r="T38" i="7"/>
  <c r="AB38" i="7"/>
  <c r="S38" i="7"/>
  <c r="AI38" i="7"/>
  <c r="AA38" i="7"/>
  <c r="Z38" i="7"/>
  <c r="N39" i="7"/>
  <c r="R38" i="7"/>
  <c r="Q38" i="7"/>
  <c r="AQ35" i="6"/>
  <c r="AT35" i="6"/>
  <c r="AR39" i="11"/>
  <c r="B38" i="10"/>
  <c r="AB37" i="10"/>
  <c r="G37" i="10"/>
  <c r="H37" i="10" s="1"/>
  <c r="E37" i="10"/>
  <c r="BK30" i="10" s="1"/>
  <c r="BK7" i="10"/>
  <c r="AC29" i="7"/>
  <c r="J34" i="5" s="1"/>
  <c r="AE29" i="7"/>
  <c r="AJ29" i="7" s="1"/>
  <c r="BP36" i="4"/>
  <c r="AP40" i="11"/>
  <c r="AH40" i="11"/>
  <c r="Z40" i="11"/>
  <c r="R40" i="11"/>
  <c r="J40" i="11"/>
  <c r="AO40" i="11"/>
  <c r="AG40" i="11"/>
  <c r="Y40" i="11"/>
  <c r="Q40" i="11"/>
  <c r="I40" i="11"/>
  <c r="AN40" i="11"/>
  <c r="AF40" i="11"/>
  <c r="X40" i="11"/>
  <c r="P40" i="11"/>
  <c r="AM40" i="11"/>
  <c r="AE40" i="11"/>
  <c r="W40" i="11"/>
  <c r="O40" i="11"/>
  <c r="AL40" i="11"/>
  <c r="AD40" i="11"/>
  <c r="V40" i="11"/>
  <c r="N40" i="11"/>
  <c r="F41" i="11"/>
  <c r="AK40" i="11"/>
  <c r="AC40" i="11"/>
  <c r="U40" i="11"/>
  <c r="M40" i="11"/>
  <c r="AB40" i="11"/>
  <c r="T40" i="11"/>
  <c r="S40" i="11"/>
  <c r="AR40" i="11"/>
  <c r="L40" i="11"/>
  <c r="AQ40" i="11"/>
  <c r="K40" i="11"/>
  <c r="AJ40" i="11"/>
  <c r="AI40" i="11"/>
  <c r="AA40" i="11"/>
  <c r="L36" i="10"/>
  <c r="J37" i="10" s="1"/>
  <c r="V37" i="7"/>
  <c r="AS5" i="11"/>
  <c r="AR7" i="11"/>
  <c r="AR8" i="11"/>
  <c r="AR9" i="11"/>
  <c r="AR10" i="11"/>
  <c r="AR11" i="11"/>
  <c r="AR12" i="11"/>
  <c r="AR13" i="11"/>
  <c r="AR14" i="11"/>
  <c r="AR15" i="11"/>
  <c r="AR16" i="11"/>
  <c r="AR17" i="11"/>
  <c r="AR18" i="11"/>
  <c r="AR19" i="11"/>
  <c r="AR20" i="11"/>
  <c r="AR21" i="11"/>
  <c r="AR22" i="11"/>
  <c r="AR23" i="11"/>
  <c r="AR24" i="11"/>
  <c r="AR25" i="11"/>
  <c r="AR26" i="11"/>
  <c r="AR27" i="11"/>
  <c r="AR28" i="11"/>
  <c r="AR29" i="11"/>
  <c r="AR30" i="11"/>
  <c r="AR31" i="11"/>
  <c r="AR32" i="11"/>
  <c r="AR33" i="11"/>
  <c r="AR34" i="11"/>
  <c r="AR35" i="11"/>
  <c r="AR36" i="11"/>
  <c r="AR37" i="11"/>
  <c r="AR38" i="11"/>
  <c r="S32" i="7"/>
  <c r="AR35" i="6"/>
  <c r="AM35" i="6"/>
  <c r="BE36" i="10"/>
  <c r="AW36" i="10"/>
  <c r="AO36" i="10"/>
  <c r="AG36" i="10"/>
  <c r="BD36" i="10"/>
  <c r="AV36" i="10"/>
  <c r="AN36" i="10"/>
  <c r="AF36" i="10"/>
  <c r="BK36" i="10"/>
  <c r="BC36" i="10"/>
  <c r="AU36" i="10"/>
  <c r="AM36" i="10"/>
  <c r="AE36" i="10"/>
  <c r="BJ36" i="10"/>
  <c r="BB36" i="10"/>
  <c r="AT36" i="10"/>
  <c r="AL36" i="10"/>
  <c r="AD36" i="10"/>
  <c r="BI36" i="10"/>
  <c r="BA36" i="10"/>
  <c r="AS36" i="10"/>
  <c r="AK36" i="10"/>
  <c r="BH36" i="10"/>
  <c r="AZ36" i="10"/>
  <c r="AR36" i="10"/>
  <c r="AJ36" i="10"/>
  <c r="BG36" i="10"/>
  <c r="AY36" i="10"/>
  <c r="AQ36" i="10"/>
  <c r="AI36" i="10"/>
  <c r="BF36" i="10"/>
  <c r="AX36" i="10"/>
  <c r="AP36" i="10"/>
  <c r="AH36" i="10"/>
  <c r="V44" i="13"/>
  <c r="W43" i="13"/>
  <c r="AE30" i="7"/>
  <c r="BI36" i="4"/>
  <c r="AV36" i="4"/>
  <c r="BR2" i="10"/>
  <c r="J37" i="5"/>
  <c r="G37" i="5"/>
  <c r="AL37" i="5"/>
  <c r="F37" i="5"/>
  <c r="AK37" i="5"/>
  <c r="AJ37" i="5"/>
  <c r="C37" i="5"/>
  <c r="A38" i="5"/>
  <c r="M37" i="5"/>
  <c r="L37" i="5" s="1"/>
  <c r="B37" i="5"/>
  <c r="K37" i="10" l="1"/>
  <c r="L37" i="10" s="1"/>
  <c r="J38" i="10" s="1"/>
  <c r="R37" i="10"/>
  <c r="O37" i="10"/>
  <c r="P37" i="10" s="1"/>
  <c r="N38" i="10" s="1"/>
  <c r="I37" i="5"/>
  <c r="AR37" i="5" s="1"/>
  <c r="P37" i="5"/>
  <c r="F37" i="10"/>
  <c r="AP62" i="11"/>
  <c r="BF100" i="11"/>
  <c r="AX100" i="11"/>
  <c r="AP100" i="11"/>
  <c r="AH100" i="11"/>
  <c r="Z100" i="11"/>
  <c r="R100" i="11"/>
  <c r="J100" i="11"/>
  <c r="BD100" i="11"/>
  <c r="AV100" i="11"/>
  <c r="AN100" i="11"/>
  <c r="AF100" i="11"/>
  <c r="X100" i="11"/>
  <c r="P100" i="11"/>
  <c r="BC100" i="11"/>
  <c r="AU100" i="11"/>
  <c r="BH100" i="11"/>
  <c r="AT100" i="11"/>
  <c r="AJ100" i="11"/>
  <c r="Y100" i="11"/>
  <c r="N100" i="11"/>
  <c r="BE100" i="11"/>
  <c r="AR100" i="11"/>
  <c r="AG100" i="11"/>
  <c r="V100" i="11"/>
  <c r="L100" i="11"/>
  <c r="AZ100" i="11"/>
  <c r="AM100" i="11"/>
  <c r="AC100" i="11"/>
  <c r="S100" i="11"/>
  <c r="AS100" i="11"/>
  <c r="AB100" i="11"/>
  <c r="K100" i="11"/>
  <c r="AQ100" i="11"/>
  <c r="AA100" i="11"/>
  <c r="I100" i="11"/>
  <c r="F101" i="11"/>
  <c r="AO100" i="11"/>
  <c r="W100" i="11"/>
  <c r="BG100" i="11"/>
  <c r="AL100" i="11"/>
  <c r="U100" i="11"/>
  <c r="BA100" i="11"/>
  <c r="AI100" i="11"/>
  <c r="Q100" i="11"/>
  <c r="T100" i="11"/>
  <c r="O100" i="11"/>
  <c r="BB100" i="11"/>
  <c r="M100" i="11"/>
  <c r="AY100" i="11"/>
  <c r="AW100" i="11"/>
  <c r="AK100" i="11"/>
  <c r="AE100" i="11"/>
  <c r="AD100" i="11"/>
  <c r="AE39" i="7"/>
  <c r="U39" i="7"/>
  <c r="T39" i="7"/>
  <c r="AB39" i="7"/>
  <c r="S39" i="7"/>
  <c r="N40" i="7"/>
  <c r="AA39" i="7"/>
  <c r="R39" i="7"/>
  <c r="AI39" i="7"/>
  <c r="Z39" i="7"/>
  <c r="Q39" i="7"/>
  <c r="AH39" i="7"/>
  <c r="Y39" i="7"/>
  <c r="O39" i="7"/>
  <c r="AG39" i="7"/>
  <c r="AF39" i="7"/>
  <c r="X39" i="7"/>
  <c r="AC39" i="7" s="1"/>
  <c r="AJ38" i="7"/>
  <c r="X31" i="7"/>
  <c r="BH37" i="10"/>
  <c r="BG37" i="10"/>
  <c r="BJ37" i="10"/>
  <c r="AZ37" i="10"/>
  <c r="AR37" i="10"/>
  <c r="AJ37" i="10"/>
  <c r="BI37" i="10"/>
  <c r="AY37" i="10"/>
  <c r="AQ37" i="10"/>
  <c r="AI37" i="10"/>
  <c r="BF37" i="10"/>
  <c r="AX37" i="10"/>
  <c r="AP37" i="10"/>
  <c r="AH37" i="10"/>
  <c r="BE37" i="10"/>
  <c r="AW37" i="10"/>
  <c r="AO37" i="10"/>
  <c r="AG37" i="10"/>
  <c r="BD37" i="10"/>
  <c r="AV37" i="10"/>
  <c r="AN37" i="10"/>
  <c r="AF37" i="10"/>
  <c r="BC37" i="10"/>
  <c r="AU37" i="10"/>
  <c r="AM37" i="10"/>
  <c r="AE37" i="10"/>
  <c r="BB37" i="10"/>
  <c r="AT37" i="10"/>
  <c r="AL37" i="10"/>
  <c r="AD37" i="10"/>
  <c r="BK37" i="10"/>
  <c r="BA37" i="10"/>
  <c r="AS37" i="10"/>
  <c r="AK37" i="10"/>
  <c r="C37" i="6"/>
  <c r="AT37" i="6" s="1"/>
  <c r="AG37" i="6"/>
  <c r="B37" i="6"/>
  <c r="A38" i="6"/>
  <c r="AD37" i="6"/>
  <c r="AC37" i="6"/>
  <c r="AA37" i="6"/>
  <c r="AZ37" i="4"/>
  <c r="V38" i="5"/>
  <c r="J38" i="5"/>
  <c r="U38" i="5"/>
  <c r="A39" i="5"/>
  <c r="T38" i="5"/>
  <c r="G38" i="5"/>
  <c r="F38" i="5"/>
  <c r="Z38" i="5"/>
  <c r="C38" i="5"/>
  <c r="AL38" i="5"/>
  <c r="AK38" i="5"/>
  <c r="Y38" i="5"/>
  <c r="W38" i="5"/>
  <c r="M38" i="5"/>
  <c r="B38" i="5"/>
  <c r="BK32" i="10"/>
  <c r="E38" i="10"/>
  <c r="B39" i="10"/>
  <c r="AB38" i="10"/>
  <c r="G38" i="10"/>
  <c r="H38" i="10" s="1"/>
  <c r="AI36" i="6"/>
  <c r="AL36" i="6"/>
  <c r="AO36" i="6"/>
  <c r="AT5" i="11"/>
  <c r="AS7" i="11"/>
  <c r="AS8" i="11"/>
  <c r="AS9" i="11"/>
  <c r="AS10" i="11"/>
  <c r="AS11" i="11"/>
  <c r="AS12" i="11"/>
  <c r="AS13" i="11"/>
  <c r="AS14" i="11"/>
  <c r="AS15" i="11"/>
  <c r="AS16" i="11"/>
  <c r="AS17" i="11"/>
  <c r="AS18" i="11"/>
  <c r="AS19" i="11"/>
  <c r="AS20" i="11"/>
  <c r="AS21" i="11"/>
  <c r="AS22" i="11"/>
  <c r="AS23" i="11"/>
  <c r="AS24" i="11"/>
  <c r="AS25" i="11"/>
  <c r="AS26" i="11"/>
  <c r="AS27" i="11"/>
  <c r="AS28" i="11"/>
  <c r="AS29" i="11"/>
  <c r="AS30" i="11"/>
  <c r="AS31" i="11"/>
  <c r="AS32" i="11"/>
  <c r="AS33" i="11"/>
  <c r="AS34" i="11"/>
  <c r="AS35" i="11"/>
  <c r="AS36" i="11"/>
  <c r="AS37" i="11"/>
  <c r="AS38" i="11"/>
  <c r="AS39" i="11"/>
  <c r="I34" i="4"/>
  <c r="M34" i="5"/>
  <c r="AP4" i="11"/>
  <c r="AQ36" i="6"/>
  <c r="AT36" i="6"/>
  <c r="BQ38" i="4"/>
  <c r="S38" i="4"/>
  <c r="I38" i="4"/>
  <c r="AX38" i="4" s="1"/>
  <c r="BN38" i="4"/>
  <c r="BE38" i="4"/>
  <c r="BM38" i="4"/>
  <c r="BD38" i="4"/>
  <c r="AF38" i="4"/>
  <c r="P38" i="4"/>
  <c r="BJ38" i="4"/>
  <c r="BB38" i="4"/>
  <c r="AA38" i="4"/>
  <c r="BP38" i="4" s="1"/>
  <c r="O38" i="4"/>
  <c r="C38" i="4"/>
  <c r="A39" i="4"/>
  <c r="B38" i="4"/>
  <c r="BS38" i="4"/>
  <c r="BH38" i="4"/>
  <c r="AY38" i="4"/>
  <c r="U38" i="4"/>
  <c r="M38" i="4"/>
  <c r="AT37" i="4"/>
  <c r="Q36" i="5"/>
  <c r="AD36" i="5"/>
  <c r="AH36" i="5" s="1"/>
  <c r="AN36" i="5" s="1"/>
  <c r="W44" i="13"/>
  <c r="V45" i="13"/>
  <c r="AS40" i="11"/>
  <c r="AA34" i="6"/>
  <c r="I34" i="5"/>
  <c r="AR34" i="5" s="1"/>
  <c r="Y36" i="8"/>
  <c r="AD37" i="4"/>
  <c r="AH37" i="4"/>
  <c r="AM37" i="4" s="1"/>
  <c r="V38" i="7"/>
  <c r="AR36" i="6"/>
  <c r="AM36" i="6"/>
  <c r="AP36" i="6"/>
  <c r="BB37" i="4"/>
  <c r="BK37" i="4" s="1"/>
  <c r="BS2" i="10"/>
  <c r="AR41" i="11"/>
  <c r="AJ41" i="11"/>
  <c r="AB41" i="11"/>
  <c r="T41" i="11"/>
  <c r="L41" i="11"/>
  <c r="AQ41" i="11"/>
  <c r="AI41" i="11"/>
  <c r="AA41" i="11"/>
  <c r="S41" i="11"/>
  <c r="K41" i="11"/>
  <c r="AP41" i="11"/>
  <c r="AH41" i="11"/>
  <c r="Z41" i="11"/>
  <c r="R41" i="11"/>
  <c r="J41" i="11"/>
  <c r="AO41" i="11"/>
  <c r="AG41" i="11"/>
  <c r="Y41" i="11"/>
  <c r="Q41" i="11"/>
  <c r="I41" i="11"/>
  <c r="AN41" i="11"/>
  <c r="AF41" i="11"/>
  <c r="X41" i="11"/>
  <c r="P41" i="11"/>
  <c r="AM41" i="11"/>
  <c r="AE41" i="11"/>
  <c r="W41" i="11"/>
  <c r="O41" i="11"/>
  <c r="AL41" i="11"/>
  <c r="AD41" i="11"/>
  <c r="F42" i="11"/>
  <c r="AC41" i="11"/>
  <c r="V41" i="11"/>
  <c r="U41" i="11"/>
  <c r="AT41" i="11"/>
  <c r="N41" i="11"/>
  <c r="AS41" i="11"/>
  <c r="AK41" i="11"/>
  <c r="M41" i="11"/>
  <c r="BK31" i="10"/>
  <c r="BK34" i="10"/>
  <c r="BK35" i="10"/>
  <c r="AC39" i="10"/>
  <c r="C40" i="10"/>
  <c r="W37" i="8"/>
  <c r="X37" i="8" s="1"/>
  <c r="G37" i="8"/>
  <c r="F38" i="8"/>
  <c r="BK36" i="4"/>
  <c r="K38" i="10" l="1"/>
  <c r="R38" i="10"/>
  <c r="P38" i="10"/>
  <c r="O38" i="10"/>
  <c r="L38" i="10"/>
  <c r="J39" i="10" s="1"/>
  <c r="BL36" i="10"/>
  <c r="BL33" i="10"/>
  <c r="B40" i="10"/>
  <c r="G39" i="10"/>
  <c r="H39" i="10" s="1"/>
  <c r="E39" i="10"/>
  <c r="AB39" i="10"/>
  <c r="N39" i="10"/>
  <c r="O39" i="10"/>
  <c r="AR62" i="11"/>
  <c r="BM32" i="10"/>
  <c r="AR4" i="11"/>
  <c r="BM36" i="10"/>
  <c r="AB38" i="5"/>
  <c r="AJ37" i="6"/>
  <c r="AF37" i="6"/>
  <c r="BH101" i="11"/>
  <c r="AZ101" i="11"/>
  <c r="AR101" i="11"/>
  <c r="AJ101" i="11"/>
  <c r="AB101" i="11"/>
  <c r="T101" i="11"/>
  <c r="L101" i="11"/>
  <c r="BF101" i="11"/>
  <c r="AX101" i="11"/>
  <c r="AP101" i="11"/>
  <c r="AH101" i="11"/>
  <c r="Z101" i="11"/>
  <c r="R101" i="11"/>
  <c r="J101" i="11"/>
  <c r="BE101" i="11"/>
  <c r="AW101" i="11"/>
  <c r="AO101" i="11"/>
  <c r="AG101" i="11"/>
  <c r="Y101" i="11"/>
  <c r="Q101" i="11"/>
  <c r="I101" i="11"/>
  <c r="BD101" i="11"/>
  <c r="AS101" i="11"/>
  <c r="AE101" i="11"/>
  <c r="S101" i="11"/>
  <c r="BB101" i="11"/>
  <c r="AN101" i="11"/>
  <c r="AC101" i="11"/>
  <c r="O101" i="11"/>
  <c r="AV101" i="11"/>
  <c r="AK101" i="11"/>
  <c r="W101" i="11"/>
  <c r="K101" i="11"/>
  <c r="BG101" i="11"/>
  <c r="AT101" i="11"/>
  <c r="AF101" i="11"/>
  <c r="F102" i="11"/>
  <c r="AI101" i="11"/>
  <c r="M101" i="11"/>
  <c r="BC101" i="11"/>
  <c r="AD101" i="11"/>
  <c r="BA101" i="11"/>
  <c r="AA101" i="11"/>
  <c r="AY101" i="11"/>
  <c r="X101" i="11"/>
  <c r="AQ101" i="11"/>
  <c r="U101" i="11"/>
  <c r="P101" i="11"/>
  <c r="N101" i="11"/>
  <c r="AU101" i="11"/>
  <c r="AM101" i="11"/>
  <c r="AL101" i="11"/>
  <c r="V101" i="11"/>
  <c r="Q37" i="5"/>
  <c r="AD37" i="5"/>
  <c r="AH37" i="5" s="1"/>
  <c r="AN37" i="5" s="1"/>
  <c r="BT2" i="10"/>
  <c r="AQ4" i="11"/>
  <c r="Z39" i="5"/>
  <c r="C39" i="5"/>
  <c r="AL39" i="5"/>
  <c r="Y39" i="5"/>
  <c r="M39" i="5"/>
  <c r="B39" i="5"/>
  <c r="AK39" i="5"/>
  <c r="W39" i="5"/>
  <c r="V39" i="5"/>
  <c r="J39" i="5"/>
  <c r="U39" i="5"/>
  <c r="A40" i="5"/>
  <c r="T39" i="5"/>
  <c r="AB39" i="5" s="1"/>
  <c r="G39" i="5"/>
  <c r="F39" i="5"/>
  <c r="AR37" i="6"/>
  <c r="AM37" i="6"/>
  <c r="AP37" i="6"/>
  <c r="V39" i="7"/>
  <c r="AU37" i="5"/>
  <c r="W38" i="8"/>
  <c r="X38" i="8" s="1"/>
  <c r="G38" i="8"/>
  <c r="F39" i="8"/>
  <c r="AQ62" i="11"/>
  <c r="AK37" i="6"/>
  <c r="AI37" i="6"/>
  <c r="BL31" i="10"/>
  <c r="AS37" i="6"/>
  <c r="AN37" i="6"/>
  <c r="AQ37" i="6"/>
  <c r="AJ39" i="7"/>
  <c r="W45" i="13"/>
  <c r="V46" i="13"/>
  <c r="AU37" i="6"/>
  <c r="AT42" i="11"/>
  <c r="AL42" i="11"/>
  <c r="AD42" i="11"/>
  <c r="V42" i="11"/>
  <c r="N42" i="11"/>
  <c r="F43" i="11"/>
  <c r="AS42" i="11"/>
  <c r="AK42" i="11"/>
  <c r="AC42" i="11"/>
  <c r="U42" i="11"/>
  <c r="M42" i="11"/>
  <c r="AR42" i="11"/>
  <c r="AJ42" i="11"/>
  <c r="AB42" i="11"/>
  <c r="T42" i="11"/>
  <c r="L42" i="11"/>
  <c r="AQ42" i="11"/>
  <c r="AI42" i="11"/>
  <c r="AA42" i="11"/>
  <c r="S42" i="11"/>
  <c r="K42" i="11"/>
  <c r="AP42" i="11"/>
  <c r="AH42" i="11"/>
  <c r="Z42" i="11"/>
  <c r="R42" i="11"/>
  <c r="J42" i="11"/>
  <c r="AO42" i="11"/>
  <c r="AG42" i="11"/>
  <c r="Y42" i="11"/>
  <c r="Q42" i="11"/>
  <c r="I42" i="11"/>
  <c r="P42" i="11"/>
  <c r="AN42" i="11"/>
  <c r="AM42" i="11"/>
  <c r="AF42" i="11"/>
  <c r="AE42" i="11"/>
  <c r="X42" i="11"/>
  <c r="O42" i="11"/>
  <c r="AU42" i="11"/>
  <c r="W42" i="11"/>
  <c r="C38" i="6"/>
  <c r="B38" i="6"/>
  <c r="A39" i="6"/>
  <c r="AD38" i="6"/>
  <c r="AA38" i="6"/>
  <c r="AE31" i="7"/>
  <c r="F38" i="10"/>
  <c r="F39" i="10" s="1"/>
  <c r="AU34" i="5"/>
  <c r="L34" i="5"/>
  <c r="AC34" i="6" s="1"/>
  <c r="AF34" i="6" s="1"/>
  <c r="AD34" i="6"/>
  <c r="BK38" i="10"/>
  <c r="BC38" i="10"/>
  <c r="AU38" i="10"/>
  <c r="AM38" i="10"/>
  <c r="AE38" i="10"/>
  <c r="BJ38" i="10"/>
  <c r="BB38" i="10"/>
  <c r="AT38" i="10"/>
  <c r="AL38" i="10"/>
  <c r="AD38" i="10"/>
  <c r="BI38" i="10"/>
  <c r="BE38" i="10"/>
  <c r="AS38" i="10"/>
  <c r="AI38" i="10"/>
  <c r="BD38" i="10"/>
  <c r="AR38" i="10"/>
  <c r="AH38" i="10"/>
  <c r="BA38" i="10"/>
  <c r="AQ38" i="10"/>
  <c r="AG38" i="10"/>
  <c r="BM38" i="10"/>
  <c r="AZ38" i="10"/>
  <c r="AP38" i="10"/>
  <c r="AF38" i="10"/>
  <c r="BL38" i="10"/>
  <c r="AY38" i="10"/>
  <c r="AO38" i="10"/>
  <c r="BH38" i="10"/>
  <c r="AX38" i="10"/>
  <c r="AN38" i="10"/>
  <c r="BG38" i="10"/>
  <c r="AW38" i="10"/>
  <c r="AK38" i="10"/>
  <c r="BF38" i="10"/>
  <c r="AV38" i="10"/>
  <c r="AJ38" i="10"/>
  <c r="I38" i="5"/>
  <c r="AL37" i="6"/>
  <c r="AO37" i="6"/>
  <c r="BL37" i="10"/>
  <c r="AC40" i="10"/>
  <c r="C41" i="10"/>
  <c r="BP39" i="4"/>
  <c r="I39" i="4"/>
  <c r="BN39" i="4"/>
  <c r="BE39" i="4"/>
  <c r="BM39" i="4"/>
  <c r="BD39" i="4"/>
  <c r="P39" i="4"/>
  <c r="BJ39" i="4"/>
  <c r="AA39" i="4"/>
  <c r="O39" i="4"/>
  <c r="C39" i="4"/>
  <c r="A40" i="4"/>
  <c r="B39" i="4"/>
  <c r="AY39" i="4"/>
  <c r="U39" i="4"/>
  <c r="BQ39" i="4"/>
  <c r="AX39" i="4"/>
  <c r="AJ34" i="4"/>
  <c r="AQ34" i="4" s="1"/>
  <c r="AG34" i="6" s="1"/>
  <c r="AX34" i="4"/>
  <c r="AZ34" i="4" s="1"/>
  <c r="K34" i="4"/>
  <c r="AU5" i="11"/>
  <c r="AT7" i="11"/>
  <c r="AT8" i="11"/>
  <c r="AT9" i="11"/>
  <c r="AT10" i="11"/>
  <c r="AT11" i="11"/>
  <c r="AT12" i="11"/>
  <c r="AT13" i="11"/>
  <c r="AT14" i="11"/>
  <c r="AT15" i="11"/>
  <c r="AT16" i="11"/>
  <c r="AT17" i="11"/>
  <c r="AT18" i="11"/>
  <c r="AT19" i="11"/>
  <c r="AT20" i="11"/>
  <c r="AT21" i="11"/>
  <c r="AT22" i="11"/>
  <c r="AT23" i="11"/>
  <c r="AT24" i="11"/>
  <c r="AT25" i="11"/>
  <c r="AT26" i="11"/>
  <c r="AT27" i="11"/>
  <c r="AT28" i="11"/>
  <c r="AT29" i="11"/>
  <c r="AT30" i="11"/>
  <c r="AT31" i="11"/>
  <c r="AT32" i="11"/>
  <c r="AT33" i="11"/>
  <c r="AT34" i="11"/>
  <c r="AT35" i="11"/>
  <c r="AT36" i="11"/>
  <c r="AT37" i="11"/>
  <c r="AT38" i="11"/>
  <c r="AT39" i="11"/>
  <c r="AT40" i="11"/>
  <c r="BL35" i="10"/>
  <c r="N41" i="7"/>
  <c r="AA40" i="7"/>
  <c r="R40" i="7"/>
  <c r="AI40" i="7"/>
  <c r="Z40" i="7"/>
  <c r="Q40" i="7"/>
  <c r="V40" i="7" s="1"/>
  <c r="AH40" i="7"/>
  <c r="Y40" i="7"/>
  <c r="O40" i="7"/>
  <c r="AG40" i="7"/>
  <c r="X40" i="7"/>
  <c r="AC40" i="7" s="1"/>
  <c r="AF40" i="7"/>
  <c r="AE40" i="7"/>
  <c r="AJ40" i="7" s="1"/>
  <c r="U40" i="7"/>
  <c r="AB40" i="7"/>
  <c r="T40" i="7"/>
  <c r="S40" i="7"/>
  <c r="BM35" i="10"/>
  <c r="AG41" i="7" l="1"/>
  <c r="X41" i="7"/>
  <c r="AF41" i="7"/>
  <c r="AE41" i="7"/>
  <c r="U41" i="7"/>
  <c r="T41" i="7"/>
  <c r="AB41" i="7"/>
  <c r="S41" i="7"/>
  <c r="N42" i="7"/>
  <c r="AA41" i="7"/>
  <c r="R41" i="7"/>
  <c r="AH41" i="7"/>
  <c r="Z41" i="7"/>
  <c r="Y41" i="7"/>
  <c r="Q41" i="7"/>
  <c r="O41" i="7"/>
  <c r="AI41" i="7"/>
  <c r="AV5" i="11"/>
  <c r="AU7" i="11"/>
  <c r="AU8" i="11"/>
  <c r="AU9" i="11"/>
  <c r="AU10" i="11"/>
  <c r="AU11" i="11"/>
  <c r="AU12" i="11"/>
  <c r="AU13" i="11"/>
  <c r="AU14" i="11"/>
  <c r="AU15" i="11"/>
  <c r="AU16" i="11"/>
  <c r="AU17" i="11"/>
  <c r="AU18" i="11"/>
  <c r="AU19" i="11"/>
  <c r="AU20" i="11"/>
  <c r="AU21" i="11"/>
  <c r="AU22" i="11"/>
  <c r="AU23" i="11"/>
  <c r="AU24" i="11"/>
  <c r="AU25" i="11"/>
  <c r="AU26" i="11"/>
  <c r="AU27" i="11"/>
  <c r="AU28" i="11"/>
  <c r="AU29" i="11"/>
  <c r="AU30" i="11"/>
  <c r="AU31" i="11"/>
  <c r="AU32" i="11"/>
  <c r="AU33" i="11"/>
  <c r="AU34" i="11"/>
  <c r="AU35" i="11"/>
  <c r="AU36" i="11"/>
  <c r="AU37" i="11"/>
  <c r="AU38" i="11"/>
  <c r="AU39" i="11"/>
  <c r="AU40" i="11"/>
  <c r="AU41" i="11"/>
  <c r="AH34" i="4"/>
  <c r="AM34" i="4" s="1"/>
  <c r="AD34" i="4"/>
  <c r="BN40" i="4"/>
  <c r="BE40" i="4"/>
  <c r="BM40" i="4"/>
  <c r="P40" i="4"/>
  <c r="AA40" i="4"/>
  <c r="O40" i="4"/>
  <c r="BD40" i="4" s="1"/>
  <c r="C40" i="4"/>
  <c r="A41" i="4"/>
  <c r="B40" i="4"/>
  <c r="G39" i="8" s="1"/>
  <c r="AY40" i="4"/>
  <c r="U40" i="4"/>
  <c r="BJ40" i="4" s="1"/>
  <c r="BQ40" i="4"/>
  <c r="AX40" i="4"/>
  <c r="BP40" i="4"/>
  <c r="I40" i="4"/>
  <c r="AC41" i="10"/>
  <c r="C42" i="10"/>
  <c r="C39" i="6"/>
  <c r="B39" i="6"/>
  <c r="A40" i="6"/>
  <c r="AD39" i="6"/>
  <c r="AA39" i="6"/>
  <c r="AV43" i="11"/>
  <c r="AN43" i="11"/>
  <c r="AF43" i="11"/>
  <c r="X43" i="11"/>
  <c r="P43" i="11"/>
  <c r="AU43" i="11"/>
  <c r="AM43" i="11"/>
  <c r="AE43" i="11"/>
  <c r="W43" i="11"/>
  <c r="O43" i="11"/>
  <c r="AT43" i="11"/>
  <c r="AL43" i="11"/>
  <c r="AD43" i="11"/>
  <c r="V43" i="11"/>
  <c r="N43" i="11"/>
  <c r="F44" i="11"/>
  <c r="AS43" i="11"/>
  <c r="AK43" i="11"/>
  <c r="AC43" i="11"/>
  <c r="U43" i="11"/>
  <c r="M43" i="11"/>
  <c r="AR43" i="11"/>
  <c r="AJ43" i="11"/>
  <c r="AB43" i="11"/>
  <c r="T43" i="11"/>
  <c r="L43" i="11"/>
  <c r="AQ43" i="11"/>
  <c r="AI43" i="11"/>
  <c r="AA43" i="11"/>
  <c r="S43" i="11"/>
  <c r="K43" i="11"/>
  <c r="Z43" i="11"/>
  <c r="R43" i="11"/>
  <c r="Q43" i="11"/>
  <c r="AP43" i="11"/>
  <c r="J43" i="11"/>
  <c r="AO43" i="11"/>
  <c r="I43" i="11"/>
  <c r="AH43" i="11"/>
  <c r="AG43" i="11"/>
  <c r="Y43" i="11"/>
  <c r="V47" i="13"/>
  <c r="W46" i="13"/>
  <c r="W39" i="8"/>
  <c r="X39" i="8" s="1"/>
  <c r="F40" i="8"/>
  <c r="I39" i="5"/>
  <c r="A41" i="5"/>
  <c r="T40" i="5"/>
  <c r="G40" i="5"/>
  <c r="F40" i="5"/>
  <c r="Z40" i="5"/>
  <c r="C40" i="5"/>
  <c r="AL40" i="5"/>
  <c r="Y40" i="5"/>
  <c r="M40" i="5"/>
  <c r="B40" i="5"/>
  <c r="AK40" i="5"/>
  <c r="W40" i="5"/>
  <c r="V40" i="5"/>
  <c r="U40" i="5"/>
  <c r="J40" i="5"/>
  <c r="BU2" i="10"/>
  <c r="BH102" i="11"/>
  <c r="BB102" i="11"/>
  <c r="AT102" i="11"/>
  <c r="AL102" i="11"/>
  <c r="AD102" i="11"/>
  <c r="V102" i="11"/>
  <c r="N102" i="11"/>
  <c r="F103" i="11"/>
  <c r="AZ102" i="11"/>
  <c r="AR102" i="11"/>
  <c r="AJ102" i="11"/>
  <c r="AB102" i="11"/>
  <c r="T102" i="11"/>
  <c r="L102" i="11"/>
  <c r="BG102" i="11"/>
  <c r="AY102" i="11"/>
  <c r="AQ102" i="11"/>
  <c r="AI102" i="11"/>
  <c r="AA102" i="11"/>
  <c r="S102" i="11"/>
  <c r="K102" i="11"/>
  <c r="BC102" i="11"/>
  <c r="AO102" i="11"/>
  <c r="AC102" i="11"/>
  <c r="P102" i="11"/>
  <c r="AX102" i="11"/>
  <c r="AM102" i="11"/>
  <c r="Y102" i="11"/>
  <c r="M102" i="11"/>
  <c r="BF102" i="11"/>
  <c r="AU102" i="11"/>
  <c r="AG102" i="11"/>
  <c r="U102" i="11"/>
  <c r="BD102" i="11"/>
  <c r="AP102" i="11"/>
  <c r="AE102" i="11"/>
  <c r="Q102" i="11"/>
  <c r="BE102" i="11"/>
  <c r="AF102" i="11"/>
  <c r="BA102" i="11"/>
  <c r="Z102" i="11"/>
  <c r="AW102" i="11"/>
  <c r="X102" i="11"/>
  <c r="AV102" i="11"/>
  <c r="W102" i="11"/>
  <c r="AN102" i="11"/>
  <c r="O102" i="11"/>
  <c r="AH102" i="11"/>
  <c r="R102" i="11"/>
  <c r="J102" i="11"/>
  <c r="I102" i="11"/>
  <c r="AS102" i="11"/>
  <c r="AK102" i="11"/>
  <c r="R39" i="10"/>
  <c r="P39" i="10"/>
  <c r="BF39" i="10"/>
  <c r="AX39" i="10"/>
  <c r="AP39" i="10"/>
  <c r="AH39" i="10"/>
  <c r="BM39" i="10"/>
  <c r="BE39" i="10"/>
  <c r="AW39" i="10"/>
  <c r="AO39" i="10"/>
  <c r="AG39" i="10"/>
  <c r="BL39" i="10"/>
  <c r="BD39" i="10"/>
  <c r="AV39" i="10"/>
  <c r="AN39" i="10"/>
  <c r="AF39" i="10"/>
  <c r="BK39" i="10"/>
  <c r="BC39" i="10"/>
  <c r="AU39" i="10"/>
  <c r="AM39" i="10"/>
  <c r="AE39" i="10"/>
  <c r="BJ39" i="10"/>
  <c r="AT39" i="10"/>
  <c r="AD39" i="10"/>
  <c r="BI39" i="10"/>
  <c r="AS39" i="10"/>
  <c r="BH39" i="10"/>
  <c r="AR39" i="10"/>
  <c r="BG39" i="10"/>
  <c r="AQ39" i="10"/>
  <c r="BB39" i="10"/>
  <c r="AL39" i="10"/>
  <c r="BA39" i="10"/>
  <c r="AK39" i="10"/>
  <c r="AZ39" i="10"/>
  <c r="AJ39" i="10"/>
  <c r="AY39" i="10"/>
  <c r="AI39" i="10"/>
  <c r="BM37" i="10"/>
  <c r="BM34" i="10"/>
  <c r="AB40" i="10"/>
  <c r="B41" i="10"/>
  <c r="N40" i="10"/>
  <c r="G40" i="10"/>
  <c r="E40" i="10"/>
  <c r="AS62" i="11" s="1"/>
  <c r="O40" i="10"/>
  <c r="H40" i="10"/>
  <c r="K39" i="10"/>
  <c r="L39" i="10" s="1"/>
  <c r="J40" i="10" s="1"/>
  <c r="BO30" i="10" l="1"/>
  <c r="BO6" i="10"/>
  <c r="BO8" i="10"/>
  <c r="BO4" i="10"/>
  <c r="BO25" i="10"/>
  <c r="BO35" i="10"/>
  <c r="BO22" i="10"/>
  <c r="BO37" i="10"/>
  <c r="BO9" i="10"/>
  <c r="BO7" i="10"/>
  <c r="BO28" i="10"/>
  <c r="BO21" i="10"/>
  <c r="BO26" i="10"/>
  <c r="BO13" i="10"/>
  <c r="BN37" i="10"/>
  <c r="F40" i="10"/>
  <c r="AJ41" i="7"/>
  <c r="AS4" i="11"/>
  <c r="AB40" i="5"/>
  <c r="V41" i="7"/>
  <c r="AC41" i="7"/>
  <c r="BN36" i="10"/>
  <c r="BN19" i="10"/>
  <c r="BN34" i="10"/>
  <c r="BN11" i="10"/>
  <c r="BN38" i="10"/>
  <c r="BN32" i="10"/>
  <c r="BN35" i="10"/>
  <c r="BN27" i="10"/>
  <c r="AV42" i="11"/>
  <c r="BO39" i="10"/>
  <c r="BN39" i="10"/>
  <c r="K40" i="10"/>
  <c r="L40" i="10" s="1"/>
  <c r="J41" i="10" s="1"/>
  <c r="R40" i="10"/>
  <c r="P40" i="10"/>
  <c r="E41" i="10"/>
  <c r="BO24" i="10" s="1"/>
  <c r="N41" i="10"/>
  <c r="G41" i="10"/>
  <c r="H41" i="10" s="1"/>
  <c r="AB41" i="10"/>
  <c r="B42" i="10"/>
  <c r="O41" i="10"/>
  <c r="BI40" i="10"/>
  <c r="BA40" i="10"/>
  <c r="AS40" i="10"/>
  <c r="AK40" i="10"/>
  <c r="BH40" i="10"/>
  <c r="AZ40" i="10"/>
  <c r="AR40" i="10"/>
  <c r="AJ40" i="10"/>
  <c r="BO40" i="10"/>
  <c r="BG40" i="10"/>
  <c r="AY40" i="10"/>
  <c r="AQ40" i="10"/>
  <c r="AI40" i="10"/>
  <c r="BN40" i="10"/>
  <c r="BF40" i="10"/>
  <c r="AX40" i="10"/>
  <c r="AP40" i="10"/>
  <c r="AH40" i="10"/>
  <c r="BE40" i="10"/>
  <c r="AO40" i="10"/>
  <c r="BD40" i="10"/>
  <c r="AN40" i="10"/>
  <c r="BC40" i="10"/>
  <c r="AM40" i="10"/>
  <c r="BB40" i="10"/>
  <c r="AL40" i="10"/>
  <c r="BM40" i="10"/>
  <c r="AW40" i="10"/>
  <c r="AG40" i="10"/>
  <c r="BL40" i="10"/>
  <c r="AV40" i="10"/>
  <c r="AF40" i="10"/>
  <c r="BK40" i="10"/>
  <c r="AU40" i="10"/>
  <c r="AE40" i="10"/>
  <c r="BJ40" i="10"/>
  <c r="AT40" i="10"/>
  <c r="AD40" i="10"/>
  <c r="BB103" i="11"/>
  <c r="AT103" i="11"/>
  <c r="AL103" i="11"/>
  <c r="AD103" i="11"/>
  <c r="V103" i="11"/>
  <c r="N103" i="11"/>
  <c r="BH103" i="11"/>
  <c r="AZ103" i="11"/>
  <c r="AR103" i="11"/>
  <c r="AJ103" i="11"/>
  <c r="AB103" i="11"/>
  <c r="T103" i="11"/>
  <c r="L103" i="11"/>
  <c r="AY103" i="11"/>
  <c r="AO103" i="11"/>
  <c r="AE103" i="11"/>
  <c r="S103" i="11"/>
  <c r="I103" i="11"/>
  <c r="BG103" i="11"/>
  <c r="AW103" i="11"/>
  <c r="AM103" i="11"/>
  <c r="AA103" i="11"/>
  <c r="Q103" i="11"/>
  <c r="BF103" i="11"/>
  <c r="AV103" i="11"/>
  <c r="AK103" i="11"/>
  <c r="Z103" i="11"/>
  <c r="P103" i="11"/>
  <c r="AX103" i="11"/>
  <c r="AG103" i="11"/>
  <c r="O103" i="11"/>
  <c r="AS103" i="11"/>
  <c r="AC103" i="11"/>
  <c r="K103" i="11"/>
  <c r="BD103" i="11"/>
  <c r="AN103" i="11"/>
  <c r="W103" i="11"/>
  <c r="BA103" i="11"/>
  <c r="AH103" i="11"/>
  <c r="R103" i="11"/>
  <c r="AI103" i="11"/>
  <c r="AF103" i="11"/>
  <c r="F104" i="11"/>
  <c r="Y103" i="11"/>
  <c r="BE103" i="11"/>
  <c r="X103" i="11"/>
  <c r="AU103" i="11"/>
  <c r="M103" i="11"/>
  <c r="BC103" i="11"/>
  <c r="AQ103" i="11"/>
  <c r="AP103" i="11"/>
  <c r="U103" i="11"/>
  <c r="J103" i="11"/>
  <c r="BV2" i="10"/>
  <c r="I40" i="5"/>
  <c r="AK41" i="5"/>
  <c r="W41" i="5"/>
  <c r="V41" i="5"/>
  <c r="J41" i="5"/>
  <c r="U41" i="5"/>
  <c r="A42" i="5"/>
  <c r="T41" i="5"/>
  <c r="G41" i="5"/>
  <c r="F41" i="5"/>
  <c r="M41" i="5"/>
  <c r="C41" i="5"/>
  <c r="B41" i="5"/>
  <c r="AL41" i="5"/>
  <c r="Z41" i="5"/>
  <c r="Y41" i="5"/>
  <c r="W40" i="8"/>
  <c r="X40" i="8" s="1"/>
  <c r="F41" i="8"/>
  <c r="V48" i="13"/>
  <c r="W47" i="13"/>
  <c r="AP44" i="11"/>
  <c r="AH44" i="11"/>
  <c r="Z44" i="11"/>
  <c r="R44" i="11"/>
  <c r="J44" i="11"/>
  <c r="AW44" i="11"/>
  <c r="AO44" i="11"/>
  <c r="AG44" i="11"/>
  <c r="Y44" i="11"/>
  <c r="Q44" i="11"/>
  <c r="I44" i="11"/>
  <c r="AV44" i="11"/>
  <c r="AN44" i="11"/>
  <c r="AF44" i="11"/>
  <c r="X44" i="11"/>
  <c r="P44" i="11"/>
  <c r="AU44" i="11"/>
  <c r="AM44" i="11"/>
  <c r="AE44" i="11"/>
  <c r="W44" i="11"/>
  <c r="O44" i="11"/>
  <c r="AT44" i="11"/>
  <c r="AL44" i="11"/>
  <c r="AD44" i="11"/>
  <c r="V44" i="11"/>
  <c r="N44" i="11"/>
  <c r="F45" i="11"/>
  <c r="AS44" i="11"/>
  <c r="AK44" i="11"/>
  <c r="AC44" i="11"/>
  <c r="U44" i="11"/>
  <c r="M44" i="11"/>
  <c r="AJ44" i="11"/>
  <c r="AB44" i="11"/>
  <c r="AA44" i="11"/>
  <c r="T44" i="11"/>
  <c r="S44" i="11"/>
  <c r="AR44" i="11"/>
  <c r="L44" i="11"/>
  <c r="AI44" i="11"/>
  <c r="K44" i="11"/>
  <c r="AQ44" i="11"/>
  <c r="AA40" i="6"/>
  <c r="C40" i="6"/>
  <c r="B40" i="6"/>
  <c r="A41" i="6"/>
  <c r="AD40" i="6"/>
  <c r="C43" i="10"/>
  <c r="AC42" i="10"/>
  <c r="BM41" i="4"/>
  <c r="BD41" i="4"/>
  <c r="G41" i="4"/>
  <c r="P41" i="4"/>
  <c r="AA41" i="4"/>
  <c r="BP41" i="4" s="1"/>
  <c r="O41" i="4"/>
  <c r="C41" i="4"/>
  <c r="A42" i="4"/>
  <c r="B41" i="4"/>
  <c r="G40" i="8" s="1"/>
  <c r="AY41" i="4"/>
  <c r="U41" i="4"/>
  <c r="BJ41" i="4" s="1"/>
  <c r="BQ41" i="4"/>
  <c r="I41" i="4"/>
  <c r="AX41" i="4" s="1"/>
  <c r="BN41" i="4"/>
  <c r="BE41" i="4"/>
  <c r="AV41" i="4"/>
  <c r="AW5" i="11"/>
  <c r="AV7" i="11"/>
  <c r="AV8" i="11"/>
  <c r="AV9" i="11"/>
  <c r="AV10" i="11"/>
  <c r="AV11" i="11"/>
  <c r="AV12" i="11"/>
  <c r="AV13" i="11"/>
  <c r="AV14" i="11"/>
  <c r="AV15" i="11"/>
  <c r="AV16" i="11"/>
  <c r="AV17" i="11"/>
  <c r="AV18" i="11"/>
  <c r="AV19" i="11"/>
  <c r="AV20" i="11"/>
  <c r="AV21" i="11"/>
  <c r="AV22" i="11"/>
  <c r="AV23" i="11"/>
  <c r="AV24" i="11"/>
  <c r="AV25" i="11"/>
  <c r="AV26" i="11"/>
  <c r="AV27" i="11"/>
  <c r="AV28" i="11"/>
  <c r="AV29" i="11"/>
  <c r="AV30" i="11"/>
  <c r="AV31" i="11"/>
  <c r="AV32" i="11"/>
  <c r="AV33" i="11"/>
  <c r="AV34" i="11"/>
  <c r="AV35" i="11"/>
  <c r="AV36" i="11"/>
  <c r="AV37" i="11"/>
  <c r="AV38" i="11"/>
  <c r="AV39" i="11"/>
  <c r="AV40" i="11"/>
  <c r="AV41" i="11"/>
  <c r="T42" i="7"/>
  <c r="AB42" i="7"/>
  <c r="S42" i="7"/>
  <c r="N43" i="7"/>
  <c r="AA42" i="7"/>
  <c r="R42" i="7"/>
  <c r="AI42" i="7"/>
  <c r="Z42" i="7"/>
  <c r="Q42" i="7"/>
  <c r="V42" i="7" s="1"/>
  <c r="AH42" i="7"/>
  <c r="Y42" i="7"/>
  <c r="O42" i="7"/>
  <c r="AG42" i="7"/>
  <c r="X42" i="7"/>
  <c r="AE42" i="7"/>
  <c r="U42" i="7"/>
  <c r="AF42" i="7"/>
  <c r="BO36" i="10" l="1"/>
  <c r="BO12" i="10"/>
  <c r="BO11" i="10"/>
  <c r="BO15" i="10"/>
  <c r="BO16" i="10"/>
  <c r="AW42" i="11"/>
  <c r="AW43" i="11"/>
  <c r="F41" i="10"/>
  <c r="BO18" i="10"/>
  <c r="BO29" i="10"/>
  <c r="BO19" i="10"/>
  <c r="BO17" i="10"/>
  <c r="AT4" i="11"/>
  <c r="BO20" i="10"/>
  <c r="BO23" i="10"/>
  <c r="BO10" i="10"/>
  <c r="BO5" i="10"/>
  <c r="AB41" i="5"/>
  <c r="BP15" i="10"/>
  <c r="BO34" i="10"/>
  <c r="BO38" i="10"/>
  <c r="BO31" i="10"/>
  <c r="AT62" i="11"/>
  <c r="BO14" i="10"/>
  <c r="BP32" i="10"/>
  <c r="AJ42" i="7"/>
  <c r="AC42" i="7"/>
  <c r="AU62" i="11"/>
  <c r="BO27" i="10"/>
  <c r="BO33" i="10"/>
  <c r="BO32" i="10"/>
  <c r="AI43" i="7"/>
  <c r="Z43" i="7"/>
  <c r="Q43" i="7"/>
  <c r="AH43" i="7"/>
  <c r="Y43" i="7"/>
  <c r="O43" i="7"/>
  <c r="AG43" i="7"/>
  <c r="X43" i="7"/>
  <c r="AF43" i="7"/>
  <c r="AE43" i="7"/>
  <c r="U43" i="7"/>
  <c r="T43" i="7"/>
  <c r="AA43" i="7"/>
  <c r="S43" i="7"/>
  <c r="N44" i="7"/>
  <c r="R43" i="7"/>
  <c r="AB43" i="7"/>
  <c r="AX5" i="11"/>
  <c r="AW7" i="11"/>
  <c r="AW8" i="11"/>
  <c r="AW9" i="11"/>
  <c r="AW10" i="11"/>
  <c r="AW11" i="11"/>
  <c r="AW12" i="11"/>
  <c r="AW13" i="11"/>
  <c r="AW14" i="11"/>
  <c r="AW15" i="11"/>
  <c r="AW16" i="11"/>
  <c r="AW17" i="11"/>
  <c r="AW18" i="11"/>
  <c r="AW19" i="11"/>
  <c r="AW20" i="11"/>
  <c r="AW21" i="11"/>
  <c r="AW22" i="11"/>
  <c r="AW23" i="11"/>
  <c r="AW24" i="11"/>
  <c r="AW25" i="11"/>
  <c r="AW26" i="11"/>
  <c r="AW27" i="11"/>
  <c r="AW28" i="11"/>
  <c r="AW29" i="11"/>
  <c r="AW30" i="11"/>
  <c r="AW31" i="11"/>
  <c r="AW32" i="11"/>
  <c r="AW33" i="11"/>
  <c r="AW34" i="11"/>
  <c r="AW35" i="11"/>
  <c r="AW36" i="11"/>
  <c r="AW37" i="11"/>
  <c r="AW38" i="11"/>
  <c r="AW39" i="11"/>
  <c r="AW40" i="11"/>
  <c r="AW41" i="11"/>
  <c r="P42" i="4"/>
  <c r="AA42" i="4"/>
  <c r="O42" i="4"/>
  <c r="BD42" i="4" s="1"/>
  <c r="C42" i="4"/>
  <c r="A43" i="4"/>
  <c r="B42" i="4"/>
  <c r="AY42" i="4"/>
  <c r="U42" i="4"/>
  <c r="BJ42" i="4" s="1"/>
  <c r="BQ42" i="4"/>
  <c r="BP42" i="4"/>
  <c r="I42" i="4"/>
  <c r="AX42" i="4" s="1"/>
  <c r="BN42" i="4"/>
  <c r="BE42" i="4"/>
  <c r="BM42" i="4"/>
  <c r="G42" i="4"/>
  <c r="AV42" i="4" s="1"/>
  <c r="AC43" i="10"/>
  <c r="C44" i="10"/>
  <c r="AA41" i="6"/>
  <c r="C41" i="6"/>
  <c r="B41" i="6"/>
  <c r="A42" i="6"/>
  <c r="AD41" i="6"/>
  <c r="AR45" i="11"/>
  <c r="AJ45" i="11"/>
  <c r="AB45" i="11"/>
  <c r="T45" i="11"/>
  <c r="L45" i="11"/>
  <c r="AQ45" i="11"/>
  <c r="AI45" i="11"/>
  <c r="AA45" i="11"/>
  <c r="S45" i="11"/>
  <c r="K45" i="11"/>
  <c r="AX45" i="11"/>
  <c r="AP45" i="11"/>
  <c r="AH45" i="11"/>
  <c r="Z45" i="11"/>
  <c r="R45" i="11"/>
  <c r="J45" i="11"/>
  <c r="AW45" i="11"/>
  <c r="AO45" i="11"/>
  <c r="AG45" i="11"/>
  <c r="Y45" i="11"/>
  <c r="Q45" i="11"/>
  <c r="I45" i="11"/>
  <c r="AV45" i="11"/>
  <c r="AN45" i="11"/>
  <c r="AF45" i="11"/>
  <c r="X45" i="11"/>
  <c r="P45" i="11"/>
  <c r="AU45" i="11"/>
  <c r="AM45" i="11"/>
  <c r="AE45" i="11"/>
  <c r="W45" i="11"/>
  <c r="O45" i="11"/>
  <c r="AT45" i="11"/>
  <c r="N45" i="11"/>
  <c r="AL45" i="11"/>
  <c r="AK45" i="11"/>
  <c r="AD45" i="11"/>
  <c r="F46" i="11"/>
  <c r="AC45" i="11"/>
  <c r="V45" i="11"/>
  <c r="AS45" i="11"/>
  <c r="U45" i="11"/>
  <c r="M45" i="11"/>
  <c r="W48" i="13"/>
  <c r="V49" i="13"/>
  <c r="W41" i="8"/>
  <c r="X41" i="8" s="1"/>
  <c r="G41" i="8"/>
  <c r="F42" i="8"/>
  <c r="I41" i="5"/>
  <c r="Z42" i="5"/>
  <c r="C42" i="5"/>
  <c r="AL42" i="5"/>
  <c r="Y42" i="5"/>
  <c r="M42" i="5"/>
  <c r="B42" i="5"/>
  <c r="AK42" i="5"/>
  <c r="W42" i="5"/>
  <c r="V42" i="5"/>
  <c r="J42" i="5"/>
  <c r="U42" i="5"/>
  <c r="A43" i="5"/>
  <c r="G42" i="5"/>
  <c r="F42" i="5"/>
  <c r="T42" i="5"/>
  <c r="BW2" i="10"/>
  <c r="BD104" i="11"/>
  <c r="AV104" i="11"/>
  <c r="AN104" i="11"/>
  <c r="AF104" i="11"/>
  <c r="X104" i="11"/>
  <c r="P104" i="11"/>
  <c r="BB104" i="11"/>
  <c r="AT104" i="11"/>
  <c r="AL104" i="11"/>
  <c r="AD104" i="11"/>
  <c r="V104" i="11"/>
  <c r="N104" i="11"/>
  <c r="F105" i="11"/>
  <c r="AY104" i="11"/>
  <c r="AO104" i="11"/>
  <c r="AC104" i="11"/>
  <c r="S104" i="11"/>
  <c r="I104" i="11"/>
  <c r="BG104" i="11"/>
  <c r="AW104" i="11"/>
  <c r="AK104" i="11"/>
  <c r="AA104" i="11"/>
  <c r="Q104" i="11"/>
  <c r="BF104" i="11"/>
  <c r="AU104" i="11"/>
  <c r="AJ104" i="11"/>
  <c r="Z104" i="11"/>
  <c r="O104" i="11"/>
  <c r="AS104" i="11"/>
  <c r="AE104" i="11"/>
  <c r="L104" i="11"/>
  <c r="BH104" i="11"/>
  <c r="AQ104" i="11"/>
  <c r="Y104" i="11"/>
  <c r="J104" i="11"/>
  <c r="BA104" i="11"/>
  <c r="AI104" i="11"/>
  <c r="T104" i="11"/>
  <c r="AX104" i="11"/>
  <c r="AG104" i="11"/>
  <c r="M104" i="11"/>
  <c r="AZ104" i="11"/>
  <c r="R104" i="11"/>
  <c r="AR104" i="11"/>
  <c r="K104" i="11"/>
  <c r="AP104" i="11"/>
  <c r="AM104" i="11"/>
  <c r="AB104" i="11"/>
  <c r="BE104" i="11"/>
  <c r="BC104" i="11"/>
  <c r="AH104" i="11"/>
  <c r="W104" i="11"/>
  <c r="U104" i="11"/>
  <c r="B43" i="10"/>
  <c r="G42" i="10"/>
  <c r="AB42" i="10"/>
  <c r="N42" i="10"/>
  <c r="E42" i="10"/>
  <c r="O42" i="10"/>
  <c r="BL41" i="10"/>
  <c r="BD41" i="10"/>
  <c r="AV41" i="10"/>
  <c r="AN41" i="10"/>
  <c r="AF41" i="10"/>
  <c r="BK41" i="10"/>
  <c r="BC41" i="10"/>
  <c r="AU41" i="10"/>
  <c r="AM41" i="10"/>
  <c r="AE41" i="10"/>
  <c r="BJ41" i="10"/>
  <c r="BB41" i="10"/>
  <c r="AT41" i="10"/>
  <c r="AL41" i="10"/>
  <c r="AD41" i="10"/>
  <c r="BI41" i="10"/>
  <c r="BA41" i="10"/>
  <c r="AS41" i="10"/>
  <c r="AK41" i="10"/>
  <c r="BM41" i="10"/>
  <c r="AZ41" i="10"/>
  <c r="AJ41" i="10"/>
  <c r="BP41" i="10"/>
  <c r="AY41" i="10"/>
  <c r="AI41" i="10"/>
  <c r="BO41" i="10"/>
  <c r="AX41" i="10"/>
  <c r="AH41" i="10"/>
  <c r="BN41" i="10"/>
  <c r="AW41" i="10"/>
  <c r="AG41" i="10"/>
  <c r="BH41" i="10"/>
  <c r="AR41" i="10"/>
  <c r="BG41" i="10"/>
  <c r="AQ41" i="10"/>
  <c r="BF41" i="10"/>
  <c r="AP41" i="10"/>
  <c r="BE41" i="10"/>
  <c r="AO41" i="10"/>
  <c r="P41" i="10"/>
  <c r="R41" i="10"/>
  <c r="H42" i="10"/>
  <c r="K41" i="10"/>
  <c r="L41" i="10" s="1"/>
  <c r="J42" i="10" s="1"/>
  <c r="BP40" i="10" l="1"/>
  <c r="BP23" i="10"/>
  <c r="AU4" i="11"/>
  <c r="BP37" i="10"/>
  <c r="BP39" i="10"/>
  <c r="BP14" i="10"/>
  <c r="BP36" i="10"/>
  <c r="BP35" i="10"/>
  <c r="BP6" i="10"/>
  <c r="BP7" i="10"/>
  <c r="BP29" i="10"/>
  <c r="BP25" i="10"/>
  <c r="BP10" i="10"/>
  <c r="BP11" i="10"/>
  <c r="AC43" i="7"/>
  <c r="BP19" i="10"/>
  <c r="BP13" i="10"/>
  <c r="BP28" i="10"/>
  <c r="BQ24" i="10"/>
  <c r="F42" i="10"/>
  <c r="BP27" i="10"/>
  <c r="BP16" i="10"/>
  <c r="AB42" i="5"/>
  <c r="BP9" i="10"/>
  <c r="BP18" i="10"/>
  <c r="BP21" i="10"/>
  <c r="BP17" i="10"/>
  <c r="BP5" i="10"/>
  <c r="BP4" i="10"/>
  <c r="BP34" i="10"/>
  <c r="BQ20" i="10"/>
  <c r="AX42" i="11"/>
  <c r="AX43" i="11"/>
  <c r="AX44" i="11"/>
  <c r="BP33" i="10"/>
  <c r="BP20" i="10"/>
  <c r="BP24" i="10"/>
  <c r="BP12" i="10"/>
  <c r="BQ32" i="10"/>
  <c r="V43" i="7"/>
  <c r="BQ11" i="10"/>
  <c r="AV4" i="11"/>
  <c r="AJ43" i="7"/>
  <c r="BP38" i="10"/>
  <c r="BP22" i="10"/>
  <c r="BQ28" i="10"/>
  <c r="BP26" i="10"/>
  <c r="BP30" i="10"/>
  <c r="BP31" i="10"/>
  <c r="BQ13" i="10"/>
  <c r="BP8" i="10"/>
  <c r="H43" i="10"/>
  <c r="K42" i="10"/>
  <c r="L42" i="10" s="1"/>
  <c r="J43" i="10" s="1"/>
  <c r="R42" i="10"/>
  <c r="P42" i="10"/>
  <c r="BO42" i="10"/>
  <c r="BG42" i="10"/>
  <c r="AY42" i="10"/>
  <c r="AQ42" i="10"/>
  <c r="AI42" i="10"/>
  <c r="BN42" i="10"/>
  <c r="BF42" i="10"/>
  <c r="AX42" i="10"/>
  <c r="AP42" i="10"/>
  <c r="AH42" i="10"/>
  <c r="BM42" i="10"/>
  <c r="BE42" i="10"/>
  <c r="AW42" i="10"/>
  <c r="AO42" i="10"/>
  <c r="AG42" i="10"/>
  <c r="BL42" i="10"/>
  <c r="BD42" i="10"/>
  <c r="AV42" i="10"/>
  <c r="AN42" i="10"/>
  <c r="AF42" i="10"/>
  <c r="BK42" i="10"/>
  <c r="BC42" i="10"/>
  <c r="AU42" i="10"/>
  <c r="AM42" i="10"/>
  <c r="AE42" i="10"/>
  <c r="BP42" i="10"/>
  <c r="BH42" i="10"/>
  <c r="AZ42" i="10"/>
  <c r="AR42" i="10"/>
  <c r="AJ42" i="10"/>
  <c r="BI42" i="10"/>
  <c r="BB42" i="10"/>
  <c r="BA42" i="10"/>
  <c r="AT42" i="10"/>
  <c r="AS42" i="10"/>
  <c r="AL42" i="10"/>
  <c r="AK42" i="10"/>
  <c r="BJ42" i="10"/>
  <c r="AD42" i="10"/>
  <c r="N43" i="10"/>
  <c r="AB43" i="10"/>
  <c r="B44" i="10"/>
  <c r="E43" i="10"/>
  <c r="BQ8" i="10" s="1"/>
  <c r="G43" i="10"/>
  <c r="O43" i="10"/>
  <c r="BF105" i="11"/>
  <c r="AX105" i="11"/>
  <c r="AP105" i="11"/>
  <c r="AH105" i="11"/>
  <c r="Z105" i="11"/>
  <c r="R105" i="11"/>
  <c r="J105" i="11"/>
  <c r="BD105" i="11"/>
  <c r="AV105" i="11"/>
  <c r="AN105" i="11"/>
  <c r="AF105" i="11"/>
  <c r="X105" i="11"/>
  <c r="P105" i="11"/>
  <c r="F106" i="11"/>
  <c r="AY105" i="11"/>
  <c r="AM105" i="11"/>
  <c r="AC105" i="11"/>
  <c r="S105" i="11"/>
  <c r="BG105" i="11"/>
  <c r="AU105" i="11"/>
  <c r="AK105" i="11"/>
  <c r="AA105" i="11"/>
  <c r="O105" i="11"/>
  <c r="BE105" i="11"/>
  <c r="AT105" i="11"/>
  <c r="AJ105" i="11"/>
  <c r="Y105" i="11"/>
  <c r="N105" i="11"/>
  <c r="AR105" i="11"/>
  <c r="AB105" i="11"/>
  <c r="K105" i="11"/>
  <c r="BC105" i="11"/>
  <c r="AO105" i="11"/>
  <c r="V105" i="11"/>
  <c r="AZ105" i="11"/>
  <c r="AG105" i="11"/>
  <c r="Q105" i="11"/>
  <c r="AS105" i="11"/>
  <c r="AD105" i="11"/>
  <c r="L105" i="11"/>
  <c r="AE105" i="11"/>
  <c r="BH105" i="11"/>
  <c r="W105" i="11"/>
  <c r="BB105" i="11"/>
  <c r="U105" i="11"/>
  <c r="BA105" i="11"/>
  <c r="T105" i="11"/>
  <c r="AQ105" i="11"/>
  <c r="I105" i="11"/>
  <c r="AL105" i="11"/>
  <c r="AI105" i="11"/>
  <c r="M105" i="11"/>
  <c r="AW105" i="11"/>
  <c r="BX2" i="10"/>
  <c r="I42" i="5"/>
  <c r="U43" i="5"/>
  <c r="A44" i="5"/>
  <c r="T43" i="5"/>
  <c r="G43" i="5"/>
  <c r="F43" i="5"/>
  <c r="Z43" i="5"/>
  <c r="C43" i="5"/>
  <c r="AL43" i="5"/>
  <c r="Y43" i="5"/>
  <c r="M43" i="5"/>
  <c r="B43" i="5"/>
  <c r="AK43" i="5"/>
  <c r="W43" i="5"/>
  <c r="V43" i="5"/>
  <c r="J43" i="5"/>
  <c r="W42" i="8"/>
  <c r="X42" i="8" s="1"/>
  <c r="G42" i="8"/>
  <c r="F43" i="8"/>
  <c r="W49" i="13"/>
  <c r="V50" i="13"/>
  <c r="AT46" i="11"/>
  <c r="AL46" i="11"/>
  <c r="AD46" i="11"/>
  <c r="V46" i="11"/>
  <c r="N46" i="11"/>
  <c r="F47" i="11"/>
  <c r="AS46" i="11"/>
  <c r="AK46" i="11"/>
  <c r="AC46" i="11"/>
  <c r="U46" i="11"/>
  <c r="M46" i="11"/>
  <c r="AR46" i="11"/>
  <c r="AJ46" i="11"/>
  <c r="AB46" i="11"/>
  <c r="T46" i="11"/>
  <c r="L46" i="11"/>
  <c r="AY46" i="11"/>
  <c r="AQ46" i="11"/>
  <c r="AI46" i="11"/>
  <c r="AA46" i="11"/>
  <c r="S46" i="11"/>
  <c r="K46" i="11"/>
  <c r="AX46" i="11"/>
  <c r="AP46" i="11"/>
  <c r="AH46" i="11"/>
  <c r="Z46" i="11"/>
  <c r="R46" i="11"/>
  <c r="J46" i="11"/>
  <c r="AW46" i="11"/>
  <c r="AO46" i="11"/>
  <c r="AG46" i="11"/>
  <c r="Y46" i="11"/>
  <c r="Q46" i="11"/>
  <c r="I46" i="11"/>
  <c r="X46" i="11"/>
  <c r="AV46" i="11"/>
  <c r="P46" i="11"/>
  <c r="AU46" i="11"/>
  <c r="O46" i="11"/>
  <c r="AN46" i="11"/>
  <c r="AM46" i="11"/>
  <c r="AF46" i="11"/>
  <c r="AE46" i="11"/>
  <c r="W46" i="11"/>
  <c r="A43" i="6"/>
  <c r="AD42" i="6"/>
  <c r="AA42" i="6"/>
  <c r="C42" i="6"/>
  <c r="B42" i="6"/>
  <c r="AC44" i="10"/>
  <c r="C45" i="10"/>
  <c r="AA43" i="4"/>
  <c r="O43" i="4"/>
  <c r="C43" i="4"/>
  <c r="A44" i="4"/>
  <c r="B43" i="4"/>
  <c r="AY43" i="4"/>
  <c r="U43" i="4"/>
  <c r="BJ43" i="4" s="1"/>
  <c r="BQ43" i="4"/>
  <c r="BP43" i="4"/>
  <c r="I43" i="4"/>
  <c r="AX43" i="4" s="1"/>
  <c r="BN43" i="4"/>
  <c r="AV43" i="4"/>
  <c r="BM43" i="4"/>
  <c r="BD43" i="4"/>
  <c r="G43" i="4"/>
  <c r="P43" i="4"/>
  <c r="BE43" i="4" s="1"/>
  <c r="AX7" i="11"/>
  <c r="AY5" i="11"/>
  <c r="AX8" i="11"/>
  <c r="AX9" i="11"/>
  <c r="AX10" i="11"/>
  <c r="AX11" i="11"/>
  <c r="AX12" i="11"/>
  <c r="AX13" i="11"/>
  <c r="AX14" i="11"/>
  <c r="AX15" i="11"/>
  <c r="AX16" i="11"/>
  <c r="AX17" i="11"/>
  <c r="AX18" i="11"/>
  <c r="AX19" i="11"/>
  <c r="AX20" i="11"/>
  <c r="AX21" i="11"/>
  <c r="AX22" i="11"/>
  <c r="AX23" i="11"/>
  <c r="AX24" i="11"/>
  <c r="AX25" i="11"/>
  <c r="AX26" i="11"/>
  <c r="AX27" i="11"/>
  <c r="AX28" i="11"/>
  <c r="AX29" i="11"/>
  <c r="AX30" i="11"/>
  <c r="AX31" i="11"/>
  <c r="AX32" i="11"/>
  <c r="AX33" i="11"/>
  <c r="AX34" i="11"/>
  <c r="AX35" i="11"/>
  <c r="AX36" i="11"/>
  <c r="AX37" i="11"/>
  <c r="AX38" i="11"/>
  <c r="AX39" i="11"/>
  <c r="AX40" i="11"/>
  <c r="AX41" i="11"/>
  <c r="AF44" i="7"/>
  <c r="AE44" i="7"/>
  <c r="U44" i="7"/>
  <c r="T44" i="7"/>
  <c r="AB44" i="7"/>
  <c r="S44" i="7"/>
  <c r="N45" i="7"/>
  <c r="AA44" i="7"/>
  <c r="R44" i="7"/>
  <c r="AI44" i="7"/>
  <c r="Z44" i="7"/>
  <c r="Q44" i="7"/>
  <c r="X44" i="7"/>
  <c r="O44" i="7"/>
  <c r="AH44" i="7"/>
  <c r="AG44" i="7"/>
  <c r="Y44" i="7"/>
  <c r="AJ44" i="7" l="1"/>
  <c r="AV62" i="11"/>
  <c r="BQ19" i="10"/>
  <c r="BQ40" i="10"/>
  <c r="BQ6" i="10"/>
  <c r="BR16" i="10"/>
  <c r="BQ15" i="10"/>
  <c r="BQ37" i="10"/>
  <c r="BQ10" i="10"/>
  <c r="BQ31" i="10"/>
  <c r="BR24" i="10"/>
  <c r="BQ38" i="10"/>
  <c r="BQ16" i="10"/>
  <c r="BQ35" i="10"/>
  <c r="BQ33" i="10"/>
  <c r="BQ39" i="10"/>
  <c r="BQ41" i="10"/>
  <c r="BQ23" i="10"/>
  <c r="BQ7" i="10"/>
  <c r="BQ36" i="10"/>
  <c r="BQ29" i="10"/>
  <c r="BQ42" i="10"/>
  <c r="BQ27" i="10"/>
  <c r="BQ26" i="10"/>
  <c r="BQ18" i="10"/>
  <c r="BQ21" i="10"/>
  <c r="BR20" i="10"/>
  <c r="AB43" i="5"/>
  <c r="BR4" i="10"/>
  <c r="BR37" i="10"/>
  <c r="BQ9" i="10"/>
  <c r="BQ25" i="10"/>
  <c r="AC44" i="7"/>
  <c r="V44" i="7"/>
  <c r="BR42" i="10"/>
  <c r="BQ34" i="10"/>
  <c r="BQ5" i="10"/>
  <c r="BQ14" i="10"/>
  <c r="BR19" i="10"/>
  <c r="BR10" i="10"/>
  <c r="AY42" i="11"/>
  <c r="AY43" i="11"/>
  <c r="AY44" i="11"/>
  <c r="AY45" i="11"/>
  <c r="BQ17" i="10"/>
  <c r="BQ12" i="10"/>
  <c r="BQ22" i="10"/>
  <c r="BQ4" i="10"/>
  <c r="F43" i="10"/>
  <c r="BR27" i="10"/>
  <c r="BR34" i="10"/>
  <c r="AB45" i="7"/>
  <c r="S45" i="7"/>
  <c r="N46" i="7"/>
  <c r="AA45" i="7"/>
  <c r="R45" i="7"/>
  <c r="AI45" i="7"/>
  <c r="Z45" i="7"/>
  <c r="Q45" i="7"/>
  <c r="AH45" i="7"/>
  <c r="Y45" i="7"/>
  <c r="O45" i="7"/>
  <c r="AG45" i="7"/>
  <c r="X45" i="7"/>
  <c r="AC45" i="7" s="1"/>
  <c r="AF45" i="7"/>
  <c r="T45" i="7"/>
  <c r="AE45" i="7"/>
  <c r="AJ45" i="7" s="1"/>
  <c r="U45" i="7"/>
  <c r="AZ5" i="11"/>
  <c r="AY7" i="11"/>
  <c r="AY8" i="11"/>
  <c r="AY9" i="11"/>
  <c r="AY10" i="11"/>
  <c r="AY11" i="11"/>
  <c r="AY12" i="11"/>
  <c r="AY13" i="11"/>
  <c r="AY14" i="11"/>
  <c r="AY15" i="11"/>
  <c r="AY16" i="11"/>
  <c r="AY17" i="11"/>
  <c r="AY18" i="11"/>
  <c r="AY19" i="11"/>
  <c r="AY20" i="11"/>
  <c r="AY21" i="11"/>
  <c r="AY22" i="11"/>
  <c r="AY23" i="11"/>
  <c r="AY24" i="11"/>
  <c r="AY25" i="11"/>
  <c r="AY26" i="11"/>
  <c r="AY27" i="11"/>
  <c r="AY28" i="11"/>
  <c r="AY29" i="11"/>
  <c r="AY30" i="11"/>
  <c r="AY31" i="11"/>
  <c r="AY32" i="11"/>
  <c r="AY33" i="11"/>
  <c r="AY34" i="11"/>
  <c r="AY35" i="11"/>
  <c r="AY36" i="11"/>
  <c r="AY37" i="11"/>
  <c r="AY38" i="11"/>
  <c r="AY39" i="11"/>
  <c r="AY40" i="11"/>
  <c r="AY41" i="11"/>
  <c r="A45" i="4"/>
  <c r="B44" i="4"/>
  <c r="AY44" i="4"/>
  <c r="U44" i="4"/>
  <c r="BQ44" i="4"/>
  <c r="AX44" i="4"/>
  <c r="I44" i="4"/>
  <c r="BN44" i="4"/>
  <c r="BM44" i="4"/>
  <c r="BD44" i="4"/>
  <c r="G44" i="4"/>
  <c r="AV44" i="4" s="1"/>
  <c r="P44" i="4"/>
  <c r="BE44" i="4" s="1"/>
  <c r="BJ44" i="4"/>
  <c r="AA44" i="4"/>
  <c r="BP44" i="4" s="1"/>
  <c r="O44" i="4"/>
  <c r="C44" i="4"/>
  <c r="C46" i="10"/>
  <c r="AC45" i="10"/>
  <c r="A44" i="6"/>
  <c r="AD43" i="6"/>
  <c r="AA43" i="6"/>
  <c r="C43" i="6"/>
  <c r="B43" i="6"/>
  <c r="AV47" i="11"/>
  <c r="AN47" i="11"/>
  <c r="AF47" i="11"/>
  <c r="X47" i="11"/>
  <c r="P47" i="11"/>
  <c r="AU47" i="11"/>
  <c r="AM47" i="11"/>
  <c r="AE47" i="11"/>
  <c r="W47" i="11"/>
  <c r="O47" i="11"/>
  <c r="AT47" i="11"/>
  <c r="AL47" i="11"/>
  <c r="AD47" i="11"/>
  <c r="V47" i="11"/>
  <c r="N47" i="11"/>
  <c r="F48" i="11"/>
  <c r="AS47" i="11"/>
  <c r="AK47" i="11"/>
  <c r="AC47" i="11"/>
  <c r="U47" i="11"/>
  <c r="M47" i="11"/>
  <c r="AZ47" i="11"/>
  <c r="AR47" i="11"/>
  <c r="AJ47" i="11"/>
  <c r="AB47" i="11"/>
  <c r="T47" i="11"/>
  <c r="L47" i="11"/>
  <c r="AY47" i="11"/>
  <c r="AQ47" i="11"/>
  <c r="AI47" i="11"/>
  <c r="AA47" i="11"/>
  <c r="S47" i="11"/>
  <c r="K47" i="11"/>
  <c r="AH47" i="11"/>
  <c r="Z47" i="11"/>
  <c r="Y47" i="11"/>
  <c r="AX47" i="11"/>
  <c r="R47" i="11"/>
  <c r="AW47" i="11"/>
  <c r="Q47" i="11"/>
  <c r="AP47" i="11"/>
  <c r="J47" i="11"/>
  <c r="AO47" i="11"/>
  <c r="AG47" i="11"/>
  <c r="I47" i="11"/>
  <c r="V51" i="13"/>
  <c r="W50" i="13"/>
  <c r="W43" i="8"/>
  <c r="X43" i="8" s="1"/>
  <c r="G43" i="8"/>
  <c r="F44" i="8"/>
  <c r="I43" i="5"/>
  <c r="AL44" i="5"/>
  <c r="Y44" i="5"/>
  <c r="M44" i="5"/>
  <c r="B44" i="5"/>
  <c r="AK44" i="5"/>
  <c r="W44" i="5"/>
  <c r="V44" i="5"/>
  <c r="J44" i="5"/>
  <c r="U44" i="5"/>
  <c r="A45" i="5"/>
  <c r="T44" i="5"/>
  <c r="G44" i="5"/>
  <c r="F44" i="5"/>
  <c r="Z44" i="5"/>
  <c r="C44" i="5"/>
  <c r="BY2" i="10"/>
  <c r="BH106" i="11"/>
  <c r="AZ106" i="11"/>
  <c r="AR106" i="11"/>
  <c r="AJ106" i="11"/>
  <c r="AB106" i="11"/>
  <c r="T106" i="11"/>
  <c r="L106" i="11"/>
  <c r="BF106" i="11"/>
  <c r="AX106" i="11"/>
  <c r="AP106" i="11"/>
  <c r="AH106" i="11"/>
  <c r="Z106" i="11"/>
  <c r="R106" i="11"/>
  <c r="J106" i="11"/>
  <c r="F107" i="11"/>
  <c r="AW106" i="11"/>
  <c r="AM106" i="11"/>
  <c r="AC106" i="11"/>
  <c r="Q106" i="11"/>
  <c r="BE106" i="11"/>
  <c r="AU106" i="11"/>
  <c r="AK106" i="11"/>
  <c r="Y106" i="11"/>
  <c r="O106" i="11"/>
  <c r="BD106" i="11"/>
  <c r="AT106" i="11"/>
  <c r="AI106" i="11"/>
  <c r="X106" i="11"/>
  <c r="N106" i="11"/>
  <c r="BG106" i="11"/>
  <c r="AO106" i="11"/>
  <c r="W106" i="11"/>
  <c r="BB106" i="11"/>
  <c r="AL106" i="11"/>
  <c r="U106" i="11"/>
  <c r="AV106" i="11"/>
  <c r="AE106" i="11"/>
  <c r="M106" i="11"/>
  <c r="AQ106" i="11"/>
  <c r="AA106" i="11"/>
  <c r="I106" i="11"/>
  <c r="AS106" i="11"/>
  <c r="K106" i="11"/>
  <c r="AN106" i="11"/>
  <c r="AG106" i="11"/>
  <c r="AF106" i="11"/>
  <c r="BC106" i="11"/>
  <c r="V106" i="11"/>
  <c r="BA106" i="11"/>
  <c r="AY106" i="11"/>
  <c r="AD106" i="11"/>
  <c r="S106" i="11"/>
  <c r="P106" i="11"/>
  <c r="G44" i="10"/>
  <c r="E44" i="10"/>
  <c r="BR33" i="10" s="1"/>
  <c r="B45" i="10"/>
  <c r="J44" i="10"/>
  <c r="AB44" i="10"/>
  <c r="O44" i="10"/>
  <c r="BR43" i="10"/>
  <c r="BJ43" i="10"/>
  <c r="BB43" i="10"/>
  <c r="AT43" i="10"/>
  <c r="AL43" i="10"/>
  <c r="AD43" i="10"/>
  <c r="BQ43" i="10"/>
  <c r="BI43" i="10"/>
  <c r="BA43" i="10"/>
  <c r="AS43" i="10"/>
  <c r="AK43" i="10"/>
  <c r="BP43" i="10"/>
  <c r="BH43" i="10"/>
  <c r="AZ43" i="10"/>
  <c r="AR43" i="10"/>
  <c r="AJ43" i="10"/>
  <c r="BO43" i="10"/>
  <c r="BG43" i="10"/>
  <c r="AY43" i="10"/>
  <c r="AQ43" i="10"/>
  <c r="AI43" i="10"/>
  <c r="BN43" i="10"/>
  <c r="BF43" i="10"/>
  <c r="AX43" i="10"/>
  <c r="AP43" i="10"/>
  <c r="AH43" i="10"/>
  <c r="BK43" i="10"/>
  <c r="BC43" i="10"/>
  <c r="AU43" i="10"/>
  <c r="AM43" i="10"/>
  <c r="AE43" i="10"/>
  <c r="BD43" i="10"/>
  <c r="AW43" i="10"/>
  <c r="AV43" i="10"/>
  <c r="AO43" i="10"/>
  <c r="AN43" i="10"/>
  <c r="BM43" i="10"/>
  <c r="AG43" i="10"/>
  <c r="BL43" i="10"/>
  <c r="AF43" i="10"/>
  <c r="BE43" i="10"/>
  <c r="P43" i="10"/>
  <c r="N44" i="10" s="1"/>
  <c r="R43" i="10"/>
  <c r="K43" i="10"/>
  <c r="L43" i="10" s="1"/>
  <c r="H44" i="10"/>
  <c r="BS36" i="10" l="1"/>
  <c r="BS5" i="10"/>
  <c r="BS16" i="10"/>
  <c r="AB44" i="5"/>
  <c r="BR31" i="10"/>
  <c r="BR7" i="10"/>
  <c r="BR14" i="10"/>
  <c r="BR15" i="10"/>
  <c r="BR13" i="10"/>
  <c r="BR5" i="10"/>
  <c r="BR29" i="10"/>
  <c r="BR11" i="10"/>
  <c r="BR25" i="10"/>
  <c r="BR41" i="10"/>
  <c r="BR36" i="10"/>
  <c r="BR32" i="10"/>
  <c r="BR9" i="10"/>
  <c r="BR12" i="10"/>
  <c r="BR6" i="10"/>
  <c r="BR38" i="10"/>
  <c r="AW4" i="11"/>
  <c r="AW62" i="11"/>
  <c r="BR39" i="10"/>
  <c r="BR35" i="10"/>
  <c r="BR40" i="10"/>
  <c r="BR21" i="10"/>
  <c r="BR18" i="10"/>
  <c r="BR26" i="10"/>
  <c r="F44" i="10"/>
  <c r="BR30" i="10"/>
  <c r="BR8" i="10"/>
  <c r="AZ42" i="11"/>
  <c r="AZ43" i="11"/>
  <c r="AZ44" i="11"/>
  <c r="AZ45" i="11"/>
  <c r="AZ46" i="11"/>
  <c r="V45" i="7"/>
  <c r="BR23" i="10"/>
  <c r="BR28" i="10"/>
  <c r="BR17" i="10"/>
  <c r="K44" i="10"/>
  <c r="L44" i="10" s="1"/>
  <c r="J45" i="10" s="1"/>
  <c r="BM44" i="10"/>
  <c r="BE44" i="10"/>
  <c r="AW44" i="10"/>
  <c r="AO44" i="10"/>
  <c r="AG44" i="10"/>
  <c r="BL44" i="10"/>
  <c r="BD44" i="10"/>
  <c r="AV44" i="10"/>
  <c r="AN44" i="10"/>
  <c r="AF44" i="10"/>
  <c r="BK44" i="10"/>
  <c r="BC44" i="10"/>
  <c r="AU44" i="10"/>
  <c r="AM44" i="10"/>
  <c r="AE44" i="10"/>
  <c r="BR44" i="10"/>
  <c r="BJ44" i="10"/>
  <c r="BB44" i="10"/>
  <c r="AT44" i="10"/>
  <c r="AL44" i="10"/>
  <c r="AD44" i="10"/>
  <c r="BQ44" i="10"/>
  <c r="BI44" i="10"/>
  <c r="BA44" i="10"/>
  <c r="AS44" i="10"/>
  <c r="AK44" i="10"/>
  <c r="BN44" i="10"/>
  <c r="BF44" i="10"/>
  <c r="AX44" i="10"/>
  <c r="AP44" i="10"/>
  <c r="AH44" i="10"/>
  <c r="AY44" i="10"/>
  <c r="AR44" i="10"/>
  <c r="AQ44" i="10"/>
  <c r="BP44" i="10"/>
  <c r="AJ44" i="10"/>
  <c r="BO44" i="10"/>
  <c r="AI44" i="10"/>
  <c r="BH44" i="10"/>
  <c r="BG44" i="10"/>
  <c r="AZ44" i="10"/>
  <c r="AB45" i="10"/>
  <c r="B46" i="10"/>
  <c r="G45" i="10"/>
  <c r="H45" i="10" s="1"/>
  <c r="E45" i="10"/>
  <c r="BS43" i="10" s="1"/>
  <c r="O45" i="10"/>
  <c r="R44" i="10"/>
  <c r="P44" i="10"/>
  <c r="N45" i="10" s="1"/>
  <c r="BB107" i="11"/>
  <c r="AT107" i="11"/>
  <c r="AL107" i="11"/>
  <c r="AD107" i="11"/>
  <c r="V107" i="11"/>
  <c r="N107" i="11"/>
  <c r="BH107" i="11"/>
  <c r="AZ107" i="11"/>
  <c r="AR107" i="11"/>
  <c r="AJ107" i="11"/>
  <c r="AB107" i="11"/>
  <c r="T107" i="11"/>
  <c r="L107" i="11"/>
  <c r="BE107" i="11"/>
  <c r="AW107" i="11"/>
  <c r="AO107" i="11"/>
  <c r="AY107" i="11"/>
  <c r="AM107" i="11"/>
  <c r="AA107" i="11"/>
  <c r="Q107" i="11"/>
  <c r="F108" i="11"/>
  <c r="AV107" i="11"/>
  <c r="AI107" i="11"/>
  <c r="Y107" i="11"/>
  <c r="O107" i="11"/>
  <c r="BG107" i="11"/>
  <c r="AU107" i="11"/>
  <c r="AH107" i="11"/>
  <c r="X107" i="11"/>
  <c r="M107" i="11"/>
  <c r="BF107" i="11"/>
  <c r="AN107" i="11"/>
  <c r="U107" i="11"/>
  <c r="BC107" i="11"/>
  <c r="AG107" i="11"/>
  <c r="R107" i="11"/>
  <c r="AS107" i="11"/>
  <c r="AC107" i="11"/>
  <c r="J107" i="11"/>
  <c r="AP107" i="11"/>
  <c r="W107" i="11"/>
  <c r="Z107" i="11"/>
  <c r="BD107" i="11"/>
  <c r="S107" i="11"/>
  <c r="BA107" i="11"/>
  <c r="P107" i="11"/>
  <c r="AX107" i="11"/>
  <c r="K107" i="11"/>
  <c r="AK107" i="11"/>
  <c r="AE107" i="11"/>
  <c r="I107" i="11"/>
  <c r="AQ107" i="11"/>
  <c r="AF107" i="11"/>
  <c r="BZ2" i="10"/>
  <c r="I44" i="5"/>
  <c r="F45" i="5"/>
  <c r="Z45" i="5"/>
  <c r="C45" i="5"/>
  <c r="AL45" i="5"/>
  <c r="Y45" i="5"/>
  <c r="M45" i="5"/>
  <c r="B45" i="5"/>
  <c r="AK45" i="5"/>
  <c r="W45" i="5"/>
  <c r="V45" i="5"/>
  <c r="J45" i="5"/>
  <c r="U45" i="5"/>
  <c r="T45" i="5"/>
  <c r="A46" i="5"/>
  <c r="G45" i="5"/>
  <c r="W44" i="8"/>
  <c r="X44" i="8" s="1"/>
  <c r="F45" i="8"/>
  <c r="W51" i="13"/>
  <c r="V52" i="13"/>
  <c r="AX48" i="11"/>
  <c r="AP48" i="11"/>
  <c r="AH48" i="11"/>
  <c r="Z48" i="11"/>
  <c r="R48" i="11"/>
  <c r="J48" i="11"/>
  <c r="AW48" i="11"/>
  <c r="AO48" i="11"/>
  <c r="AG48" i="11"/>
  <c r="Y48" i="11"/>
  <c r="Q48" i="11"/>
  <c r="I48" i="11"/>
  <c r="AV48" i="11"/>
  <c r="AN48" i="11"/>
  <c r="AF48" i="11"/>
  <c r="X48" i="11"/>
  <c r="P48" i="11"/>
  <c r="AU48" i="11"/>
  <c r="AM48" i="11"/>
  <c r="AE48" i="11"/>
  <c r="W48" i="11"/>
  <c r="O48" i="11"/>
  <c r="AT48" i="11"/>
  <c r="AL48" i="11"/>
  <c r="AD48" i="11"/>
  <c r="V48" i="11"/>
  <c r="N48" i="11"/>
  <c r="F49" i="11"/>
  <c r="AS48" i="11"/>
  <c r="AK48" i="11"/>
  <c r="AC48" i="11"/>
  <c r="U48" i="11"/>
  <c r="M48" i="11"/>
  <c r="AR48" i="11"/>
  <c r="L48" i="11"/>
  <c r="AJ48" i="11"/>
  <c r="AI48" i="11"/>
  <c r="AB48" i="11"/>
  <c r="AA48" i="11"/>
  <c r="AZ48" i="11"/>
  <c r="T48" i="11"/>
  <c r="AY48" i="11"/>
  <c r="AQ48" i="11"/>
  <c r="S48" i="11"/>
  <c r="K48" i="11"/>
  <c r="B44" i="6"/>
  <c r="A45" i="6"/>
  <c r="AD44" i="6"/>
  <c r="AA44" i="6"/>
  <c r="C44" i="6"/>
  <c r="AC46" i="10"/>
  <c r="C47" i="10"/>
  <c r="BN45" i="4"/>
  <c r="A46" i="4"/>
  <c r="AY45" i="4"/>
  <c r="U45" i="4"/>
  <c r="AX45" i="4"/>
  <c r="BQ45" i="4"/>
  <c r="I45" i="4"/>
  <c r="BM45" i="4"/>
  <c r="BD45" i="4"/>
  <c r="G45" i="4"/>
  <c r="AV45" i="4" s="1"/>
  <c r="P45" i="4"/>
  <c r="BE45" i="4" s="1"/>
  <c r="BJ45" i="4"/>
  <c r="AA45" i="4"/>
  <c r="BP45" i="4" s="1"/>
  <c r="O45" i="4"/>
  <c r="C45" i="4"/>
  <c r="B45" i="4"/>
  <c r="G44" i="8" s="1"/>
  <c r="BA5" i="11"/>
  <c r="AZ7" i="11"/>
  <c r="AZ8" i="11"/>
  <c r="AZ9" i="11"/>
  <c r="AZ10" i="11"/>
  <c r="AZ11" i="11"/>
  <c r="AZ12" i="11"/>
  <c r="AZ13" i="11"/>
  <c r="AZ14" i="11"/>
  <c r="AZ15" i="11"/>
  <c r="AZ16" i="11"/>
  <c r="AZ17" i="11"/>
  <c r="AZ18" i="11"/>
  <c r="AZ19" i="11"/>
  <c r="AZ20" i="11"/>
  <c r="AZ21" i="11"/>
  <c r="AZ22" i="11"/>
  <c r="AZ23" i="11"/>
  <c r="AZ24" i="11"/>
  <c r="AZ25" i="11"/>
  <c r="AZ26" i="11"/>
  <c r="AZ27" i="11"/>
  <c r="AZ28" i="11"/>
  <c r="AZ29" i="11"/>
  <c r="AZ30" i="11"/>
  <c r="AZ31" i="11"/>
  <c r="AZ32" i="11"/>
  <c r="AZ33" i="11"/>
  <c r="AZ34" i="11"/>
  <c r="AZ35" i="11"/>
  <c r="AZ36" i="11"/>
  <c r="AZ37" i="11"/>
  <c r="AZ38" i="11"/>
  <c r="AZ39" i="11"/>
  <c r="AZ40" i="11"/>
  <c r="AZ41" i="11"/>
  <c r="O46" i="7"/>
  <c r="U46" i="7"/>
  <c r="T46" i="7"/>
  <c r="S46" i="7"/>
  <c r="Q46" i="7"/>
  <c r="N47" i="7"/>
  <c r="R46" i="7"/>
  <c r="BA48" i="11" l="1"/>
  <c r="AB45" i="5"/>
  <c r="BS44" i="10"/>
  <c r="BS39" i="10"/>
  <c r="F45" i="10"/>
  <c r="AX62" i="11"/>
  <c r="V46" i="7"/>
  <c r="BT16" i="10"/>
  <c r="AX4" i="11"/>
  <c r="BA42" i="11"/>
  <c r="BA43" i="11"/>
  <c r="BA44" i="11"/>
  <c r="BA45" i="11"/>
  <c r="BA46" i="11"/>
  <c r="BA47" i="11"/>
  <c r="BS42" i="10"/>
  <c r="BS41" i="10"/>
  <c r="AY62" i="11"/>
  <c r="BS40" i="10"/>
  <c r="AE47" i="7"/>
  <c r="U47" i="7"/>
  <c r="T47" i="7"/>
  <c r="AB47" i="7"/>
  <c r="S47" i="7"/>
  <c r="N48" i="7"/>
  <c r="AA47" i="7"/>
  <c r="R47" i="7"/>
  <c r="AI47" i="7"/>
  <c r="Z47" i="7"/>
  <c r="Q47" i="7"/>
  <c r="V47" i="7" s="1"/>
  <c r="AH47" i="7"/>
  <c r="Y47" i="7"/>
  <c r="O47" i="7"/>
  <c r="AG47" i="7"/>
  <c r="AF47" i="7"/>
  <c r="X47" i="7"/>
  <c r="AC47" i="7" s="1"/>
  <c r="BB5" i="11"/>
  <c r="BA7" i="11"/>
  <c r="BA8" i="11"/>
  <c r="BA9" i="11"/>
  <c r="BA10" i="11"/>
  <c r="BA11" i="11"/>
  <c r="BA12" i="11"/>
  <c r="BA13" i="11"/>
  <c r="BA14" i="11"/>
  <c r="BA15" i="11"/>
  <c r="BA16" i="11"/>
  <c r="BA17" i="11"/>
  <c r="BA18" i="11"/>
  <c r="BA19" i="11"/>
  <c r="BA20" i="11"/>
  <c r="BA21" i="11"/>
  <c r="BA22" i="11"/>
  <c r="BA23" i="11"/>
  <c r="BA24" i="11"/>
  <c r="BA25" i="11"/>
  <c r="BA26" i="11"/>
  <c r="BA27" i="11"/>
  <c r="BA28" i="11"/>
  <c r="BA29" i="11"/>
  <c r="BA30" i="11"/>
  <c r="BA31" i="11"/>
  <c r="BA32" i="11"/>
  <c r="BA33" i="11"/>
  <c r="BA34" i="11"/>
  <c r="BA35" i="11"/>
  <c r="BA36" i="11"/>
  <c r="BA37" i="11"/>
  <c r="BA38" i="11"/>
  <c r="BA39" i="11"/>
  <c r="BA40" i="11"/>
  <c r="BA41" i="11"/>
  <c r="BM46" i="4"/>
  <c r="G46" i="4"/>
  <c r="BJ46" i="4"/>
  <c r="AA46" i="4"/>
  <c r="O46" i="4"/>
  <c r="BD46" i="4" s="1"/>
  <c r="C46" i="4"/>
  <c r="A47" i="4"/>
  <c r="AY46" i="4"/>
  <c r="P46" i="4"/>
  <c r="BQ46" i="4"/>
  <c r="BP46" i="4"/>
  <c r="BN46" i="4"/>
  <c r="U46" i="4"/>
  <c r="I46" i="4"/>
  <c r="AX46" i="4" s="1"/>
  <c r="BE46" i="4"/>
  <c r="B46" i="4"/>
  <c r="AC47" i="10"/>
  <c r="C48" i="10"/>
  <c r="C45" i="6"/>
  <c r="B45" i="6"/>
  <c r="A46" i="6"/>
  <c r="AD45" i="6"/>
  <c r="AA45" i="6"/>
  <c r="AZ49" i="11"/>
  <c r="AR49" i="11"/>
  <c r="AJ49" i="11"/>
  <c r="AB49" i="11"/>
  <c r="T49" i="11"/>
  <c r="L49" i="11"/>
  <c r="AY49" i="11"/>
  <c r="AQ49" i="11"/>
  <c r="AI49" i="11"/>
  <c r="AA49" i="11"/>
  <c r="S49" i="11"/>
  <c r="K49" i="11"/>
  <c r="AX49" i="11"/>
  <c r="AP49" i="11"/>
  <c r="AH49" i="11"/>
  <c r="Z49" i="11"/>
  <c r="R49" i="11"/>
  <c r="J49" i="11"/>
  <c r="AW49" i="11"/>
  <c r="AO49" i="11"/>
  <c r="AG49" i="11"/>
  <c r="Y49" i="11"/>
  <c r="Q49" i="11"/>
  <c r="I49" i="11"/>
  <c r="AV49" i="11"/>
  <c r="AN49" i="11"/>
  <c r="AF49" i="11"/>
  <c r="X49" i="11"/>
  <c r="P49" i="11"/>
  <c r="AU49" i="11"/>
  <c r="AM49" i="11"/>
  <c r="AE49" i="11"/>
  <c r="W49" i="11"/>
  <c r="O49" i="11"/>
  <c r="BB49" i="11"/>
  <c r="V49" i="11"/>
  <c r="AT49" i="11"/>
  <c r="N49" i="11"/>
  <c r="AS49" i="11"/>
  <c r="M49" i="11"/>
  <c r="AL49" i="11"/>
  <c r="AK49" i="11"/>
  <c r="AD49" i="11"/>
  <c r="U49" i="11"/>
  <c r="F50" i="11"/>
  <c r="BA49" i="11"/>
  <c r="AC49" i="11"/>
  <c r="W52" i="13"/>
  <c r="V53" i="13"/>
  <c r="W45" i="8"/>
  <c r="X45" i="8" s="1"/>
  <c r="G45" i="8"/>
  <c r="F46" i="8"/>
  <c r="V46" i="5"/>
  <c r="J46" i="5"/>
  <c r="U46" i="5"/>
  <c r="A47" i="5"/>
  <c r="T46" i="5"/>
  <c r="G46" i="5"/>
  <c r="F46" i="5"/>
  <c r="Z46" i="5"/>
  <c r="C46" i="5"/>
  <c r="Y46" i="5"/>
  <c r="W46" i="5"/>
  <c r="M46" i="5"/>
  <c r="B46" i="5"/>
  <c r="AL46" i="5"/>
  <c r="AK46" i="5"/>
  <c r="I45" i="5"/>
  <c r="CA2" i="10"/>
  <c r="BG108" i="11"/>
  <c r="AY108" i="11"/>
  <c r="AQ108" i="11"/>
  <c r="AI108" i="11"/>
  <c r="BC108" i="11"/>
  <c r="AU108" i="11"/>
  <c r="AM108" i="11"/>
  <c r="BA108" i="11"/>
  <c r="AP108" i="11"/>
  <c r="AF108" i="11"/>
  <c r="X108" i="11"/>
  <c r="P108" i="11"/>
  <c r="F109" i="11"/>
  <c r="AX108" i="11"/>
  <c r="AN108" i="11"/>
  <c r="AD108" i="11"/>
  <c r="V108" i="11"/>
  <c r="N108" i="11"/>
  <c r="BE108" i="11"/>
  <c r="AT108" i="11"/>
  <c r="AJ108" i="11"/>
  <c r="AA108" i="11"/>
  <c r="S108" i="11"/>
  <c r="K108" i="11"/>
  <c r="BB108" i="11"/>
  <c r="AK108" i="11"/>
  <c r="W108" i="11"/>
  <c r="J108" i="11"/>
  <c r="AW108" i="11"/>
  <c r="AG108" i="11"/>
  <c r="T108" i="11"/>
  <c r="AV108" i="11"/>
  <c r="AE108" i="11"/>
  <c r="R108" i="11"/>
  <c r="AZ108" i="11"/>
  <c r="Z108" i="11"/>
  <c r="AR108" i="11"/>
  <c r="U108" i="11"/>
  <c r="BH108" i="11"/>
  <c r="AH108" i="11"/>
  <c r="M108" i="11"/>
  <c r="BD108" i="11"/>
  <c r="AB108" i="11"/>
  <c r="I108" i="11"/>
  <c r="BF108" i="11"/>
  <c r="L108" i="11"/>
  <c r="AS108" i="11"/>
  <c r="AO108" i="11"/>
  <c r="AL108" i="11"/>
  <c r="Y108" i="11"/>
  <c r="AC108" i="11"/>
  <c r="Q108" i="11"/>
  <c r="O108" i="11"/>
  <c r="R45" i="10"/>
  <c r="P45" i="10"/>
  <c r="E46" i="10"/>
  <c r="N46" i="10"/>
  <c r="AB46" i="10"/>
  <c r="B47" i="10"/>
  <c r="G46" i="10"/>
  <c r="H46" i="10" s="1"/>
  <c r="O46" i="10"/>
  <c r="BP45" i="10"/>
  <c r="BH45" i="10"/>
  <c r="AZ45" i="10"/>
  <c r="AR45" i="10"/>
  <c r="AJ45" i="10"/>
  <c r="BO45" i="10"/>
  <c r="BG45" i="10"/>
  <c r="AY45" i="10"/>
  <c r="AQ45" i="10"/>
  <c r="AI45" i="10"/>
  <c r="BN45" i="10"/>
  <c r="BF45" i="10"/>
  <c r="AX45" i="10"/>
  <c r="AP45" i="10"/>
  <c r="AH45" i="10"/>
  <c r="BM45" i="10"/>
  <c r="BE45" i="10"/>
  <c r="AW45" i="10"/>
  <c r="AO45" i="10"/>
  <c r="AG45" i="10"/>
  <c r="BT45" i="10"/>
  <c r="BL45" i="10"/>
  <c r="BD45" i="10"/>
  <c r="AV45" i="10"/>
  <c r="AN45" i="10"/>
  <c r="AF45" i="10"/>
  <c r="BS45" i="10"/>
  <c r="BK45" i="10"/>
  <c r="BC45" i="10"/>
  <c r="BQ45" i="10"/>
  <c r="BI45" i="10"/>
  <c r="BA45" i="10"/>
  <c r="AS45" i="10"/>
  <c r="AK45" i="10"/>
  <c r="AT45" i="10"/>
  <c r="AM45" i="10"/>
  <c r="AL45" i="10"/>
  <c r="AE45" i="10"/>
  <c r="BR45" i="10"/>
  <c r="AD45" i="10"/>
  <c r="BJ45" i="10"/>
  <c r="BB45" i="10"/>
  <c r="AU45" i="10"/>
  <c r="K45" i="10"/>
  <c r="L45" i="10" s="1"/>
  <c r="J46" i="10" s="1"/>
  <c r="BU23" i="10" l="1"/>
  <c r="L46" i="10"/>
  <c r="J47" i="10" s="1"/>
  <c r="BT13" i="10"/>
  <c r="BT9" i="10"/>
  <c r="BT7" i="10"/>
  <c r="BT22" i="10"/>
  <c r="BT17" i="10"/>
  <c r="BT41" i="10"/>
  <c r="BT42" i="10"/>
  <c r="BT33" i="10"/>
  <c r="F46" i="10"/>
  <c r="BT20" i="10"/>
  <c r="AJ47" i="7"/>
  <c r="BT4" i="10"/>
  <c r="BB42" i="11"/>
  <c r="BB43" i="11"/>
  <c r="BB44" i="11"/>
  <c r="BB45" i="11"/>
  <c r="BB46" i="11"/>
  <c r="BB47" i="11"/>
  <c r="BB48" i="11"/>
  <c r="AZ4" i="11"/>
  <c r="BU32" i="10"/>
  <c r="BU12" i="10"/>
  <c r="AV46" i="4"/>
  <c r="BT43" i="10"/>
  <c r="AB46" i="5"/>
  <c r="BT32" i="10"/>
  <c r="AY4" i="11"/>
  <c r="BT44" i="10"/>
  <c r="K46" i="10"/>
  <c r="B48" i="10"/>
  <c r="G47" i="10"/>
  <c r="H47" i="10" s="1"/>
  <c r="E47" i="10"/>
  <c r="BU41" i="10" s="1"/>
  <c r="AB47" i="10"/>
  <c r="O47" i="10"/>
  <c r="BS46" i="10"/>
  <c r="BK46" i="10"/>
  <c r="BC46" i="10"/>
  <c r="AU46" i="10"/>
  <c r="AM46" i="10"/>
  <c r="AE46" i="10"/>
  <c r="BR46" i="10"/>
  <c r="BJ46" i="10"/>
  <c r="BB46" i="10"/>
  <c r="AT46" i="10"/>
  <c r="AL46" i="10"/>
  <c r="AD46" i="10"/>
  <c r="BQ46" i="10"/>
  <c r="BI46" i="10"/>
  <c r="BA46" i="10"/>
  <c r="AS46" i="10"/>
  <c r="AK46" i="10"/>
  <c r="BP46" i="10"/>
  <c r="BH46" i="10"/>
  <c r="AZ46" i="10"/>
  <c r="AR46" i="10"/>
  <c r="AJ46" i="10"/>
  <c r="BO46" i="10"/>
  <c r="BG46" i="10"/>
  <c r="AY46" i="10"/>
  <c r="AQ46" i="10"/>
  <c r="AI46" i="10"/>
  <c r="BN46" i="10"/>
  <c r="BF46" i="10"/>
  <c r="AX46" i="10"/>
  <c r="AP46" i="10"/>
  <c r="AH46" i="10"/>
  <c r="BT46" i="10"/>
  <c r="BL46" i="10"/>
  <c r="BD46" i="10"/>
  <c r="AV46" i="10"/>
  <c r="AN46" i="10"/>
  <c r="AF46" i="10"/>
  <c r="AG46" i="10"/>
  <c r="BU46" i="10"/>
  <c r="BM46" i="10"/>
  <c r="BE46" i="10"/>
  <c r="AW46" i="10"/>
  <c r="AO46" i="10"/>
  <c r="P46" i="10"/>
  <c r="N47" i="10" s="1"/>
  <c r="R46" i="10"/>
  <c r="F110" i="11"/>
  <c r="BA109" i="11"/>
  <c r="AS109" i="11"/>
  <c r="AK109" i="11"/>
  <c r="AC109" i="11"/>
  <c r="U109" i="11"/>
  <c r="M109" i="11"/>
  <c r="BE109" i="11"/>
  <c r="AW109" i="11"/>
  <c r="AO109" i="11"/>
  <c r="AG109" i="11"/>
  <c r="Y109" i="11"/>
  <c r="Q109" i="11"/>
  <c r="I109" i="11"/>
  <c r="AZ109" i="11"/>
  <c r="AP109" i="11"/>
  <c r="AE109" i="11"/>
  <c r="T109" i="11"/>
  <c r="J109" i="11"/>
  <c r="BH109" i="11"/>
  <c r="AX109" i="11"/>
  <c r="AM109" i="11"/>
  <c r="AB109" i="11"/>
  <c r="R109" i="11"/>
  <c r="BD109" i="11"/>
  <c r="AT109" i="11"/>
  <c r="AI109" i="11"/>
  <c r="X109" i="11"/>
  <c r="N109" i="11"/>
  <c r="AY109" i="11"/>
  <c r="AH109" i="11"/>
  <c r="P109" i="11"/>
  <c r="AU109" i="11"/>
  <c r="AD109" i="11"/>
  <c r="L109" i="11"/>
  <c r="AR109" i="11"/>
  <c r="AA109" i="11"/>
  <c r="K109" i="11"/>
  <c r="BB109" i="11"/>
  <c r="W109" i="11"/>
  <c r="AQ109" i="11"/>
  <c r="S109" i="11"/>
  <c r="BG109" i="11"/>
  <c r="AJ109" i="11"/>
  <c r="BC109" i="11"/>
  <c r="Z109" i="11"/>
  <c r="BF109" i="11"/>
  <c r="AV109" i="11"/>
  <c r="AN109" i="11"/>
  <c r="AL109" i="11"/>
  <c r="V109" i="11"/>
  <c r="AF109" i="11"/>
  <c r="O109" i="11"/>
  <c r="CB2" i="10"/>
  <c r="I46" i="5"/>
  <c r="Z47" i="5"/>
  <c r="C47" i="5"/>
  <c r="AL47" i="5"/>
  <c r="Y47" i="5"/>
  <c r="M47" i="5"/>
  <c r="B47" i="5"/>
  <c r="AK47" i="5"/>
  <c r="W47" i="5"/>
  <c r="V47" i="5"/>
  <c r="J47" i="5"/>
  <c r="U47" i="5"/>
  <c r="A48" i="5"/>
  <c r="T47" i="5"/>
  <c r="G47" i="5"/>
  <c r="F47" i="5"/>
  <c r="W46" i="8"/>
  <c r="X46" i="8" s="1"/>
  <c r="F47" i="8"/>
  <c r="W53" i="13"/>
  <c r="V54" i="13"/>
  <c r="AU50" i="11"/>
  <c r="AM50" i="11"/>
  <c r="AE50" i="11"/>
  <c r="W50" i="11"/>
  <c r="O50" i="11"/>
  <c r="BB50" i="11"/>
  <c r="AT50" i="11"/>
  <c r="AL50" i="11"/>
  <c r="AD50" i="11"/>
  <c r="V50" i="11"/>
  <c r="N50" i="11"/>
  <c r="F51" i="11"/>
  <c r="BA50" i="11"/>
  <c r="AS50" i="11"/>
  <c r="AK50" i="11"/>
  <c r="AC50" i="11"/>
  <c r="U50" i="11"/>
  <c r="M50" i="11"/>
  <c r="AZ50" i="11"/>
  <c r="AR50" i="11"/>
  <c r="AJ50" i="11"/>
  <c r="AB50" i="11"/>
  <c r="T50" i="11"/>
  <c r="L50" i="11"/>
  <c r="AY50" i="11"/>
  <c r="AQ50" i="11"/>
  <c r="AI50" i="11"/>
  <c r="AA50" i="11"/>
  <c r="S50" i="11"/>
  <c r="K50" i="11"/>
  <c r="AX50" i="11"/>
  <c r="AP50" i="11"/>
  <c r="AH50" i="11"/>
  <c r="Z50" i="11"/>
  <c r="R50" i="11"/>
  <c r="J50" i="11"/>
  <c r="AW50" i="11"/>
  <c r="AO50" i="11"/>
  <c r="AG50" i="11"/>
  <c r="Y50" i="11"/>
  <c r="Q50" i="11"/>
  <c r="I50" i="11"/>
  <c r="AN50" i="11"/>
  <c r="AF50" i="11"/>
  <c r="X50" i="11"/>
  <c r="P50" i="11"/>
  <c r="AV50" i="11"/>
  <c r="C46" i="6"/>
  <c r="B46" i="6"/>
  <c r="A47" i="6"/>
  <c r="AD46" i="6"/>
  <c r="AA46" i="6"/>
  <c r="AC48" i="10"/>
  <c r="C49" i="10"/>
  <c r="P47" i="4"/>
  <c r="A48" i="4"/>
  <c r="B47" i="4"/>
  <c r="G46" i="8" s="1"/>
  <c r="AY47" i="4"/>
  <c r="U47" i="4"/>
  <c r="BQ47" i="4"/>
  <c r="AA47" i="4"/>
  <c r="C47" i="4"/>
  <c r="BP47" i="4"/>
  <c r="BN47" i="4"/>
  <c r="AV47" i="4"/>
  <c r="BM47" i="4"/>
  <c r="BJ47" i="4"/>
  <c r="O47" i="4"/>
  <c r="BD47" i="4" s="1"/>
  <c r="I47" i="4"/>
  <c r="AX47" i="4" s="1"/>
  <c r="BE47" i="4"/>
  <c r="G47" i="4"/>
  <c r="BC5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21" i="11"/>
  <c r="BB22" i="11"/>
  <c r="BB23" i="11"/>
  <c r="BB24" i="11"/>
  <c r="BB25" i="11"/>
  <c r="BB26" i="11"/>
  <c r="BB27" i="11"/>
  <c r="BB28" i="11"/>
  <c r="BB29" i="11"/>
  <c r="BB30" i="11"/>
  <c r="BB31" i="11"/>
  <c r="BB32" i="11"/>
  <c r="BB33" i="11"/>
  <c r="BB34" i="11"/>
  <c r="BB35" i="11"/>
  <c r="BB36" i="11"/>
  <c r="BB37" i="11"/>
  <c r="BB38" i="11"/>
  <c r="BB39" i="11"/>
  <c r="BB40" i="11"/>
  <c r="BB41" i="11"/>
  <c r="N49" i="7"/>
  <c r="AA48" i="7"/>
  <c r="R48" i="7"/>
  <c r="AI48" i="7"/>
  <c r="Z48" i="7"/>
  <c r="Q48" i="7"/>
  <c r="V48" i="7" s="1"/>
  <c r="AH48" i="7"/>
  <c r="Y48" i="7"/>
  <c r="O48" i="7"/>
  <c r="AG48" i="7"/>
  <c r="X48" i="7"/>
  <c r="AC48" i="7" s="1"/>
  <c r="AF48" i="7"/>
  <c r="AE48" i="7"/>
  <c r="U48" i="7"/>
  <c r="AB48" i="7"/>
  <c r="T48" i="7"/>
  <c r="S48" i="7"/>
  <c r="BV10" i="10" l="1"/>
  <c r="BC50" i="11"/>
  <c r="BU22" i="10"/>
  <c r="BV29" i="10"/>
  <c r="BC42" i="11"/>
  <c r="BC43" i="11"/>
  <c r="BC44" i="11"/>
  <c r="BC45" i="11"/>
  <c r="BC46" i="11"/>
  <c r="BC47" i="11"/>
  <c r="BC48" i="11"/>
  <c r="BC49" i="11"/>
  <c r="BU44" i="10"/>
  <c r="BU42" i="10"/>
  <c r="F47" i="10"/>
  <c r="BV7" i="10"/>
  <c r="AB47" i="5"/>
  <c r="BV32" i="10"/>
  <c r="BU45" i="10"/>
  <c r="BU6" i="10"/>
  <c r="BU13" i="10"/>
  <c r="BU43" i="10"/>
  <c r="AZ62" i="11"/>
  <c r="BU21" i="10"/>
  <c r="BV19" i="10"/>
  <c r="BV33" i="10"/>
  <c r="AJ48" i="7"/>
  <c r="BA62" i="11"/>
  <c r="BU35" i="10"/>
  <c r="AG49" i="7"/>
  <c r="X49" i="7"/>
  <c r="AC49" i="7" s="1"/>
  <c r="AF49" i="7"/>
  <c r="AE49" i="7"/>
  <c r="U49" i="7"/>
  <c r="T49" i="7"/>
  <c r="AB49" i="7"/>
  <c r="S49" i="7"/>
  <c r="N50" i="7"/>
  <c r="AA49" i="7"/>
  <c r="R49" i="7"/>
  <c r="AI49" i="7"/>
  <c r="AH49" i="7"/>
  <c r="Z49" i="7"/>
  <c r="Y49" i="7"/>
  <c r="Q49" i="7"/>
  <c r="O49" i="7"/>
  <c r="BD5" i="11"/>
  <c r="BC7" i="11"/>
  <c r="BC8" i="11"/>
  <c r="BC9" i="11"/>
  <c r="BC10" i="11"/>
  <c r="BC11" i="11"/>
  <c r="BC12" i="11"/>
  <c r="BC13" i="11"/>
  <c r="BC14" i="11"/>
  <c r="BC15" i="11"/>
  <c r="BC16" i="11"/>
  <c r="BC17" i="11"/>
  <c r="BC18" i="11"/>
  <c r="BC19" i="11"/>
  <c r="BC20" i="11"/>
  <c r="BC21" i="11"/>
  <c r="BC22" i="11"/>
  <c r="BC23" i="11"/>
  <c r="BC24" i="11"/>
  <c r="BC25" i="11"/>
  <c r="BC26" i="11"/>
  <c r="BC27" i="11"/>
  <c r="BC28" i="11"/>
  <c r="BC29" i="11"/>
  <c r="BC30" i="11"/>
  <c r="BC31" i="11"/>
  <c r="BC32" i="11"/>
  <c r="BC33" i="11"/>
  <c r="BC34" i="11"/>
  <c r="BC35" i="11"/>
  <c r="BC36" i="11"/>
  <c r="BC37" i="11"/>
  <c r="BC38" i="11"/>
  <c r="BC39" i="11"/>
  <c r="BC40" i="11"/>
  <c r="BC41" i="11"/>
  <c r="AA48" i="4"/>
  <c r="BP48" i="4" s="1"/>
  <c r="O48" i="4"/>
  <c r="BD48" i="4" s="1"/>
  <c r="C48" i="4"/>
  <c r="AY48" i="4"/>
  <c r="U48" i="4"/>
  <c r="BJ48" i="4" s="1"/>
  <c r="BQ48" i="4"/>
  <c r="AX48" i="4"/>
  <c r="I48" i="4"/>
  <c r="A49" i="4"/>
  <c r="B48" i="4"/>
  <c r="BN48" i="4"/>
  <c r="BM48" i="4"/>
  <c r="P48" i="4"/>
  <c r="BE48" i="4" s="1"/>
  <c r="G48" i="4"/>
  <c r="AC49" i="10"/>
  <c r="C50" i="10"/>
  <c r="C47" i="6"/>
  <c r="B47" i="6"/>
  <c r="A48" i="6"/>
  <c r="AD47" i="6"/>
  <c r="AA47" i="6"/>
  <c r="AW51" i="11"/>
  <c r="AO51" i="11"/>
  <c r="AG51" i="11"/>
  <c r="Y51" i="11"/>
  <c r="Q51" i="11"/>
  <c r="I51" i="11"/>
  <c r="BD51" i="11"/>
  <c r="AV51" i="11"/>
  <c r="AN51" i="11"/>
  <c r="AF51" i="11"/>
  <c r="X51" i="11"/>
  <c r="P51" i="11"/>
  <c r="BC51" i="11"/>
  <c r="AU51" i="11"/>
  <c r="AM51" i="11"/>
  <c r="AE51" i="11"/>
  <c r="W51" i="11"/>
  <c r="O51" i="11"/>
  <c r="BB51" i="11"/>
  <c r="AT51" i="11"/>
  <c r="AL51" i="11"/>
  <c r="AD51" i="11"/>
  <c r="V51" i="11"/>
  <c r="N51" i="11"/>
  <c r="F52" i="11"/>
  <c r="BA51" i="11"/>
  <c r="AS51" i="11"/>
  <c r="AK51" i="11"/>
  <c r="AC51" i="11"/>
  <c r="U51" i="11"/>
  <c r="M51" i="11"/>
  <c r="AZ51" i="11"/>
  <c r="AR51" i="11"/>
  <c r="AJ51" i="11"/>
  <c r="AB51" i="11"/>
  <c r="T51" i="11"/>
  <c r="L51" i="11"/>
  <c r="AY51" i="11"/>
  <c r="AQ51" i="11"/>
  <c r="AI51" i="11"/>
  <c r="AA51" i="11"/>
  <c r="S51" i="11"/>
  <c r="K51" i="11"/>
  <c r="AX51" i="11"/>
  <c r="AP51" i="11"/>
  <c r="AH51" i="11"/>
  <c r="Z51" i="11"/>
  <c r="R51" i="11"/>
  <c r="J51" i="11"/>
  <c r="V55" i="13"/>
  <c r="W54" i="13"/>
  <c r="W47" i="8"/>
  <c r="X47" i="8" s="1"/>
  <c r="G47" i="8"/>
  <c r="F48" i="8"/>
  <c r="I47" i="5"/>
  <c r="A49" i="5"/>
  <c r="T48" i="5"/>
  <c r="G48" i="5"/>
  <c r="F48" i="5"/>
  <c r="Z48" i="5"/>
  <c r="C48" i="5"/>
  <c r="AL48" i="5"/>
  <c r="Y48" i="5"/>
  <c r="M48" i="5"/>
  <c r="B48" i="5"/>
  <c r="AK48" i="5"/>
  <c r="W48" i="5"/>
  <c r="J48" i="5"/>
  <c r="V48" i="5"/>
  <c r="U48" i="5"/>
  <c r="CC2" i="10"/>
  <c r="BC110" i="11"/>
  <c r="AU110" i="11"/>
  <c r="AM110" i="11"/>
  <c r="AE110" i="11"/>
  <c r="W110" i="11"/>
  <c r="O110" i="11"/>
  <c r="BG110" i="11"/>
  <c r="AY110" i="11"/>
  <c r="AQ110" i="11"/>
  <c r="AI110" i="11"/>
  <c r="AA110" i="11"/>
  <c r="S110" i="11"/>
  <c r="K110" i="11"/>
  <c r="AZ110" i="11"/>
  <c r="AO110" i="11"/>
  <c r="AD110" i="11"/>
  <c r="T110" i="11"/>
  <c r="I110" i="11"/>
  <c r="BH110" i="11"/>
  <c r="AW110" i="11"/>
  <c r="AL110" i="11"/>
  <c r="AB110" i="11"/>
  <c r="Q110" i="11"/>
  <c r="BD110" i="11"/>
  <c r="AS110" i="11"/>
  <c r="AH110" i="11"/>
  <c r="X110" i="11"/>
  <c r="M110" i="11"/>
  <c r="AV110" i="11"/>
  <c r="AF110" i="11"/>
  <c r="N110" i="11"/>
  <c r="F111" i="11"/>
  <c r="AR110" i="11"/>
  <c r="Z110" i="11"/>
  <c r="J110" i="11"/>
  <c r="BF110" i="11"/>
  <c r="AP110" i="11"/>
  <c r="Y110" i="11"/>
  <c r="BA110" i="11"/>
  <c r="V110" i="11"/>
  <c r="AT110" i="11"/>
  <c r="R110" i="11"/>
  <c r="AJ110" i="11"/>
  <c r="BB110" i="11"/>
  <c r="AC110" i="11"/>
  <c r="BE110" i="11"/>
  <c r="AX110" i="11"/>
  <c r="AN110" i="11"/>
  <c r="AK110" i="11"/>
  <c r="U110" i="11"/>
  <c r="AG110" i="11"/>
  <c r="P110" i="11"/>
  <c r="L110" i="11"/>
  <c r="BV47" i="10"/>
  <c r="BN47" i="10"/>
  <c r="BF47" i="10"/>
  <c r="AX47" i="10"/>
  <c r="AP47" i="10"/>
  <c r="AH47" i="10"/>
  <c r="BU47" i="10"/>
  <c r="BM47" i="10"/>
  <c r="BE47" i="10"/>
  <c r="AW47" i="10"/>
  <c r="AO47" i="10"/>
  <c r="AG47" i="10"/>
  <c r="BT47" i="10"/>
  <c r="BL47" i="10"/>
  <c r="BD47" i="10"/>
  <c r="AV47" i="10"/>
  <c r="AN47" i="10"/>
  <c r="AF47" i="10"/>
  <c r="BS47" i="10"/>
  <c r="BK47" i="10"/>
  <c r="BC47" i="10"/>
  <c r="AU47" i="10"/>
  <c r="AM47" i="10"/>
  <c r="AE47" i="10"/>
  <c r="BR47" i="10"/>
  <c r="BJ47" i="10"/>
  <c r="BB47" i="10"/>
  <c r="AT47" i="10"/>
  <c r="AL47" i="10"/>
  <c r="AD47" i="10"/>
  <c r="BQ47" i="10"/>
  <c r="BI47" i="10"/>
  <c r="BA47" i="10"/>
  <c r="AS47" i="10"/>
  <c r="AK47" i="10"/>
  <c r="BO47" i="10"/>
  <c r="BG47" i="10"/>
  <c r="AY47" i="10"/>
  <c r="AQ47" i="10"/>
  <c r="AI47" i="10"/>
  <c r="BP47" i="10"/>
  <c r="BH47" i="10"/>
  <c r="AZ47" i="10"/>
  <c r="AR47" i="10"/>
  <c r="AJ47" i="10"/>
  <c r="R47" i="10"/>
  <c r="P47" i="10"/>
  <c r="AB48" i="10"/>
  <c r="B49" i="10"/>
  <c r="G48" i="10"/>
  <c r="H48" i="10" s="1"/>
  <c r="N48" i="10"/>
  <c r="E48" i="10"/>
  <c r="BV5" i="10" s="1"/>
  <c r="O48" i="10"/>
  <c r="K47" i="10"/>
  <c r="L47" i="10" s="1"/>
  <c r="J48" i="10" s="1"/>
  <c r="BD42" i="11" l="1"/>
  <c r="BD43" i="11"/>
  <c r="BD44" i="11"/>
  <c r="BD45" i="11"/>
  <c r="BD46" i="11"/>
  <c r="BD47" i="11"/>
  <c r="BD48" i="11"/>
  <c r="BD49" i="11"/>
  <c r="BD50" i="11"/>
  <c r="BV16" i="10"/>
  <c r="BV9" i="10"/>
  <c r="F48" i="10"/>
  <c r="BV41" i="10"/>
  <c r="AJ49" i="7"/>
  <c r="BV26" i="10"/>
  <c r="BA4" i="11"/>
  <c r="AV48" i="4"/>
  <c r="BV21" i="10"/>
  <c r="BV44" i="10"/>
  <c r="BV22" i="10"/>
  <c r="BV45" i="10"/>
  <c r="BV46" i="10"/>
  <c r="AB48" i="5"/>
  <c r="V49" i="7"/>
  <c r="K48" i="10"/>
  <c r="L48" i="10" s="1"/>
  <c r="J49" i="10" s="1"/>
  <c r="R48" i="10"/>
  <c r="P48" i="10"/>
  <c r="E49" i="10"/>
  <c r="BW44" i="10" s="1"/>
  <c r="N49" i="10"/>
  <c r="AB49" i="10"/>
  <c r="G49" i="10"/>
  <c r="H49" i="10" s="1"/>
  <c r="B50" i="10"/>
  <c r="O49" i="10"/>
  <c r="BQ48" i="10"/>
  <c r="BI48" i="10"/>
  <c r="BA48" i="10"/>
  <c r="AS48" i="10"/>
  <c r="AK48" i="10"/>
  <c r="BP48" i="10"/>
  <c r="BH48" i="10"/>
  <c r="AZ48" i="10"/>
  <c r="AR48" i="10"/>
  <c r="AJ48" i="10"/>
  <c r="BO48" i="10"/>
  <c r="BG48" i="10"/>
  <c r="AY48" i="10"/>
  <c r="AQ48" i="10"/>
  <c r="AI48" i="10"/>
  <c r="BV48" i="10"/>
  <c r="BN48" i="10"/>
  <c r="BF48" i="10"/>
  <c r="AX48" i="10"/>
  <c r="AP48" i="10"/>
  <c r="AH48" i="10"/>
  <c r="BU48" i="10"/>
  <c r="BM48" i="10"/>
  <c r="BE48" i="10"/>
  <c r="AW48" i="10"/>
  <c r="AO48" i="10"/>
  <c r="AG48" i="10"/>
  <c r="BT48" i="10"/>
  <c r="BL48" i="10"/>
  <c r="BD48" i="10"/>
  <c r="AV48" i="10"/>
  <c r="AN48" i="10"/>
  <c r="AF48" i="10"/>
  <c r="BR48" i="10"/>
  <c r="BJ48" i="10"/>
  <c r="BB48" i="10"/>
  <c r="AT48" i="10"/>
  <c r="AL48" i="10"/>
  <c r="AD48" i="10"/>
  <c r="BS48" i="10"/>
  <c r="BK48" i="10"/>
  <c r="BC48" i="10"/>
  <c r="AU48" i="10"/>
  <c r="AM48" i="10"/>
  <c r="AE48" i="10"/>
  <c r="BE111" i="11"/>
  <c r="AW111" i="11"/>
  <c r="AO111" i="11"/>
  <c r="AG111" i="11"/>
  <c r="Y111" i="11"/>
  <c r="Q111" i="11"/>
  <c r="I111" i="11"/>
  <c r="F112" i="11"/>
  <c r="BA111" i="11"/>
  <c r="AS111" i="11"/>
  <c r="AK111" i="11"/>
  <c r="AC111" i="11"/>
  <c r="U111" i="11"/>
  <c r="M111" i="11"/>
  <c r="AY111" i="11"/>
  <c r="AN111" i="11"/>
  <c r="AD111" i="11"/>
  <c r="S111" i="11"/>
  <c r="BG111" i="11"/>
  <c r="AV111" i="11"/>
  <c r="AL111" i="11"/>
  <c r="AA111" i="11"/>
  <c r="P111" i="11"/>
  <c r="BC111" i="11"/>
  <c r="AR111" i="11"/>
  <c r="AH111" i="11"/>
  <c r="W111" i="11"/>
  <c r="L111" i="11"/>
  <c r="AT111" i="11"/>
  <c r="AB111" i="11"/>
  <c r="K111" i="11"/>
  <c r="BF111" i="11"/>
  <c r="AP111" i="11"/>
  <c r="X111" i="11"/>
  <c r="BD111" i="11"/>
  <c r="AM111" i="11"/>
  <c r="V111" i="11"/>
  <c r="AZ111" i="11"/>
  <c r="Z111" i="11"/>
  <c r="AU111" i="11"/>
  <c r="R111" i="11"/>
  <c r="AI111" i="11"/>
  <c r="J111" i="11"/>
  <c r="BB111" i="11"/>
  <c r="AE111" i="11"/>
  <c r="BH111" i="11"/>
  <c r="AX111" i="11"/>
  <c r="AQ111" i="11"/>
  <c r="AJ111" i="11"/>
  <c r="T111" i="11"/>
  <c r="AF111" i="11"/>
  <c r="O111" i="11"/>
  <c r="N111" i="11"/>
  <c r="I48" i="5"/>
  <c r="AK49" i="5"/>
  <c r="W49" i="5"/>
  <c r="V49" i="5"/>
  <c r="J49" i="5"/>
  <c r="U49" i="5"/>
  <c r="A50" i="5"/>
  <c r="T49" i="5"/>
  <c r="G49" i="5"/>
  <c r="F49" i="5"/>
  <c r="C49" i="5"/>
  <c r="B49" i="5"/>
  <c r="AL49" i="5"/>
  <c r="Z49" i="5"/>
  <c r="Y49" i="5"/>
  <c r="M49" i="5"/>
  <c r="W48" i="8"/>
  <c r="X48" i="8" s="1"/>
  <c r="F49" i="8"/>
  <c r="V56" i="13"/>
  <c r="W55" i="13"/>
  <c r="BC52" i="11"/>
  <c r="AU52" i="11"/>
  <c r="AM52" i="11"/>
  <c r="F53" i="11"/>
  <c r="BA52" i="11"/>
  <c r="AS52" i="11"/>
  <c r="AK52" i="11"/>
  <c r="AT52" i="11"/>
  <c r="AI52" i="11"/>
  <c r="AA52" i="11"/>
  <c r="S52" i="11"/>
  <c r="K52" i="11"/>
  <c r="BD52" i="11"/>
  <c r="AR52" i="11"/>
  <c r="AH52" i="11"/>
  <c r="Z52" i="11"/>
  <c r="R52" i="11"/>
  <c r="J52" i="11"/>
  <c r="BB52" i="11"/>
  <c r="AQ52" i="11"/>
  <c r="AG52" i="11"/>
  <c r="Y52" i="11"/>
  <c r="Q52" i="11"/>
  <c r="I52" i="11"/>
  <c r="AZ52" i="11"/>
  <c r="AP52" i="11"/>
  <c r="AF52" i="11"/>
  <c r="X52" i="11"/>
  <c r="P52" i="11"/>
  <c r="AY52" i="11"/>
  <c r="AO52" i="11"/>
  <c r="AE52" i="11"/>
  <c r="W52" i="11"/>
  <c r="O52" i="11"/>
  <c r="AX52" i="11"/>
  <c r="AN52" i="11"/>
  <c r="AD52" i="11"/>
  <c r="V52" i="11"/>
  <c r="N52" i="11"/>
  <c r="AW52" i="11"/>
  <c r="AL52" i="11"/>
  <c r="AC52" i="11"/>
  <c r="U52" i="11"/>
  <c r="M52" i="11"/>
  <c r="L52" i="11"/>
  <c r="AV52" i="11"/>
  <c r="AJ52" i="11"/>
  <c r="AB52" i="11"/>
  <c r="T52" i="11"/>
  <c r="AA48" i="6"/>
  <c r="C48" i="6"/>
  <c r="B48" i="6"/>
  <c r="A49" i="6"/>
  <c r="AD48" i="6"/>
  <c r="C51" i="10"/>
  <c r="AC50" i="10"/>
  <c r="A50" i="4"/>
  <c r="B49" i="4"/>
  <c r="G48" i="8" s="1"/>
  <c r="AY49" i="4"/>
  <c r="U49" i="4"/>
  <c r="BJ49" i="4" s="1"/>
  <c r="BQ49" i="4"/>
  <c r="I49" i="4"/>
  <c r="AX49" i="4" s="1"/>
  <c r="BN49" i="4"/>
  <c r="P49" i="4"/>
  <c r="BE49" i="4" s="1"/>
  <c r="AA49" i="4"/>
  <c r="BP49" i="4" s="1"/>
  <c r="BM49" i="4"/>
  <c r="O49" i="4"/>
  <c r="BD49" i="4"/>
  <c r="G49" i="4"/>
  <c r="AV49" i="4" s="1"/>
  <c r="C49" i="4"/>
  <c r="BE5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T50" i="7"/>
  <c r="AB50" i="7"/>
  <c r="S50" i="7"/>
  <c r="N51" i="7"/>
  <c r="AA50" i="7"/>
  <c r="R50" i="7"/>
  <c r="AI50" i="7"/>
  <c r="Z50" i="7"/>
  <c r="Q50" i="7"/>
  <c r="AH50" i="7"/>
  <c r="Y50" i="7"/>
  <c r="O50" i="7"/>
  <c r="AG50" i="7"/>
  <c r="X50" i="7"/>
  <c r="AF50" i="7"/>
  <c r="AE50" i="7"/>
  <c r="U50" i="7"/>
  <c r="BB4" i="11" l="1"/>
  <c r="AJ50" i="7"/>
  <c r="V50" i="7"/>
  <c r="BB62" i="11"/>
  <c r="BE42" i="11"/>
  <c r="BE43" i="11"/>
  <c r="BE44" i="11"/>
  <c r="BE45" i="11"/>
  <c r="BE46" i="11"/>
  <c r="BE47" i="11"/>
  <c r="BE48" i="11"/>
  <c r="BE49" i="11"/>
  <c r="BE50" i="11"/>
  <c r="BE51" i="11"/>
  <c r="F49" i="10"/>
  <c r="AC50" i="7"/>
  <c r="AB49" i="5"/>
  <c r="BW43" i="10"/>
  <c r="BW47" i="10"/>
  <c r="BW48" i="10"/>
  <c r="BW46" i="10"/>
  <c r="BW45" i="10"/>
  <c r="BE52" i="11"/>
  <c r="AI51" i="7"/>
  <c r="Z51" i="7"/>
  <c r="Q51" i="7"/>
  <c r="AH51" i="7"/>
  <c r="Y51" i="7"/>
  <c r="O51" i="7"/>
  <c r="AG51" i="7"/>
  <c r="X51" i="7"/>
  <c r="AF51" i="7"/>
  <c r="AE51" i="7"/>
  <c r="U51" i="7"/>
  <c r="T51" i="7"/>
  <c r="AB51" i="7"/>
  <c r="AA51" i="7"/>
  <c r="S51" i="7"/>
  <c r="N52" i="7"/>
  <c r="R51" i="7"/>
  <c r="BF5" i="11"/>
  <c r="BE7" i="11"/>
  <c r="BE8" i="11"/>
  <c r="BE9" i="11"/>
  <c r="BE10" i="11"/>
  <c r="BE11" i="11"/>
  <c r="BE12" i="11"/>
  <c r="BE13" i="11"/>
  <c r="BE14" i="11"/>
  <c r="BE15" i="11"/>
  <c r="BE16" i="11"/>
  <c r="BE17" i="11"/>
  <c r="BE18" i="11"/>
  <c r="BE19" i="11"/>
  <c r="BE20" i="11"/>
  <c r="BE21" i="11"/>
  <c r="BE22" i="11"/>
  <c r="BE23" i="11"/>
  <c r="BE24" i="11"/>
  <c r="BE25" i="11"/>
  <c r="BE26" i="11"/>
  <c r="BE27" i="11"/>
  <c r="BE28" i="11"/>
  <c r="BE29" i="11"/>
  <c r="BE30" i="11"/>
  <c r="BE31" i="11"/>
  <c r="BE32" i="11"/>
  <c r="BE33" i="11"/>
  <c r="BE34" i="11"/>
  <c r="BE35" i="11"/>
  <c r="BE36" i="11"/>
  <c r="BE37" i="11"/>
  <c r="BE38" i="11"/>
  <c r="BE39" i="11"/>
  <c r="BE40" i="11"/>
  <c r="BE41" i="11"/>
  <c r="AY50" i="4"/>
  <c r="U50" i="4"/>
  <c r="BJ50" i="4" s="1"/>
  <c r="BQ50" i="4"/>
  <c r="I50" i="4"/>
  <c r="AX50" i="4" s="1"/>
  <c r="BN50" i="4"/>
  <c r="AV50" i="4"/>
  <c r="BM50" i="4"/>
  <c r="G50" i="4"/>
  <c r="AA50" i="4"/>
  <c r="BP50" i="4" s="1"/>
  <c r="O50" i="4"/>
  <c r="BD50" i="4" s="1"/>
  <c r="C50" i="4"/>
  <c r="B50" i="4"/>
  <c r="A51" i="4"/>
  <c r="P50" i="4"/>
  <c r="BE50" i="4" s="1"/>
  <c r="AC51" i="10"/>
  <c r="C52" i="10"/>
  <c r="AA49" i="6"/>
  <c r="C49" i="6"/>
  <c r="B49" i="6"/>
  <c r="AD49" i="6"/>
  <c r="A50" i="6"/>
  <c r="BE53" i="11"/>
  <c r="AW53" i="11"/>
  <c r="AO53" i="11"/>
  <c r="AG53" i="11"/>
  <c r="Y53" i="11"/>
  <c r="Q53" i="11"/>
  <c r="I53" i="11"/>
  <c r="BC53" i="11"/>
  <c r="AU53" i="11"/>
  <c r="AM53" i="11"/>
  <c r="AE53" i="11"/>
  <c r="W53" i="11"/>
  <c r="O53" i="11"/>
  <c r="BD53" i="11"/>
  <c r="AS53" i="11"/>
  <c r="AI53" i="11"/>
  <c r="X53" i="11"/>
  <c r="M53" i="11"/>
  <c r="BB53" i="11"/>
  <c r="AR53" i="11"/>
  <c r="AH53" i="11"/>
  <c r="V53" i="11"/>
  <c r="L53" i="11"/>
  <c r="BA53" i="11"/>
  <c r="AQ53" i="11"/>
  <c r="AF53" i="11"/>
  <c r="U53" i="11"/>
  <c r="K53" i="11"/>
  <c r="AZ53" i="11"/>
  <c r="AP53" i="11"/>
  <c r="AD53" i="11"/>
  <c r="T53" i="11"/>
  <c r="J53" i="11"/>
  <c r="F54" i="11"/>
  <c r="AY53" i="11"/>
  <c r="AN53" i="11"/>
  <c r="AC53" i="11"/>
  <c r="S53" i="11"/>
  <c r="AX53" i="11"/>
  <c r="AL53" i="11"/>
  <c r="AB53" i="11"/>
  <c r="R53" i="11"/>
  <c r="AV53" i="11"/>
  <c r="AK53" i="11"/>
  <c r="AA53" i="11"/>
  <c r="P53" i="11"/>
  <c r="AJ53" i="11"/>
  <c r="N53" i="11"/>
  <c r="BF53" i="11"/>
  <c r="Z53" i="11"/>
  <c r="AT53" i="11"/>
  <c r="W56" i="13"/>
  <c r="V57" i="13"/>
  <c r="W49" i="8"/>
  <c r="X49" i="8" s="1"/>
  <c r="G49" i="8"/>
  <c r="F50" i="8"/>
  <c r="I49" i="5"/>
  <c r="Z50" i="5"/>
  <c r="C50" i="5"/>
  <c r="AL50" i="5"/>
  <c r="Y50" i="5"/>
  <c r="M50" i="5"/>
  <c r="B50" i="5"/>
  <c r="AK50" i="5"/>
  <c r="W50" i="5"/>
  <c r="V50" i="5"/>
  <c r="J50" i="5"/>
  <c r="U50" i="5"/>
  <c r="T50" i="5"/>
  <c r="AB50" i="5" s="1"/>
  <c r="A51" i="5"/>
  <c r="G50" i="5"/>
  <c r="F50" i="5"/>
  <c r="BG112" i="11"/>
  <c r="AY112" i="11"/>
  <c r="AQ112" i="11"/>
  <c r="AI112" i="11"/>
  <c r="AA112" i="11"/>
  <c r="S112" i="11"/>
  <c r="K112" i="11"/>
  <c r="BC112" i="11"/>
  <c r="AU112" i="11"/>
  <c r="AM112" i="11"/>
  <c r="AE112" i="11"/>
  <c r="W112" i="11"/>
  <c r="O112" i="11"/>
  <c r="F113" i="11"/>
  <c r="AX112" i="11"/>
  <c r="AN112" i="11"/>
  <c r="AC112" i="11"/>
  <c r="R112" i="11"/>
  <c r="BF112" i="11"/>
  <c r="AV112" i="11"/>
  <c r="AK112" i="11"/>
  <c r="Z112" i="11"/>
  <c r="P112" i="11"/>
  <c r="BB112" i="11"/>
  <c r="AR112" i="11"/>
  <c r="AG112" i="11"/>
  <c r="V112" i="11"/>
  <c r="L112" i="11"/>
  <c r="BH112" i="11"/>
  <c r="AP112" i="11"/>
  <c r="Y112" i="11"/>
  <c r="I112" i="11"/>
  <c r="BD112" i="11"/>
  <c r="AL112" i="11"/>
  <c r="U112" i="11"/>
  <c r="BA112" i="11"/>
  <c r="AJ112" i="11"/>
  <c r="T112" i="11"/>
  <c r="AZ112" i="11"/>
  <c r="AB112" i="11"/>
  <c r="AT112" i="11"/>
  <c r="Q112" i="11"/>
  <c r="AH112" i="11"/>
  <c r="J112" i="11"/>
  <c r="BE112" i="11"/>
  <c r="AD112" i="11"/>
  <c r="AW112" i="11"/>
  <c r="AS112" i="11"/>
  <c r="AO112" i="11"/>
  <c r="X112" i="11"/>
  <c r="N112" i="11"/>
  <c r="M112" i="11"/>
  <c r="AF112" i="11"/>
  <c r="B51" i="10"/>
  <c r="G50" i="10"/>
  <c r="H50" i="10" s="1"/>
  <c r="E50" i="10"/>
  <c r="BC62" i="11" s="1"/>
  <c r="AB50" i="10"/>
  <c r="O50" i="10"/>
  <c r="BT49" i="10"/>
  <c r="BL49" i="10"/>
  <c r="BD49" i="10"/>
  <c r="AV49" i="10"/>
  <c r="AN49" i="10"/>
  <c r="AF49" i="10"/>
  <c r="BS49" i="10"/>
  <c r="BK49" i="10"/>
  <c r="BC49" i="10"/>
  <c r="AU49" i="10"/>
  <c r="AM49" i="10"/>
  <c r="AE49" i="10"/>
  <c r="BR49" i="10"/>
  <c r="BJ49" i="10"/>
  <c r="BB49" i="10"/>
  <c r="AT49" i="10"/>
  <c r="AL49" i="10"/>
  <c r="AD49" i="10"/>
  <c r="BQ49" i="10"/>
  <c r="BI49" i="10"/>
  <c r="BA49" i="10"/>
  <c r="AS49" i="10"/>
  <c r="AK49" i="10"/>
  <c r="BP49" i="10"/>
  <c r="BH49" i="10"/>
  <c r="AZ49" i="10"/>
  <c r="AR49" i="10"/>
  <c r="AJ49" i="10"/>
  <c r="BW49" i="10"/>
  <c r="BO49" i="10"/>
  <c r="BG49" i="10"/>
  <c r="AY49" i="10"/>
  <c r="AQ49" i="10"/>
  <c r="AI49" i="10"/>
  <c r="BU49" i="10"/>
  <c r="BM49" i="10"/>
  <c r="BE49" i="10"/>
  <c r="AW49" i="10"/>
  <c r="AO49" i="10"/>
  <c r="AG49" i="10"/>
  <c r="BV49" i="10"/>
  <c r="BN49" i="10"/>
  <c r="BF49" i="10"/>
  <c r="AX49" i="10"/>
  <c r="AP49" i="10"/>
  <c r="AH49" i="10"/>
  <c r="P49" i="10"/>
  <c r="N50" i="10" s="1"/>
  <c r="R49" i="10"/>
  <c r="K49" i="10"/>
  <c r="L49" i="10" s="1"/>
  <c r="J50" i="10" s="1"/>
  <c r="L50" i="10" l="1"/>
  <c r="J51" i="10" s="1"/>
  <c r="V51" i="7"/>
  <c r="BX17" i="10"/>
  <c r="BX33" i="10"/>
  <c r="AC51" i="7"/>
  <c r="BX43" i="10"/>
  <c r="BF42" i="11"/>
  <c r="BF43" i="11"/>
  <c r="BF44" i="11"/>
  <c r="BF45" i="11"/>
  <c r="BF46" i="11"/>
  <c r="BF47" i="11"/>
  <c r="BF48" i="11"/>
  <c r="BF49" i="11"/>
  <c r="BF50" i="11"/>
  <c r="BF51" i="11"/>
  <c r="BF52" i="11"/>
  <c r="BX47" i="10"/>
  <c r="BX48" i="10"/>
  <c r="BX44" i="10"/>
  <c r="BX9" i="10"/>
  <c r="BC4" i="11"/>
  <c r="BX14" i="10"/>
  <c r="BX46" i="10"/>
  <c r="BX30" i="10"/>
  <c r="AJ51" i="7"/>
  <c r="BX45" i="10"/>
  <c r="F50" i="10"/>
  <c r="BX49" i="10"/>
  <c r="BX6" i="10"/>
  <c r="K50" i="10"/>
  <c r="BW50" i="10"/>
  <c r="BO50" i="10"/>
  <c r="BG50" i="10"/>
  <c r="AY50" i="10"/>
  <c r="AQ50" i="10"/>
  <c r="AI50" i="10"/>
  <c r="BV50" i="10"/>
  <c r="BN50" i="10"/>
  <c r="BF50" i="10"/>
  <c r="AX50" i="10"/>
  <c r="AP50" i="10"/>
  <c r="AH50" i="10"/>
  <c r="BU50" i="10"/>
  <c r="BM50" i="10"/>
  <c r="BE50" i="10"/>
  <c r="AW50" i="10"/>
  <c r="AO50" i="10"/>
  <c r="AG50" i="10"/>
  <c r="BT50" i="10"/>
  <c r="BL50" i="10"/>
  <c r="BD50" i="10"/>
  <c r="AV50" i="10"/>
  <c r="AN50" i="10"/>
  <c r="AF50" i="10"/>
  <c r="BS50" i="10"/>
  <c r="BK50" i="10"/>
  <c r="BC50" i="10"/>
  <c r="AU50" i="10"/>
  <c r="AM50" i="10"/>
  <c r="AE50" i="10"/>
  <c r="BR50" i="10"/>
  <c r="BJ50" i="10"/>
  <c r="BB50" i="10"/>
  <c r="AT50" i="10"/>
  <c r="AL50" i="10"/>
  <c r="AD50" i="10"/>
  <c r="BX50" i="10"/>
  <c r="BP50" i="10"/>
  <c r="BH50" i="10"/>
  <c r="AZ50" i="10"/>
  <c r="AR50" i="10"/>
  <c r="AJ50" i="10"/>
  <c r="BQ50" i="10"/>
  <c r="BI50" i="10"/>
  <c r="BA50" i="10"/>
  <c r="AS50" i="10"/>
  <c r="AK50" i="10"/>
  <c r="R50" i="10"/>
  <c r="P50" i="10"/>
  <c r="N51" i="10"/>
  <c r="AB51" i="10"/>
  <c r="B52" i="10"/>
  <c r="G51" i="10"/>
  <c r="H51" i="10" s="1"/>
  <c r="E51" i="10"/>
  <c r="BY50" i="10" s="1"/>
  <c r="O51" i="10"/>
  <c r="F114" i="11"/>
  <c r="BA113" i="11"/>
  <c r="AS113" i="11"/>
  <c r="AK113" i="11"/>
  <c r="AC113" i="11"/>
  <c r="U113" i="11"/>
  <c r="M113" i="11"/>
  <c r="BE113" i="11"/>
  <c r="AW113" i="11"/>
  <c r="AO113" i="11"/>
  <c r="AG113" i="11"/>
  <c r="Y113" i="11"/>
  <c r="Q113" i="11"/>
  <c r="I113" i="11"/>
  <c r="BH113" i="11"/>
  <c r="AX113" i="11"/>
  <c r="AM113" i="11"/>
  <c r="AB113" i="11"/>
  <c r="R113" i="11"/>
  <c r="BF113" i="11"/>
  <c r="AU113" i="11"/>
  <c r="AJ113" i="11"/>
  <c r="Z113" i="11"/>
  <c r="O113" i="11"/>
  <c r="BB113" i="11"/>
  <c r="AQ113" i="11"/>
  <c r="AF113" i="11"/>
  <c r="V113" i="11"/>
  <c r="K113" i="11"/>
  <c r="BD113" i="11"/>
  <c r="AN113" i="11"/>
  <c r="W113" i="11"/>
  <c r="AZ113" i="11"/>
  <c r="AI113" i="11"/>
  <c r="S113" i="11"/>
  <c r="AY113" i="11"/>
  <c r="AH113" i="11"/>
  <c r="P113" i="11"/>
  <c r="BC113" i="11"/>
  <c r="AA113" i="11"/>
  <c r="AT113" i="11"/>
  <c r="T113" i="11"/>
  <c r="AL113" i="11"/>
  <c r="J113" i="11"/>
  <c r="BG113" i="11"/>
  <c r="AD113" i="11"/>
  <c r="AV113" i="11"/>
  <c r="AR113" i="11"/>
  <c r="AP113" i="11"/>
  <c r="X113" i="11"/>
  <c r="AE113" i="11"/>
  <c r="N113" i="11"/>
  <c r="L113" i="11"/>
  <c r="I50" i="5"/>
  <c r="U51" i="5"/>
  <c r="A52" i="5"/>
  <c r="T51" i="5"/>
  <c r="G51" i="5"/>
  <c r="F51" i="5"/>
  <c r="Z51" i="5"/>
  <c r="C51" i="5"/>
  <c r="AL51" i="5"/>
  <c r="Y51" i="5"/>
  <c r="B51" i="5"/>
  <c r="W51" i="5"/>
  <c r="V51" i="5"/>
  <c r="J51" i="5"/>
  <c r="W50" i="8"/>
  <c r="X50" i="8" s="1"/>
  <c r="F51" i="8"/>
  <c r="W57" i="13"/>
  <c r="V58" i="13"/>
  <c r="BG54" i="11"/>
  <c r="AY54" i="11"/>
  <c r="AQ54" i="11"/>
  <c r="AI54" i="11"/>
  <c r="AA54" i="11"/>
  <c r="S54" i="11"/>
  <c r="K54" i="11"/>
  <c r="BE54" i="11"/>
  <c r="AW54" i="11"/>
  <c r="AO54" i="11"/>
  <c r="AG54" i="11"/>
  <c r="Y54" i="11"/>
  <c r="Q54" i="11"/>
  <c r="I54" i="11"/>
  <c r="BC54" i="11"/>
  <c r="AS54" i="11"/>
  <c r="AH54" i="11"/>
  <c r="W54" i="11"/>
  <c r="M54" i="11"/>
  <c r="BB54" i="11"/>
  <c r="AR54" i="11"/>
  <c r="AF54" i="11"/>
  <c r="V54" i="11"/>
  <c r="L54" i="11"/>
  <c r="BA54" i="11"/>
  <c r="AP54" i="11"/>
  <c r="AE54" i="11"/>
  <c r="U54" i="11"/>
  <c r="J54" i="11"/>
  <c r="AZ54" i="11"/>
  <c r="AN54" i="11"/>
  <c r="AD54" i="11"/>
  <c r="T54" i="11"/>
  <c r="F55" i="11"/>
  <c r="AX54" i="11"/>
  <c r="AM54" i="11"/>
  <c r="AC54" i="11"/>
  <c r="R54" i="11"/>
  <c r="AV54" i="11"/>
  <c r="AL54" i="11"/>
  <c r="AB54" i="11"/>
  <c r="P54" i="11"/>
  <c r="BF54" i="11"/>
  <c r="AU54" i="11"/>
  <c r="AK54" i="11"/>
  <c r="Z54" i="11"/>
  <c r="O54" i="11"/>
  <c r="AT54" i="11"/>
  <c r="AJ54" i="11"/>
  <c r="X54" i="11"/>
  <c r="N54" i="11"/>
  <c r="BD54" i="11"/>
  <c r="A51" i="6"/>
  <c r="AD50" i="6"/>
  <c r="AA50" i="6"/>
  <c r="C50" i="6"/>
  <c r="B50" i="6"/>
  <c r="AC52" i="10"/>
  <c r="C53" i="10"/>
  <c r="BQ51" i="4"/>
  <c r="BN51" i="4"/>
  <c r="BM51" i="4"/>
  <c r="BD51" i="4"/>
  <c r="G51" i="4"/>
  <c r="AV51" i="4" s="1"/>
  <c r="P51" i="4"/>
  <c r="BE51" i="4" s="1"/>
  <c r="A52" i="4"/>
  <c r="B51" i="4"/>
  <c r="G50" i="8" s="1"/>
  <c r="AA51" i="4"/>
  <c r="BP51" i="4" s="1"/>
  <c r="U51" i="4"/>
  <c r="BJ51" i="4" s="1"/>
  <c r="O51" i="4"/>
  <c r="C51" i="4"/>
  <c r="AY51" i="4"/>
  <c r="BF7" i="11"/>
  <c r="BG5" i="11"/>
  <c r="BF8" i="11"/>
  <c r="BF9" i="11"/>
  <c r="BF10" i="11"/>
  <c r="BF11" i="11"/>
  <c r="BF12" i="11"/>
  <c r="BF13" i="11"/>
  <c r="BF14" i="11"/>
  <c r="BF15" i="11"/>
  <c r="BF16" i="11"/>
  <c r="BF17" i="11"/>
  <c r="BF18" i="11"/>
  <c r="BF19" i="11"/>
  <c r="BF20" i="11"/>
  <c r="BF21" i="11"/>
  <c r="BF22" i="11"/>
  <c r="BF23" i="11"/>
  <c r="BF24" i="11"/>
  <c r="BF25" i="11"/>
  <c r="BF26" i="11"/>
  <c r="BF27" i="11"/>
  <c r="BF28" i="11"/>
  <c r="BF29" i="11"/>
  <c r="BF30" i="11"/>
  <c r="BF31" i="11"/>
  <c r="BF32" i="11"/>
  <c r="BF33" i="11"/>
  <c r="BF34" i="11"/>
  <c r="BF35" i="11"/>
  <c r="BF36" i="11"/>
  <c r="BF37" i="11"/>
  <c r="BF38" i="11"/>
  <c r="BF39" i="11"/>
  <c r="BF40" i="11"/>
  <c r="BF41" i="11"/>
  <c r="AF52" i="7"/>
  <c r="AE52" i="7"/>
  <c r="U52" i="7"/>
  <c r="T52" i="7"/>
  <c r="AB52" i="7"/>
  <c r="S52" i="7"/>
  <c r="N53" i="7"/>
  <c r="AA52" i="7"/>
  <c r="R52" i="7"/>
  <c r="AI52" i="7"/>
  <c r="Z52" i="7"/>
  <c r="Q52" i="7"/>
  <c r="V52" i="7" s="1"/>
  <c r="AG52" i="7"/>
  <c r="Y52" i="7"/>
  <c r="X52" i="7"/>
  <c r="O52" i="7"/>
  <c r="AH52" i="7"/>
  <c r="BZ24" i="10" l="1"/>
  <c r="BD4" i="11"/>
  <c r="BG42" i="11"/>
  <c r="BG43" i="11"/>
  <c r="BG44" i="11"/>
  <c r="BG45" i="11"/>
  <c r="BG46" i="11"/>
  <c r="BG47" i="11"/>
  <c r="BG48" i="11"/>
  <c r="BG49" i="11"/>
  <c r="BG50" i="11"/>
  <c r="BG51" i="11"/>
  <c r="BG52" i="11"/>
  <c r="BG53" i="11"/>
  <c r="BY47" i="10"/>
  <c r="BZ17" i="10"/>
  <c r="AJ52" i="7"/>
  <c r="BD62" i="11"/>
  <c r="BZ48" i="10"/>
  <c r="BY48" i="10"/>
  <c r="BZ7" i="10"/>
  <c r="BY45" i="10"/>
  <c r="AB51" i="5"/>
  <c r="BZ47" i="10"/>
  <c r="BZ42" i="10"/>
  <c r="AC52" i="7"/>
  <c r="F51" i="10"/>
  <c r="BY23" i="10"/>
  <c r="BY37" i="10"/>
  <c r="BY49" i="10"/>
  <c r="BY46" i="10"/>
  <c r="BY29" i="10"/>
  <c r="AB53" i="7"/>
  <c r="S53" i="7"/>
  <c r="N54" i="7"/>
  <c r="AA53" i="7"/>
  <c r="R53" i="7"/>
  <c r="AI53" i="7"/>
  <c r="Z53" i="7"/>
  <c r="Q53" i="7"/>
  <c r="AH53" i="7"/>
  <c r="Y53" i="7"/>
  <c r="O53" i="7"/>
  <c r="AG53" i="7"/>
  <c r="X53" i="7"/>
  <c r="AF53" i="7"/>
  <c r="U53" i="7"/>
  <c r="T53" i="7"/>
  <c r="AE53" i="7"/>
  <c r="BH5" i="11"/>
  <c r="BG7" i="11"/>
  <c r="BG8" i="11"/>
  <c r="BG9" i="11"/>
  <c r="BG10" i="11"/>
  <c r="BG11" i="11"/>
  <c r="BG12" i="11"/>
  <c r="BG13" i="11"/>
  <c r="BG14" i="11"/>
  <c r="BG15" i="11"/>
  <c r="BG16" i="11"/>
  <c r="BG17" i="11"/>
  <c r="BG18" i="11"/>
  <c r="BG19" i="11"/>
  <c r="BG20" i="11"/>
  <c r="BG21" i="11"/>
  <c r="BG22" i="11"/>
  <c r="BG23" i="11"/>
  <c r="BG24" i="11"/>
  <c r="BG25" i="11"/>
  <c r="BG26" i="11"/>
  <c r="BG27" i="11"/>
  <c r="BG28" i="11"/>
  <c r="BG29" i="11"/>
  <c r="BG30" i="11"/>
  <c r="BG31" i="11"/>
  <c r="BG32" i="11"/>
  <c r="BG33" i="11"/>
  <c r="BG34" i="11"/>
  <c r="BG35" i="11"/>
  <c r="BG36" i="11"/>
  <c r="BG37" i="11"/>
  <c r="BG38" i="11"/>
  <c r="BG39" i="11"/>
  <c r="BG40" i="11"/>
  <c r="BG41" i="11"/>
  <c r="I52" i="4"/>
  <c r="AX52" i="4" s="1"/>
  <c r="BN52" i="4"/>
  <c r="BE52" i="4"/>
  <c r="BM52" i="4"/>
  <c r="G52" i="4"/>
  <c r="AV52" i="4" s="1"/>
  <c r="P52" i="4"/>
  <c r="AA52" i="4"/>
  <c r="BP52" i="4" s="1"/>
  <c r="O52" i="4"/>
  <c r="BD52" i="4" s="1"/>
  <c r="C52" i="4"/>
  <c r="AY52" i="4"/>
  <c r="U52" i="4"/>
  <c r="BJ52" i="4" s="1"/>
  <c r="B52" i="4"/>
  <c r="G51" i="8" s="1"/>
  <c r="A53" i="4"/>
  <c r="BQ52" i="4"/>
  <c r="AC53" i="10"/>
  <c r="C54" i="10"/>
  <c r="A52" i="6"/>
  <c r="C51" i="6"/>
  <c r="B51" i="6"/>
  <c r="F56" i="11"/>
  <c r="BA55" i="11"/>
  <c r="AS55" i="11"/>
  <c r="AK55" i="11"/>
  <c r="AC55" i="11"/>
  <c r="U55" i="11"/>
  <c r="M55" i="11"/>
  <c r="BG55" i="11"/>
  <c r="AY55" i="11"/>
  <c r="AQ55" i="11"/>
  <c r="AI55" i="11"/>
  <c r="AA55" i="11"/>
  <c r="S55" i="11"/>
  <c r="K55" i="11"/>
  <c r="BF55" i="11"/>
  <c r="AX55" i="11"/>
  <c r="AP55" i="11"/>
  <c r="AH55" i="11"/>
  <c r="Z55" i="11"/>
  <c r="BE55" i="11"/>
  <c r="AW55" i="11"/>
  <c r="AO55" i="11"/>
  <c r="AG55" i="11"/>
  <c r="Y55" i="11"/>
  <c r="BC55" i="11"/>
  <c r="AM55" i="11"/>
  <c r="W55" i="11"/>
  <c r="L55" i="11"/>
  <c r="BB55" i="11"/>
  <c r="AL55" i="11"/>
  <c r="V55" i="11"/>
  <c r="J55" i="11"/>
  <c r="AZ55" i="11"/>
  <c r="AJ55" i="11"/>
  <c r="T55" i="11"/>
  <c r="I55" i="11"/>
  <c r="AV55" i="11"/>
  <c r="AF55" i="11"/>
  <c r="R55" i="11"/>
  <c r="AU55" i="11"/>
  <c r="AE55" i="11"/>
  <c r="Q55" i="11"/>
  <c r="AT55" i="11"/>
  <c r="AD55" i="11"/>
  <c r="P55" i="11"/>
  <c r="BH55" i="11"/>
  <c r="AR55" i="11"/>
  <c r="AB55" i="11"/>
  <c r="O55" i="11"/>
  <c r="N55" i="11"/>
  <c r="BD55" i="11"/>
  <c r="AN55" i="11"/>
  <c r="X55" i="11"/>
  <c r="V59" i="13"/>
  <c r="W58" i="13"/>
  <c r="W51" i="8"/>
  <c r="X51" i="8" s="1"/>
  <c r="F52" i="8"/>
  <c r="I51" i="5"/>
  <c r="AL52" i="5"/>
  <c r="Y52" i="5"/>
  <c r="M52" i="5"/>
  <c r="B52" i="5"/>
  <c r="AK52" i="5"/>
  <c r="W52" i="5"/>
  <c r="V52" i="5"/>
  <c r="J52" i="5"/>
  <c r="U52" i="5"/>
  <c r="A53" i="5"/>
  <c r="T52" i="5"/>
  <c r="G52" i="5"/>
  <c r="F52" i="5"/>
  <c r="Z52" i="5"/>
  <c r="C52" i="5"/>
  <c r="BC114" i="11"/>
  <c r="AU114" i="11"/>
  <c r="AM114" i="11"/>
  <c r="AE114" i="11"/>
  <c r="W114" i="11"/>
  <c r="O114" i="11"/>
  <c r="BG114" i="11"/>
  <c r="AY114" i="11"/>
  <c r="AQ114" i="11"/>
  <c r="AI114" i="11"/>
  <c r="AA114" i="11"/>
  <c r="S114" i="11"/>
  <c r="K114" i="11"/>
  <c r="BH114" i="11"/>
  <c r="AW114" i="11"/>
  <c r="AL114" i="11"/>
  <c r="AB114" i="11"/>
  <c r="Q114" i="11"/>
  <c r="BE114" i="11"/>
  <c r="AT114" i="11"/>
  <c r="AJ114" i="11"/>
  <c r="Y114" i="11"/>
  <c r="N114" i="11"/>
  <c r="BA114" i="11"/>
  <c r="AP114" i="11"/>
  <c r="AF114" i="11"/>
  <c r="U114" i="11"/>
  <c r="J114" i="11"/>
  <c r="BB114" i="11"/>
  <c r="AK114" i="11"/>
  <c r="T114" i="11"/>
  <c r="AX114" i="11"/>
  <c r="AG114" i="11"/>
  <c r="P114" i="11"/>
  <c r="AV114" i="11"/>
  <c r="AD114" i="11"/>
  <c r="M114" i="11"/>
  <c r="BF114" i="11"/>
  <c r="BD114" i="11"/>
  <c r="Z114" i="11"/>
  <c r="AS114" i="11"/>
  <c r="V114" i="11"/>
  <c r="AN114" i="11"/>
  <c r="I114" i="11"/>
  <c r="F115" i="11"/>
  <c r="AC114" i="11"/>
  <c r="AZ114" i="11"/>
  <c r="AR114" i="11"/>
  <c r="AO114" i="11"/>
  <c r="X114" i="11"/>
  <c r="AH114" i="11"/>
  <c r="R114" i="11"/>
  <c r="L114" i="11"/>
  <c r="G52" i="10"/>
  <c r="H52" i="10" s="1"/>
  <c r="E52" i="10"/>
  <c r="BZ19" i="10" s="1"/>
  <c r="AB52" i="10"/>
  <c r="B53" i="10"/>
  <c r="O52" i="10"/>
  <c r="BR51" i="10"/>
  <c r="BJ51" i="10"/>
  <c r="BB51" i="10"/>
  <c r="AT51" i="10"/>
  <c r="AL51" i="10"/>
  <c r="AD51" i="10"/>
  <c r="BY51" i="10"/>
  <c r="BQ51" i="10"/>
  <c r="BI51" i="10"/>
  <c r="BA51" i="10"/>
  <c r="AS51" i="10"/>
  <c r="AK51" i="10"/>
  <c r="BX51" i="10"/>
  <c r="BP51" i="10"/>
  <c r="BH51" i="10"/>
  <c r="AZ51" i="10"/>
  <c r="AR51" i="10"/>
  <c r="AJ51" i="10"/>
  <c r="BW51" i="10"/>
  <c r="BO51" i="10"/>
  <c r="BG51" i="10"/>
  <c r="AY51" i="10"/>
  <c r="AQ51" i="10"/>
  <c r="AI51" i="10"/>
  <c r="BV51" i="10"/>
  <c r="BN51" i="10"/>
  <c r="BF51" i="10"/>
  <c r="AX51" i="10"/>
  <c r="AP51" i="10"/>
  <c r="AH51" i="10"/>
  <c r="BU51" i="10"/>
  <c r="BM51" i="10"/>
  <c r="BE51" i="10"/>
  <c r="AW51" i="10"/>
  <c r="AO51" i="10"/>
  <c r="AG51" i="10"/>
  <c r="BS51" i="10"/>
  <c r="BK51" i="10"/>
  <c r="BC51" i="10"/>
  <c r="AU51" i="10"/>
  <c r="AM51" i="10"/>
  <c r="AE51" i="10"/>
  <c r="BT51" i="10"/>
  <c r="BL51" i="10"/>
  <c r="BD51" i="10"/>
  <c r="AV51" i="10"/>
  <c r="AN51" i="10"/>
  <c r="AF51" i="10"/>
  <c r="R51" i="10"/>
  <c r="P51" i="10"/>
  <c r="N52" i="10" s="1"/>
  <c r="K51" i="10"/>
  <c r="L51" i="10" s="1"/>
  <c r="J52" i="10" s="1"/>
  <c r="L52" i="10" l="1"/>
  <c r="CA48" i="10"/>
  <c r="BH42" i="11"/>
  <c r="BH43" i="11"/>
  <c r="BH44" i="11"/>
  <c r="BH45" i="11"/>
  <c r="BH46" i="11"/>
  <c r="BH47" i="11"/>
  <c r="BH48" i="11"/>
  <c r="BH49" i="11"/>
  <c r="BH50" i="11"/>
  <c r="BH51" i="11"/>
  <c r="BH52" i="11"/>
  <c r="BH53" i="11"/>
  <c r="BH54" i="11"/>
  <c r="V53" i="7"/>
  <c r="CA50" i="10"/>
  <c r="BE62" i="11"/>
  <c r="BZ50" i="10"/>
  <c r="AB52" i="5"/>
  <c r="AC53" i="7"/>
  <c r="BZ49" i="10"/>
  <c r="BZ29" i="10"/>
  <c r="CA33" i="10"/>
  <c r="BZ51" i="10"/>
  <c r="AJ53" i="7"/>
  <c r="BE4" i="11"/>
  <c r="BZ8" i="10"/>
  <c r="CA34" i="10"/>
  <c r="F52" i="10"/>
  <c r="F53" i="10" s="1"/>
  <c r="BZ6" i="10"/>
  <c r="BZ37" i="10"/>
  <c r="CA47" i="10"/>
  <c r="CA15" i="10"/>
  <c r="H53" i="10"/>
  <c r="K52" i="10"/>
  <c r="B54" i="10"/>
  <c r="AB53" i="10"/>
  <c r="J53" i="10"/>
  <c r="G53" i="10"/>
  <c r="E53" i="10"/>
  <c r="BF4" i="11" s="1"/>
  <c r="O53" i="10"/>
  <c r="BU52" i="10"/>
  <c r="BM52" i="10"/>
  <c r="BE52" i="10"/>
  <c r="AW52" i="10"/>
  <c r="AO52" i="10"/>
  <c r="AG52" i="10"/>
  <c r="BT52" i="10"/>
  <c r="BL52" i="10"/>
  <c r="BD52" i="10"/>
  <c r="AV52" i="10"/>
  <c r="AN52" i="10"/>
  <c r="AF52" i="10"/>
  <c r="CA52" i="10"/>
  <c r="BS52" i="10"/>
  <c r="BK52" i="10"/>
  <c r="BC52" i="10"/>
  <c r="AU52" i="10"/>
  <c r="AM52" i="10"/>
  <c r="AE52" i="10"/>
  <c r="BZ52" i="10"/>
  <c r="BR52" i="10"/>
  <c r="BJ52" i="10"/>
  <c r="BB52" i="10"/>
  <c r="AT52" i="10"/>
  <c r="AL52" i="10"/>
  <c r="AD52" i="10"/>
  <c r="BY52" i="10"/>
  <c r="BQ52" i="10"/>
  <c r="BI52" i="10"/>
  <c r="BA52" i="10"/>
  <c r="AS52" i="10"/>
  <c r="AK52" i="10"/>
  <c r="BX52" i="10"/>
  <c r="BP52" i="10"/>
  <c r="BH52" i="10"/>
  <c r="AZ52" i="10"/>
  <c r="AR52" i="10"/>
  <c r="AJ52" i="10"/>
  <c r="BV52" i="10"/>
  <c r="BN52" i="10"/>
  <c r="BF52" i="10"/>
  <c r="AX52" i="10"/>
  <c r="AP52" i="10"/>
  <c r="AH52" i="10"/>
  <c r="BO52" i="10"/>
  <c r="BG52" i="10"/>
  <c r="AY52" i="10"/>
  <c r="AQ52" i="10"/>
  <c r="AI52" i="10"/>
  <c r="BW52" i="10"/>
  <c r="R52" i="10"/>
  <c r="P52" i="10"/>
  <c r="N53" i="10" s="1"/>
  <c r="BE115" i="11"/>
  <c r="AW115" i="11"/>
  <c r="AO115" i="11"/>
  <c r="AG115" i="11"/>
  <c r="Y115" i="11"/>
  <c r="Q115" i="11"/>
  <c r="I115" i="11"/>
  <c r="F116" i="11"/>
  <c r="BA115" i="11"/>
  <c r="AS115" i="11"/>
  <c r="AK115" i="11"/>
  <c r="AC115" i="11"/>
  <c r="U115" i="11"/>
  <c r="M115" i="11"/>
  <c r="BG115" i="11"/>
  <c r="AV115" i="11"/>
  <c r="AL115" i="11"/>
  <c r="AA115" i="11"/>
  <c r="P115" i="11"/>
  <c r="BD115" i="11"/>
  <c r="AT115" i="11"/>
  <c r="AI115" i="11"/>
  <c r="X115" i="11"/>
  <c r="N115" i="11"/>
  <c r="AZ115" i="11"/>
  <c r="AP115" i="11"/>
  <c r="AE115" i="11"/>
  <c r="T115" i="11"/>
  <c r="J115" i="11"/>
  <c r="AY115" i="11"/>
  <c r="AH115" i="11"/>
  <c r="R115" i="11"/>
  <c r="AU115" i="11"/>
  <c r="AD115" i="11"/>
  <c r="L115" i="11"/>
  <c r="AR115" i="11"/>
  <c r="AB115" i="11"/>
  <c r="K115" i="11"/>
  <c r="BC115" i="11"/>
  <c r="AM115" i="11"/>
  <c r="V115" i="11"/>
  <c r="AJ115" i="11"/>
  <c r="BH115" i="11"/>
  <c r="Z115" i="11"/>
  <c r="AX115" i="11"/>
  <c r="O115" i="11"/>
  <c r="AN115" i="11"/>
  <c r="BF115" i="11"/>
  <c r="BB115" i="11"/>
  <c r="AF115" i="11"/>
  <c r="S115" i="11"/>
  <c r="AQ115" i="11"/>
  <c r="W115" i="11"/>
  <c r="I52" i="5"/>
  <c r="F53" i="5"/>
  <c r="Z53" i="5"/>
  <c r="C53" i="5"/>
  <c r="AL53" i="5"/>
  <c r="Y53" i="5"/>
  <c r="M53" i="5"/>
  <c r="B53" i="5"/>
  <c r="AK53" i="5"/>
  <c r="W53" i="5"/>
  <c r="V53" i="5"/>
  <c r="J53" i="5"/>
  <c r="U53" i="5"/>
  <c r="T53" i="5"/>
  <c r="A54" i="5"/>
  <c r="G53" i="5"/>
  <c r="W52" i="8"/>
  <c r="X52" i="8" s="1"/>
  <c r="F53" i="8"/>
  <c r="V60" i="13"/>
  <c r="W59" i="13"/>
  <c r="BC56" i="11"/>
  <c r="AU56" i="11"/>
  <c r="AM56" i="11"/>
  <c r="AE56" i="11"/>
  <c r="W56" i="11"/>
  <c r="O56" i="11"/>
  <c r="F57" i="11"/>
  <c r="BA56" i="11"/>
  <c r="AS56" i="11"/>
  <c r="AK56" i="11"/>
  <c r="AC56" i="11"/>
  <c r="U56" i="11"/>
  <c r="M56" i="11"/>
  <c r="BH56" i="11"/>
  <c r="AZ56" i="11"/>
  <c r="AR56" i="11"/>
  <c r="AJ56" i="11"/>
  <c r="AB56" i="11"/>
  <c r="T56" i="11"/>
  <c r="L56" i="11"/>
  <c r="BG56" i="11"/>
  <c r="AY56" i="11"/>
  <c r="AQ56" i="11"/>
  <c r="AI56" i="11"/>
  <c r="AA56" i="11"/>
  <c r="S56" i="11"/>
  <c r="K56" i="11"/>
  <c r="BE56" i="11"/>
  <c r="AW56" i="11"/>
  <c r="AG56" i="11"/>
  <c r="Q56" i="11"/>
  <c r="AV56" i="11"/>
  <c r="AF56" i="11"/>
  <c r="P56" i="11"/>
  <c r="AT56" i="11"/>
  <c r="AD56" i="11"/>
  <c r="N56" i="11"/>
  <c r="AP56" i="11"/>
  <c r="Z56" i="11"/>
  <c r="J56" i="11"/>
  <c r="BF56" i="11"/>
  <c r="AO56" i="11"/>
  <c r="Y56" i="11"/>
  <c r="I56" i="11"/>
  <c r="BD56" i="11"/>
  <c r="AN56" i="11"/>
  <c r="X56" i="11"/>
  <c r="BB56" i="11"/>
  <c r="AL56" i="11"/>
  <c r="V56" i="11"/>
  <c r="AX56" i="11"/>
  <c r="AH56" i="11"/>
  <c r="R56" i="11"/>
  <c r="B52" i="6"/>
  <c r="A53" i="6"/>
  <c r="AD52" i="6"/>
  <c r="AA52" i="6"/>
  <c r="C52" i="6"/>
  <c r="AC54" i="10"/>
  <c r="C55" i="10"/>
  <c r="BN53" i="4"/>
  <c r="BE53" i="4"/>
  <c r="BM53" i="4"/>
  <c r="BD53" i="4"/>
  <c r="G53" i="4"/>
  <c r="P53" i="4"/>
  <c r="BJ53" i="4"/>
  <c r="AA53" i="4"/>
  <c r="O53" i="4"/>
  <c r="C53" i="4"/>
  <c r="A54" i="4"/>
  <c r="B53" i="4"/>
  <c r="G52" i="8" s="1"/>
  <c r="BQ53" i="4"/>
  <c r="U53" i="4"/>
  <c r="BP53" i="4"/>
  <c r="I53" i="4"/>
  <c r="AX53" i="4" s="1"/>
  <c r="AY53" i="4"/>
  <c r="BH7" i="11"/>
  <c r="BH8" i="11"/>
  <c r="BH9" i="11"/>
  <c r="BH10" i="11"/>
  <c r="BH11" i="11"/>
  <c r="BH12" i="11"/>
  <c r="BH13" i="11"/>
  <c r="BH14" i="11"/>
  <c r="AQ9" i="10"/>
  <c r="BH15" i="11"/>
  <c r="BH16" i="11"/>
  <c r="BH17" i="11"/>
  <c r="BH18" i="11"/>
  <c r="BH19" i="11"/>
  <c r="BH20" i="11"/>
  <c r="AV6" i="10"/>
  <c r="BH21" i="11"/>
  <c r="AV7" i="10"/>
  <c r="BH22" i="11"/>
  <c r="BH23" i="11"/>
  <c r="BH24" i="11"/>
  <c r="BH25" i="11"/>
  <c r="BA9" i="10"/>
  <c r="BH26" i="11"/>
  <c r="BA4" i="10"/>
  <c r="BH27" i="11"/>
  <c r="BA18" i="10"/>
  <c r="BA10" i="10"/>
  <c r="BB15" i="10"/>
  <c r="BH28" i="11"/>
  <c r="BC8" i="10"/>
  <c r="BB19" i="10"/>
  <c r="BC17" i="10"/>
  <c r="BC16" i="10"/>
  <c r="BC18" i="10"/>
  <c r="BH29" i="11"/>
  <c r="BD16" i="10"/>
  <c r="BE23" i="10"/>
  <c r="BH30" i="11"/>
  <c r="BG25" i="10"/>
  <c r="BE19" i="10"/>
  <c r="BH31" i="11"/>
  <c r="BH32" i="11"/>
  <c r="BF17" i="10"/>
  <c r="BH21" i="10"/>
  <c r="BH33" i="11"/>
  <c r="BH5" i="10"/>
  <c r="BH34" i="11"/>
  <c r="BH14" i="10"/>
  <c r="BJ10" i="10"/>
  <c r="BH35" i="11"/>
  <c r="BH36" i="11"/>
  <c r="BK10" i="10"/>
  <c r="BK25" i="10"/>
  <c r="BH37" i="11"/>
  <c r="BH38" i="11"/>
  <c r="BM6" i="10"/>
  <c r="BM12" i="10"/>
  <c r="BM27" i="10"/>
  <c r="BH39" i="11"/>
  <c r="BM18" i="10"/>
  <c r="BM7" i="10"/>
  <c r="BM24" i="10"/>
  <c r="BM28" i="10"/>
  <c r="BM8" i="10"/>
  <c r="BM23" i="10"/>
  <c r="BM20" i="10"/>
  <c r="BM26" i="10"/>
  <c r="BM11" i="10"/>
  <c r="BM25" i="10"/>
  <c r="BN4" i="10"/>
  <c r="BN28" i="10"/>
  <c r="BN5" i="10"/>
  <c r="BN15" i="10"/>
  <c r="BN13" i="10"/>
  <c r="BN8" i="10"/>
  <c r="BH40" i="11"/>
  <c r="BH41" i="11"/>
  <c r="AH54" i="7"/>
  <c r="Y54" i="7"/>
  <c r="O54" i="7"/>
  <c r="AG54" i="7"/>
  <c r="X54" i="7"/>
  <c r="AF54" i="7"/>
  <c r="AE54" i="7"/>
  <c r="AJ54" i="7" s="1"/>
  <c r="U54" i="7"/>
  <c r="T54" i="7"/>
  <c r="AB54" i="7"/>
  <c r="S54" i="7"/>
  <c r="Z54" i="7"/>
  <c r="N55" i="7"/>
  <c r="R54" i="7"/>
  <c r="Q54" i="7"/>
  <c r="V54" i="7" s="1"/>
  <c r="AI54" i="7"/>
  <c r="AA54" i="7"/>
  <c r="L53" i="10" l="1"/>
  <c r="CA49" i="10"/>
  <c r="AC54" i="7"/>
  <c r="AB53" i="5"/>
  <c r="CA51" i="10"/>
  <c r="CA26" i="10"/>
  <c r="BF62" i="11"/>
  <c r="CA30" i="10"/>
  <c r="CA16" i="10"/>
  <c r="AV53" i="4"/>
  <c r="AE55" i="7"/>
  <c r="U55" i="7"/>
  <c r="T55" i="7"/>
  <c r="AB55" i="7"/>
  <c r="S55" i="7"/>
  <c r="N56" i="7"/>
  <c r="AA55" i="7"/>
  <c r="R55" i="7"/>
  <c r="AI55" i="7"/>
  <c r="Z55" i="7"/>
  <c r="Q55" i="7"/>
  <c r="AH55" i="7"/>
  <c r="Y55" i="7"/>
  <c r="O55" i="7"/>
  <c r="AG55" i="7"/>
  <c r="AF55" i="7"/>
  <c r="X55" i="7"/>
  <c r="AC55" i="7" s="1"/>
  <c r="BM54" i="4"/>
  <c r="BD54" i="4"/>
  <c r="G54" i="4"/>
  <c r="P54" i="4"/>
  <c r="BE54" i="4" s="1"/>
  <c r="AA54" i="4"/>
  <c r="BP54" i="4" s="1"/>
  <c r="O54" i="4"/>
  <c r="C54" i="4"/>
  <c r="A55" i="4"/>
  <c r="B54" i="4"/>
  <c r="AY54" i="4"/>
  <c r="U54" i="4"/>
  <c r="BJ54" i="4" s="1"/>
  <c r="I54" i="4"/>
  <c r="AX54" i="4" s="1"/>
  <c r="AV54" i="4"/>
  <c r="BQ54" i="4"/>
  <c r="BN54" i="4"/>
  <c r="AC55" i="10"/>
  <c r="C56" i="10"/>
  <c r="A54" i="6"/>
  <c r="AD53" i="6"/>
  <c r="AA53" i="6"/>
  <c r="C53" i="6"/>
  <c r="B53" i="6"/>
  <c r="BE57" i="11"/>
  <c r="AW57" i="11"/>
  <c r="AO57" i="11"/>
  <c r="AG57" i="11"/>
  <c r="Y57" i="11"/>
  <c r="Q57" i="11"/>
  <c r="I57" i="11"/>
  <c r="BC57" i="11"/>
  <c r="AU57" i="11"/>
  <c r="AM57" i="11"/>
  <c r="AE57" i="11"/>
  <c r="W57" i="11"/>
  <c r="O57" i="11"/>
  <c r="BB57" i="11"/>
  <c r="AT57" i="11"/>
  <c r="AL57" i="11"/>
  <c r="AD57" i="11"/>
  <c r="V57" i="11"/>
  <c r="N57" i="11"/>
  <c r="F58" i="11"/>
  <c r="BA57" i="11"/>
  <c r="AS57" i="11"/>
  <c r="AK57" i="11"/>
  <c r="AC57" i="11"/>
  <c r="U57" i="11"/>
  <c r="M57" i="11"/>
  <c r="BH57" i="11"/>
  <c r="AZ57" i="11"/>
  <c r="AR57" i="11"/>
  <c r="AJ57" i="11"/>
  <c r="AB57" i="11"/>
  <c r="T57" i="11"/>
  <c r="BG57" i="11"/>
  <c r="AY57" i="11"/>
  <c r="AQ57" i="11"/>
  <c r="AI57" i="11"/>
  <c r="AA57" i="11"/>
  <c r="S57" i="11"/>
  <c r="K57" i="11"/>
  <c r="AV57" i="11"/>
  <c r="P57" i="11"/>
  <c r="AP57" i="11"/>
  <c r="L57" i="11"/>
  <c r="AN57" i="11"/>
  <c r="J57" i="11"/>
  <c r="AH57" i="11"/>
  <c r="AF57" i="11"/>
  <c r="BF57" i="11"/>
  <c r="Z57" i="11"/>
  <c r="BD57" i="11"/>
  <c r="X57" i="11"/>
  <c r="AX57" i="11"/>
  <c r="R57" i="11"/>
  <c r="W60" i="13"/>
  <c r="V61" i="13"/>
  <c r="W53" i="8"/>
  <c r="X53" i="8" s="1"/>
  <c r="G53" i="8"/>
  <c r="F54" i="8"/>
  <c r="V54" i="5"/>
  <c r="J54" i="5"/>
  <c r="U54" i="5"/>
  <c r="A55" i="5"/>
  <c r="T54" i="5"/>
  <c r="G54" i="5"/>
  <c r="F54" i="5"/>
  <c r="Z54" i="5"/>
  <c r="C54" i="5"/>
  <c r="M54" i="5"/>
  <c r="B54" i="5"/>
  <c r="AL54" i="5"/>
  <c r="AK54" i="5"/>
  <c r="Y54" i="5"/>
  <c r="W54" i="5"/>
  <c r="I53" i="5"/>
  <c r="BB116" i="11"/>
  <c r="AT116" i="11"/>
  <c r="AL116" i="11"/>
  <c r="AD116" i="11"/>
  <c r="V116" i="11"/>
  <c r="BD116" i="11"/>
  <c r="AU116" i="11"/>
  <c r="AK116" i="11"/>
  <c r="AB116" i="11"/>
  <c r="S116" i="11"/>
  <c r="K116" i="11"/>
  <c r="BH116" i="11"/>
  <c r="AY116" i="11"/>
  <c r="AP116" i="11"/>
  <c r="AG116" i="11"/>
  <c r="X116" i="11"/>
  <c r="O116" i="11"/>
  <c r="BA116" i="11"/>
  <c r="AZ116" i="11"/>
  <c r="AN116" i="11"/>
  <c r="AA116" i="11"/>
  <c r="P116" i="11"/>
  <c r="AW116" i="11"/>
  <c r="AJ116" i="11"/>
  <c r="Y116" i="11"/>
  <c r="M116" i="11"/>
  <c r="BE116" i="11"/>
  <c r="AR116" i="11"/>
  <c r="AF116" i="11"/>
  <c r="T116" i="11"/>
  <c r="I116" i="11"/>
  <c r="BC116" i="11"/>
  <c r="AH116" i="11"/>
  <c r="N116" i="11"/>
  <c r="AV116" i="11"/>
  <c r="AC116" i="11"/>
  <c r="J116" i="11"/>
  <c r="AS116" i="11"/>
  <c r="Z116" i="11"/>
  <c r="BG116" i="11"/>
  <c r="AM116" i="11"/>
  <c r="R116" i="11"/>
  <c r="BF116" i="11"/>
  <c r="Q116" i="11"/>
  <c r="AQ116" i="11"/>
  <c r="AE116" i="11"/>
  <c r="U116" i="11"/>
  <c r="W116" i="11"/>
  <c r="L116" i="11"/>
  <c r="AX116" i="11"/>
  <c r="AO116" i="11"/>
  <c r="AI116" i="11"/>
  <c r="R53" i="10"/>
  <c r="P53" i="10"/>
  <c r="BV53" i="10"/>
  <c r="BT53" i="10"/>
  <c r="CA53" i="10"/>
  <c r="BZ53" i="10"/>
  <c r="BP53" i="10"/>
  <c r="BH53" i="10"/>
  <c r="AZ53" i="10"/>
  <c r="AR53" i="10"/>
  <c r="AJ53" i="10"/>
  <c r="BY53" i="10"/>
  <c r="BO53" i="10"/>
  <c r="BG53" i="10"/>
  <c r="AY53" i="10"/>
  <c r="AQ53" i="10"/>
  <c r="AI53" i="10"/>
  <c r="BX53" i="10"/>
  <c r="BN53" i="10"/>
  <c r="BF53" i="10"/>
  <c r="AX53" i="10"/>
  <c r="AP53" i="10"/>
  <c r="AH53" i="10"/>
  <c r="BW53" i="10"/>
  <c r="BM53" i="10"/>
  <c r="BE53" i="10"/>
  <c r="AW53" i="10"/>
  <c r="AO53" i="10"/>
  <c r="AG53" i="10"/>
  <c r="BU53" i="10"/>
  <c r="BL53" i="10"/>
  <c r="BD53" i="10"/>
  <c r="AV53" i="10"/>
  <c r="AN53" i="10"/>
  <c r="AF53" i="10"/>
  <c r="BS53" i="10"/>
  <c r="BK53" i="10"/>
  <c r="BC53" i="10"/>
  <c r="AU53" i="10"/>
  <c r="AM53" i="10"/>
  <c r="AE53" i="10"/>
  <c r="BQ53" i="10"/>
  <c r="BI53" i="10"/>
  <c r="BA53" i="10"/>
  <c r="AS53" i="10"/>
  <c r="AK53" i="10"/>
  <c r="BJ53" i="10"/>
  <c r="BB53" i="10"/>
  <c r="AT53" i="10"/>
  <c r="AL53" i="10"/>
  <c r="AD53" i="10"/>
  <c r="BR53" i="10"/>
  <c r="AB54" i="10"/>
  <c r="J54" i="10"/>
  <c r="B55" i="10"/>
  <c r="G54" i="10"/>
  <c r="N54" i="10"/>
  <c r="E54" i="10"/>
  <c r="CB50" i="10" s="1"/>
  <c r="O54" i="10"/>
  <c r="H54" i="10"/>
  <c r="K53" i="10"/>
  <c r="AJ55" i="7" l="1"/>
  <c r="CB10" i="10"/>
  <c r="AB54" i="5"/>
  <c r="CB33" i="10"/>
  <c r="CC49" i="10"/>
  <c r="Z49" i="10" s="1"/>
  <c r="CC9" i="10"/>
  <c r="CC30" i="10"/>
  <c r="BH4" i="11"/>
  <c r="CB51" i="10"/>
  <c r="F54" i="10"/>
  <c r="CB18" i="10"/>
  <c r="BG4" i="11"/>
  <c r="CB49" i="10"/>
  <c r="CB31" i="10"/>
  <c r="V55" i="7"/>
  <c r="BG62" i="11"/>
  <c r="CB34" i="10"/>
  <c r="CB52" i="10"/>
  <c r="CB21" i="10"/>
  <c r="CB35" i="10"/>
  <c r="CB6" i="10"/>
  <c r="CB14" i="10"/>
  <c r="CB53" i="10"/>
  <c r="CC11" i="10"/>
  <c r="K54" i="10"/>
  <c r="L54" i="10" s="1"/>
  <c r="J55" i="10" s="1"/>
  <c r="R54" i="10"/>
  <c r="P54" i="10"/>
  <c r="E55" i="10"/>
  <c r="CC6" i="10" s="1"/>
  <c r="N55" i="10"/>
  <c r="AB55" i="10"/>
  <c r="B56" i="10"/>
  <c r="G55" i="10"/>
  <c r="H55" i="10" s="1"/>
  <c r="O55" i="10"/>
  <c r="BY54" i="10"/>
  <c r="BQ54" i="10"/>
  <c r="BI54" i="10"/>
  <c r="BA54" i="10"/>
  <c r="AS54" i="10"/>
  <c r="AK54" i="10"/>
  <c r="BX54" i="10"/>
  <c r="BP54" i="10"/>
  <c r="BH54" i="10"/>
  <c r="AZ54" i="10"/>
  <c r="AR54" i="10"/>
  <c r="AJ54" i="10"/>
  <c r="BW54" i="10"/>
  <c r="BO54" i="10"/>
  <c r="BG54" i="10"/>
  <c r="AY54" i="10"/>
  <c r="AQ54" i="10"/>
  <c r="AI54" i="10"/>
  <c r="BV54" i="10"/>
  <c r="BN54" i="10"/>
  <c r="BF54" i="10"/>
  <c r="AX54" i="10"/>
  <c r="AP54" i="10"/>
  <c r="AH54" i="10"/>
  <c r="BU54" i="10"/>
  <c r="BM54" i="10"/>
  <c r="BE54" i="10"/>
  <c r="AW54" i="10"/>
  <c r="AO54" i="10"/>
  <c r="AG54" i="10"/>
  <c r="CB54" i="10"/>
  <c r="BT54" i="10"/>
  <c r="BL54" i="10"/>
  <c r="BD54" i="10"/>
  <c r="AV54" i="10"/>
  <c r="AN54" i="10"/>
  <c r="AF54" i="10"/>
  <c r="BK54" i="10"/>
  <c r="AE54" i="10"/>
  <c r="BJ54" i="10"/>
  <c r="AD54" i="10"/>
  <c r="BC54" i="10"/>
  <c r="BB54" i="10"/>
  <c r="CA54" i="10"/>
  <c r="AU54" i="10"/>
  <c r="BZ54" i="10"/>
  <c r="AT54" i="10"/>
  <c r="BR54" i="10"/>
  <c r="AL54" i="10"/>
  <c r="BS54" i="10"/>
  <c r="AM54" i="10"/>
  <c r="I54" i="5"/>
  <c r="Z55" i="5"/>
  <c r="C55" i="5"/>
  <c r="AL55" i="5"/>
  <c r="Y55" i="5"/>
  <c r="M55" i="5"/>
  <c r="B55" i="5"/>
  <c r="AK55" i="5"/>
  <c r="W55" i="5"/>
  <c r="V55" i="5"/>
  <c r="J55" i="5"/>
  <c r="U55" i="5"/>
  <c r="A56" i="5"/>
  <c r="T55" i="5"/>
  <c r="G55" i="5"/>
  <c r="F55" i="5"/>
  <c r="W54" i="8"/>
  <c r="X54" i="8" s="1"/>
  <c r="F55" i="8"/>
  <c r="W61" i="13"/>
  <c r="V62" i="13"/>
  <c r="BG58" i="11"/>
  <c r="AY58" i="11"/>
  <c r="AQ58" i="11"/>
  <c r="AI58" i="11"/>
  <c r="AA58" i="11"/>
  <c r="S58" i="11"/>
  <c r="K58" i="11"/>
  <c r="BE58" i="11"/>
  <c r="AW58" i="11"/>
  <c r="AO58" i="11"/>
  <c r="AG58" i="11"/>
  <c r="Y58" i="11"/>
  <c r="Q58" i="11"/>
  <c r="I58" i="11"/>
  <c r="BD58" i="11"/>
  <c r="AV58" i="11"/>
  <c r="AN58" i="11"/>
  <c r="AF58" i="11"/>
  <c r="X58" i="11"/>
  <c r="P58" i="11"/>
  <c r="BC58" i="11"/>
  <c r="AU58" i="11"/>
  <c r="AM58" i="11"/>
  <c r="AE58" i="11"/>
  <c r="W58" i="11"/>
  <c r="O58" i="11"/>
  <c r="BB58" i="11"/>
  <c r="AT58" i="11"/>
  <c r="AL58" i="11"/>
  <c r="AD58" i="11"/>
  <c r="V58" i="11"/>
  <c r="N58" i="11"/>
  <c r="BA58" i="11"/>
  <c r="AS58" i="11"/>
  <c r="AK58" i="11"/>
  <c r="AC58" i="11"/>
  <c r="U58" i="11"/>
  <c r="M58" i="11"/>
  <c r="BF58" i="11"/>
  <c r="Z58" i="11"/>
  <c r="AZ58" i="11"/>
  <c r="T58" i="11"/>
  <c r="AX58" i="11"/>
  <c r="R58" i="11"/>
  <c r="AR58" i="11"/>
  <c r="L58" i="11"/>
  <c r="AP58" i="11"/>
  <c r="J58" i="11"/>
  <c r="AJ58" i="11"/>
  <c r="AH58" i="11"/>
  <c r="BH58" i="11"/>
  <c r="AB58" i="11"/>
  <c r="B54" i="6"/>
  <c r="A55" i="6"/>
  <c r="AD54" i="6"/>
  <c r="AA54" i="6"/>
  <c r="C54" i="6"/>
  <c r="C57" i="10"/>
  <c r="AC56" i="10"/>
  <c r="P55" i="4"/>
  <c r="BE55" i="4" s="1"/>
  <c r="BJ55" i="4"/>
  <c r="AA55" i="4"/>
  <c r="O55" i="4"/>
  <c r="C55" i="4"/>
  <c r="A56" i="4"/>
  <c r="B55" i="4"/>
  <c r="G54" i="8" s="1"/>
  <c r="AY55" i="4"/>
  <c r="U55" i="4"/>
  <c r="BQ55" i="4"/>
  <c r="AX55" i="4"/>
  <c r="BN55" i="4"/>
  <c r="BP55" i="4"/>
  <c r="BM55" i="4"/>
  <c r="I55" i="4"/>
  <c r="BD55" i="4"/>
  <c r="G55" i="4"/>
  <c r="AV55" i="4" s="1"/>
  <c r="N57" i="7"/>
  <c r="AA56" i="7"/>
  <c r="R56" i="7"/>
  <c r="AI56" i="7"/>
  <c r="Z56" i="7"/>
  <c r="Q56" i="7"/>
  <c r="V56" i="7" s="1"/>
  <c r="AH56" i="7"/>
  <c r="Y56" i="7"/>
  <c r="O56" i="7"/>
  <c r="AG56" i="7"/>
  <c r="X56" i="7"/>
  <c r="AC56" i="7" s="1"/>
  <c r="AF56" i="7"/>
  <c r="AE56" i="7"/>
  <c r="U56" i="7"/>
  <c r="S56" i="7"/>
  <c r="AB56" i="7"/>
  <c r="T56" i="7"/>
  <c r="CC33" i="10" l="1"/>
  <c r="AB55" i="5"/>
  <c r="AJ56" i="7"/>
  <c r="CC37" i="10"/>
  <c r="CC4" i="10"/>
  <c r="CC41" i="10"/>
  <c r="CC53" i="10"/>
  <c r="Z53" i="10" s="1"/>
  <c r="Z52" i="10"/>
  <c r="CC54" i="10"/>
  <c r="Z54" i="10" s="1"/>
  <c r="F55" i="10"/>
  <c r="BH62" i="11"/>
  <c r="BU25" i="10"/>
  <c r="BU38" i="10"/>
  <c r="BV38" i="10"/>
  <c r="BW40" i="10"/>
  <c r="BZ38" i="10"/>
  <c r="CA41" i="10"/>
  <c r="CB44" i="10"/>
  <c r="CC39" i="10"/>
  <c r="CC38" i="10"/>
  <c r="CC51" i="10"/>
  <c r="Z51" i="10" s="1"/>
  <c r="CC52" i="10"/>
  <c r="AG57" i="7"/>
  <c r="X57" i="7"/>
  <c r="AF57" i="7"/>
  <c r="AE57" i="7"/>
  <c r="AJ57" i="7" s="1"/>
  <c r="U57" i="7"/>
  <c r="T57" i="7"/>
  <c r="AB57" i="7"/>
  <c r="S57" i="7"/>
  <c r="N58" i="7"/>
  <c r="AA57" i="7"/>
  <c r="R57" i="7"/>
  <c r="O57" i="7"/>
  <c r="AI57" i="7"/>
  <c r="AH57" i="7"/>
  <c r="Z57" i="7"/>
  <c r="Y57" i="7"/>
  <c r="Q57" i="7"/>
  <c r="V57" i="7" s="1"/>
  <c r="AA56" i="4"/>
  <c r="O56" i="4"/>
  <c r="C56" i="4"/>
  <c r="A57" i="4"/>
  <c r="B56" i="4"/>
  <c r="AY56" i="4"/>
  <c r="U56" i="4"/>
  <c r="BJ56" i="4" s="1"/>
  <c r="BQ56" i="4"/>
  <c r="BP56" i="4"/>
  <c r="I56" i="4"/>
  <c r="AX56" i="4" s="1"/>
  <c r="BM56" i="4"/>
  <c r="BD56" i="4"/>
  <c r="G56" i="4"/>
  <c r="AV56" i="4"/>
  <c r="BN56" i="4"/>
  <c r="P56" i="4"/>
  <c r="BE56" i="4"/>
  <c r="AC57" i="10"/>
  <c r="C58" i="10"/>
  <c r="C55" i="6"/>
  <c r="B55" i="6"/>
  <c r="A56" i="6"/>
  <c r="AD55" i="6"/>
  <c r="AA55" i="6"/>
  <c r="AK4" i="10"/>
  <c r="AS5" i="10"/>
  <c r="AS7" i="10"/>
  <c r="BA11" i="10"/>
  <c r="BA5" i="10"/>
  <c r="BA13" i="10"/>
  <c r="BB11" i="10"/>
  <c r="BA17" i="10"/>
  <c r="BB10" i="10"/>
  <c r="BB18" i="10"/>
  <c r="BC11" i="10"/>
  <c r="BD22" i="10"/>
  <c r="BE18" i="10"/>
  <c r="BD20" i="10"/>
  <c r="BF9" i="10"/>
  <c r="BE20" i="10"/>
  <c r="BH22" i="10"/>
  <c r="BH6" i="10"/>
  <c r="BJ13" i="10"/>
  <c r="BJ11" i="10"/>
  <c r="BJ16" i="10"/>
  <c r="BJ27" i="10"/>
  <c r="BJ15" i="10"/>
  <c r="BJ19" i="10"/>
  <c r="BJ5" i="10"/>
  <c r="BJ20" i="10"/>
  <c r="BJ23" i="10"/>
  <c r="BJ18" i="10"/>
  <c r="BJ7" i="10"/>
  <c r="BK8" i="10"/>
  <c r="BK20" i="10"/>
  <c r="BK4" i="10"/>
  <c r="BL8" i="10"/>
  <c r="BM19" i="10"/>
  <c r="BL15" i="10"/>
  <c r="BL16" i="10"/>
  <c r="BM17" i="10"/>
  <c r="BM9" i="10"/>
  <c r="BL22" i="10"/>
  <c r="BM16" i="10"/>
  <c r="BL18" i="10"/>
  <c r="BL25" i="10"/>
  <c r="BM22" i="10"/>
  <c r="BL4" i="10"/>
  <c r="BL27" i="10"/>
  <c r="BM5" i="10"/>
  <c r="BM15" i="10"/>
  <c r="BM14" i="10"/>
  <c r="BN31" i="10"/>
  <c r="BN6" i="10"/>
  <c r="BN23" i="10"/>
  <c r="BN12" i="10"/>
  <c r="BN20" i="10"/>
  <c r="BN16" i="10"/>
  <c r="BN24" i="10"/>
  <c r="V63" i="13"/>
  <c r="W62" i="13"/>
  <c r="W55" i="8"/>
  <c r="X55" i="8" s="1"/>
  <c r="G55" i="8"/>
  <c r="F56" i="8"/>
  <c r="I55" i="5"/>
  <c r="A57" i="5"/>
  <c r="T56" i="5"/>
  <c r="G56" i="5"/>
  <c r="F56" i="5"/>
  <c r="Z56" i="5"/>
  <c r="C56" i="5"/>
  <c r="AL56" i="5"/>
  <c r="Y56" i="5"/>
  <c r="M56" i="5"/>
  <c r="B56" i="5"/>
  <c r="AK56" i="5"/>
  <c r="W56" i="5"/>
  <c r="V56" i="5"/>
  <c r="U56" i="5"/>
  <c r="J56" i="5"/>
  <c r="B57" i="10"/>
  <c r="G56" i="10"/>
  <c r="H56" i="10" s="1"/>
  <c r="E56" i="10"/>
  <c r="AB56" i="10"/>
  <c r="O56" i="10"/>
  <c r="CB55" i="10"/>
  <c r="BT55" i="10"/>
  <c r="BL55" i="10"/>
  <c r="BD55" i="10"/>
  <c r="AV55" i="10"/>
  <c r="AN55" i="10"/>
  <c r="AF55" i="10"/>
  <c r="CA55" i="10"/>
  <c r="BS55" i="10"/>
  <c r="BK55" i="10"/>
  <c r="BC55" i="10"/>
  <c r="AU55" i="10"/>
  <c r="AM55" i="10"/>
  <c r="AE55" i="10"/>
  <c r="BZ55" i="10"/>
  <c r="BR55" i="10"/>
  <c r="BJ55" i="10"/>
  <c r="BB55" i="10"/>
  <c r="AT55" i="10"/>
  <c r="AL55" i="10"/>
  <c r="AD55" i="10"/>
  <c r="BY55" i="10"/>
  <c r="BQ55" i="10"/>
  <c r="BI55" i="10"/>
  <c r="BA55" i="10"/>
  <c r="AS55" i="10"/>
  <c r="AK55" i="10"/>
  <c r="BX55" i="10"/>
  <c r="BP55" i="10"/>
  <c r="BH55" i="10"/>
  <c r="AZ55" i="10"/>
  <c r="AR55" i="10"/>
  <c r="AJ55" i="10"/>
  <c r="BW55" i="10"/>
  <c r="BO55" i="10"/>
  <c r="BG55" i="10"/>
  <c r="AY55" i="10"/>
  <c r="AQ55" i="10"/>
  <c r="AI55" i="10"/>
  <c r="BF55" i="10"/>
  <c r="BE55" i="10"/>
  <c r="AX55" i="10"/>
  <c r="CC55" i="10"/>
  <c r="AW55" i="10"/>
  <c r="BV55" i="10"/>
  <c r="AP55" i="10"/>
  <c r="BU55" i="10"/>
  <c r="AO55" i="10"/>
  <c r="BN55" i="10"/>
  <c r="BM55" i="10"/>
  <c r="AG55" i="10"/>
  <c r="AH55" i="10"/>
  <c r="P55" i="10"/>
  <c r="N56" i="10" s="1"/>
  <c r="R55" i="10"/>
  <c r="K55" i="10"/>
  <c r="L55" i="10" s="1"/>
  <c r="J56" i="10" s="1"/>
  <c r="AC57" i="7" l="1"/>
  <c r="F56" i="10"/>
  <c r="F57" i="10" s="1"/>
  <c r="Z55" i="10"/>
  <c r="AB56" i="5"/>
  <c r="H57" i="10"/>
  <c r="K56" i="10"/>
  <c r="L56" i="10" s="1"/>
  <c r="J57" i="10" s="1"/>
  <c r="BW56" i="10"/>
  <c r="BO56" i="10"/>
  <c r="BG56" i="10"/>
  <c r="AY56" i="10"/>
  <c r="AQ56" i="10"/>
  <c r="AI56" i="10"/>
  <c r="BV56" i="10"/>
  <c r="BN56" i="10"/>
  <c r="BF56" i="10"/>
  <c r="AX56" i="10"/>
  <c r="AP56" i="10"/>
  <c r="AH56" i="10"/>
  <c r="CC56" i="10"/>
  <c r="BU56" i="10"/>
  <c r="BM56" i="10"/>
  <c r="BE56" i="10"/>
  <c r="AW56" i="10"/>
  <c r="AO56" i="10"/>
  <c r="AG56" i="10"/>
  <c r="CB56" i="10"/>
  <c r="BT56" i="10"/>
  <c r="BL56" i="10"/>
  <c r="BD56" i="10"/>
  <c r="AV56" i="10"/>
  <c r="AN56" i="10"/>
  <c r="AF56" i="10"/>
  <c r="CA56" i="10"/>
  <c r="BS56" i="10"/>
  <c r="BK56" i="10"/>
  <c r="BC56" i="10"/>
  <c r="AU56" i="10"/>
  <c r="AM56" i="10"/>
  <c r="AE56" i="10"/>
  <c r="BZ56" i="10"/>
  <c r="BR56" i="10"/>
  <c r="BJ56" i="10"/>
  <c r="BB56" i="10"/>
  <c r="AT56" i="10"/>
  <c r="AL56" i="10"/>
  <c r="AD56" i="10"/>
  <c r="BA56" i="10"/>
  <c r="AZ56" i="10"/>
  <c r="BY56" i="10"/>
  <c r="AS56" i="10"/>
  <c r="BX56" i="10"/>
  <c r="AR56" i="10"/>
  <c r="BQ56" i="10"/>
  <c r="AK56" i="10"/>
  <c r="BP56" i="10"/>
  <c r="AJ56" i="10"/>
  <c r="BI56" i="10"/>
  <c r="BH56" i="10"/>
  <c r="R56" i="10"/>
  <c r="P56" i="10"/>
  <c r="N57" i="10"/>
  <c r="AB57" i="10"/>
  <c r="B58" i="10"/>
  <c r="G57" i="10"/>
  <c r="E57" i="10"/>
  <c r="O57" i="10"/>
  <c r="I56" i="5"/>
  <c r="AK57" i="5"/>
  <c r="W57" i="5"/>
  <c r="V57" i="5"/>
  <c r="J57" i="5"/>
  <c r="U57" i="5"/>
  <c r="A58" i="5"/>
  <c r="T57" i="5"/>
  <c r="G57" i="5"/>
  <c r="F57" i="5"/>
  <c r="AL57" i="5"/>
  <c r="Z57" i="5"/>
  <c r="Y57" i="5"/>
  <c r="M57" i="5"/>
  <c r="C57" i="5"/>
  <c r="B57" i="5"/>
  <c r="W56" i="8"/>
  <c r="X56" i="8" s="1"/>
  <c r="F57" i="8"/>
  <c r="V64" i="13"/>
  <c r="W63" i="13"/>
  <c r="C56" i="6"/>
  <c r="B56" i="6"/>
  <c r="AA56" i="6"/>
  <c r="AD56" i="6"/>
  <c r="A57" i="6"/>
  <c r="AC58" i="10"/>
  <c r="C59" i="10"/>
  <c r="AC59" i="10" s="1"/>
  <c r="A58" i="4"/>
  <c r="B57" i="4"/>
  <c r="G56" i="8" s="1"/>
  <c r="AY57" i="4"/>
  <c r="U57" i="4"/>
  <c r="BQ57" i="4"/>
  <c r="BP57" i="4"/>
  <c r="I57" i="4"/>
  <c r="AX57" i="4" s="1"/>
  <c r="BN57" i="4"/>
  <c r="BE57" i="4"/>
  <c r="AV57" i="4"/>
  <c r="P57" i="4"/>
  <c r="AA57" i="4"/>
  <c r="BM57" i="4"/>
  <c r="BJ57" i="4"/>
  <c r="O57" i="4"/>
  <c r="BD57" i="4"/>
  <c r="G57" i="4"/>
  <c r="C57" i="4"/>
  <c r="T58" i="7"/>
  <c r="AB58" i="7"/>
  <c r="S58" i="7"/>
  <c r="N59" i="7"/>
  <c r="AA58" i="7"/>
  <c r="R58" i="7"/>
  <c r="AI58" i="7"/>
  <c r="Z58" i="7"/>
  <c r="Q58" i="7"/>
  <c r="V58" i="7" s="1"/>
  <c r="AH58" i="7"/>
  <c r="Y58" i="7"/>
  <c r="O58" i="7"/>
  <c r="AG58" i="7"/>
  <c r="X58" i="7"/>
  <c r="AF58" i="7"/>
  <c r="AE58" i="7"/>
  <c r="AJ58" i="7" s="1"/>
  <c r="U58" i="7"/>
  <c r="AC58" i="7" l="1"/>
  <c r="AB57" i="5"/>
  <c r="Z56" i="10"/>
  <c r="AI59" i="7"/>
  <c r="Z59" i="7"/>
  <c r="Q59" i="7"/>
  <c r="AH59" i="7"/>
  <c r="Y59" i="7"/>
  <c r="O59" i="7"/>
  <c r="AG59" i="7"/>
  <c r="X59" i="7"/>
  <c r="AF59" i="7"/>
  <c r="AE59" i="7"/>
  <c r="AJ59" i="7" s="1"/>
  <c r="U59" i="7"/>
  <c r="T59" i="7"/>
  <c r="AB59" i="7"/>
  <c r="AA59" i="7"/>
  <c r="S59" i="7"/>
  <c r="N60" i="7"/>
  <c r="R59" i="7"/>
  <c r="AY58" i="4"/>
  <c r="U58" i="4"/>
  <c r="BJ58" i="4" s="1"/>
  <c r="BQ58" i="4"/>
  <c r="I58" i="4"/>
  <c r="AX58" i="4" s="1"/>
  <c r="BN58" i="4"/>
  <c r="BM58" i="4"/>
  <c r="G58" i="4"/>
  <c r="AV58" i="4" s="1"/>
  <c r="AA58" i="4"/>
  <c r="BP58" i="4" s="1"/>
  <c r="O58" i="4"/>
  <c r="BD58" i="4" s="1"/>
  <c r="C58" i="4"/>
  <c r="B58" i="4"/>
  <c r="A59" i="4"/>
  <c r="P58" i="4"/>
  <c r="BE58" i="4" s="1"/>
  <c r="C57" i="6"/>
  <c r="B57" i="6"/>
  <c r="AD57" i="6"/>
  <c r="AA57" i="6"/>
  <c r="A58" i="6"/>
  <c r="W64" i="13"/>
  <c r="V65" i="13"/>
  <c r="W57" i="8"/>
  <c r="X57" i="8" s="1"/>
  <c r="G57" i="8"/>
  <c r="F58" i="8"/>
  <c r="I57" i="5"/>
  <c r="Z58" i="5"/>
  <c r="C58" i="5"/>
  <c r="AL58" i="5"/>
  <c r="Y58" i="5"/>
  <c r="M58" i="5"/>
  <c r="B58" i="5"/>
  <c r="AK58" i="5"/>
  <c r="W58" i="5"/>
  <c r="V58" i="5"/>
  <c r="J58" i="5"/>
  <c r="U58" i="5"/>
  <c r="T58" i="5"/>
  <c r="A59" i="5"/>
  <c r="G58" i="5"/>
  <c r="F58" i="5"/>
  <c r="G58" i="10"/>
  <c r="E58" i="10"/>
  <c r="F58" i="10" s="1"/>
  <c r="AB58" i="10"/>
  <c r="B59" i="10"/>
  <c r="O58" i="10"/>
  <c r="BZ57" i="10"/>
  <c r="BR57" i="10"/>
  <c r="BJ57" i="10"/>
  <c r="BB57" i="10"/>
  <c r="AT57" i="10"/>
  <c r="AL57" i="10"/>
  <c r="AD57" i="10"/>
  <c r="BY57" i="10"/>
  <c r="BQ57" i="10"/>
  <c r="BI57" i="10"/>
  <c r="BA57" i="10"/>
  <c r="AS57" i="10"/>
  <c r="AK57" i="10"/>
  <c r="BX57" i="10"/>
  <c r="BP57" i="10"/>
  <c r="BH57" i="10"/>
  <c r="AZ57" i="10"/>
  <c r="AR57" i="10"/>
  <c r="AJ57" i="10"/>
  <c r="BW57" i="10"/>
  <c r="BO57" i="10"/>
  <c r="BG57" i="10"/>
  <c r="AY57" i="10"/>
  <c r="AQ57" i="10"/>
  <c r="AI57" i="10"/>
  <c r="BV57" i="10"/>
  <c r="BN57" i="10"/>
  <c r="BF57" i="10"/>
  <c r="AX57" i="10"/>
  <c r="AP57" i="10"/>
  <c r="AH57" i="10"/>
  <c r="CC57" i="10"/>
  <c r="BU57" i="10"/>
  <c r="BM57" i="10"/>
  <c r="BE57" i="10"/>
  <c r="AW57" i="10"/>
  <c r="AO57" i="10"/>
  <c r="AG57" i="10"/>
  <c r="CB57" i="10"/>
  <c r="AV57" i="10"/>
  <c r="CA57" i="10"/>
  <c r="AU57" i="10"/>
  <c r="BT57" i="10"/>
  <c r="AN57" i="10"/>
  <c r="BS57" i="10"/>
  <c r="AM57" i="10"/>
  <c r="BL57" i="10"/>
  <c r="AF57" i="10"/>
  <c r="BK57" i="10"/>
  <c r="AE57" i="10"/>
  <c r="BD57" i="10"/>
  <c r="BC57" i="10"/>
  <c r="R57" i="10"/>
  <c r="P57" i="10"/>
  <c r="N58" i="10" s="1"/>
  <c r="K57" i="10"/>
  <c r="L57" i="10" s="1"/>
  <c r="J58" i="10" s="1"/>
  <c r="H58" i="10"/>
  <c r="Z57" i="10" l="1"/>
  <c r="BS24" i="10"/>
  <c r="BS35" i="10"/>
  <c r="BS9" i="10"/>
  <c r="BS8" i="10"/>
  <c r="BS11" i="10"/>
  <c r="BS34" i="10"/>
  <c r="BS31" i="10"/>
  <c r="BS14" i="10"/>
  <c r="BS33" i="10"/>
  <c r="BS28" i="10"/>
  <c r="BS7" i="10"/>
  <c r="BS20" i="10"/>
  <c r="BS38" i="10"/>
  <c r="BS37" i="10"/>
  <c r="BS10" i="10"/>
  <c r="BT21" i="10"/>
  <c r="BT27" i="10"/>
  <c r="BT10" i="10"/>
  <c r="BT28" i="10"/>
  <c r="BT11" i="10"/>
  <c r="BT38" i="10"/>
  <c r="BT14" i="10"/>
  <c r="BT12" i="10"/>
  <c r="BT30" i="10"/>
  <c r="BT40" i="10"/>
  <c r="BT31" i="10"/>
  <c r="BT29" i="10"/>
  <c r="BT34" i="10"/>
  <c r="BT25" i="10"/>
  <c r="BT23" i="10"/>
  <c r="BU11" i="10"/>
  <c r="BU39" i="10"/>
  <c r="BU33" i="10"/>
  <c r="BU18" i="10"/>
  <c r="BU7" i="10"/>
  <c r="BU37" i="10"/>
  <c r="BU8" i="10"/>
  <c r="BU5" i="10"/>
  <c r="BU27" i="10"/>
  <c r="BU36" i="10"/>
  <c r="BU28" i="10"/>
  <c r="BU19" i="10"/>
  <c r="BU4" i="10"/>
  <c r="BV39" i="10"/>
  <c r="BU34" i="10"/>
  <c r="BU15" i="10"/>
  <c r="BU9" i="10"/>
  <c r="BV42" i="10"/>
  <c r="BV20" i="10"/>
  <c r="BV31" i="10"/>
  <c r="BV34" i="10"/>
  <c r="BV14" i="10"/>
  <c r="BV4" i="10"/>
  <c r="BV23" i="10"/>
  <c r="BV36" i="10"/>
  <c r="BV27" i="10"/>
  <c r="BV17" i="10"/>
  <c r="BV25" i="10"/>
  <c r="BV18" i="10"/>
  <c r="BV40" i="10"/>
  <c r="BV8" i="10"/>
  <c r="BV13" i="10"/>
  <c r="BV6" i="10"/>
  <c r="BW28" i="10"/>
  <c r="BW25" i="10"/>
  <c r="BX41" i="10"/>
  <c r="BW29" i="10"/>
  <c r="BW20" i="10"/>
  <c r="BW7" i="10"/>
  <c r="BW42" i="10"/>
  <c r="BW34" i="10"/>
  <c r="BW12" i="10"/>
  <c r="BW21" i="10"/>
  <c r="BW4" i="10"/>
  <c r="BW6" i="10"/>
  <c r="BW9" i="10"/>
  <c r="BW13" i="10"/>
  <c r="BW23" i="10"/>
  <c r="BW26" i="10"/>
  <c r="BW22" i="10"/>
  <c r="BW38" i="10"/>
  <c r="BX42" i="10"/>
  <c r="BW15" i="10"/>
  <c r="BW16" i="10"/>
  <c r="BX39" i="10"/>
  <c r="BW5" i="10"/>
  <c r="BW18" i="10"/>
  <c r="BW33" i="10"/>
  <c r="BW27" i="10"/>
  <c r="BW10" i="10"/>
  <c r="BW32" i="10"/>
  <c r="BX40" i="10"/>
  <c r="BW37" i="10"/>
  <c r="BW19" i="10"/>
  <c r="BX34" i="10"/>
  <c r="BX12" i="10"/>
  <c r="BY41" i="10"/>
  <c r="BX35" i="10"/>
  <c r="BX18" i="10"/>
  <c r="BX15" i="10"/>
  <c r="BY40" i="10"/>
  <c r="BX20" i="10"/>
  <c r="BX7" i="10"/>
  <c r="BX32" i="10"/>
  <c r="BX10" i="10"/>
  <c r="BX24" i="10"/>
  <c r="BX21" i="10"/>
  <c r="BX8" i="10"/>
  <c r="BX22" i="10"/>
  <c r="BY20" i="10"/>
  <c r="BY26" i="10"/>
  <c r="BY24" i="10"/>
  <c r="BY17" i="10"/>
  <c r="BY27" i="10"/>
  <c r="BY18" i="10"/>
  <c r="BY8" i="10"/>
  <c r="BY30" i="10"/>
  <c r="BY33" i="10"/>
  <c r="BY21" i="10"/>
  <c r="BY14" i="10"/>
  <c r="BY28" i="10"/>
  <c r="BY11" i="10"/>
  <c r="BY5" i="10"/>
  <c r="BY25" i="10"/>
  <c r="BY13" i="10"/>
  <c r="BY31" i="10"/>
  <c r="BY22" i="10"/>
  <c r="BY12" i="10"/>
  <c r="BY36" i="10"/>
  <c r="BY7" i="10"/>
  <c r="BY42" i="10"/>
  <c r="BY6" i="10"/>
  <c r="BZ44" i="10"/>
  <c r="BZ23" i="10"/>
  <c r="BZ14" i="10"/>
  <c r="BZ27" i="10"/>
  <c r="BZ15" i="10"/>
  <c r="BZ36" i="10"/>
  <c r="BZ11" i="10"/>
  <c r="BZ13" i="10"/>
  <c r="BZ34" i="10"/>
  <c r="BZ16" i="10"/>
  <c r="BZ18" i="10"/>
  <c r="CA39" i="10"/>
  <c r="BZ9" i="10"/>
  <c r="BZ21" i="10"/>
  <c r="BZ12" i="10"/>
  <c r="BZ43" i="10"/>
  <c r="BZ39" i="10"/>
  <c r="BZ41" i="10"/>
  <c r="BZ10" i="10"/>
  <c r="BZ4" i="10"/>
  <c r="BZ5" i="10"/>
  <c r="BZ33" i="10"/>
  <c r="BZ31" i="10"/>
  <c r="BZ22" i="10"/>
  <c r="CA21" i="10"/>
  <c r="CA13" i="10"/>
  <c r="CA14" i="10"/>
  <c r="CA40" i="10"/>
  <c r="CA8" i="10"/>
  <c r="CA11" i="10"/>
  <c r="CA35" i="10"/>
  <c r="CA43" i="10"/>
  <c r="CB45" i="10"/>
  <c r="CA36" i="10"/>
  <c r="CA23" i="10"/>
  <c r="CA42" i="10"/>
  <c r="CA45" i="10"/>
  <c r="CA29" i="10"/>
  <c r="CA9" i="10"/>
  <c r="CA7" i="10"/>
  <c r="CB41" i="10"/>
  <c r="CA18" i="10"/>
  <c r="CA10" i="10"/>
  <c r="CA19" i="10"/>
  <c r="CA28" i="10"/>
  <c r="CA37" i="10"/>
  <c r="CA32" i="10"/>
  <c r="CA38" i="10"/>
  <c r="CA12" i="10"/>
  <c r="CB42" i="10"/>
  <c r="CA31" i="10"/>
  <c r="CB23" i="10"/>
  <c r="CB5" i="10"/>
  <c r="CB38" i="10"/>
  <c r="CB9" i="10"/>
  <c r="CB15" i="10"/>
  <c r="CB46" i="10"/>
  <c r="CB7" i="10"/>
  <c r="CB36" i="10"/>
  <c r="CB22" i="10"/>
  <c r="CB16" i="10"/>
  <c r="CB30" i="10"/>
  <c r="CB12" i="10"/>
  <c r="CB20" i="10"/>
  <c r="CC40" i="10"/>
  <c r="CB8" i="10"/>
  <c r="CB37" i="10"/>
  <c r="CB47" i="10"/>
  <c r="CB26" i="10"/>
  <c r="CC45" i="10"/>
  <c r="CB29" i="10"/>
  <c r="CB39" i="10"/>
  <c r="CC44" i="10"/>
  <c r="CC24" i="10"/>
  <c r="CC34" i="10"/>
  <c r="CC47" i="10"/>
  <c r="Z47" i="10" s="1"/>
  <c r="CC22" i="10"/>
  <c r="CC42" i="10"/>
  <c r="CC7" i="10"/>
  <c r="CC19" i="10"/>
  <c r="CC48" i="10"/>
  <c r="CC16" i="10"/>
  <c r="CC28" i="10"/>
  <c r="CC13" i="10"/>
  <c r="CC23" i="10"/>
  <c r="CC35" i="10"/>
  <c r="CC12" i="10"/>
  <c r="CC17" i="10"/>
  <c r="CC43" i="10"/>
  <c r="CC5" i="10"/>
  <c r="CC10" i="10"/>
  <c r="CC8" i="10"/>
  <c r="CC15" i="10"/>
  <c r="AC59" i="7"/>
  <c r="V59" i="7"/>
  <c r="AB58" i="5"/>
  <c r="K58" i="10"/>
  <c r="L58" i="10" s="1"/>
  <c r="J59" i="10" s="1"/>
  <c r="AB59" i="10"/>
  <c r="G59" i="10"/>
  <c r="H59" i="10" s="1"/>
  <c r="K59" i="10" s="1"/>
  <c r="E59" i="10"/>
  <c r="F59" i="10" s="1"/>
  <c r="O59" i="10"/>
  <c r="AG4" i="10"/>
  <c r="AI5" i="10"/>
  <c r="AL4" i="10"/>
  <c r="AL5" i="10"/>
  <c r="AM4" i="10"/>
  <c r="AM6" i="10"/>
  <c r="AM5" i="10"/>
  <c r="AN7" i="10"/>
  <c r="AN6" i="10"/>
  <c r="AN4" i="10"/>
  <c r="AN5" i="10"/>
  <c r="AO8" i="10"/>
  <c r="AO4" i="10"/>
  <c r="AO7" i="10"/>
  <c r="AP4" i="10"/>
  <c r="AP7" i="10"/>
  <c r="AP9" i="10"/>
  <c r="AQ11" i="10"/>
  <c r="AQ6" i="10"/>
  <c r="AP6" i="10"/>
  <c r="AP5" i="10"/>
  <c r="AQ10" i="10"/>
  <c r="AQ5" i="10"/>
  <c r="AR9" i="10"/>
  <c r="AR5" i="10"/>
  <c r="AS9" i="10"/>
  <c r="AS6" i="10"/>
  <c r="AR4" i="10"/>
  <c r="AR11" i="10"/>
  <c r="AS10" i="10"/>
  <c r="AS8" i="10"/>
  <c r="AS4" i="10"/>
  <c r="AS11" i="10"/>
  <c r="AS13" i="10"/>
  <c r="AT13" i="10"/>
  <c r="AT6" i="10"/>
  <c r="AT9" i="10"/>
  <c r="AU15" i="10"/>
  <c r="AT7" i="10"/>
  <c r="AT8" i="10"/>
  <c r="AU10" i="10"/>
  <c r="AU6" i="10"/>
  <c r="AU5" i="10"/>
  <c r="AV15" i="10"/>
  <c r="AU12" i="10"/>
  <c r="AU4" i="10"/>
  <c r="AU8" i="10"/>
  <c r="AU11" i="10"/>
  <c r="AV14" i="10"/>
  <c r="AV12" i="10"/>
  <c r="AV13" i="10"/>
  <c r="AV4" i="10"/>
  <c r="AV8" i="10"/>
  <c r="AV5" i="10"/>
  <c r="AV11" i="10"/>
  <c r="AW16" i="10"/>
  <c r="AW15" i="10"/>
  <c r="AW4" i="10"/>
  <c r="AX11" i="10"/>
  <c r="AX5" i="10"/>
  <c r="AX14" i="10"/>
  <c r="AW7" i="10"/>
  <c r="AX9" i="10"/>
  <c r="AX12" i="10"/>
  <c r="AX13" i="10"/>
  <c r="AX8" i="10"/>
  <c r="AW17" i="10"/>
  <c r="AX4" i="10"/>
  <c r="AW12" i="10"/>
  <c r="AW9" i="10"/>
  <c r="AW14" i="10"/>
  <c r="AX10" i="10"/>
  <c r="AX15" i="10"/>
  <c r="AX7" i="10"/>
  <c r="AX18" i="10"/>
  <c r="AX6" i="10"/>
  <c r="AZ9" i="10"/>
  <c r="AZ17" i="10"/>
  <c r="AZ18" i="10"/>
  <c r="BA12" i="10"/>
  <c r="BA21" i="10"/>
  <c r="BA7" i="10"/>
  <c r="BA20" i="10"/>
  <c r="BB16" i="10"/>
  <c r="BB9" i="10"/>
  <c r="BB8" i="10"/>
  <c r="BA8" i="10"/>
  <c r="BB17" i="10"/>
  <c r="BC12" i="10"/>
  <c r="BB14" i="10"/>
  <c r="BC13" i="10"/>
  <c r="BB6" i="10"/>
  <c r="BC4" i="10"/>
  <c r="BC9" i="10"/>
  <c r="BB12" i="10"/>
  <c r="BC20" i="10"/>
  <c r="BB4" i="10"/>
  <c r="BB13" i="10"/>
  <c r="BB20" i="10"/>
  <c r="BC10" i="10"/>
  <c r="BC5" i="10"/>
  <c r="BB21" i="10"/>
  <c r="BC6" i="10"/>
  <c r="BB7" i="10"/>
  <c r="BC14" i="10"/>
  <c r="BC19" i="10"/>
  <c r="BD7" i="10"/>
  <c r="BC21" i="10"/>
  <c r="BC22" i="10"/>
  <c r="BC15" i="10"/>
  <c r="BC7" i="10"/>
  <c r="BD11" i="10"/>
  <c r="BD14" i="10"/>
  <c r="BE9" i="10"/>
  <c r="BD9" i="10"/>
  <c r="BD6" i="10"/>
  <c r="BE10" i="10"/>
  <c r="BD4" i="10"/>
  <c r="BD24" i="10"/>
  <c r="BE6" i="10"/>
  <c r="BD18" i="10"/>
  <c r="BD13" i="10"/>
  <c r="BE7" i="10"/>
  <c r="BE15" i="10"/>
  <c r="BD10" i="10"/>
  <c r="BD5" i="10"/>
  <c r="BE22" i="10"/>
  <c r="BD19" i="10"/>
  <c r="BE14" i="10"/>
  <c r="BE4" i="10"/>
  <c r="BE17" i="10"/>
  <c r="BF16" i="10"/>
  <c r="BF7" i="10"/>
  <c r="BF25" i="10"/>
  <c r="BF24" i="10"/>
  <c r="BG17" i="10"/>
  <c r="BG9" i="10"/>
  <c r="BG6" i="10"/>
  <c r="BG22" i="10"/>
  <c r="BH13" i="10"/>
  <c r="BG14" i="10"/>
  <c r="BG10" i="10"/>
  <c r="BH7" i="10"/>
  <c r="BH24" i="10"/>
  <c r="BH26" i="10"/>
  <c r="BH19" i="10"/>
  <c r="BH25" i="10"/>
  <c r="BH11" i="10"/>
  <c r="BH17" i="10"/>
  <c r="BH9" i="10"/>
  <c r="BH15" i="10"/>
  <c r="BJ4" i="10"/>
  <c r="BJ12" i="10"/>
  <c r="BJ8" i="10"/>
  <c r="BJ24" i="10"/>
  <c r="BJ9" i="10"/>
  <c r="BK22" i="10"/>
  <c r="BJ25" i="10"/>
  <c r="BK16" i="10"/>
  <c r="BK9" i="10"/>
  <c r="BK29" i="10"/>
  <c r="BK18" i="10"/>
  <c r="BJ26" i="10"/>
  <c r="BK13" i="10"/>
  <c r="BK24" i="10"/>
  <c r="BK6" i="10"/>
  <c r="BJ17" i="10"/>
  <c r="BK17" i="10"/>
  <c r="BK27" i="10"/>
  <c r="BL17" i="10"/>
  <c r="BL7" i="10"/>
  <c r="BL24" i="10"/>
  <c r="BM10" i="10"/>
  <c r="BL21" i="10"/>
  <c r="BL28" i="10"/>
  <c r="BL12" i="10"/>
  <c r="BL30" i="10"/>
  <c r="BM4" i="10"/>
  <c r="BL23" i="10"/>
  <c r="BL32" i="10"/>
  <c r="BM31" i="10"/>
  <c r="BM30" i="10"/>
  <c r="BN10" i="10"/>
  <c r="BN29" i="10"/>
  <c r="BN14" i="10"/>
  <c r="BN7" i="10"/>
  <c r="BN33" i="10"/>
  <c r="BN18" i="10"/>
  <c r="BN30" i="10"/>
  <c r="BM29" i="10"/>
  <c r="BN22" i="10"/>
  <c r="BN25" i="10"/>
  <c r="BN26" i="10"/>
  <c r="BN21" i="10"/>
  <c r="BN17" i="10"/>
  <c r="BM13" i="10"/>
  <c r="BN9" i="10"/>
  <c r="CC58" i="10"/>
  <c r="BU58" i="10"/>
  <c r="BM58" i="10"/>
  <c r="BE58" i="10"/>
  <c r="AW58" i="10"/>
  <c r="AO58" i="10"/>
  <c r="AG58" i="10"/>
  <c r="CB58" i="10"/>
  <c r="BT58" i="10"/>
  <c r="BL58" i="10"/>
  <c r="BD58" i="10"/>
  <c r="AV58" i="10"/>
  <c r="AN58" i="10"/>
  <c r="AF58" i="10"/>
  <c r="CA58" i="10"/>
  <c r="BS58" i="10"/>
  <c r="BK58" i="10"/>
  <c r="BC58" i="10"/>
  <c r="AU58" i="10"/>
  <c r="AM58" i="10"/>
  <c r="AE58" i="10"/>
  <c r="BZ58" i="10"/>
  <c r="BR58" i="10"/>
  <c r="BJ58" i="10"/>
  <c r="BB58" i="10"/>
  <c r="AT58" i="10"/>
  <c r="AL58" i="10"/>
  <c r="AD58" i="10"/>
  <c r="BY58" i="10"/>
  <c r="BQ58" i="10"/>
  <c r="BI58" i="10"/>
  <c r="BA58" i="10"/>
  <c r="AS58" i="10"/>
  <c r="AK58" i="10"/>
  <c r="BX58" i="10"/>
  <c r="BP58" i="10"/>
  <c r="BH58" i="10"/>
  <c r="AZ58" i="10"/>
  <c r="AR58" i="10"/>
  <c r="AJ58" i="10"/>
  <c r="BW58" i="10"/>
  <c r="AQ58" i="10"/>
  <c r="BV58" i="10"/>
  <c r="AP58" i="10"/>
  <c r="BO58" i="10"/>
  <c r="AI58" i="10"/>
  <c r="BN58" i="10"/>
  <c r="AH58" i="10"/>
  <c r="BG58" i="10"/>
  <c r="BF58" i="10"/>
  <c r="AY58" i="10"/>
  <c r="AX58" i="10"/>
  <c r="R58" i="10"/>
  <c r="P58" i="10"/>
  <c r="N59" i="10" s="1"/>
  <c r="I58" i="5"/>
  <c r="U59" i="5"/>
  <c r="A60" i="5"/>
  <c r="T59" i="5"/>
  <c r="G59" i="5"/>
  <c r="F59" i="5"/>
  <c r="Z59" i="5"/>
  <c r="C59" i="5"/>
  <c r="AL59" i="5"/>
  <c r="Y59" i="5"/>
  <c r="M59" i="5"/>
  <c r="B59" i="5"/>
  <c r="W59" i="5"/>
  <c r="V59" i="5"/>
  <c r="J59" i="5"/>
  <c r="AK59" i="5"/>
  <c r="W58" i="8"/>
  <c r="X58" i="8" s="1"/>
  <c r="G58" i="8"/>
  <c r="F59" i="8"/>
  <c r="V66" i="13"/>
  <c r="W65" i="13"/>
  <c r="AA58" i="6"/>
  <c r="C58" i="6"/>
  <c r="A59" i="6"/>
  <c r="AD58" i="6"/>
  <c r="B58" i="6"/>
  <c r="BQ59" i="4"/>
  <c r="AX59" i="4"/>
  <c r="I59" i="4"/>
  <c r="BN59" i="4"/>
  <c r="BE59" i="4"/>
  <c r="BM59" i="4"/>
  <c r="BD59" i="4"/>
  <c r="G59" i="4"/>
  <c r="AV59" i="4" s="1"/>
  <c r="P59" i="4"/>
  <c r="A60" i="4"/>
  <c r="B59" i="4"/>
  <c r="U59" i="4"/>
  <c r="BJ59" i="4" s="1"/>
  <c r="O59" i="4"/>
  <c r="C59" i="4"/>
  <c r="AY59" i="4"/>
  <c r="AA59" i="4"/>
  <c r="BP59" i="4" s="1"/>
  <c r="AF60" i="7"/>
  <c r="AE60" i="7"/>
  <c r="U60" i="7"/>
  <c r="T60" i="7"/>
  <c r="AB60" i="7"/>
  <c r="S60" i="7"/>
  <c r="N61" i="7"/>
  <c r="AA60" i="7"/>
  <c r="R60" i="7"/>
  <c r="AI60" i="7"/>
  <c r="Z60" i="7"/>
  <c r="Q60" i="7"/>
  <c r="AH60" i="7"/>
  <c r="AG60" i="7"/>
  <c r="Y60" i="7"/>
  <c r="X60" i="7"/>
  <c r="O60" i="7"/>
  <c r="L59" i="10" l="1"/>
  <c r="Z23" i="10"/>
  <c r="H57" i="4" s="1"/>
  <c r="Z10" i="10"/>
  <c r="H44" i="4" s="1"/>
  <c r="Z58" i="10"/>
  <c r="Z42" i="10"/>
  <c r="AC60" i="7"/>
  <c r="V60" i="7"/>
  <c r="AB59" i="5"/>
  <c r="Z44" i="10"/>
  <c r="Z40" i="10"/>
  <c r="BQ30" i="10"/>
  <c r="Z30" i="10" s="1"/>
  <c r="BR22" i="10"/>
  <c r="BT8" i="10"/>
  <c r="BS22" i="10"/>
  <c r="BS21" i="10"/>
  <c r="BS25" i="10"/>
  <c r="BS12" i="10"/>
  <c r="BS30" i="10"/>
  <c r="BS15" i="10"/>
  <c r="BS26" i="10"/>
  <c r="BT18" i="10"/>
  <c r="BS29" i="10"/>
  <c r="BS27" i="10"/>
  <c r="BT15" i="10"/>
  <c r="BS13" i="10"/>
  <c r="BS23" i="10"/>
  <c r="BS17" i="10"/>
  <c r="BT26" i="10"/>
  <c r="BT35" i="10"/>
  <c r="Z35" i="10" s="1"/>
  <c r="BS19" i="10"/>
  <c r="BS4" i="10"/>
  <c r="BS6" i="10"/>
  <c r="BS18" i="10"/>
  <c r="BS32" i="10"/>
  <c r="Z32" i="10" s="1"/>
  <c r="BT36" i="10"/>
  <c r="BT24" i="10"/>
  <c r="BT6" i="10"/>
  <c r="BU16" i="10"/>
  <c r="BT39" i="10"/>
  <c r="BT19" i="10"/>
  <c r="BT37" i="10"/>
  <c r="Z37" i="10" s="1"/>
  <c r="BT5" i="10"/>
  <c r="BU24" i="10"/>
  <c r="BU14" i="10"/>
  <c r="BU30" i="10"/>
  <c r="BU40" i="10"/>
  <c r="BU29" i="10"/>
  <c r="BU26" i="10"/>
  <c r="BU17" i="10"/>
  <c r="BU10" i="10"/>
  <c r="BU31" i="10"/>
  <c r="BU20" i="10"/>
  <c r="BV43" i="10"/>
  <c r="Z43" i="10" s="1"/>
  <c r="BV11" i="10"/>
  <c r="BW39" i="10"/>
  <c r="BV30" i="10"/>
  <c r="BV37" i="10"/>
  <c r="BV15" i="10"/>
  <c r="BW14" i="10"/>
  <c r="BV35" i="10"/>
  <c r="BV12" i="10"/>
  <c r="BW35" i="10"/>
  <c r="BV28" i="10"/>
  <c r="BV24" i="10"/>
  <c r="BW11" i="10"/>
  <c r="BW17" i="10"/>
  <c r="BW30" i="10"/>
  <c r="BW36" i="10"/>
  <c r="BW41" i="10"/>
  <c r="Z41" i="10" s="1"/>
  <c r="BX27" i="10"/>
  <c r="BW24" i="10"/>
  <c r="BW8" i="10"/>
  <c r="BX4" i="10"/>
  <c r="BW31" i="10"/>
  <c r="BX29" i="10"/>
  <c r="BX37" i="10"/>
  <c r="BX31" i="10"/>
  <c r="BX13" i="10"/>
  <c r="BX5" i="10"/>
  <c r="BX23" i="10"/>
  <c r="BY4" i="10"/>
  <c r="BY44" i="10"/>
  <c r="BX28" i="10"/>
  <c r="BX26" i="10"/>
  <c r="BX25" i="10"/>
  <c r="BX36" i="10"/>
  <c r="BX16" i="10"/>
  <c r="BX38" i="10"/>
  <c r="Z38" i="10" s="1"/>
  <c r="BX11" i="10"/>
  <c r="BY35" i="10"/>
  <c r="BY32" i="10"/>
  <c r="BX19" i="10"/>
  <c r="BY34" i="10"/>
  <c r="BY15" i="10"/>
  <c r="BY38" i="10"/>
  <c r="BY10" i="10"/>
  <c r="BY43" i="10"/>
  <c r="BY9" i="10"/>
  <c r="BY19" i="10"/>
  <c r="BY16" i="10"/>
  <c r="BY39" i="10"/>
  <c r="BZ45" i="10"/>
  <c r="Z45" i="10" s="1"/>
  <c r="BZ35" i="10"/>
  <c r="BZ20" i="10"/>
  <c r="BZ28" i="10"/>
  <c r="BZ40" i="10"/>
  <c r="BZ46" i="10"/>
  <c r="CA44" i="10"/>
  <c r="BZ25" i="10"/>
  <c r="CA5" i="10"/>
  <c r="BZ30" i="10"/>
  <c r="BZ32" i="10"/>
  <c r="CA46" i="10"/>
  <c r="BZ26" i="10"/>
  <c r="CA27" i="10"/>
  <c r="CA6" i="10"/>
  <c r="CA25" i="10"/>
  <c r="CA4" i="10"/>
  <c r="CB13" i="10"/>
  <c r="CB40" i="10"/>
  <c r="CA24" i="10"/>
  <c r="CA20" i="10"/>
  <c r="CB43" i="10"/>
  <c r="CA22" i="10"/>
  <c r="CA17" i="10"/>
  <c r="CB17" i="10"/>
  <c r="CB24" i="10"/>
  <c r="CB48" i="10"/>
  <c r="Z48" i="10" s="1"/>
  <c r="CB32" i="10"/>
  <c r="CB19" i="10"/>
  <c r="CB4" i="10"/>
  <c r="CB11" i="10"/>
  <c r="CC20" i="10"/>
  <c r="CC27" i="10"/>
  <c r="CC25" i="10"/>
  <c r="CB27" i="10"/>
  <c r="CB28" i="10"/>
  <c r="CB25" i="10"/>
  <c r="CC18" i="10"/>
  <c r="CC32" i="10"/>
  <c r="CC36" i="10"/>
  <c r="Z36" i="10" s="1"/>
  <c r="CC21" i="10"/>
  <c r="CC50" i="10"/>
  <c r="Z50" i="10" s="1"/>
  <c r="CC31" i="10"/>
  <c r="CC46" i="10"/>
  <c r="Z46" i="10" s="1"/>
  <c r="CC29" i="10"/>
  <c r="CC14" i="10"/>
  <c r="CC26" i="10"/>
  <c r="AJ60" i="7"/>
  <c r="AB61" i="7"/>
  <c r="S61" i="7"/>
  <c r="N62" i="7"/>
  <c r="AA61" i="7"/>
  <c r="R61" i="7"/>
  <c r="AI61" i="7"/>
  <c r="Z61" i="7"/>
  <c r="Q61" i="7"/>
  <c r="AH61" i="7"/>
  <c r="Y61" i="7"/>
  <c r="O61" i="7"/>
  <c r="AG61" i="7"/>
  <c r="X61" i="7"/>
  <c r="AC61" i="7" s="1"/>
  <c r="AF61" i="7"/>
  <c r="AE61" i="7"/>
  <c r="AJ61" i="7" s="1"/>
  <c r="U61" i="7"/>
  <c r="T61" i="7"/>
  <c r="I60" i="4"/>
  <c r="BN60" i="4"/>
  <c r="BE60" i="4"/>
  <c r="BM60" i="4"/>
  <c r="G60" i="4"/>
  <c r="P60" i="4"/>
  <c r="AA60" i="4"/>
  <c r="BP60" i="4" s="1"/>
  <c r="O60" i="4"/>
  <c r="BD60" i="4" s="1"/>
  <c r="C60" i="4"/>
  <c r="AY60" i="4"/>
  <c r="U60" i="4"/>
  <c r="BJ60" i="4" s="1"/>
  <c r="AX60" i="4"/>
  <c r="A61" i="4"/>
  <c r="BQ60" i="4"/>
  <c r="B60" i="4"/>
  <c r="AA59" i="6"/>
  <c r="A60" i="6"/>
  <c r="C59" i="6"/>
  <c r="AD59" i="6"/>
  <c r="B59" i="6"/>
  <c r="V67" i="13"/>
  <c r="W66" i="13"/>
  <c r="W59" i="8"/>
  <c r="X59" i="8" s="1"/>
  <c r="G59" i="8"/>
  <c r="F60" i="8"/>
  <c r="I59" i="5"/>
  <c r="AL60" i="5"/>
  <c r="Y60" i="5"/>
  <c r="M60" i="5"/>
  <c r="B60" i="5"/>
  <c r="AK60" i="5"/>
  <c r="W60" i="5"/>
  <c r="V60" i="5"/>
  <c r="J60" i="5"/>
  <c r="U60" i="5"/>
  <c r="A61" i="5"/>
  <c r="T60" i="5"/>
  <c r="G60" i="5"/>
  <c r="F60" i="5"/>
  <c r="C60" i="5"/>
  <c r="Z60" i="5"/>
  <c r="R59" i="10"/>
  <c r="P59" i="10"/>
  <c r="AI4" i="10"/>
  <c r="Z4" i="10" s="1"/>
  <c r="H38" i="4" s="1"/>
  <c r="AW38" i="4" s="1"/>
  <c r="AJ4" i="10"/>
  <c r="AJ5" i="10"/>
  <c r="Z5" i="10" s="1"/>
  <c r="H39" i="4" s="1"/>
  <c r="AW39" i="4" s="1"/>
  <c r="AK7" i="10"/>
  <c r="AL7" i="10"/>
  <c r="AM7" i="10"/>
  <c r="AO6" i="10"/>
  <c r="Z6" i="10" s="1"/>
  <c r="H40" i="4" s="1"/>
  <c r="AW40" i="4" s="1"/>
  <c r="AO5" i="10"/>
  <c r="AO11" i="10"/>
  <c r="AO10" i="10"/>
  <c r="AQ7" i="10"/>
  <c r="AP11" i="10"/>
  <c r="AP8" i="10"/>
  <c r="Z8" i="10" s="1"/>
  <c r="H42" i="4" s="1"/>
  <c r="AQ4" i="10"/>
  <c r="AQ8" i="10"/>
  <c r="AR6" i="10"/>
  <c r="AR10" i="10"/>
  <c r="AR8" i="10"/>
  <c r="AR7" i="10"/>
  <c r="AR12" i="10"/>
  <c r="Z12" i="10" s="1"/>
  <c r="H46" i="4" s="1"/>
  <c r="AT12" i="10"/>
  <c r="AT4" i="10"/>
  <c r="AT10" i="10"/>
  <c r="AS14" i="10"/>
  <c r="AT11" i="10"/>
  <c r="AT5" i="10"/>
  <c r="AT15" i="10"/>
  <c r="AV10" i="10"/>
  <c r="AU13" i="10"/>
  <c r="Z13" i="10" s="1"/>
  <c r="H47" i="4" s="1"/>
  <c r="AV9" i="10"/>
  <c r="Z9" i="10" s="1"/>
  <c r="H43" i="4" s="1"/>
  <c r="AV18" i="10"/>
  <c r="AV19" i="10"/>
  <c r="Z19" i="10" s="1"/>
  <c r="H53" i="4" s="1"/>
  <c r="AY5" i="10"/>
  <c r="AY14" i="10"/>
  <c r="AY18" i="10"/>
  <c r="AY7" i="10"/>
  <c r="AY6" i="10"/>
  <c r="AY4" i="10"/>
  <c r="AY10" i="10"/>
  <c r="AY9" i="10"/>
  <c r="AY12" i="10"/>
  <c r="AY15" i="10"/>
  <c r="AY17" i="10"/>
  <c r="Z17" i="10" s="1"/>
  <c r="H51" i="4" s="1"/>
  <c r="AY11" i="10"/>
  <c r="AY13" i="10"/>
  <c r="AY16" i="10"/>
  <c r="Z16" i="10" s="1"/>
  <c r="H50" i="4" s="1"/>
  <c r="AY8" i="10"/>
  <c r="AY22" i="10"/>
  <c r="Z22" i="10" s="1"/>
  <c r="H56" i="4" s="1"/>
  <c r="BA6" i="10"/>
  <c r="BA14" i="10"/>
  <c r="AZ7" i="10"/>
  <c r="AZ11" i="10"/>
  <c r="BA16" i="10"/>
  <c r="AZ6" i="10"/>
  <c r="BA15" i="10"/>
  <c r="AZ15" i="10"/>
  <c r="AZ5" i="10"/>
  <c r="AZ8" i="10"/>
  <c r="AZ12" i="10"/>
  <c r="BA19" i="10"/>
  <c r="BB24" i="10"/>
  <c r="BB5" i="10"/>
  <c r="BC23" i="10"/>
  <c r="BD12" i="10"/>
  <c r="BD23" i="10"/>
  <c r="BD8" i="10"/>
  <c r="BD17" i="10"/>
  <c r="BE5" i="10"/>
  <c r="BD21" i="10"/>
  <c r="BE11" i="10"/>
  <c r="BE24" i="10"/>
  <c r="Z24" i="10" s="1"/>
  <c r="H58" i="4" s="1"/>
  <c r="BE8" i="10"/>
  <c r="BE25" i="10"/>
  <c r="BE21" i="10"/>
  <c r="BE16" i="10"/>
  <c r="BE13" i="10"/>
  <c r="BE12" i="10"/>
  <c r="BF22" i="10"/>
  <c r="BF6" i="10"/>
  <c r="BF8" i="10"/>
  <c r="BF15" i="10"/>
  <c r="BF20" i="10"/>
  <c r="BF12" i="10"/>
  <c r="BF19" i="10"/>
  <c r="BF4" i="10"/>
  <c r="BF11" i="10"/>
  <c r="BF23" i="10"/>
  <c r="BF14" i="10"/>
  <c r="BF28" i="10"/>
  <c r="BF21" i="10"/>
  <c r="BG20" i="10"/>
  <c r="BH10" i="10"/>
  <c r="BH16" i="10"/>
  <c r="BG29" i="10"/>
  <c r="BH8" i="10"/>
  <c r="BG21" i="10"/>
  <c r="BG24" i="10"/>
  <c r="BG12" i="10"/>
  <c r="BG13" i="10"/>
  <c r="BH18" i="10"/>
  <c r="BH23" i="10"/>
  <c r="BG11" i="10"/>
  <c r="BG19" i="10"/>
  <c r="BI8" i="10"/>
  <c r="BI22" i="10"/>
  <c r="BI13" i="10"/>
  <c r="BI24" i="10"/>
  <c r="BI14" i="10"/>
  <c r="BI27" i="10"/>
  <c r="BI23" i="10"/>
  <c r="BH12" i="10"/>
  <c r="BI26" i="10"/>
  <c r="BH4" i="10"/>
  <c r="BH20" i="10"/>
  <c r="BI10" i="10"/>
  <c r="BI18" i="10"/>
  <c r="BI12" i="10"/>
  <c r="BI28" i="10"/>
  <c r="BI9" i="10"/>
  <c r="BI17" i="10"/>
  <c r="BI25" i="10"/>
  <c r="BI15" i="10"/>
  <c r="BI20" i="10"/>
  <c r="BI19" i="10"/>
  <c r="BI6" i="10"/>
  <c r="BI7" i="10"/>
  <c r="BH27" i="10"/>
  <c r="BI11" i="10"/>
  <c r="BI16" i="10"/>
  <c r="BI5" i="10"/>
  <c r="BI21" i="10"/>
  <c r="BJ29" i="10"/>
  <c r="BJ21" i="10"/>
  <c r="BJ28" i="10"/>
  <c r="BK11" i="10"/>
  <c r="BK26" i="10"/>
  <c r="BJ6" i="10"/>
  <c r="BK21" i="10"/>
  <c r="BJ31" i="10"/>
  <c r="BJ22" i="10"/>
  <c r="BK14" i="10"/>
  <c r="BK5" i="10"/>
  <c r="BK28" i="10"/>
  <c r="BK12" i="10"/>
  <c r="BK19" i="10"/>
  <c r="BK33" i="10"/>
  <c r="BK23" i="10"/>
  <c r="BK15" i="10"/>
  <c r="BL19" i="10"/>
  <c r="BL34" i="10"/>
  <c r="Z34" i="10" s="1"/>
  <c r="BL13" i="10"/>
  <c r="BL6" i="10"/>
  <c r="BL10" i="10"/>
  <c r="BL5" i="10"/>
  <c r="BM21" i="10"/>
  <c r="BL20" i="10"/>
  <c r="BL11" i="10"/>
  <c r="BL9" i="10"/>
  <c r="BM33" i="10"/>
  <c r="BL29" i="10"/>
  <c r="BL26" i="10"/>
  <c r="BL14" i="10"/>
  <c r="BX59" i="10"/>
  <c r="BP59" i="10"/>
  <c r="BH59" i="10"/>
  <c r="AZ59" i="10"/>
  <c r="AR59" i="10"/>
  <c r="AJ59" i="10"/>
  <c r="BW59" i="10"/>
  <c r="BO59" i="10"/>
  <c r="BG59" i="10"/>
  <c r="AY59" i="10"/>
  <c r="AQ59" i="10"/>
  <c r="AI59" i="10"/>
  <c r="BV59" i="10"/>
  <c r="BN59" i="10"/>
  <c r="BF59" i="10"/>
  <c r="AX59" i="10"/>
  <c r="AP59" i="10"/>
  <c r="AH59" i="10"/>
  <c r="CC59" i="10"/>
  <c r="BU59" i="10"/>
  <c r="BM59" i="10"/>
  <c r="BE59" i="10"/>
  <c r="AW59" i="10"/>
  <c r="AO59" i="10"/>
  <c r="AG59" i="10"/>
  <c r="CB59" i="10"/>
  <c r="BT59" i="10"/>
  <c r="BL59" i="10"/>
  <c r="BD59" i="10"/>
  <c r="AV59" i="10"/>
  <c r="AN59" i="10"/>
  <c r="AF59" i="10"/>
  <c r="CA59" i="10"/>
  <c r="BS59" i="10"/>
  <c r="BK59" i="10"/>
  <c r="BC59" i="10"/>
  <c r="AU59" i="10"/>
  <c r="AM59" i="10"/>
  <c r="AE59" i="10"/>
  <c r="BR59" i="10"/>
  <c r="AL59" i="10"/>
  <c r="BQ59" i="10"/>
  <c r="AK59" i="10"/>
  <c r="BJ59" i="10"/>
  <c r="AD59" i="10"/>
  <c r="BI59" i="10"/>
  <c r="BB59" i="10"/>
  <c r="BA59" i="10"/>
  <c r="BZ59" i="10"/>
  <c r="AT59" i="10"/>
  <c r="BY59" i="10"/>
  <c r="AS59" i="10"/>
  <c r="AW43" i="4" l="1"/>
  <c r="AZ43" i="4" s="1"/>
  <c r="K43" i="4"/>
  <c r="AW58" i="4"/>
  <c r="AZ58" i="4" s="1"/>
  <c r="K58" i="4"/>
  <c r="AW42" i="4"/>
  <c r="AZ42" i="4" s="1"/>
  <c r="K42" i="4"/>
  <c r="AW50" i="4"/>
  <c r="AZ50" i="4" s="1"/>
  <c r="K50" i="4"/>
  <c r="AW47" i="4"/>
  <c r="AZ47" i="4" s="1"/>
  <c r="K47" i="4"/>
  <c r="AW51" i="4"/>
  <c r="AW46" i="4"/>
  <c r="AZ46" i="4" s="1"/>
  <c r="K46" i="4"/>
  <c r="AW44" i="4"/>
  <c r="AZ44" i="4" s="1"/>
  <c r="K44" i="4"/>
  <c r="Z59" i="10"/>
  <c r="Z29" i="10"/>
  <c r="Z25" i="10"/>
  <c r="H59" i="4" s="1"/>
  <c r="Z39" i="10"/>
  <c r="AW57" i="4"/>
  <c r="AZ57" i="4" s="1"/>
  <c r="K57" i="4"/>
  <c r="AB60" i="5"/>
  <c r="Z21" i="10"/>
  <c r="H55" i="4" s="1"/>
  <c r="Z27" i="10"/>
  <c r="H61" i="4" s="1"/>
  <c r="AW61" i="4" s="1"/>
  <c r="Z31" i="10"/>
  <c r="Z7" i="10"/>
  <c r="H41" i="4" s="1"/>
  <c r="Z20" i="10"/>
  <c r="H54" i="4" s="1"/>
  <c r="V61" i="7"/>
  <c r="Z26" i="10"/>
  <c r="H60" i="4" s="1"/>
  <c r="AW60" i="4" s="1"/>
  <c r="AW56" i="4"/>
  <c r="AZ56" i="4" s="1"/>
  <c r="K56" i="4"/>
  <c r="Z15" i="10"/>
  <c r="H49" i="4" s="1"/>
  <c r="Z33" i="10"/>
  <c r="Z14" i="10"/>
  <c r="H48" i="4" s="1"/>
  <c r="Z18" i="10"/>
  <c r="H52" i="4" s="1"/>
  <c r="AW53" i="4"/>
  <c r="AZ53" i="4" s="1"/>
  <c r="K53" i="4"/>
  <c r="Z28" i="10"/>
  <c r="Z11" i="10"/>
  <c r="H45" i="4" s="1"/>
  <c r="AV60" i="4"/>
  <c r="I60" i="5"/>
  <c r="F61" i="5"/>
  <c r="Z61" i="5"/>
  <c r="C61" i="5"/>
  <c r="AL61" i="5"/>
  <c r="Y61" i="5"/>
  <c r="M61" i="5"/>
  <c r="B61" i="5"/>
  <c r="AK61" i="5"/>
  <c r="W61" i="5"/>
  <c r="V61" i="5"/>
  <c r="J61" i="5"/>
  <c r="A62" i="5"/>
  <c r="G61" i="5"/>
  <c r="U61" i="5"/>
  <c r="T61" i="5"/>
  <c r="W60" i="8"/>
  <c r="X60" i="8" s="1"/>
  <c r="F61" i="8"/>
  <c r="W67" i="13"/>
  <c r="V68" i="13"/>
  <c r="A61" i="6"/>
  <c r="AD60" i="6"/>
  <c r="AA60" i="6"/>
  <c r="B60" i="6"/>
  <c r="C60" i="6"/>
  <c r="BN61" i="4"/>
  <c r="BE61" i="4"/>
  <c r="BM61" i="4"/>
  <c r="G61" i="4"/>
  <c r="AV61" i="4" s="1"/>
  <c r="P61" i="4"/>
  <c r="BJ61" i="4"/>
  <c r="AA61" i="4"/>
  <c r="O61" i="4"/>
  <c r="BD61" i="4" s="1"/>
  <c r="C61" i="4"/>
  <c r="A62" i="4"/>
  <c r="B61" i="4"/>
  <c r="G60" i="8" s="1"/>
  <c r="BQ61" i="4"/>
  <c r="AX61" i="4"/>
  <c r="BP61" i="4"/>
  <c r="I61" i="4"/>
  <c r="AY61" i="4"/>
  <c r="U61" i="4"/>
  <c r="AH62" i="7"/>
  <c r="Y62" i="7"/>
  <c r="O62" i="7"/>
  <c r="AG62" i="7"/>
  <c r="X62" i="7"/>
  <c r="AF62" i="7"/>
  <c r="AE62" i="7"/>
  <c r="AJ62" i="7" s="1"/>
  <c r="U62" i="7"/>
  <c r="T62" i="7"/>
  <c r="AB62" i="7"/>
  <c r="S62" i="7"/>
  <c r="AI62" i="7"/>
  <c r="AA62" i="7"/>
  <c r="Z62" i="7"/>
  <c r="N63" i="7"/>
  <c r="R62" i="7"/>
  <c r="Q62" i="7"/>
  <c r="AZ61" i="4" l="1"/>
  <c r="AW52" i="4"/>
  <c r="AZ52" i="4" s="1"/>
  <c r="K52" i="4"/>
  <c r="AZ60" i="4"/>
  <c r="AW48" i="4"/>
  <c r="AZ48" i="4" s="1"/>
  <c r="K48" i="4"/>
  <c r="AC62" i="7"/>
  <c r="AB61" i="5"/>
  <c r="V62" i="7"/>
  <c r="M51" i="4"/>
  <c r="S51" i="4"/>
  <c r="BH51" i="4" s="1"/>
  <c r="AW59" i="4"/>
  <c r="AZ59" i="4" s="1"/>
  <c r="K59" i="4"/>
  <c r="S47" i="4"/>
  <c r="BH47" i="4" s="1"/>
  <c r="M47" i="4"/>
  <c r="K61" i="4"/>
  <c r="S62" i="4" s="1"/>
  <c r="BH62" i="4" s="1"/>
  <c r="M54" i="4"/>
  <c r="S54" i="4"/>
  <c r="BH54" i="4" s="1"/>
  <c r="AW55" i="4"/>
  <c r="AZ55" i="4" s="1"/>
  <c r="K55" i="4"/>
  <c r="S43" i="4"/>
  <c r="BH43" i="4" s="1"/>
  <c r="M43" i="4"/>
  <c r="AW54" i="4"/>
  <c r="AZ54" i="4" s="1"/>
  <c r="K54" i="4"/>
  <c r="AW41" i="4"/>
  <c r="AZ41" i="4" s="1"/>
  <c r="K41" i="4"/>
  <c r="S59" i="4"/>
  <c r="BH59" i="4" s="1"/>
  <c r="M59" i="4"/>
  <c r="AW45" i="4"/>
  <c r="AZ45" i="4" s="1"/>
  <c r="K45" i="4"/>
  <c r="AW49" i="4"/>
  <c r="AZ49" i="4" s="1"/>
  <c r="K49" i="4"/>
  <c r="M58" i="4"/>
  <c r="S58" i="4"/>
  <c r="BH58" i="4" s="1"/>
  <c r="M48" i="4"/>
  <c r="S48" i="4"/>
  <c r="BH48" i="4" s="1"/>
  <c r="M44" i="4"/>
  <c r="S44" i="4"/>
  <c r="BH44" i="4" s="1"/>
  <c r="M57" i="4"/>
  <c r="S57" i="4"/>
  <c r="BH57" i="4" s="1"/>
  <c r="K60" i="4"/>
  <c r="M45" i="4"/>
  <c r="S45" i="4"/>
  <c r="BH45" i="4" s="1"/>
  <c r="AE63" i="7"/>
  <c r="U63" i="7"/>
  <c r="T63" i="7"/>
  <c r="AB63" i="7"/>
  <c r="S63" i="7"/>
  <c r="N64" i="7"/>
  <c r="AA63" i="7"/>
  <c r="R63" i="7"/>
  <c r="AI63" i="7"/>
  <c r="Z63" i="7"/>
  <c r="Q63" i="7"/>
  <c r="AH63" i="7"/>
  <c r="Y63" i="7"/>
  <c r="O63" i="7"/>
  <c r="AF63" i="7"/>
  <c r="X63" i="7"/>
  <c r="AG63" i="7"/>
  <c r="BM62" i="4"/>
  <c r="G62" i="4"/>
  <c r="P62" i="4"/>
  <c r="AA62" i="4"/>
  <c r="O62" i="4"/>
  <c r="BD62" i="4" s="1"/>
  <c r="C62" i="4"/>
  <c r="A63" i="4"/>
  <c r="B62" i="4"/>
  <c r="AY62" i="4"/>
  <c r="U62" i="4"/>
  <c r="BJ62" i="4" s="1"/>
  <c r="M62" i="4"/>
  <c r="BB62" i="4" s="1"/>
  <c r="BP62" i="4"/>
  <c r="I62" i="4"/>
  <c r="BQ62" i="4"/>
  <c r="BN62" i="4"/>
  <c r="BE62" i="4"/>
  <c r="H62" i="4"/>
  <c r="AW62" i="4" s="1"/>
  <c r="AX62" i="4"/>
  <c r="A62" i="6"/>
  <c r="AD61" i="6"/>
  <c r="AA61" i="6"/>
  <c r="C61" i="6"/>
  <c r="B61" i="6"/>
  <c r="W68" i="13"/>
  <c r="V69" i="13"/>
  <c r="W61" i="8"/>
  <c r="X61" i="8" s="1"/>
  <c r="G61" i="8"/>
  <c r="F62" i="8"/>
  <c r="V62" i="5"/>
  <c r="J62" i="5"/>
  <c r="U62" i="5"/>
  <c r="A63" i="5"/>
  <c r="T62" i="5"/>
  <c r="G62" i="5"/>
  <c r="F62" i="5"/>
  <c r="Z62" i="5"/>
  <c r="C62" i="5"/>
  <c r="B62" i="5"/>
  <c r="AL62" i="5"/>
  <c r="AK62" i="5"/>
  <c r="Y62" i="5"/>
  <c r="W62" i="5"/>
  <c r="M62" i="5"/>
  <c r="I61" i="5"/>
  <c r="AC63" i="7" l="1"/>
  <c r="BB57" i="4"/>
  <c r="BB48" i="4"/>
  <c r="BB47" i="4"/>
  <c r="AJ63" i="7"/>
  <c r="M42" i="4"/>
  <c r="S42" i="4"/>
  <c r="BH42" i="4" s="1"/>
  <c r="S53" i="4"/>
  <c r="BH53" i="4" s="1"/>
  <c r="M53" i="4"/>
  <c r="M50" i="4"/>
  <c r="S50" i="4"/>
  <c r="BH50" i="4" s="1"/>
  <c r="K62" i="4"/>
  <c r="V63" i="7"/>
  <c r="S61" i="4"/>
  <c r="BH61" i="4" s="1"/>
  <c r="M61" i="4"/>
  <c r="BB43" i="4"/>
  <c r="AB62" i="5"/>
  <c r="M46" i="4"/>
  <c r="S46" i="4"/>
  <c r="BH46" i="4" s="1"/>
  <c r="S56" i="4"/>
  <c r="BH56" i="4" s="1"/>
  <c r="M56" i="4"/>
  <c r="AV62" i="4"/>
  <c r="AZ62" i="4" s="1"/>
  <c r="BB58" i="4"/>
  <c r="M60" i="4"/>
  <c r="S60" i="4"/>
  <c r="BH60" i="4" s="1"/>
  <c r="BB44" i="4"/>
  <c r="BB54" i="4"/>
  <c r="S49" i="4"/>
  <c r="BH49" i="4" s="1"/>
  <c r="M49" i="4"/>
  <c r="BB51" i="4"/>
  <c r="BB45" i="4"/>
  <c r="BB59" i="4"/>
  <c r="S55" i="4"/>
  <c r="BH55" i="4" s="1"/>
  <c r="M55" i="4"/>
  <c r="I62" i="5"/>
  <c r="Z63" i="5"/>
  <c r="C63" i="5"/>
  <c r="AL63" i="5"/>
  <c r="Y63" i="5"/>
  <c r="M63" i="5"/>
  <c r="B63" i="5"/>
  <c r="AK63" i="5"/>
  <c r="W63" i="5"/>
  <c r="V63" i="5"/>
  <c r="J63" i="5"/>
  <c r="U63" i="5"/>
  <c r="A64" i="5"/>
  <c r="T63" i="5"/>
  <c r="G63" i="5"/>
  <c r="F63" i="5"/>
  <c r="W62" i="8"/>
  <c r="X62" i="8" s="1"/>
  <c r="F63" i="8"/>
  <c r="W69" i="13"/>
  <c r="V70" i="13"/>
  <c r="B62" i="6"/>
  <c r="A63" i="6"/>
  <c r="AD62" i="6"/>
  <c r="AA62" i="6"/>
  <c r="C62" i="6"/>
  <c r="P63" i="4"/>
  <c r="BJ63" i="4"/>
  <c r="AA63" i="4"/>
  <c r="O63" i="4"/>
  <c r="C63" i="4"/>
  <c r="A64" i="4"/>
  <c r="B63" i="4"/>
  <c r="G62" i="8" s="1"/>
  <c r="AY63" i="4"/>
  <c r="U63" i="4"/>
  <c r="BQ63" i="4"/>
  <c r="AX63" i="4"/>
  <c r="BN63" i="4"/>
  <c r="BE63" i="4"/>
  <c r="H63" i="4"/>
  <c r="AW63" i="4" s="1"/>
  <c r="BM63" i="4"/>
  <c r="I63" i="4"/>
  <c r="BD63" i="4"/>
  <c r="G63" i="4"/>
  <c r="BP63" i="4"/>
  <c r="N65" i="7"/>
  <c r="AA64" i="7"/>
  <c r="R64" i="7"/>
  <c r="AI64" i="7"/>
  <c r="Z64" i="7"/>
  <c r="Q64" i="7"/>
  <c r="V64" i="7" s="1"/>
  <c r="AH64" i="7"/>
  <c r="Y64" i="7"/>
  <c r="O64" i="7"/>
  <c r="AG64" i="7"/>
  <c r="X64" i="7"/>
  <c r="AF64" i="7"/>
  <c r="AE64" i="7"/>
  <c r="U64" i="7"/>
  <c r="AB64" i="7"/>
  <c r="T64" i="7"/>
  <c r="S64" i="7"/>
  <c r="BB49" i="4" l="1"/>
  <c r="BB60" i="4"/>
  <c r="AC64" i="7"/>
  <c r="BB56" i="4"/>
  <c r="BB42" i="4"/>
  <c r="BB50" i="4"/>
  <c r="M63" i="4"/>
  <c r="K63" i="4"/>
  <c r="S64" i="4" s="1"/>
  <c r="BH64" i="4" s="1"/>
  <c r="AV63" i="4"/>
  <c r="AZ63" i="4" s="1"/>
  <c r="BB61" i="4"/>
  <c r="BB53" i="4"/>
  <c r="BB55" i="4"/>
  <c r="BB46" i="4"/>
  <c r="AB63" i="5"/>
  <c r="AJ64" i="7"/>
  <c r="S63" i="4"/>
  <c r="BH63" i="4" s="1"/>
  <c r="AG65" i="7"/>
  <c r="X65" i="7"/>
  <c r="AF65" i="7"/>
  <c r="AE65" i="7"/>
  <c r="U65" i="7"/>
  <c r="T65" i="7"/>
  <c r="AB65" i="7"/>
  <c r="S65" i="7"/>
  <c r="N66" i="7"/>
  <c r="AA65" i="7"/>
  <c r="R65" i="7"/>
  <c r="Y65" i="7"/>
  <c r="Q65" i="7"/>
  <c r="V65" i="7" s="1"/>
  <c r="O65" i="7"/>
  <c r="AI65" i="7"/>
  <c r="AH65" i="7"/>
  <c r="Z65" i="7"/>
  <c r="BJ64" i="4"/>
  <c r="AA64" i="4"/>
  <c r="O64" i="4"/>
  <c r="C64" i="4"/>
  <c r="A65" i="4"/>
  <c r="B64" i="4"/>
  <c r="G63" i="8" s="1"/>
  <c r="AY64" i="4"/>
  <c r="U64" i="4"/>
  <c r="BQ64" i="4"/>
  <c r="AX64" i="4"/>
  <c r="BP64" i="4"/>
  <c r="I64" i="4"/>
  <c r="BM64" i="4"/>
  <c r="BD64" i="4"/>
  <c r="G64" i="4"/>
  <c r="BN64" i="4"/>
  <c r="P64" i="4"/>
  <c r="BE64" i="4"/>
  <c r="H64" i="4"/>
  <c r="AW64" i="4" s="1"/>
  <c r="C63" i="6"/>
  <c r="B63" i="6"/>
  <c r="A64" i="6"/>
  <c r="AD63" i="6"/>
  <c r="AA63" i="6"/>
  <c r="V71" i="13"/>
  <c r="W70" i="13"/>
  <c r="W63" i="8"/>
  <c r="X63" i="8" s="1"/>
  <c r="F64" i="8"/>
  <c r="I63" i="5"/>
  <c r="A65" i="5"/>
  <c r="T64" i="5"/>
  <c r="G64" i="5"/>
  <c r="F64" i="5"/>
  <c r="Z64" i="5"/>
  <c r="C64" i="5"/>
  <c r="AL64" i="5"/>
  <c r="Y64" i="5"/>
  <c r="M64" i="5"/>
  <c r="B64" i="5"/>
  <c r="AK64" i="5"/>
  <c r="W64" i="5"/>
  <c r="V64" i="5"/>
  <c r="U64" i="5"/>
  <c r="J64" i="5"/>
  <c r="AB64" i="5" l="1"/>
  <c r="AJ65" i="7"/>
  <c r="M64" i="4"/>
  <c r="K64" i="4"/>
  <c r="AV64" i="4"/>
  <c r="AZ64" i="4" s="1"/>
  <c r="AC65" i="7"/>
  <c r="BB63" i="4"/>
  <c r="I64" i="5"/>
  <c r="AK65" i="5"/>
  <c r="W65" i="5"/>
  <c r="V65" i="5"/>
  <c r="J65" i="5"/>
  <c r="U65" i="5"/>
  <c r="A66" i="5"/>
  <c r="T65" i="5"/>
  <c r="G65" i="5"/>
  <c r="F65" i="5"/>
  <c r="Z65" i="5"/>
  <c r="Y65" i="5"/>
  <c r="M65" i="5"/>
  <c r="C65" i="5"/>
  <c r="B65" i="5"/>
  <c r="AL65" i="5"/>
  <c r="W64" i="8"/>
  <c r="X64" i="8" s="1"/>
  <c r="F65" i="8"/>
  <c r="V72" i="13"/>
  <c r="W71" i="13"/>
  <c r="C64" i="6"/>
  <c r="B64" i="6"/>
  <c r="AA64" i="6"/>
  <c r="AD64" i="6"/>
  <c r="A65" i="6"/>
  <c r="A66" i="4"/>
  <c r="B65" i="4"/>
  <c r="G64" i="8" s="1"/>
  <c r="BH65" i="4"/>
  <c r="AY65" i="4"/>
  <c r="U65" i="4"/>
  <c r="M65" i="4"/>
  <c r="BQ65" i="4"/>
  <c r="AX65" i="4"/>
  <c r="S65" i="4"/>
  <c r="I65" i="4"/>
  <c r="BN65" i="4"/>
  <c r="H65" i="4"/>
  <c r="AW65" i="4" s="1"/>
  <c r="P65" i="4"/>
  <c r="BE65" i="4" s="1"/>
  <c r="BJ65" i="4"/>
  <c r="O65" i="4"/>
  <c r="BD65" i="4" s="1"/>
  <c r="G65" i="4"/>
  <c r="AV65" i="4" s="1"/>
  <c r="BB65" i="4"/>
  <c r="C65" i="4"/>
  <c r="AA65" i="4"/>
  <c r="BP65" i="4" s="1"/>
  <c r="BM65" i="4"/>
  <c r="N67" i="7"/>
  <c r="AE66" i="7"/>
  <c r="AJ66" i="7" s="1"/>
  <c r="T66" i="7"/>
  <c r="AB66" i="7"/>
  <c r="S66" i="7"/>
  <c r="AA66" i="7"/>
  <c r="R66" i="7"/>
  <c r="Z66" i="7"/>
  <c r="Q66" i="7"/>
  <c r="AI66" i="7"/>
  <c r="Y66" i="7"/>
  <c r="O66" i="7"/>
  <c r="AH66" i="7"/>
  <c r="X66" i="7"/>
  <c r="AC66" i="7" s="1"/>
  <c r="U66" i="7"/>
  <c r="AG66" i="7"/>
  <c r="AF66" i="7"/>
  <c r="AZ65" i="4" l="1"/>
  <c r="BB64" i="4"/>
  <c r="AB65" i="5"/>
  <c r="K65" i="4"/>
  <c r="V66" i="7"/>
  <c r="AG67" i="7"/>
  <c r="X67" i="7"/>
  <c r="AB67" i="7"/>
  <c r="S67" i="7"/>
  <c r="N68" i="7"/>
  <c r="AA67" i="7"/>
  <c r="R67" i="7"/>
  <c r="AE67" i="7"/>
  <c r="O67" i="7"/>
  <c r="Z67" i="7"/>
  <c r="Y67" i="7"/>
  <c r="AI67" i="7"/>
  <c r="U67" i="7"/>
  <c r="AF67" i="7"/>
  <c r="T67" i="7"/>
  <c r="Q67" i="7"/>
  <c r="AH67" i="7"/>
  <c r="AY66" i="4"/>
  <c r="U66" i="4"/>
  <c r="BJ66" i="4" s="1"/>
  <c r="M66" i="4"/>
  <c r="BQ66" i="4"/>
  <c r="AX66" i="4"/>
  <c r="I66" i="4"/>
  <c r="BN66" i="4"/>
  <c r="BE66" i="4"/>
  <c r="AV66" i="4"/>
  <c r="H66" i="4"/>
  <c r="AW66" i="4" s="1"/>
  <c r="BM66" i="4"/>
  <c r="G66" i="4"/>
  <c r="AA66" i="4"/>
  <c r="BP66" i="4" s="1"/>
  <c r="C66" i="4"/>
  <c r="A67" i="4"/>
  <c r="P66" i="4"/>
  <c r="B66" i="4"/>
  <c r="G65" i="8" s="1"/>
  <c r="C65" i="6"/>
  <c r="B65" i="6"/>
  <c r="AA65" i="6"/>
  <c r="A66" i="6"/>
  <c r="AD65" i="6"/>
  <c r="W72" i="13"/>
  <c r="K8" i="3" s="1"/>
  <c r="K13" i="3"/>
  <c r="W65" i="8"/>
  <c r="X65" i="8" s="1"/>
  <c r="F66" i="8"/>
  <c r="I65" i="5"/>
  <c r="Z66" i="5"/>
  <c r="C66" i="5"/>
  <c r="AL66" i="5"/>
  <c r="Y66" i="5"/>
  <c r="M66" i="5"/>
  <c r="B66" i="5"/>
  <c r="AK66" i="5"/>
  <c r="W66" i="5"/>
  <c r="V66" i="5"/>
  <c r="J66" i="5"/>
  <c r="U66" i="5"/>
  <c r="T66" i="5"/>
  <c r="AB66" i="5" s="1"/>
  <c r="A67" i="5"/>
  <c r="G66" i="5"/>
  <c r="F66" i="5"/>
  <c r="V67" i="7" l="1"/>
  <c r="AC67" i="7"/>
  <c r="AJ67" i="7"/>
  <c r="AZ66" i="4"/>
  <c r="K66" i="4"/>
  <c r="M67" i="4" s="1"/>
  <c r="BB66" i="4"/>
  <c r="S66" i="4"/>
  <c r="BH66" i="4" s="1"/>
  <c r="I66" i="5"/>
  <c r="U67" i="5"/>
  <c r="A68" i="5"/>
  <c r="T67" i="5"/>
  <c r="G67" i="5"/>
  <c r="F67" i="5"/>
  <c r="Z67" i="5"/>
  <c r="C67" i="5"/>
  <c r="Y67" i="5"/>
  <c r="M67" i="5"/>
  <c r="B67" i="5"/>
  <c r="J67" i="5"/>
  <c r="AK67" i="5"/>
  <c r="AJ67" i="5"/>
  <c r="W67" i="5"/>
  <c r="V67" i="5"/>
  <c r="W66" i="8"/>
  <c r="X66" i="8" s="1"/>
  <c r="F67" i="8"/>
  <c r="K17" i="3"/>
  <c r="G38" i="4" s="1"/>
  <c r="AA66" i="6"/>
  <c r="C66" i="6"/>
  <c r="A67" i="6"/>
  <c r="AD66" i="6"/>
  <c r="B66" i="6"/>
  <c r="BQ67" i="4"/>
  <c r="AJ67" i="4"/>
  <c r="I67" i="4"/>
  <c r="AX67" i="4" s="1"/>
  <c r="BN67" i="4"/>
  <c r="H67" i="4"/>
  <c r="AW67" i="4" s="1"/>
  <c r="BM67" i="4"/>
  <c r="G67" i="4"/>
  <c r="AV67" i="4" s="1"/>
  <c r="P67" i="4"/>
  <c r="BE67" i="4" s="1"/>
  <c r="A68" i="4"/>
  <c r="B67" i="4"/>
  <c r="G66" i="8" s="1"/>
  <c r="C67" i="4"/>
  <c r="AY67" i="4"/>
  <c r="AA67" i="4"/>
  <c r="BP67" i="4" s="1"/>
  <c r="U67" i="4"/>
  <c r="BJ67" i="4" s="1"/>
  <c r="O67" i="4"/>
  <c r="BD67" i="4" s="1"/>
  <c r="T68" i="7"/>
  <c r="AH68" i="7"/>
  <c r="Y68" i="7"/>
  <c r="O68" i="7"/>
  <c r="AG68" i="7"/>
  <c r="X68" i="7"/>
  <c r="AI68" i="7"/>
  <c r="S68" i="7"/>
  <c r="AF68" i="7"/>
  <c r="R68" i="7"/>
  <c r="AE68" i="7"/>
  <c r="Q68" i="7"/>
  <c r="AB68" i="7"/>
  <c r="AA68" i="7"/>
  <c r="N69" i="7"/>
  <c r="Z68" i="7"/>
  <c r="U68" i="7"/>
  <c r="AZ67" i="4" l="1"/>
  <c r="BB67" i="4"/>
  <c r="G40" i="4"/>
  <c r="AB67" i="5"/>
  <c r="G39" i="4"/>
  <c r="AC68" i="7"/>
  <c r="AJ68" i="7"/>
  <c r="V68" i="7"/>
  <c r="K67" i="4"/>
  <c r="S67" i="4"/>
  <c r="BH67" i="4" s="1"/>
  <c r="AI69" i="7"/>
  <c r="Z69" i="7"/>
  <c r="Q69" i="7"/>
  <c r="AE69" i="7"/>
  <c r="U69" i="7"/>
  <c r="T69" i="7"/>
  <c r="X69" i="7"/>
  <c r="AH69" i="7"/>
  <c r="S69" i="7"/>
  <c r="AG69" i="7"/>
  <c r="R69" i="7"/>
  <c r="AF69" i="7"/>
  <c r="O69" i="7"/>
  <c r="AB69" i="7"/>
  <c r="N70" i="7"/>
  <c r="AA69" i="7"/>
  <c r="Y69" i="7"/>
  <c r="BP68" i="4"/>
  <c r="AJ68" i="4"/>
  <c r="S68" i="4"/>
  <c r="I68" i="4"/>
  <c r="AX68" i="4" s="1"/>
  <c r="BN68" i="4"/>
  <c r="AV68" i="4"/>
  <c r="H68" i="4"/>
  <c r="AW68" i="4" s="1"/>
  <c r="BM68" i="4"/>
  <c r="G68" i="4"/>
  <c r="P68" i="4"/>
  <c r="BE68" i="4" s="1"/>
  <c r="AA68" i="4"/>
  <c r="O68" i="4"/>
  <c r="BD68" i="4" s="1"/>
  <c r="C68" i="4"/>
  <c r="BH68" i="4"/>
  <c r="AY68" i="4"/>
  <c r="U68" i="4"/>
  <c r="BJ68" i="4" s="1"/>
  <c r="M68" i="4"/>
  <c r="A69" i="4"/>
  <c r="BQ68" i="4"/>
  <c r="B68" i="4"/>
  <c r="G67" i="8" s="1"/>
  <c r="AA67" i="6"/>
  <c r="C67" i="6"/>
  <c r="AD67" i="6"/>
  <c r="B67" i="6"/>
  <c r="A68" i="6"/>
  <c r="K38" i="4"/>
  <c r="AV38" i="4"/>
  <c r="AZ38" i="4" s="1"/>
  <c r="W67" i="8"/>
  <c r="X67" i="8" s="1"/>
  <c r="F68" i="8"/>
  <c r="I67" i="5"/>
  <c r="Z68" i="5"/>
  <c r="C68" i="5"/>
  <c r="AK68" i="5"/>
  <c r="T68" i="5"/>
  <c r="B68" i="5"/>
  <c r="A69" i="5"/>
  <c r="AJ68" i="5"/>
  <c r="M68" i="5"/>
  <c r="J68" i="5"/>
  <c r="Y68" i="5"/>
  <c r="W68" i="5"/>
  <c r="G68" i="5"/>
  <c r="F68" i="5"/>
  <c r="V68" i="5"/>
  <c r="U68" i="5"/>
  <c r="K68" i="4" l="1"/>
  <c r="AJ69" i="7"/>
  <c r="K40" i="4"/>
  <c r="AV40" i="4"/>
  <c r="AZ40" i="4" s="1"/>
  <c r="AB68" i="5"/>
  <c r="S39" i="4"/>
  <c r="BH39" i="4" s="1"/>
  <c r="M39" i="4"/>
  <c r="V69" i="7"/>
  <c r="AZ68" i="4"/>
  <c r="BB68" i="4"/>
  <c r="AC69" i="7"/>
  <c r="K39" i="4"/>
  <c r="AV39" i="4"/>
  <c r="AZ39" i="4" s="1"/>
  <c r="I68" i="5"/>
  <c r="AJ69" i="5"/>
  <c r="V69" i="5"/>
  <c r="J69" i="5"/>
  <c r="U69" i="5"/>
  <c r="A70" i="5"/>
  <c r="T69" i="5"/>
  <c r="G69" i="5"/>
  <c r="B69" i="5"/>
  <c r="AK69" i="5"/>
  <c r="M69" i="5"/>
  <c r="Z69" i="5"/>
  <c r="F69" i="5"/>
  <c r="Y69" i="5"/>
  <c r="W69" i="5"/>
  <c r="C69" i="5"/>
  <c r="W68" i="8"/>
  <c r="X68" i="8" s="1"/>
  <c r="F69" i="8"/>
  <c r="A69" i="6"/>
  <c r="AD68" i="6"/>
  <c r="AA68" i="6"/>
  <c r="B68" i="6"/>
  <c r="C68" i="6"/>
  <c r="BN69" i="4"/>
  <c r="AV69" i="4"/>
  <c r="H69" i="4"/>
  <c r="BM69" i="4"/>
  <c r="G69" i="4"/>
  <c r="P69" i="4"/>
  <c r="BE69" i="4" s="1"/>
  <c r="BJ69" i="4"/>
  <c r="AA69" i="4"/>
  <c r="BP69" i="4" s="1"/>
  <c r="O69" i="4"/>
  <c r="BD69" i="4" s="1"/>
  <c r="C69" i="4"/>
  <c r="A70" i="4"/>
  <c r="B69" i="4"/>
  <c r="G68" i="8" s="1"/>
  <c r="BQ69" i="4"/>
  <c r="I69" i="4"/>
  <c r="AX69" i="4" s="1"/>
  <c r="AY69" i="4"/>
  <c r="AJ69" i="4"/>
  <c r="U69" i="4"/>
  <c r="M69" i="4"/>
  <c r="BB69" i="4" s="1"/>
  <c r="AF70" i="7"/>
  <c r="N71" i="7"/>
  <c r="AA70" i="7"/>
  <c r="R70" i="7"/>
  <c r="AI70" i="7"/>
  <c r="Z70" i="7"/>
  <c r="Q70" i="7"/>
  <c r="AB70" i="7"/>
  <c r="Y70" i="7"/>
  <c r="X70" i="7"/>
  <c r="AC70" i="7" s="1"/>
  <c r="U70" i="7"/>
  <c r="AH70" i="7"/>
  <c r="T70" i="7"/>
  <c r="AG70" i="7"/>
  <c r="S70" i="7"/>
  <c r="O70" i="7"/>
  <c r="AE70" i="7"/>
  <c r="V70" i="7" l="1"/>
  <c r="AW69" i="4"/>
  <c r="AZ69" i="4" s="1"/>
  <c r="BB39" i="4"/>
  <c r="M41" i="4"/>
  <c r="S41" i="4"/>
  <c r="BH41" i="4" s="1"/>
  <c r="S40" i="4"/>
  <c r="BH40" i="4" s="1"/>
  <c r="M40" i="4"/>
  <c r="S69" i="4"/>
  <c r="BH69" i="4" s="1"/>
  <c r="AB69" i="5"/>
  <c r="AJ70" i="7"/>
  <c r="K69" i="4"/>
  <c r="AB71" i="7"/>
  <c r="S71" i="7"/>
  <c r="AG71" i="7"/>
  <c r="X71" i="7"/>
  <c r="AF71" i="7"/>
  <c r="AE71" i="7"/>
  <c r="Q71" i="7"/>
  <c r="O71" i="7"/>
  <c r="AA71" i="7"/>
  <c r="N72" i="7"/>
  <c r="Z71" i="7"/>
  <c r="Y71" i="7"/>
  <c r="U71" i="7"/>
  <c r="AI71" i="7"/>
  <c r="AH71" i="7"/>
  <c r="T71" i="7"/>
  <c r="R71" i="7"/>
  <c r="BM70" i="4"/>
  <c r="G70" i="4"/>
  <c r="P70" i="4"/>
  <c r="BE70" i="4" s="1"/>
  <c r="AA70" i="4"/>
  <c r="BP70" i="4" s="1"/>
  <c r="O70" i="4"/>
  <c r="BD70" i="4" s="1"/>
  <c r="C70" i="4"/>
  <c r="A71" i="4"/>
  <c r="B70" i="4"/>
  <c r="AY70" i="4"/>
  <c r="U70" i="4"/>
  <c r="BJ70" i="4" s="1"/>
  <c r="M70" i="4"/>
  <c r="BB70" i="4" s="1"/>
  <c r="AJ70" i="4"/>
  <c r="S70" i="4"/>
  <c r="BH70" i="4" s="1"/>
  <c r="I70" i="4"/>
  <c r="AX70" i="4" s="1"/>
  <c r="BQ70" i="4"/>
  <c r="BN70" i="4"/>
  <c r="H70" i="4"/>
  <c r="AV70" i="4"/>
  <c r="A70" i="6"/>
  <c r="AD69" i="6"/>
  <c r="AA69" i="6"/>
  <c r="C69" i="6"/>
  <c r="B69" i="6"/>
  <c r="W69" i="8"/>
  <c r="X69" i="8" s="1"/>
  <c r="G69" i="8"/>
  <c r="F70" i="8"/>
  <c r="I69" i="5"/>
  <c r="Z70" i="5"/>
  <c r="C70" i="5"/>
  <c r="Y70" i="5"/>
  <c r="M70" i="5"/>
  <c r="B70" i="5"/>
  <c r="AK70" i="5"/>
  <c r="W70" i="5"/>
  <c r="U70" i="5"/>
  <c r="T70" i="5"/>
  <c r="AJ70" i="5"/>
  <c r="A71" i="5"/>
  <c r="J70" i="5"/>
  <c r="V70" i="5"/>
  <c r="G70" i="5"/>
  <c r="F70" i="5"/>
  <c r="AB70" i="5" l="1"/>
  <c r="V71" i="7"/>
  <c r="BB40" i="4"/>
  <c r="BB41" i="4"/>
  <c r="AW70" i="4"/>
  <c r="AJ71" i="7"/>
  <c r="K70" i="4"/>
  <c r="AC71" i="7"/>
  <c r="AZ70" i="4"/>
  <c r="I70" i="5"/>
  <c r="U71" i="5"/>
  <c r="A72" i="5"/>
  <c r="T71" i="5"/>
  <c r="G71" i="5"/>
  <c r="F71" i="5"/>
  <c r="AK71" i="5"/>
  <c r="AJ71" i="5"/>
  <c r="J71" i="5"/>
  <c r="Z71" i="5"/>
  <c r="C71" i="5"/>
  <c r="Y71" i="5"/>
  <c r="B71" i="5"/>
  <c r="W71" i="5"/>
  <c r="V71" i="5"/>
  <c r="M71" i="5"/>
  <c r="W70" i="8"/>
  <c r="X70" i="8" s="1"/>
  <c r="F71" i="8"/>
  <c r="B70" i="6"/>
  <c r="A71" i="6"/>
  <c r="AD70" i="6"/>
  <c r="AA70" i="6"/>
  <c r="C70" i="6"/>
  <c r="P71" i="4"/>
  <c r="BE71" i="4" s="1"/>
  <c r="BJ71" i="4"/>
  <c r="BB71" i="4"/>
  <c r="AA71" i="4"/>
  <c r="BP71" i="4" s="1"/>
  <c r="O71" i="4"/>
  <c r="C71" i="4"/>
  <c r="A72" i="4"/>
  <c r="B71" i="4"/>
  <c r="G70" i="8" s="1"/>
  <c r="BH71" i="4"/>
  <c r="AY71" i="4"/>
  <c r="U71" i="4"/>
  <c r="M71" i="4"/>
  <c r="BQ71" i="4"/>
  <c r="AJ71" i="4"/>
  <c r="S71" i="4"/>
  <c r="I71" i="4"/>
  <c r="AX71" i="4" s="1"/>
  <c r="BN71" i="4"/>
  <c r="AV71" i="4"/>
  <c r="H71" i="4"/>
  <c r="AW71" i="4" s="1"/>
  <c r="G71" i="4"/>
  <c r="BM71" i="4"/>
  <c r="BD71" i="4"/>
  <c r="AH72" i="7"/>
  <c r="Y72" i="7"/>
  <c r="O72" i="7"/>
  <c r="T72" i="7"/>
  <c r="AB72" i="7"/>
  <c r="S72" i="7"/>
  <c r="AI72" i="7"/>
  <c r="U72" i="7"/>
  <c r="AG72" i="7"/>
  <c r="R72" i="7"/>
  <c r="AF72" i="7"/>
  <c r="Q72" i="7"/>
  <c r="AE72" i="7"/>
  <c r="AA72" i="7"/>
  <c r="N73" i="7"/>
  <c r="Z72" i="7"/>
  <c r="X72" i="7"/>
  <c r="K71" i="4" l="1"/>
  <c r="AC72" i="7"/>
  <c r="AJ72" i="7"/>
  <c r="AZ71" i="4"/>
  <c r="V72" i="7"/>
  <c r="AB71" i="5"/>
  <c r="AE73" i="7"/>
  <c r="U73" i="7"/>
  <c r="AI73" i="7"/>
  <c r="Z73" i="7"/>
  <c r="Q73" i="7"/>
  <c r="AH73" i="7"/>
  <c r="Y73" i="7"/>
  <c r="O73" i="7"/>
  <c r="N74" i="7"/>
  <c r="X73" i="7"/>
  <c r="T73" i="7"/>
  <c r="AG73" i="7"/>
  <c r="S73" i="7"/>
  <c r="AF73" i="7"/>
  <c r="R73" i="7"/>
  <c r="AA73" i="7"/>
  <c r="AB73" i="7"/>
  <c r="AA72" i="4"/>
  <c r="BP72" i="4" s="1"/>
  <c r="O72" i="4"/>
  <c r="C72" i="4"/>
  <c r="A73" i="4"/>
  <c r="B72" i="4"/>
  <c r="AY72" i="4"/>
  <c r="U72" i="4"/>
  <c r="BJ72" i="4" s="1"/>
  <c r="M72" i="4"/>
  <c r="BQ72" i="4"/>
  <c r="AJ72" i="4"/>
  <c r="I72" i="4"/>
  <c r="AX72" i="4" s="1"/>
  <c r="BN72" i="4"/>
  <c r="AV72" i="4"/>
  <c r="H72" i="4"/>
  <c r="BM72" i="4"/>
  <c r="BD72" i="4"/>
  <c r="G72" i="4"/>
  <c r="P72" i="4"/>
  <c r="BE72" i="4" s="1"/>
  <c r="C71" i="6"/>
  <c r="B71" i="6"/>
  <c r="A72" i="6"/>
  <c r="AD71" i="6"/>
  <c r="AA71" i="6"/>
  <c r="W71" i="8"/>
  <c r="X71" i="8" s="1"/>
  <c r="G71" i="8"/>
  <c r="F72" i="8"/>
  <c r="I71" i="5"/>
  <c r="Y72" i="5"/>
  <c r="M72" i="5"/>
  <c r="B72" i="5"/>
  <c r="AK72" i="5"/>
  <c r="W72" i="5"/>
  <c r="AJ72" i="5"/>
  <c r="V72" i="5"/>
  <c r="J72" i="5"/>
  <c r="U72" i="5"/>
  <c r="Z72" i="5"/>
  <c r="C72" i="5"/>
  <c r="T72" i="5"/>
  <c r="G72" i="5"/>
  <c r="F72" i="5"/>
  <c r="A73" i="5"/>
  <c r="AB72" i="5" l="1"/>
  <c r="AW72" i="4"/>
  <c r="AZ72" i="4" s="1"/>
  <c r="K72" i="4"/>
  <c r="BB72" i="4"/>
  <c r="AJ73" i="7"/>
  <c r="AC73" i="7"/>
  <c r="S72" i="4"/>
  <c r="BH72" i="4" s="1"/>
  <c r="V73" i="7"/>
  <c r="F73" i="5"/>
  <c r="Z73" i="5"/>
  <c r="C73" i="5"/>
  <c r="Y73" i="5"/>
  <c r="M73" i="5"/>
  <c r="B73" i="5"/>
  <c r="U73" i="5"/>
  <c r="T73" i="5"/>
  <c r="AK73" i="5"/>
  <c r="AJ73" i="5"/>
  <c r="J73" i="5"/>
  <c r="G73" i="5"/>
  <c r="A74" i="5"/>
  <c r="W73" i="5"/>
  <c r="V73" i="5"/>
  <c r="I72" i="5"/>
  <c r="W72" i="8"/>
  <c r="X72" i="8" s="1"/>
  <c r="F73" i="8"/>
  <c r="C72" i="6"/>
  <c r="B72" i="6"/>
  <c r="AA72" i="6"/>
  <c r="AD72" i="6"/>
  <c r="A73" i="6"/>
  <c r="A74" i="4"/>
  <c r="B73" i="4"/>
  <c r="G72" i="8" s="1"/>
  <c r="AY73" i="4"/>
  <c r="U73" i="4"/>
  <c r="M73" i="4"/>
  <c r="BQ73" i="4"/>
  <c r="AX73" i="4"/>
  <c r="AJ73" i="4"/>
  <c r="S73" i="4"/>
  <c r="BH73" i="4" s="1"/>
  <c r="I73" i="4"/>
  <c r="BN73" i="4"/>
  <c r="H73" i="4"/>
  <c r="BM73" i="4"/>
  <c r="G73" i="4"/>
  <c r="P73" i="4"/>
  <c r="BE73" i="4" s="1"/>
  <c r="BB73" i="4"/>
  <c r="AA73" i="4"/>
  <c r="BP73" i="4" s="1"/>
  <c r="O73" i="4"/>
  <c r="BD73" i="4" s="1"/>
  <c r="C73" i="4"/>
  <c r="BJ73" i="4"/>
  <c r="N75" i="7"/>
  <c r="AA74" i="7"/>
  <c r="R74" i="7"/>
  <c r="AZ74" i="7"/>
  <c r="AF74" i="7"/>
  <c r="AY74" i="7"/>
  <c r="AE74" i="7"/>
  <c r="U74" i="7"/>
  <c r="AB74" i="7"/>
  <c r="Z74" i="7"/>
  <c r="BC74" i="7"/>
  <c r="Y74" i="7"/>
  <c r="BB74" i="7"/>
  <c r="X74" i="7"/>
  <c r="BA74" i="7"/>
  <c r="AI74" i="7"/>
  <c r="T74" i="7"/>
  <c r="AH74" i="7"/>
  <c r="S74" i="7"/>
  <c r="AG74" i="7"/>
  <c r="Q74" i="7"/>
  <c r="O74" i="7"/>
  <c r="AC74" i="7" l="1"/>
  <c r="AB73" i="5"/>
  <c r="AW73" i="4"/>
  <c r="AJ74" i="7"/>
  <c r="AV73" i="4"/>
  <c r="V74" i="7"/>
  <c r="K73" i="4"/>
  <c r="BA75" i="7"/>
  <c r="AG75" i="7"/>
  <c r="X75" i="7"/>
  <c r="AB75" i="7"/>
  <c r="S75" i="7"/>
  <c r="N76" i="7"/>
  <c r="AA75" i="7"/>
  <c r="R75" i="7"/>
  <c r="AF75" i="7"/>
  <c r="Q75" i="7"/>
  <c r="V75" i="7" s="1"/>
  <c r="AE75" i="7"/>
  <c r="O75" i="7"/>
  <c r="Z75" i="7"/>
  <c r="BC75" i="7"/>
  <c r="Y75" i="7"/>
  <c r="BB75" i="7"/>
  <c r="AZ75" i="7"/>
  <c r="AY75" i="7"/>
  <c r="AI75" i="7"/>
  <c r="AH75" i="7"/>
  <c r="U75" i="7"/>
  <c r="T75" i="7"/>
  <c r="BH74" i="4"/>
  <c r="AY74" i="4"/>
  <c r="U74" i="4"/>
  <c r="M74" i="4"/>
  <c r="BQ74" i="4"/>
  <c r="BP74" i="4"/>
  <c r="AJ74" i="4"/>
  <c r="S74" i="4"/>
  <c r="I74" i="4"/>
  <c r="AX74" i="4" s="1"/>
  <c r="BN74" i="4"/>
  <c r="AV74" i="4"/>
  <c r="H74" i="4"/>
  <c r="AW74" i="4" s="1"/>
  <c r="BM74" i="4"/>
  <c r="G74" i="4"/>
  <c r="P74" i="4"/>
  <c r="BE74" i="4" s="1"/>
  <c r="BJ74" i="4"/>
  <c r="BB74" i="4"/>
  <c r="AA74" i="4"/>
  <c r="O74" i="4"/>
  <c r="BD74" i="4" s="1"/>
  <c r="C74" i="4"/>
  <c r="A75" i="4"/>
  <c r="B74" i="4"/>
  <c r="G73" i="8" s="1"/>
  <c r="C73" i="6"/>
  <c r="B73" i="6"/>
  <c r="AD73" i="6"/>
  <c r="AA73" i="6"/>
  <c r="A74" i="6"/>
  <c r="W73" i="8"/>
  <c r="X73" i="8" s="1"/>
  <c r="F74" i="8"/>
  <c r="Y74" i="5"/>
  <c r="M74" i="5"/>
  <c r="B74" i="5"/>
  <c r="AJ74" i="5"/>
  <c r="V74" i="5"/>
  <c r="J74" i="5"/>
  <c r="U74" i="5"/>
  <c r="A75" i="5"/>
  <c r="T74" i="5"/>
  <c r="G74" i="5"/>
  <c r="F74" i="5"/>
  <c r="W74" i="5"/>
  <c r="AK74" i="5"/>
  <c r="C74" i="5"/>
  <c r="Z74" i="5"/>
  <c r="I73" i="5"/>
  <c r="K74" i="4" l="1"/>
  <c r="AZ74" i="4"/>
  <c r="AB74" i="5"/>
  <c r="AZ73" i="4"/>
  <c r="AJ75" i="7"/>
  <c r="AC75" i="7"/>
  <c r="I74" i="5"/>
  <c r="F75" i="5"/>
  <c r="Z75" i="5"/>
  <c r="C75" i="5"/>
  <c r="Y75" i="5"/>
  <c r="M75" i="5"/>
  <c r="B75" i="5"/>
  <c r="AK75" i="5"/>
  <c r="W75" i="5"/>
  <c r="AJ75" i="5"/>
  <c r="V75" i="5"/>
  <c r="J75" i="5"/>
  <c r="U75" i="5"/>
  <c r="T75" i="5"/>
  <c r="AB75" i="5" s="1"/>
  <c r="A76" i="5"/>
  <c r="G75" i="5"/>
  <c r="W74" i="8"/>
  <c r="X74" i="8" s="1"/>
  <c r="F75" i="8"/>
  <c r="AA74" i="6"/>
  <c r="C74" i="6"/>
  <c r="A75" i="6"/>
  <c r="AD74" i="6"/>
  <c r="B74" i="6"/>
  <c r="BQ75" i="4"/>
  <c r="AJ75" i="4"/>
  <c r="S75" i="4"/>
  <c r="I75" i="4"/>
  <c r="AX75" i="4" s="1"/>
  <c r="BN75" i="4"/>
  <c r="BE75" i="4"/>
  <c r="H75" i="4"/>
  <c r="AW75" i="4" s="1"/>
  <c r="BM75" i="4"/>
  <c r="BD75" i="4"/>
  <c r="G75" i="4"/>
  <c r="P75" i="4"/>
  <c r="BJ75" i="4"/>
  <c r="AA75" i="4"/>
  <c r="BP75" i="4" s="1"/>
  <c r="O75" i="4"/>
  <c r="C75" i="4"/>
  <c r="A76" i="4"/>
  <c r="B75" i="4"/>
  <c r="G74" i="8" s="1"/>
  <c r="BH75" i="4"/>
  <c r="AY75" i="4"/>
  <c r="U75" i="4"/>
  <c r="M75" i="4"/>
  <c r="BB75" i="4" s="1"/>
  <c r="T76" i="7"/>
  <c r="BB76" i="7"/>
  <c r="AH76" i="7"/>
  <c r="Y76" i="7"/>
  <c r="O76" i="7"/>
  <c r="BA76" i="7"/>
  <c r="AG76" i="7"/>
  <c r="X76" i="7"/>
  <c r="AZ76" i="7"/>
  <c r="U76" i="7"/>
  <c r="AY76" i="7"/>
  <c r="AI76" i="7"/>
  <c r="S76" i="7"/>
  <c r="AF76" i="7"/>
  <c r="R76" i="7"/>
  <c r="AE76" i="7"/>
  <c r="AJ76" i="7" s="1"/>
  <c r="Q76" i="7"/>
  <c r="V76" i="7" s="1"/>
  <c r="AB76" i="7"/>
  <c r="AA76" i="7"/>
  <c r="N77" i="7"/>
  <c r="BC76" i="7"/>
  <c r="Z76" i="7"/>
  <c r="AC76" i="7" l="1"/>
  <c r="AV75" i="4"/>
  <c r="AZ75" i="4" s="1"/>
  <c r="K75" i="4"/>
  <c r="BC77" i="7"/>
  <c r="AI77" i="7"/>
  <c r="Z77" i="7"/>
  <c r="Q77" i="7"/>
  <c r="AY77" i="7"/>
  <c r="AE77" i="7"/>
  <c r="AJ77" i="7" s="1"/>
  <c r="U77" i="7"/>
  <c r="T77" i="7"/>
  <c r="N78" i="7"/>
  <c r="Y77" i="7"/>
  <c r="BB77" i="7"/>
  <c r="X77" i="7"/>
  <c r="BA77" i="7"/>
  <c r="AZ77" i="7"/>
  <c r="AH77" i="7"/>
  <c r="S77" i="7"/>
  <c r="AG77" i="7"/>
  <c r="R77" i="7"/>
  <c r="AF77" i="7"/>
  <c r="O77" i="7"/>
  <c r="AB77" i="7"/>
  <c r="AA77" i="7"/>
  <c r="AJ76" i="4"/>
  <c r="S76" i="4"/>
  <c r="I76" i="4"/>
  <c r="AX76" i="4" s="1"/>
  <c r="BN76" i="4"/>
  <c r="H76" i="4"/>
  <c r="AW76" i="4" s="1"/>
  <c r="BM76" i="4"/>
  <c r="G76" i="4"/>
  <c r="P76" i="4"/>
  <c r="BE76" i="4" s="1"/>
  <c r="BJ76" i="4"/>
  <c r="AA76" i="4"/>
  <c r="BP76" i="4" s="1"/>
  <c r="O76" i="4"/>
  <c r="BD76" i="4" s="1"/>
  <c r="C76" i="4"/>
  <c r="A77" i="4"/>
  <c r="B76" i="4"/>
  <c r="G75" i="8" s="1"/>
  <c r="BH76" i="4"/>
  <c r="AY76" i="4"/>
  <c r="U76" i="4"/>
  <c r="M76" i="4"/>
  <c r="BQ76" i="4"/>
  <c r="AA75" i="6"/>
  <c r="C75" i="6"/>
  <c r="AD75" i="6"/>
  <c r="B75" i="6"/>
  <c r="A76" i="6"/>
  <c r="W75" i="8"/>
  <c r="X75" i="8" s="1"/>
  <c r="F76" i="8"/>
  <c r="AJ76" i="5"/>
  <c r="V76" i="5"/>
  <c r="J76" i="5"/>
  <c r="A77" i="5"/>
  <c r="T76" i="5"/>
  <c r="G76" i="5"/>
  <c r="F76" i="5"/>
  <c r="Z76" i="5"/>
  <c r="C76" i="5"/>
  <c r="Y76" i="5"/>
  <c r="M76" i="5"/>
  <c r="B76" i="5"/>
  <c r="W76" i="5"/>
  <c r="U76" i="5"/>
  <c r="AK76" i="5"/>
  <c r="I75" i="5"/>
  <c r="AB76" i="5" l="1"/>
  <c r="AV76" i="4"/>
  <c r="AZ76" i="4" s="1"/>
  <c r="K76" i="4"/>
  <c r="AC77" i="7"/>
  <c r="V77" i="7"/>
  <c r="BB76" i="4"/>
  <c r="I76" i="5"/>
  <c r="Z77" i="5"/>
  <c r="C77" i="5"/>
  <c r="AK77" i="5"/>
  <c r="W77" i="5"/>
  <c r="AJ77" i="5"/>
  <c r="V77" i="5"/>
  <c r="J77" i="5"/>
  <c r="U77" i="5"/>
  <c r="A78" i="5"/>
  <c r="T77" i="5"/>
  <c r="G77" i="5"/>
  <c r="F77" i="5"/>
  <c r="Y77" i="5"/>
  <c r="M77" i="5"/>
  <c r="B77" i="5"/>
  <c r="W76" i="8"/>
  <c r="X76" i="8" s="1"/>
  <c r="F77" i="8"/>
  <c r="A77" i="6"/>
  <c r="AD76" i="6"/>
  <c r="AA76" i="6"/>
  <c r="B76" i="6"/>
  <c r="C76" i="6"/>
  <c r="BN77" i="4"/>
  <c r="H77" i="4"/>
  <c r="AW77" i="4" s="1"/>
  <c r="BM77" i="4"/>
  <c r="G77" i="4"/>
  <c r="P77" i="4"/>
  <c r="BE77" i="4" s="1"/>
  <c r="AA77" i="4"/>
  <c r="BP77" i="4" s="1"/>
  <c r="O77" i="4"/>
  <c r="BD77" i="4" s="1"/>
  <c r="C77" i="4"/>
  <c r="A78" i="4"/>
  <c r="B77" i="4"/>
  <c r="G76" i="8" s="1"/>
  <c r="AY77" i="4"/>
  <c r="U77" i="4"/>
  <c r="BJ77" i="4" s="1"/>
  <c r="M77" i="4"/>
  <c r="BB77" i="4" s="1"/>
  <c r="BQ77" i="4"/>
  <c r="AJ77" i="4"/>
  <c r="S77" i="4"/>
  <c r="BH77" i="4" s="1"/>
  <c r="I77" i="4"/>
  <c r="AX77" i="4" s="1"/>
  <c r="AZ78" i="7"/>
  <c r="AF78" i="7"/>
  <c r="N79" i="7"/>
  <c r="AA78" i="7"/>
  <c r="R78" i="7"/>
  <c r="BC78" i="7"/>
  <c r="AI78" i="7"/>
  <c r="Z78" i="7"/>
  <c r="Q78" i="7"/>
  <c r="AB78" i="7"/>
  <c r="Y78" i="7"/>
  <c r="BB78" i="7"/>
  <c r="X78" i="7"/>
  <c r="BA78" i="7"/>
  <c r="U78" i="7"/>
  <c r="AY78" i="7"/>
  <c r="AH78" i="7"/>
  <c r="T78" i="7"/>
  <c r="AG78" i="7"/>
  <c r="AE78" i="7"/>
  <c r="AJ78" i="7" s="1"/>
  <c r="S78" i="7"/>
  <c r="O78" i="7"/>
  <c r="V78" i="7" l="1"/>
  <c r="AB77" i="5"/>
  <c r="AC78" i="7"/>
  <c r="AV77" i="4"/>
  <c r="AZ77" i="4" s="1"/>
  <c r="K77" i="4"/>
  <c r="AB79" i="7"/>
  <c r="S79" i="7"/>
  <c r="BA79" i="7"/>
  <c r="AG79" i="7"/>
  <c r="X79" i="7"/>
  <c r="AZ79" i="7"/>
  <c r="AF79" i="7"/>
  <c r="AH79" i="7"/>
  <c r="R79" i="7"/>
  <c r="AE79" i="7"/>
  <c r="Q79" i="7"/>
  <c r="O79" i="7"/>
  <c r="AA79" i="7"/>
  <c r="N80" i="7"/>
  <c r="Z79" i="7"/>
  <c r="BC79" i="7"/>
  <c r="Y79" i="7"/>
  <c r="T79" i="7"/>
  <c r="BB79" i="7"/>
  <c r="AY79" i="7"/>
  <c r="AI79" i="7"/>
  <c r="U79" i="7"/>
  <c r="BM78" i="4"/>
  <c r="BD78" i="4"/>
  <c r="G78" i="4"/>
  <c r="P78" i="4"/>
  <c r="BE78" i="4" s="1"/>
  <c r="AA78" i="4"/>
  <c r="O78" i="4"/>
  <c r="C78" i="4"/>
  <c r="A79" i="4"/>
  <c r="B78" i="4"/>
  <c r="BH78" i="4"/>
  <c r="AY78" i="4"/>
  <c r="U78" i="4"/>
  <c r="BJ78" i="4" s="1"/>
  <c r="M78" i="4"/>
  <c r="BQ78" i="4"/>
  <c r="BP78" i="4"/>
  <c r="AJ78" i="4"/>
  <c r="S78" i="4"/>
  <c r="I78" i="4"/>
  <c r="AX78" i="4" s="1"/>
  <c r="BN78" i="4"/>
  <c r="AV78" i="4"/>
  <c r="H78" i="4"/>
  <c r="AW78" i="4" s="1"/>
  <c r="A78" i="6"/>
  <c r="AD77" i="6"/>
  <c r="AA77" i="6"/>
  <c r="C77" i="6"/>
  <c r="B77" i="6"/>
  <c r="W77" i="8"/>
  <c r="X77" i="8" s="1"/>
  <c r="G77" i="8"/>
  <c r="F78" i="8"/>
  <c r="I77" i="5"/>
  <c r="A79" i="5"/>
  <c r="T78" i="5"/>
  <c r="G78" i="5"/>
  <c r="Z78" i="5"/>
  <c r="C78" i="5"/>
  <c r="Y78" i="5"/>
  <c r="M78" i="5"/>
  <c r="B78" i="5"/>
  <c r="AK78" i="5"/>
  <c r="W78" i="5"/>
  <c r="AJ78" i="5"/>
  <c r="V78" i="5"/>
  <c r="J78" i="5"/>
  <c r="F78" i="5"/>
  <c r="U78" i="5"/>
  <c r="AB78" i="5" l="1"/>
  <c r="K78" i="4"/>
  <c r="AC79" i="7"/>
  <c r="V79" i="7"/>
  <c r="AZ78" i="4"/>
  <c r="AJ79" i="7"/>
  <c r="BB78" i="4"/>
  <c r="I78" i="5"/>
  <c r="AK79" i="5"/>
  <c r="W79" i="5"/>
  <c r="U79" i="5"/>
  <c r="A80" i="5"/>
  <c r="T79" i="5"/>
  <c r="AB79" i="5" s="1"/>
  <c r="G79" i="5"/>
  <c r="F79" i="5"/>
  <c r="Z79" i="5"/>
  <c r="C79" i="5"/>
  <c r="J79" i="5"/>
  <c r="B79" i="5"/>
  <c r="AW79" i="5"/>
  <c r="AX79" i="5" s="1"/>
  <c r="AY79" i="5" s="1"/>
  <c r="AJ79" i="5"/>
  <c r="Y79" i="5"/>
  <c r="V79" i="5"/>
  <c r="M79" i="5"/>
  <c r="W78" i="8"/>
  <c r="X78" i="8" s="1"/>
  <c r="F79" i="8"/>
  <c r="B78" i="6"/>
  <c r="A79" i="6"/>
  <c r="AD78" i="6"/>
  <c r="AA78" i="6"/>
  <c r="C78" i="6"/>
  <c r="P79" i="4"/>
  <c r="AA79" i="4"/>
  <c r="BP79" i="4" s="1"/>
  <c r="O79" i="4"/>
  <c r="C79" i="4"/>
  <c r="A80" i="4"/>
  <c r="B79" i="4"/>
  <c r="G78" i="8" s="1"/>
  <c r="BH79" i="4"/>
  <c r="AY79" i="4"/>
  <c r="U79" i="4"/>
  <c r="BJ79" i="4" s="1"/>
  <c r="M79" i="4"/>
  <c r="BQ79" i="4"/>
  <c r="AJ79" i="4"/>
  <c r="S79" i="4"/>
  <c r="I79" i="4"/>
  <c r="AX79" i="4" s="1"/>
  <c r="BN79" i="4"/>
  <c r="BE79" i="4"/>
  <c r="H79" i="4"/>
  <c r="AW79" i="4" s="1"/>
  <c r="BM79" i="4"/>
  <c r="BD79" i="4"/>
  <c r="G79" i="4"/>
  <c r="BB80" i="7"/>
  <c r="AH80" i="7"/>
  <c r="Y80" i="7"/>
  <c r="O80" i="7"/>
  <c r="T80" i="7"/>
  <c r="AB80" i="7"/>
  <c r="S80" i="7"/>
  <c r="BA80" i="7"/>
  <c r="AZ80" i="7"/>
  <c r="AI80" i="7"/>
  <c r="U80" i="7"/>
  <c r="AY80" i="7"/>
  <c r="AG80" i="7"/>
  <c r="R80" i="7"/>
  <c r="AF80" i="7"/>
  <c r="Q80" i="7"/>
  <c r="V80" i="7" s="1"/>
  <c r="AE80" i="7"/>
  <c r="AJ80" i="7" s="1"/>
  <c r="AA80" i="7"/>
  <c r="Z80" i="7"/>
  <c r="X80" i="7"/>
  <c r="AC80" i="7" s="1"/>
  <c r="N81" i="7"/>
  <c r="BC80" i="7"/>
  <c r="K79" i="4" l="1"/>
  <c r="BB79" i="4"/>
  <c r="AV79" i="4"/>
  <c r="AZ79" i="4" s="1"/>
  <c r="AY81" i="7"/>
  <c r="AE81" i="7"/>
  <c r="U81" i="7"/>
  <c r="BC81" i="7"/>
  <c r="AI81" i="7"/>
  <c r="Z81" i="7"/>
  <c r="Q81" i="7"/>
  <c r="BB81" i="7"/>
  <c r="AH81" i="7"/>
  <c r="Y81" i="7"/>
  <c r="O81" i="7"/>
  <c r="AA81" i="7"/>
  <c r="X81" i="7"/>
  <c r="BA81" i="7"/>
  <c r="AZ81" i="7"/>
  <c r="T81" i="7"/>
  <c r="AG81" i="7"/>
  <c r="S81" i="7"/>
  <c r="AF81" i="7"/>
  <c r="R81" i="7"/>
  <c r="AB81" i="7"/>
  <c r="L7" i="7"/>
  <c r="I4" i="4"/>
  <c r="I6" i="4"/>
  <c r="L6" i="7"/>
  <c r="I5" i="4"/>
  <c r="I7" i="4"/>
  <c r="M7" i="5"/>
  <c r="AK79" i="4"/>
  <c r="AQ79" i="4" s="1"/>
  <c r="AA80" i="4"/>
  <c r="BP80" i="4" s="1"/>
  <c r="O80" i="4"/>
  <c r="C80" i="4"/>
  <c r="A81" i="4"/>
  <c r="B80" i="4"/>
  <c r="BH80" i="4"/>
  <c r="AY80" i="4"/>
  <c r="U80" i="4"/>
  <c r="BJ80" i="4" s="1"/>
  <c r="M80" i="4"/>
  <c r="BQ80" i="4"/>
  <c r="AJ80" i="4"/>
  <c r="S80" i="4"/>
  <c r="I80" i="4"/>
  <c r="AX80" i="4" s="1"/>
  <c r="BN80" i="4"/>
  <c r="AV80" i="4"/>
  <c r="H80" i="4"/>
  <c r="AW80" i="4" s="1"/>
  <c r="BM80" i="4"/>
  <c r="BD80" i="4"/>
  <c r="G80" i="4"/>
  <c r="P80" i="4"/>
  <c r="BE80" i="4" s="1"/>
  <c r="C79" i="6"/>
  <c r="B79" i="6"/>
  <c r="A80" i="6"/>
  <c r="AD79" i="6"/>
  <c r="AA79" i="6"/>
  <c r="W79" i="8"/>
  <c r="X79" i="8" s="1"/>
  <c r="G79" i="8"/>
  <c r="F80" i="8"/>
  <c r="I79" i="5"/>
  <c r="Y80" i="5"/>
  <c r="M80" i="5"/>
  <c r="B80" i="5"/>
  <c r="AK80" i="5"/>
  <c r="W80" i="5"/>
  <c r="AW80" i="5"/>
  <c r="AX80" i="5" s="1"/>
  <c r="AY80" i="5" s="1"/>
  <c r="AJ80" i="5"/>
  <c r="V80" i="5"/>
  <c r="J80" i="5"/>
  <c r="U80" i="5"/>
  <c r="A81" i="5"/>
  <c r="T80" i="5"/>
  <c r="G80" i="5"/>
  <c r="C80" i="5"/>
  <c r="Z80" i="5"/>
  <c r="F80" i="5"/>
  <c r="AT79" i="4" l="1"/>
  <c r="L79" i="5"/>
  <c r="AG79" i="6"/>
  <c r="V81" i="7"/>
  <c r="AZ80" i="4"/>
  <c r="K80" i="4"/>
  <c r="BB80" i="4"/>
  <c r="AC81" i="7"/>
  <c r="AB80" i="5"/>
  <c r="AJ81" i="7"/>
  <c r="I80" i="5"/>
  <c r="U81" i="5"/>
  <c r="F81" i="5"/>
  <c r="Z81" i="5"/>
  <c r="C81" i="5"/>
  <c r="Y81" i="5"/>
  <c r="M81" i="5"/>
  <c r="B81" i="5"/>
  <c r="AK81" i="5"/>
  <c r="W81" i="5"/>
  <c r="AJ81" i="5"/>
  <c r="V81" i="5"/>
  <c r="T81" i="5"/>
  <c r="J81" i="5"/>
  <c r="G81" i="5"/>
  <c r="A82" i="5"/>
  <c r="AW81" i="5"/>
  <c r="AX81" i="5" s="1"/>
  <c r="AY81" i="5" s="1"/>
  <c r="W80" i="8"/>
  <c r="X80" i="8" s="1"/>
  <c r="F81" i="8"/>
  <c r="C80" i="6"/>
  <c r="B80" i="6"/>
  <c r="AA80" i="6"/>
  <c r="AD80" i="6"/>
  <c r="A81" i="6"/>
  <c r="H79" i="6"/>
  <c r="J79" i="6"/>
  <c r="E79" i="6"/>
  <c r="AQ80" i="4"/>
  <c r="AG80" i="6" s="1"/>
  <c r="AK80" i="4"/>
  <c r="A82" i="4"/>
  <c r="B81" i="4"/>
  <c r="G80" i="8" s="1"/>
  <c r="AY81" i="4"/>
  <c r="U81" i="4"/>
  <c r="M81" i="4"/>
  <c r="BQ81" i="4"/>
  <c r="AJ81" i="4"/>
  <c r="S81" i="4"/>
  <c r="BH81" i="4" s="1"/>
  <c r="I81" i="4"/>
  <c r="AX81" i="4" s="1"/>
  <c r="BN81" i="4"/>
  <c r="H81" i="4"/>
  <c r="AW81" i="4" s="1"/>
  <c r="BM81" i="4"/>
  <c r="BD81" i="4"/>
  <c r="G81" i="4"/>
  <c r="P81" i="4"/>
  <c r="BE81" i="4" s="1"/>
  <c r="AA81" i="4"/>
  <c r="BP81" i="4" s="1"/>
  <c r="O81" i="4"/>
  <c r="C81" i="4"/>
  <c r="BJ81" i="4"/>
  <c r="BB81" i="4"/>
  <c r="L7" i="5"/>
  <c r="AC7" i="6" s="1"/>
  <c r="AF7" i="6" s="1"/>
  <c r="AD7" i="6"/>
  <c r="AX7" i="4"/>
  <c r="AZ7" i="4" s="1"/>
  <c r="AJ7" i="4"/>
  <c r="AQ7" i="4" s="1"/>
  <c r="K7" i="4"/>
  <c r="AX5" i="4"/>
  <c r="AZ5" i="4" s="1"/>
  <c r="AJ5" i="4"/>
  <c r="AQ5" i="4" s="1"/>
  <c r="K5" i="4"/>
  <c r="AX6" i="4"/>
  <c r="AZ6" i="4" s="1"/>
  <c r="AJ6" i="4"/>
  <c r="AQ6" i="4" s="1"/>
  <c r="K6" i="4"/>
  <c r="AX4" i="4"/>
  <c r="AZ4" i="4" s="1"/>
  <c r="AJ4" i="4"/>
  <c r="AQ4" i="4" s="1"/>
  <c r="K4" i="4"/>
  <c r="AB81" i="5" l="1"/>
  <c r="AT80" i="4"/>
  <c r="L80" i="5"/>
  <c r="AV81" i="4"/>
  <c r="AZ81" i="4" s="1"/>
  <c r="K81" i="4"/>
  <c r="N79" i="5"/>
  <c r="P79" i="5" s="1"/>
  <c r="AC79" i="6"/>
  <c r="AF79" i="6" s="1"/>
  <c r="AD4" i="4"/>
  <c r="AH4" i="4"/>
  <c r="AM4" i="4" s="1"/>
  <c r="AT4" i="4"/>
  <c r="AR4" i="4"/>
  <c r="AR5" i="4" s="1"/>
  <c r="AR6" i="4" s="1"/>
  <c r="AR7" i="4" s="1"/>
  <c r="AG4" i="6"/>
  <c r="AD6" i="4"/>
  <c r="AH6" i="4"/>
  <c r="AM6" i="4" s="1"/>
  <c r="AT6" i="4"/>
  <c r="AG6" i="6"/>
  <c r="AD5" i="4"/>
  <c r="AH5" i="4"/>
  <c r="AM5" i="4" s="1"/>
  <c r="AT5" i="4"/>
  <c r="AG5" i="6"/>
  <c r="AD7" i="4"/>
  <c r="AH7" i="4"/>
  <c r="AM7" i="4" s="1"/>
  <c r="AT7" i="4"/>
  <c r="AG7" i="6"/>
  <c r="AK81" i="4"/>
  <c r="AQ81" i="4" s="1"/>
  <c r="AY82" i="4"/>
  <c r="U82" i="4"/>
  <c r="M82" i="4"/>
  <c r="BQ82" i="4"/>
  <c r="AJ82" i="4"/>
  <c r="S82" i="4"/>
  <c r="BH82" i="4" s="1"/>
  <c r="I82" i="4"/>
  <c r="AX82" i="4" s="1"/>
  <c r="BN82" i="4"/>
  <c r="H82" i="4"/>
  <c r="AW82" i="4" s="1"/>
  <c r="BM82" i="4"/>
  <c r="G82" i="4"/>
  <c r="P82" i="4"/>
  <c r="BE82" i="4" s="1"/>
  <c r="BJ82" i="4"/>
  <c r="BB82" i="4"/>
  <c r="AA82" i="4"/>
  <c r="BP82" i="4" s="1"/>
  <c r="O82" i="4"/>
  <c r="BD82" i="4" s="1"/>
  <c r="C82" i="4"/>
  <c r="B82" i="4"/>
  <c r="A83" i="4"/>
  <c r="C81" i="6"/>
  <c r="B81" i="6"/>
  <c r="AD81" i="6"/>
  <c r="AA81" i="6"/>
  <c r="A82" i="6"/>
  <c r="E80" i="6"/>
  <c r="J80" i="6"/>
  <c r="H80" i="6"/>
  <c r="W81" i="8"/>
  <c r="X81" i="8" s="1"/>
  <c r="G81" i="8"/>
  <c r="F82" i="8"/>
  <c r="Y82" i="5"/>
  <c r="M82" i="5"/>
  <c r="B82" i="5"/>
  <c r="AW82" i="5"/>
  <c r="AX82" i="5" s="1"/>
  <c r="AY82" i="5" s="1"/>
  <c r="AJ82" i="5"/>
  <c r="V82" i="5"/>
  <c r="J82" i="5"/>
  <c r="U82" i="5"/>
  <c r="A83" i="5"/>
  <c r="T82" i="5"/>
  <c r="AB82" i="5" s="1"/>
  <c r="G82" i="5"/>
  <c r="F82" i="5"/>
  <c r="AK82" i="5"/>
  <c r="Z82" i="5"/>
  <c r="W82" i="5"/>
  <c r="C82" i="5"/>
  <c r="I81" i="5"/>
  <c r="AT81" i="4" l="1"/>
  <c r="L81" i="5"/>
  <c r="AG81" i="6"/>
  <c r="N80" i="5"/>
  <c r="P80" i="5" s="1"/>
  <c r="AC80" i="6"/>
  <c r="AV82" i="4"/>
  <c r="AZ82" i="4" s="1"/>
  <c r="AF80" i="6"/>
  <c r="K82" i="4"/>
  <c r="AD79" i="5"/>
  <c r="Q79" i="5"/>
  <c r="I82" i="5"/>
  <c r="F83" i="5"/>
  <c r="Z83" i="5"/>
  <c r="C83" i="5"/>
  <c r="Y83" i="5"/>
  <c r="M83" i="5"/>
  <c r="B83" i="5"/>
  <c r="AK83" i="5"/>
  <c r="W83" i="5"/>
  <c r="AW83" i="5"/>
  <c r="AX83" i="5" s="1"/>
  <c r="AY83" i="5" s="1"/>
  <c r="AJ83" i="5"/>
  <c r="V83" i="5"/>
  <c r="J83" i="5"/>
  <c r="U83" i="5"/>
  <c r="T83" i="5"/>
  <c r="AB83" i="5" s="1"/>
  <c r="A84" i="5"/>
  <c r="G83" i="5"/>
  <c r="W82" i="8"/>
  <c r="X82" i="8" s="1"/>
  <c r="F83" i="8"/>
  <c r="AA82" i="6"/>
  <c r="C82" i="6"/>
  <c r="A83" i="6"/>
  <c r="AD82" i="6"/>
  <c r="B82" i="6"/>
  <c r="H81" i="6"/>
  <c r="E81" i="6"/>
  <c r="J81" i="6"/>
  <c r="BN83" i="4"/>
  <c r="BJ83" i="4"/>
  <c r="AY83" i="4"/>
  <c r="AJ83" i="4"/>
  <c r="S83" i="4"/>
  <c r="BH83" i="4" s="1"/>
  <c r="I83" i="4"/>
  <c r="AX83" i="4" s="1"/>
  <c r="H83" i="4"/>
  <c r="AW83" i="4" s="1"/>
  <c r="A84" i="4"/>
  <c r="G83" i="4"/>
  <c r="P83" i="4"/>
  <c r="BE83" i="4" s="1"/>
  <c r="BQ83" i="4"/>
  <c r="AA83" i="4"/>
  <c r="BP83" i="4" s="1"/>
  <c r="O83" i="4"/>
  <c r="BD83" i="4" s="1"/>
  <c r="C83" i="4"/>
  <c r="B83" i="4"/>
  <c r="G82" i="8" s="1"/>
  <c r="BM83" i="4"/>
  <c r="U83" i="4"/>
  <c r="M83" i="4"/>
  <c r="AK82" i="4"/>
  <c r="AQ82" i="4" s="1"/>
  <c r="AT82" i="4" l="1"/>
  <c r="L82" i="5"/>
  <c r="AG82" i="6"/>
  <c r="AV83" i="4"/>
  <c r="AZ83" i="4" s="1"/>
  <c r="AD80" i="5"/>
  <c r="Q80" i="5"/>
  <c r="N81" i="5"/>
  <c r="P81" i="5" s="1"/>
  <c r="AC81" i="6"/>
  <c r="AF81" i="6" s="1"/>
  <c r="K83" i="4"/>
  <c r="BB83" i="4"/>
  <c r="BM84" i="4"/>
  <c r="G84" i="4"/>
  <c r="A85" i="4"/>
  <c r="B84" i="4"/>
  <c r="BQ84" i="4"/>
  <c r="H84" i="4"/>
  <c r="S84" i="4"/>
  <c r="BH84" i="4" s="1"/>
  <c r="BN84" i="4"/>
  <c r="C84" i="4"/>
  <c r="AY84" i="4"/>
  <c r="AJ84" i="4"/>
  <c r="P84" i="4"/>
  <c r="BE84" i="4" s="1"/>
  <c r="BJ84" i="4"/>
  <c r="AX84" i="4"/>
  <c r="O84" i="4"/>
  <c r="BD84" i="4" s="1"/>
  <c r="M84" i="4"/>
  <c r="AV84" i="4"/>
  <c r="AA84" i="4"/>
  <c r="BP84" i="4" s="1"/>
  <c r="U84" i="4"/>
  <c r="I84" i="4"/>
  <c r="AK83" i="4"/>
  <c r="AQ83" i="4" s="1"/>
  <c r="J82" i="6"/>
  <c r="H82" i="6"/>
  <c r="E82" i="6"/>
  <c r="AA83" i="6"/>
  <c r="AD83" i="6"/>
  <c r="B83" i="6"/>
  <c r="A84" i="6"/>
  <c r="C83" i="6"/>
  <c r="W83" i="8"/>
  <c r="X83" i="8" s="1"/>
  <c r="G83" i="8"/>
  <c r="F84" i="8"/>
  <c r="AW84" i="5"/>
  <c r="AX84" i="5" s="1"/>
  <c r="AY84" i="5" s="1"/>
  <c r="AJ84" i="5"/>
  <c r="V84" i="5"/>
  <c r="J84" i="5"/>
  <c r="A85" i="5"/>
  <c r="T84" i="5"/>
  <c r="G84" i="5"/>
  <c r="F84" i="5"/>
  <c r="Z84" i="5"/>
  <c r="C84" i="5"/>
  <c r="Y84" i="5"/>
  <c r="M84" i="5"/>
  <c r="B84" i="5"/>
  <c r="U84" i="5"/>
  <c r="AK84" i="5"/>
  <c r="W84" i="5"/>
  <c r="I83" i="5"/>
  <c r="AT83" i="4" l="1"/>
  <c r="L83" i="5"/>
  <c r="AG83" i="6"/>
  <c r="AD81" i="5"/>
  <c r="Q81" i="5"/>
  <c r="K84" i="4"/>
  <c r="AW84" i="4"/>
  <c r="N82" i="5"/>
  <c r="P82" i="5" s="1"/>
  <c r="AC82" i="6"/>
  <c r="AF82" i="6" s="1"/>
  <c r="BB84" i="4"/>
  <c r="AZ84" i="4"/>
  <c r="AB84" i="5"/>
  <c r="I84" i="5"/>
  <c r="Z85" i="5"/>
  <c r="C85" i="5"/>
  <c r="AK85" i="5"/>
  <c r="W85" i="5"/>
  <c r="AW85" i="5"/>
  <c r="AX85" i="5" s="1"/>
  <c r="AY85" i="5" s="1"/>
  <c r="AJ85" i="5"/>
  <c r="V85" i="5"/>
  <c r="J85" i="5"/>
  <c r="U85" i="5"/>
  <c r="A86" i="5"/>
  <c r="T85" i="5"/>
  <c r="G85" i="5"/>
  <c r="F85" i="5"/>
  <c r="M85" i="5"/>
  <c r="B85" i="5"/>
  <c r="Y85" i="5"/>
  <c r="W84" i="8"/>
  <c r="X84" i="8" s="1"/>
  <c r="F85" i="8"/>
  <c r="J83" i="6"/>
  <c r="H83" i="6"/>
  <c r="E83" i="6"/>
  <c r="A85" i="6"/>
  <c r="AD84" i="6"/>
  <c r="AA84" i="6"/>
  <c r="B84" i="6"/>
  <c r="C84" i="6"/>
  <c r="AQ84" i="4"/>
  <c r="AG84" i="6" s="1"/>
  <c r="AK84" i="4"/>
  <c r="P85" i="4"/>
  <c r="AY85" i="4"/>
  <c r="U85" i="4"/>
  <c r="M85" i="4"/>
  <c r="BM85" i="4"/>
  <c r="BJ85" i="4"/>
  <c r="AA85" i="4"/>
  <c r="BP85" i="4" s="1"/>
  <c r="I85" i="4"/>
  <c r="AX85" i="4" s="1"/>
  <c r="H85" i="4"/>
  <c r="BE85" i="4"/>
  <c r="G85" i="4"/>
  <c r="A86" i="4"/>
  <c r="BD85" i="4"/>
  <c r="C85" i="4"/>
  <c r="BQ85" i="4"/>
  <c r="BB85" i="4"/>
  <c r="AJ85" i="4"/>
  <c r="B85" i="4"/>
  <c r="G84" i="8" s="1"/>
  <c r="BN85" i="4"/>
  <c r="O85" i="4"/>
  <c r="AT84" i="4" l="1"/>
  <c r="L84" i="5"/>
  <c r="AB85" i="5"/>
  <c r="N83" i="5"/>
  <c r="P83" i="5" s="1"/>
  <c r="AC83" i="6"/>
  <c r="AW85" i="4"/>
  <c r="AF83" i="6"/>
  <c r="AD82" i="5"/>
  <c r="Q82" i="5"/>
  <c r="K85" i="4"/>
  <c r="S85" i="4"/>
  <c r="BH85" i="4" s="1"/>
  <c r="AV85" i="4"/>
  <c r="AK85" i="4"/>
  <c r="AQ85" i="4" s="1"/>
  <c r="BJ86" i="4"/>
  <c r="AA86" i="4"/>
  <c r="BP86" i="4" s="1"/>
  <c r="C17" i="2" s="1"/>
  <c r="D17" i="2" s="1"/>
  <c r="O86" i="4"/>
  <c r="C86" i="4"/>
  <c r="BQ86" i="4"/>
  <c r="AX86" i="4"/>
  <c r="BN86" i="4"/>
  <c r="BE86" i="4"/>
  <c r="C10" i="2" s="1"/>
  <c r="D10" i="2" s="1"/>
  <c r="H86" i="4"/>
  <c r="R82" i="4" s="1"/>
  <c r="BG82" i="4" s="1"/>
  <c r="M86" i="4"/>
  <c r="BM86" i="4"/>
  <c r="AY86" i="4"/>
  <c r="I86" i="4"/>
  <c r="G86" i="4"/>
  <c r="T82" i="4" s="1"/>
  <c r="BI82" i="4" s="1"/>
  <c r="U86" i="4"/>
  <c r="BH86" i="4"/>
  <c r="S86" i="4"/>
  <c r="B86" i="4"/>
  <c r="BD86" i="4"/>
  <c r="P86" i="4"/>
  <c r="AJ86" i="4"/>
  <c r="D18" i="1"/>
  <c r="E18" i="1" s="1"/>
  <c r="D11" i="1"/>
  <c r="E11" i="1" s="1"/>
  <c r="D4" i="1"/>
  <c r="E4" i="1" s="1"/>
  <c r="C20" i="8"/>
  <c r="J84" i="6"/>
  <c r="H84" i="6"/>
  <c r="E84" i="6"/>
  <c r="A86" i="6"/>
  <c r="AD85" i="6"/>
  <c r="AA85" i="6"/>
  <c r="C85" i="6"/>
  <c r="B85" i="6"/>
  <c r="W85" i="8"/>
  <c r="G85" i="8"/>
  <c r="C3" i="8"/>
  <c r="C4" i="8"/>
  <c r="C5" i="8"/>
  <c r="I85" i="5"/>
  <c r="T86" i="5"/>
  <c r="AB86" i="5" s="1"/>
  <c r="G86" i="5"/>
  <c r="Z86" i="5"/>
  <c r="C86" i="5"/>
  <c r="Y86" i="5"/>
  <c r="M86" i="5"/>
  <c r="B86" i="5"/>
  <c r="AK86" i="5"/>
  <c r="W86" i="5"/>
  <c r="AW86" i="5"/>
  <c r="AX86" i="5" s="1"/>
  <c r="AY86" i="5" s="1"/>
  <c r="AJ86" i="5"/>
  <c r="V86" i="5"/>
  <c r="J86" i="5"/>
  <c r="F86" i="5"/>
  <c r="U86" i="5"/>
  <c r="BB5" i="7"/>
  <c r="R34" i="3"/>
  <c r="S35" i="3"/>
  <c r="T35" i="3" s="1"/>
  <c r="R32" i="3"/>
  <c r="R35" i="3"/>
  <c r="S34" i="3"/>
  <c r="S32" i="3"/>
  <c r="AT85" i="4" l="1"/>
  <c r="L85" i="5"/>
  <c r="AG85" i="6"/>
  <c r="T86" i="4"/>
  <c r="BI86" i="4" s="1"/>
  <c r="Q84" i="4"/>
  <c r="BF84" i="4" s="1"/>
  <c r="T83" i="4"/>
  <c r="BI83" i="4" s="1"/>
  <c r="R85" i="4"/>
  <c r="BG85" i="4" s="1"/>
  <c r="R84" i="4"/>
  <c r="BG84" i="4" s="1"/>
  <c r="T84" i="4"/>
  <c r="BI84" i="4" s="1"/>
  <c r="T85" i="4"/>
  <c r="BI85" i="4" s="1"/>
  <c r="Q38" i="4"/>
  <c r="Q45" i="4"/>
  <c r="BF45" i="4" s="1"/>
  <c r="T39" i="4"/>
  <c r="BI39" i="4" s="1"/>
  <c r="Q40" i="4"/>
  <c r="BF40" i="4" s="1"/>
  <c r="R42" i="4"/>
  <c r="BG42" i="4" s="1"/>
  <c r="R53" i="4"/>
  <c r="BG53" i="4" s="1"/>
  <c r="R64" i="4"/>
  <c r="BG64" i="4" s="1"/>
  <c r="R58" i="4"/>
  <c r="BG58" i="4" s="1"/>
  <c r="T60" i="4"/>
  <c r="BI60" i="4" s="1"/>
  <c r="R51" i="4"/>
  <c r="BG51" i="4" s="1"/>
  <c r="Q59" i="4"/>
  <c r="BF59" i="4" s="1"/>
  <c r="Q65" i="4"/>
  <c r="BF65" i="4" s="1"/>
  <c r="Q53" i="4"/>
  <c r="BF53" i="4" s="1"/>
  <c r="R56" i="4"/>
  <c r="BG56" i="4" s="1"/>
  <c r="R44" i="4"/>
  <c r="BG44" i="4" s="1"/>
  <c r="T45" i="4"/>
  <c r="BI45" i="4" s="1"/>
  <c r="T51" i="4"/>
  <c r="BI51" i="4" s="1"/>
  <c r="T55" i="4"/>
  <c r="BI55" i="4" s="1"/>
  <c r="Q57" i="4"/>
  <c r="BF57" i="4" s="1"/>
  <c r="Q60" i="4"/>
  <c r="BF60" i="4" s="1"/>
  <c r="R49" i="4"/>
  <c r="BG49" i="4" s="1"/>
  <c r="Q56" i="4"/>
  <c r="BF56" i="4" s="1"/>
  <c r="T43" i="4"/>
  <c r="BI43" i="4" s="1"/>
  <c r="R63" i="4"/>
  <c r="BG63" i="4" s="1"/>
  <c r="T65" i="4"/>
  <c r="BI65" i="4" s="1"/>
  <c r="Q52" i="4"/>
  <c r="BF52" i="4" s="1"/>
  <c r="T46" i="4"/>
  <c r="BI46" i="4" s="1"/>
  <c r="T49" i="4"/>
  <c r="BI49" i="4" s="1"/>
  <c r="R59" i="4"/>
  <c r="BG59" i="4" s="1"/>
  <c r="T59" i="4"/>
  <c r="BI59" i="4" s="1"/>
  <c r="R66" i="4"/>
  <c r="BG66" i="4" s="1"/>
  <c r="T44" i="4"/>
  <c r="BI44" i="4" s="1"/>
  <c r="T63" i="4"/>
  <c r="BI63" i="4" s="1"/>
  <c r="R52" i="4"/>
  <c r="BG52" i="4" s="1"/>
  <c r="R50" i="4"/>
  <c r="BG50" i="4" s="1"/>
  <c r="R46" i="4"/>
  <c r="BG46" i="4" s="1"/>
  <c r="Q61" i="4"/>
  <c r="BF61" i="4" s="1"/>
  <c r="R45" i="4"/>
  <c r="BG45" i="4" s="1"/>
  <c r="T42" i="4"/>
  <c r="BI42" i="4" s="1"/>
  <c r="Q46" i="4"/>
  <c r="BF46" i="4" s="1"/>
  <c r="T66" i="4"/>
  <c r="BI66" i="4" s="1"/>
  <c r="Q50" i="4"/>
  <c r="BF50" i="4" s="1"/>
  <c r="R65" i="4"/>
  <c r="BG65" i="4" s="1"/>
  <c r="R43" i="4"/>
  <c r="BG43" i="4" s="1"/>
  <c r="R60" i="4"/>
  <c r="BG60" i="4" s="1"/>
  <c r="T56" i="4"/>
  <c r="BI56" i="4" s="1"/>
  <c r="T61" i="4"/>
  <c r="BI61" i="4" s="1"/>
  <c r="Q54" i="4"/>
  <c r="BF54" i="4" s="1"/>
  <c r="Q42" i="4"/>
  <c r="BF42" i="4" s="1"/>
  <c r="R57" i="4"/>
  <c r="BG57" i="4" s="1"/>
  <c r="Q66" i="4"/>
  <c r="BF66" i="4" s="1"/>
  <c r="T40" i="4"/>
  <c r="BI40" i="4" s="1"/>
  <c r="R67" i="4"/>
  <c r="BG67" i="4" s="1"/>
  <c r="Q55" i="4"/>
  <c r="BF55" i="4" s="1"/>
  <c r="T52" i="4"/>
  <c r="BI52" i="4" s="1"/>
  <c r="R41" i="4"/>
  <c r="BG41" i="4" s="1"/>
  <c r="T64" i="4"/>
  <c r="BI64" i="4" s="1"/>
  <c r="T50" i="4"/>
  <c r="BI50" i="4" s="1"/>
  <c r="Q41" i="4"/>
  <c r="BF41" i="4" s="1"/>
  <c r="Q64" i="4"/>
  <c r="BF64" i="4" s="1"/>
  <c r="T48" i="4"/>
  <c r="BI48" i="4" s="1"/>
  <c r="T53" i="4"/>
  <c r="BI53" i="4" s="1"/>
  <c r="Q39" i="4"/>
  <c r="BF39" i="4" s="1"/>
  <c r="Q67" i="4"/>
  <c r="BF67" i="4" s="1"/>
  <c r="T41" i="4"/>
  <c r="BI41" i="4" s="1"/>
  <c r="T47" i="4"/>
  <c r="BI47" i="4" s="1"/>
  <c r="R62" i="4"/>
  <c r="BG62" i="4" s="1"/>
  <c r="R55" i="4"/>
  <c r="BG55" i="4" s="1"/>
  <c r="Q43" i="4"/>
  <c r="BF43" i="4" s="1"/>
  <c r="R47" i="4"/>
  <c r="BG47" i="4" s="1"/>
  <c r="Q51" i="4"/>
  <c r="BF51" i="4" s="1"/>
  <c r="T54" i="4"/>
  <c r="BI54" i="4" s="1"/>
  <c r="R54" i="4"/>
  <c r="BG54" i="4" s="1"/>
  <c r="Q48" i="4"/>
  <c r="BF48" i="4" s="1"/>
  <c r="Q47" i="4"/>
  <c r="BF47" i="4" s="1"/>
  <c r="R48" i="4"/>
  <c r="BG48" i="4" s="1"/>
  <c r="Q44" i="4"/>
  <c r="BF44" i="4" s="1"/>
  <c r="Q58" i="4"/>
  <c r="BF58" i="4" s="1"/>
  <c r="T58" i="4"/>
  <c r="BI58" i="4" s="1"/>
  <c r="T67" i="4"/>
  <c r="BI67" i="4" s="1"/>
  <c r="R39" i="4"/>
  <c r="BG39" i="4" s="1"/>
  <c r="T62" i="4"/>
  <c r="BI62" i="4" s="1"/>
  <c r="R61" i="4"/>
  <c r="BG61" i="4" s="1"/>
  <c r="Q62" i="4"/>
  <c r="BF62" i="4" s="1"/>
  <c r="Q63" i="4"/>
  <c r="BF63" i="4" s="1"/>
  <c r="Q49" i="4"/>
  <c r="BF49" i="4" s="1"/>
  <c r="T57" i="4"/>
  <c r="BI57" i="4" s="1"/>
  <c r="R40" i="4"/>
  <c r="BG40" i="4" s="1"/>
  <c r="Q68" i="4"/>
  <c r="BF68" i="4" s="1"/>
  <c r="R38" i="4"/>
  <c r="R68" i="4"/>
  <c r="BG68" i="4" s="1"/>
  <c r="Q69" i="4"/>
  <c r="BF69" i="4" s="1"/>
  <c r="T38" i="4"/>
  <c r="T68" i="4"/>
  <c r="BI68" i="4" s="1"/>
  <c r="T69" i="4"/>
  <c r="BI69" i="4" s="1"/>
  <c r="R69" i="4"/>
  <c r="BG69" i="4" s="1"/>
  <c r="T70" i="4"/>
  <c r="BI70" i="4" s="1"/>
  <c r="R70" i="4"/>
  <c r="BG70" i="4" s="1"/>
  <c r="Q70" i="4"/>
  <c r="BF70" i="4" s="1"/>
  <c r="T71" i="4"/>
  <c r="BI71" i="4" s="1"/>
  <c r="R71" i="4"/>
  <c r="BG71" i="4" s="1"/>
  <c r="Q71" i="4"/>
  <c r="BF71" i="4" s="1"/>
  <c r="T72" i="4"/>
  <c r="BI72" i="4" s="1"/>
  <c r="R72" i="4"/>
  <c r="BG72" i="4" s="1"/>
  <c r="Q72" i="4"/>
  <c r="BF72" i="4" s="1"/>
  <c r="R73" i="4"/>
  <c r="BG73" i="4" s="1"/>
  <c r="T74" i="4"/>
  <c r="BI74" i="4" s="1"/>
  <c r="T73" i="4"/>
  <c r="BI73" i="4" s="1"/>
  <c r="Q73" i="4"/>
  <c r="BF73" i="4" s="1"/>
  <c r="R74" i="4"/>
  <c r="BG74" i="4" s="1"/>
  <c r="Q74" i="4"/>
  <c r="BF74" i="4" s="1"/>
  <c r="Q76" i="4"/>
  <c r="BF76" i="4" s="1"/>
  <c r="Q75" i="4"/>
  <c r="BF75" i="4" s="1"/>
  <c r="T75" i="4"/>
  <c r="BI75" i="4" s="1"/>
  <c r="R75" i="4"/>
  <c r="BG75" i="4" s="1"/>
  <c r="T76" i="4"/>
  <c r="BI76" i="4" s="1"/>
  <c r="R76" i="4"/>
  <c r="BG76" i="4" s="1"/>
  <c r="T79" i="4"/>
  <c r="BI79" i="4" s="1"/>
  <c r="R77" i="4"/>
  <c r="BG77" i="4" s="1"/>
  <c r="R78" i="4"/>
  <c r="BG78" i="4" s="1"/>
  <c r="Q77" i="4"/>
  <c r="BF77" i="4" s="1"/>
  <c r="T77" i="4"/>
  <c r="BI77" i="4" s="1"/>
  <c r="T78" i="4"/>
  <c r="BI78" i="4" s="1"/>
  <c r="Q78" i="4"/>
  <c r="BF78" i="4" s="1"/>
  <c r="R81" i="4"/>
  <c r="BG81" i="4" s="1"/>
  <c r="R79" i="4"/>
  <c r="BG79" i="4" s="1"/>
  <c r="Q79" i="4"/>
  <c r="BF79" i="4" s="1"/>
  <c r="R80" i="4"/>
  <c r="BG80" i="4" s="1"/>
  <c r="T80" i="4"/>
  <c r="BI80" i="4" s="1"/>
  <c r="Q80" i="4"/>
  <c r="BF80" i="4" s="1"/>
  <c r="T34" i="3"/>
  <c r="K86" i="4"/>
  <c r="T32" i="3"/>
  <c r="Q86" i="4"/>
  <c r="AW86" i="4"/>
  <c r="R86" i="4"/>
  <c r="Q81" i="4"/>
  <c r="BF81" i="4" s="1"/>
  <c r="R83" i="4"/>
  <c r="BG83" i="4" s="1"/>
  <c r="D5" i="1"/>
  <c r="E5" i="1" s="1"/>
  <c r="AV86" i="4"/>
  <c r="Q82" i="4"/>
  <c r="BF82" i="4" s="1"/>
  <c r="AD83" i="5"/>
  <c r="Q83" i="5"/>
  <c r="N84" i="5"/>
  <c r="P84" i="5" s="1"/>
  <c r="AC84" i="6"/>
  <c r="AF84" i="6" s="1"/>
  <c r="Q85" i="4"/>
  <c r="BF85" i="4" s="1"/>
  <c r="AZ85" i="4"/>
  <c r="T81" i="4"/>
  <c r="BI81" i="4" s="1"/>
  <c r="BB86" i="4"/>
  <c r="Q83" i="4"/>
  <c r="BF83" i="4" s="1"/>
  <c r="I86" i="5"/>
  <c r="X85" i="8"/>
  <c r="C14" i="8"/>
  <c r="J85" i="6"/>
  <c r="H85" i="6"/>
  <c r="E85" i="6"/>
  <c r="B86" i="6"/>
  <c r="AD86" i="6"/>
  <c r="AA86" i="6"/>
  <c r="C86" i="6"/>
  <c r="Q4" i="7"/>
  <c r="U5" i="7"/>
  <c r="AB5" i="7" s="1"/>
  <c r="AI5" i="7" s="1"/>
  <c r="S4" i="7"/>
  <c r="Z4" i="7" s="1"/>
  <c r="Q6" i="7"/>
  <c r="U3" i="7"/>
  <c r="Q5" i="7"/>
  <c r="R6" i="7"/>
  <c r="Y6" i="7" s="1"/>
  <c r="U6" i="7"/>
  <c r="AB6" i="7" s="1"/>
  <c r="AI6" i="7" s="1"/>
  <c r="S7" i="7"/>
  <c r="Z7" i="7" s="1"/>
  <c r="AG7" i="7" s="1"/>
  <c r="S6" i="7"/>
  <c r="Z6" i="7" s="1"/>
  <c r="AG6" i="7" s="1"/>
  <c r="U7" i="7"/>
  <c r="AB7" i="7" s="1"/>
  <c r="AI7" i="7" s="1"/>
  <c r="Q7" i="7"/>
  <c r="S9" i="7"/>
  <c r="Z9" i="7" s="1"/>
  <c r="AG9" i="7" s="1"/>
  <c r="T7" i="7"/>
  <c r="AA7" i="7" s="1"/>
  <c r="S8" i="7"/>
  <c r="Z8" i="7" s="1"/>
  <c r="AG8" i="7" s="1"/>
  <c r="Q8" i="7"/>
  <c r="Q9" i="7"/>
  <c r="U9" i="7"/>
  <c r="AB9" i="7" s="1"/>
  <c r="AI9" i="7" s="1"/>
  <c r="T12" i="7"/>
  <c r="AA12" i="7" s="1"/>
  <c r="AH12" i="7" s="1"/>
  <c r="R9" i="7"/>
  <c r="Y9" i="7" s="1"/>
  <c r="AF9" i="7" s="1"/>
  <c r="Q11" i="7"/>
  <c r="T10" i="7"/>
  <c r="U10" i="7"/>
  <c r="AB10" i="7" s="1"/>
  <c r="AI10" i="7" s="1"/>
  <c r="U12" i="7"/>
  <c r="AB12" i="7" s="1"/>
  <c r="AI12" i="7" s="1"/>
  <c r="Q12" i="7"/>
  <c r="S12" i="7"/>
  <c r="Z12" i="7" s="1"/>
  <c r="AG12" i="7" s="1"/>
  <c r="Q13" i="7"/>
  <c r="T14" i="7"/>
  <c r="AA14" i="7" s="1"/>
  <c r="AH14" i="7" s="1"/>
  <c r="Q14" i="7"/>
  <c r="S15" i="7"/>
  <c r="T16" i="7"/>
  <c r="R18" i="7"/>
  <c r="Q19" i="7"/>
  <c r="T18" i="7"/>
  <c r="AA18" i="7" s="1"/>
  <c r="AH18" i="7" s="1"/>
  <c r="U18" i="7"/>
  <c r="AB18" i="7" s="1"/>
  <c r="AI18" i="7" s="1"/>
  <c r="T23" i="7"/>
  <c r="Q26" i="7"/>
  <c r="T30" i="7"/>
  <c r="AA30" i="7" s="1"/>
  <c r="AH30" i="7" s="1"/>
  <c r="S27" i="7"/>
  <c r="U27" i="7"/>
  <c r="AB27" i="7" s="1"/>
  <c r="AI27" i="7" s="1"/>
  <c r="R28" i="7"/>
  <c r="S30" i="7"/>
  <c r="S31" i="7"/>
  <c r="Z31" i="7" s="1"/>
  <c r="AG31" i="7" s="1"/>
  <c r="U30" i="7"/>
  <c r="AB30" i="7" s="1"/>
  <c r="AI30" i="7" s="1"/>
  <c r="R31" i="7"/>
  <c r="U31" i="7"/>
  <c r="AB31" i="7" s="1"/>
  <c r="AI31" i="7" s="1"/>
  <c r="Q32" i="7"/>
  <c r="T31" i="7"/>
  <c r="AA31" i="7" s="1"/>
  <c r="AH31" i="7" s="1"/>
  <c r="T32" i="7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11" i="8"/>
  <c r="N3" i="8"/>
  <c r="N15" i="8"/>
  <c r="N7" i="8"/>
  <c r="N6" i="8"/>
  <c r="N5" i="8"/>
  <c r="N14" i="8"/>
  <c r="N17" i="8"/>
  <c r="N4" i="8"/>
  <c r="N20" i="8"/>
  <c r="N16" i="8"/>
  <c r="N9" i="8"/>
  <c r="N13" i="8"/>
  <c r="N21" i="8"/>
  <c r="N19" i="8"/>
  <c r="N10" i="8"/>
  <c r="N8" i="8"/>
  <c r="N18" i="8"/>
  <c r="N2" i="8"/>
  <c r="N12" i="8"/>
  <c r="AK86" i="4"/>
  <c r="AQ86" i="4" s="1"/>
  <c r="AT86" i="4" l="1"/>
  <c r="L86" i="5"/>
  <c r="AG86" i="6"/>
  <c r="AD84" i="5"/>
  <c r="Q84" i="5"/>
  <c r="R88" i="4"/>
  <c r="BG86" i="4"/>
  <c r="BG38" i="4"/>
  <c r="C12" i="2" s="1"/>
  <c r="D12" i="2" s="1"/>
  <c r="D13" i="1"/>
  <c r="E13" i="1" s="1"/>
  <c r="BF38" i="4"/>
  <c r="D12" i="1"/>
  <c r="E12" i="1" s="1"/>
  <c r="Z39" i="8"/>
  <c r="Z37" i="8"/>
  <c r="Z42" i="8"/>
  <c r="Y40" i="8"/>
  <c r="Y38" i="8"/>
  <c r="Y39" i="8"/>
  <c r="Z38" i="8"/>
  <c r="Y37" i="8"/>
  <c r="Z40" i="8"/>
  <c r="Z41" i="8"/>
  <c r="Y41" i="8"/>
  <c r="Y42" i="8"/>
  <c r="Z45" i="8"/>
  <c r="Z43" i="8"/>
  <c r="Y43" i="8"/>
  <c r="Y45" i="8"/>
  <c r="Z44" i="8"/>
  <c r="Y44" i="8"/>
  <c r="Y47" i="8"/>
  <c r="Y46" i="8"/>
  <c r="Z46" i="8"/>
  <c r="Z48" i="8"/>
  <c r="Z49" i="8"/>
  <c r="Z47" i="8"/>
  <c r="Y50" i="8"/>
  <c r="Y48" i="8"/>
  <c r="Y49" i="8"/>
  <c r="Z50" i="8"/>
  <c r="Y52" i="8"/>
  <c r="Z53" i="8"/>
  <c r="Z51" i="8"/>
  <c r="Y51" i="8"/>
  <c r="Y53" i="8"/>
  <c r="Z52" i="8"/>
  <c r="Z54" i="8"/>
  <c r="Y54" i="8"/>
  <c r="Z55" i="8"/>
  <c r="Y55" i="8"/>
  <c r="Y56" i="8"/>
  <c r="Z56" i="8"/>
  <c r="Z60" i="8"/>
  <c r="Z59" i="8"/>
  <c r="Y57" i="8"/>
  <c r="Y58" i="8"/>
  <c r="Z58" i="8"/>
  <c r="Z57" i="8"/>
  <c r="Y61" i="8"/>
  <c r="Y59" i="8"/>
  <c r="Z61" i="8"/>
  <c r="Y60" i="8"/>
  <c r="Z62" i="8"/>
  <c r="Z64" i="8"/>
  <c r="Z63" i="8"/>
  <c r="Y66" i="8"/>
  <c r="Y62" i="8"/>
  <c r="Y63" i="8"/>
  <c r="Y64" i="8"/>
  <c r="Z66" i="8"/>
  <c r="Z67" i="8"/>
  <c r="Y65" i="8"/>
  <c r="Y67" i="8"/>
  <c r="Z68" i="8"/>
  <c r="Z65" i="8"/>
  <c r="Y68" i="8"/>
  <c r="Y70" i="8"/>
  <c r="Z69" i="8"/>
  <c r="Y69" i="8"/>
  <c r="Z70" i="8"/>
  <c r="Z72" i="8"/>
  <c r="Y72" i="8"/>
  <c r="Z71" i="8"/>
  <c r="Y71" i="8"/>
  <c r="Z74" i="8"/>
  <c r="Y73" i="8"/>
  <c r="Z73" i="8"/>
  <c r="Y74" i="8"/>
  <c r="Z75" i="8"/>
  <c r="Y75" i="8"/>
  <c r="Y76" i="8"/>
  <c r="Z76" i="8"/>
  <c r="Z78" i="8"/>
  <c r="Z77" i="8"/>
  <c r="Y79" i="8"/>
  <c r="Y77" i="8"/>
  <c r="Y80" i="8"/>
  <c r="Y78" i="8"/>
  <c r="Z84" i="8"/>
  <c r="Y83" i="8"/>
  <c r="Y84" i="8"/>
  <c r="Z79" i="8"/>
  <c r="Y81" i="8"/>
  <c r="Z83" i="8"/>
  <c r="Z82" i="8"/>
  <c r="Z81" i="8"/>
  <c r="Z85" i="8"/>
  <c r="Y82" i="8"/>
  <c r="Y85" i="8"/>
  <c r="Z80" i="8"/>
  <c r="Q88" i="4"/>
  <c r="BF86" i="4"/>
  <c r="V32" i="7"/>
  <c r="AZ86" i="4"/>
  <c r="C4" i="2"/>
  <c r="N85" i="5"/>
  <c r="P85" i="5" s="1"/>
  <c r="AC85" i="6"/>
  <c r="AF85" i="6" s="1"/>
  <c r="C22" i="8"/>
  <c r="BI38" i="4"/>
  <c r="C14" i="2" s="1"/>
  <c r="D14" i="2" s="1"/>
  <c r="D15" i="1"/>
  <c r="E15" i="1" s="1"/>
  <c r="Y31" i="7"/>
  <c r="V31" i="7"/>
  <c r="Z30" i="7"/>
  <c r="V30" i="7"/>
  <c r="Y28" i="7"/>
  <c r="V28" i="7"/>
  <c r="Z27" i="7"/>
  <c r="V27" i="7"/>
  <c r="V26" i="7"/>
  <c r="X26" i="7"/>
  <c r="AA23" i="7"/>
  <c r="V23" i="7"/>
  <c r="V19" i="7"/>
  <c r="X19" i="7"/>
  <c r="Y18" i="7"/>
  <c r="V18" i="7"/>
  <c r="AA16" i="7"/>
  <c r="V16" i="7"/>
  <c r="Z15" i="7"/>
  <c r="AO23" i="7" s="1"/>
  <c r="AO24" i="7" s="1"/>
  <c r="AO25" i="7" s="1"/>
  <c r="AO26" i="7" s="1"/>
  <c r="AO27" i="7" s="1"/>
  <c r="AO28" i="7" s="1"/>
  <c r="AO29" i="7" s="1"/>
  <c r="AO30" i="7" s="1"/>
  <c r="AO31" i="7" s="1"/>
  <c r="AO32" i="7" s="1"/>
  <c r="V15" i="7"/>
  <c r="V14" i="7"/>
  <c r="X14" i="7"/>
  <c r="V13" i="7"/>
  <c r="X13" i="7"/>
  <c r="V12" i="7"/>
  <c r="X12" i="7"/>
  <c r="AA10" i="7"/>
  <c r="AP23" i="7" s="1"/>
  <c r="AP24" i="7" s="1"/>
  <c r="AP25" i="7" s="1"/>
  <c r="AP26" i="7" s="1"/>
  <c r="AP27" i="7" s="1"/>
  <c r="AP28" i="7" s="1"/>
  <c r="AP29" i="7" s="1"/>
  <c r="AP30" i="7" s="1"/>
  <c r="AP31" i="7" s="1"/>
  <c r="AP32" i="7" s="1"/>
  <c r="V10" i="7"/>
  <c r="V11" i="7"/>
  <c r="X11" i="7"/>
  <c r="V9" i="7"/>
  <c r="X9" i="7"/>
  <c r="V8" i="7"/>
  <c r="X8" i="7"/>
  <c r="AH7" i="7"/>
  <c r="AV7" i="7"/>
  <c r="V7" i="7"/>
  <c r="X7" i="7"/>
  <c r="AF6" i="7"/>
  <c r="AN23" i="7"/>
  <c r="AN24" i="7" s="1"/>
  <c r="AN25" i="7" s="1"/>
  <c r="AN26" i="7" s="1"/>
  <c r="AN27" i="7" s="1"/>
  <c r="AN28" i="7" s="1"/>
  <c r="AN29" i="7" s="1"/>
  <c r="AN30" i="7" s="1"/>
  <c r="AN31" i="7" s="1"/>
  <c r="AN32" i="7" s="1"/>
  <c r="AT6" i="7"/>
  <c r="V5" i="7"/>
  <c r="X5" i="7"/>
  <c r="AB3" i="7"/>
  <c r="V3" i="7"/>
  <c r="V6" i="7"/>
  <c r="X6" i="7"/>
  <c r="AG4" i="7"/>
  <c r="AU4" i="7"/>
  <c r="V4" i="7"/>
  <c r="X4" i="7"/>
  <c r="AZ4" i="7"/>
  <c r="BA3" i="7"/>
  <c r="AZ3" i="7"/>
  <c r="BB6" i="7"/>
  <c r="BB4" i="7"/>
  <c r="BB3" i="7"/>
  <c r="AZ5" i="7"/>
  <c r="AY3" i="7"/>
  <c r="H86" i="6"/>
  <c r="E86" i="6"/>
  <c r="J86" i="6"/>
  <c r="AP33" i="7" l="1"/>
  <c r="AP34" i="7" s="1"/>
  <c r="AP35" i="7" s="1"/>
  <c r="AP36" i="7" s="1"/>
  <c r="AP37" i="7" s="1"/>
  <c r="AP38" i="7" s="1"/>
  <c r="AP39" i="7" s="1"/>
  <c r="AP40" i="7" s="1"/>
  <c r="AP41" i="7" s="1"/>
  <c r="AP42" i="7" s="1"/>
  <c r="AP43" i="7" s="1"/>
  <c r="AP44" i="7" s="1"/>
  <c r="AP45" i="7" s="1"/>
  <c r="AO33" i="7"/>
  <c r="AO34" i="7" s="1"/>
  <c r="AO35" i="7" s="1"/>
  <c r="AO36" i="7" s="1"/>
  <c r="AO37" i="7" s="1"/>
  <c r="AO38" i="7" s="1"/>
  <c r="AO39" i="7" s="1"/>
  <c r="AO40" i="7" s="1"/>
  <c r="AO41" i="7" s="1"/>
  <c r="AO42" i="7" s="1"/>
  <c r="AO43" i="7" s="1"/>
  <c r="AO44" i="7" s="1"/>
  <c r="AO45" i="7" s="1"/>
  <c r="AB73" i="8"/>
  <c r="AA73" i="8"/>
  <c r="N74" i="4" s="1"/>
  <c r="AB67" i="8"/>
  <c r="AA67" i="8"/>
  <c r="N68" i="4" s="1"/>
  <c r="AB62" i="8"/>
  <c r="AA62" i="8"/>
  <c r="N63" i="4" s="1"/>
  <c r="AB54" i="8"/>
  <c r="AA54" i="8"/>
  <c r="N55" i="4" s="1"/>
  <c r="AB42" i="8"/>
  <c r="AA42" i="8"/>
  <c r="N43" i="4" s="1"/>
  <c r="Q85" i="5"/>
  <c r="AD85" i="5"/>
  <c r="AB80" i="8"/>
  <c r="AA80" i="8"/>
  <c r="N81" i="4" s="1"/>
  <c r="AB79" i="8"/>
  <c r="AA79" i="8"/>
  <c r="N80" i="4" s="1"/>
  <c r="AB77" i="8"/>
  <c r="AA77" i="8"/>
  <c r="N78" i="4" s="1"/>
  <c r="AB69" i="8"/>
  <c r="AA69" i="8"/>
  <c r="N70" i="4" s="1"/>
  <c r="AB66" i="8"/>
  <c r="AA66" i="8"/>
  <c r="N67" i="4" s="1"/>
  <c r="AB59" i="8"/>
  <c r="AA59" i="8"/>
  <c r="N60" i="4" s="1"/>
  <c r="AB52" i="8"/>
  <c r="AA52" i="8"/>
  <c r="N53" i="4" s="1"/>
  <c r="AB41" i="8"/>
  <c r="AA41" i="8"/>
  <c r="N42" i="4" s="1"/>
  <c r="AB37" i="8"/>
  <c r="AB36" i="8"/>
  <c r="AB35" i="8"/>
  <c r="AA37" i="8"/>
  <c r="N38" i="4" s="1"/>
  <c r="AB34" i="8"/>
  <c r="AB4" i="8"/>
  <c r="AB11" i="8"/>
  <c r="AB19" i="8"/>
  <c r="AB27" i="8"/>
  <c r="AB15" i="8"/>
  <c r="AB2" i="8"/>
  <c r="AB6" i="8"/>
  <c r="AB12" i="8"/>
  <c r="AB20" i="8"/>
  <c r="AB30" i="8"/>
  <c r="AB9" i="8"/>
  <c r="AB29" i="8"/>
  <c r="AB18" i="8"/>
  <c r="AB7" i="8"/>
  <c r="AB14" i="8"/>
  <c r="AB21" i="8"/>
  <c r="AB28" i="8"/>
  <c r="AB22" i="8"/>
  <c r="Z88" i="8"/>
  <c r="AB13" i="8"/>
  <c r="AB23" i="8"/>
  <c r="AB31" i="8"/>
  <c r="AB24" i="8"/>
  <c r="AB5" i="8"/>
  <c r="AB16" i="8"/>
  <c r="AB25" i="8"/>
  <c r="AB33" i="8"/>
  <c r="AB10" i="8"/>
  <c r="AB3" i="8"/>
  <c r="AB8" i="8"/>
  <c r="AB17" i="8"/>
  <c r="AB26" i="8"/>
  <c r="AB32" i="8"/>
  <c r="M2" i="2"/>
  <c r="D4" i="2"/>
  <c r="Y88" i="8"/>
  <c r="AB78" i="8"/>
  <c r="AA78" i="8"/>
  <c r="N79" i="4" s="1"/>
  <c r="AB74" i="8"/>
  <c r="AA74" i="8"/>
  <c r="N75" i="4" s="1"/>
  <c r="AB61" i="8"/>
  <c r="AA61" i="8"/>
  <c r="N62" i="4" s="1"/>
  <c r="AB60" i="8"/>
  <c r="AA60" i="8"/>
  <c r="N61" i="4" s="1"/>
  <c r="AB44" i="8"/>
  <c r="AA44" i="8"/>
  <c r="N45" i="4" s="1"/>
  <c r="AB40" i="8"/>
  <c r="AA40" i="8"/>
  <c r="N41" i="4" s="1"/>
  <c r="AB39" i="8"/>
  <c r="AA39" i="8"/>
  <c r="N40" i="4" s="1"/>
  <c r="AB76" i="8"/>
  <c r="AA76" i="8"/>
  <c r="N77" i="4" s="1"/>
  <c r="AB56" i="8"/>
  <c r="AA56" i="8"/>
  <c r="N57" i="4" s="1"/>
  <c r="AB47" i="8"/>
  <c r="AA47" i="8"/>
  <c r="N48" i="4" s="1"/>
  <c r="C15" i="8"/>
  <c r="C16" i="8" s="1"/>
  <c r="AA85" i="8"/>
  <c r="AB85" i="8"/>
  <c r="AB84" i="8"/>
  <c r="AA84" i="8"/>
  <c r="N85" i="4" s="1"/>
  <c r="AB71" i="8"/>
  <c r="AA71" i="8"/>
  <c r="N72" i="4" s="1"/>
  <c r="AB65" i="8"/>
  <c r="AA65" i="8"/>
  <c r="N66" i="4" s="1"/>
  <c r="AB51" i="8"/>
  <c r="AA51" i="8"/>
  <c r="N52" i="4" s="1"/>
  <c r="BC52" i="4" s="1"/>
  <c r="AB49" i="8"/>
  <c r="AA49" i="8"/>
  <c r="N50" i="4" s="1"/>
  <c r="AB38" i="8"/>
  <c r="AA38" i="8"/>
  <c r="N39" i="4" s="1"/>
  <c r="AB81" i="8"/>
  <c r="AA81" i="8"/>
  <c r="N82" i="4" s="1"/>
  <c r="AB68" i="8"/>
  <c r="AA68" i="8"/>
  <c r="N69" i="4" s="1"/>
  <c r="AB57" i="8"/>
  <c r="AA57" i="8"/>
  <c r="N58" i="4" s="1"/>
  <c r="AB53" i="8"/>
  <c r="AA53" i="8"/>
  <c r="N54" i="4" s="1"/>
  <c r="AB48" i="8"/>
  <c r="AA48" i="8"/>
  <c r="N49" i="4" s="1"/>
  <c r="AB43" i="8"/>
  <c r="AA43" i="8"/>
  <c r="N44" i="4" s="1"/>
  <c r="C11" i="2"/>
  <c r="D11" i="2" s="1"/>
  <c r="AT7" i="7"/>
  <c r="AZ6" i="7"/>
  <c r="AB82" i="8"/>
  <c r="AA82" i="8"/>
  <c r="N83" i="4" s="1"/>
  <c r="AB75" i="8"/>
  <c r="AA75" i="8"/>
  <c r="N76" i="4" s="1"/>
  <c r="AB72" i="8"/>
  <c r="AA72" i="8"/>
  <c r="N73" i="4" s="1"/>
  <c r="AB63" i="8"/>
  <c r="AA63" i="8"/>
  <c r="N64" i="4" s="1"/>
  <c r="AB58" i="8"/>
  <c r="AA58" i="8"/>
  <c r="N59" i="4" s="1"/>
  <c r="AB55" i="8"/>
  <c r="AA55" i="8"/>
  <c r="N56" i="4" s="1"/>
  <c r="AB46" i="8"/>
  <c r="AA46" i="8"/>
  <c r="N47" i="4" s="1"/>
  <c r="AB45" i="8"/>
  <c r="AA45" i="8"/>
  <c r="N46" i="4" s="1"/>
  <c r="N86" i="5"/>
  <c r="P86" i="5" s="1"/>
  <c r="AC86" i="6"/>
  <c r="AF86" i="6" s="1"/>
  <c r="AN33" i="7"/>
  <c r="AN34" i="7" s="1"/>
  <c r="AN35" i="7" s="1"/>
  <c r="AN36" i="7" s="1"/>
  <c r="AN37" i="7" s="1"/>
  <c r="AN38" i="7" s="1"/>
  <c r="AN39" i="7" s="1"/>
  <c r="AN40" i="7" s="1"/>
  <c r="AN41" i="7" s="1"/>
  <c r="AN42" i="7" s="1"/>
  <c r="AN43" i="7" s="1"/>
  <c r="AN44" i="7" s="1"/>
  <c r="AN45" i="7" s="1"/>
  <c r="AF31" i="7"/>
  <c r="AJ31" i="7" s="1"/>
  <c r="AC31" i="7"/>
  <c r="J36" i="5" s="1"/>
  <c r="AB83" i="8"/>
  <c r="AA83" i="8"/>
  <c r="N84" i="4" s="1"/>
  <c r="AB70" i="8"/>
  <c r="AA70" i="8"/>
  <c r="N71" i="4" s="1"/>
  <c r="AB64" i="8"/>
  <c r="AA64" i="8"/>
  <c r="N65" i="4" s="1"/>
  <c r="AB50" i="8"/>
  <c r="AA50" i="8"/>
  <c r="N51" i="4" s="1"/>
  <c r="AC4" i="7"/>
  <c r="AE4" i="7"/>
  <c r="AJ4" i="7" s="1"/>
  <c r="AM23" i="7"/>
  <c r="AM24" i="7" s="1"/>
  <c r="AM25" i="7" s="1"/>
  <c r="AM26" i="7" s="1"/>
  <c r="AM27" i="7" s="1"/>
  <c r="AM28" i="7" s="1"/>
  <c r="AM29" i="7" s="1"/>
  <c r="AM30" i="7" s="1"/>
  <c r="AM31" i="7" s="1"/>
  <c r="AM32" i="7" s="1"/>
  <c r="AS4" i="7"/>
  <c r="AU5" i="7"/>
  <c r="BA4" i="7"/>
  <c r="AC6" i="7"/>
  <c r="AE6" i="7"/>
  <c r="AJ6" i="7" s="1"/>
  <c r="AI3" i="7"/>
  <c r="AJ3" i="7" s="1"/>
  <c r="AW3" i="7"/>
  <c r="AQ23" i="7"/>
  <c r="AQ24" i="7" s="1"/>
  <c r="AQ25" i="7" s="1"/>
  <c r="AQ26" i="7" s="1"/>
  <c r="AQ27" i="7" s="1"/>
  <c r="AQ28" i="7" s="1"/>
  <c r="AQ29" i="7" s="1"/>
  <c r="AQ30" i="7" s="1"/>
  <c r="AQ31" i="7" s="1"/>
  <c r="AQ32" i="7" s="1"/>
  <c r="AC3" i="7"/>
  <c r="AC5" i="7"/>
  <c r="AE5" i="7"/>
  <c r="AJ5" i="7" s="1"/>
  <c r="AT8" i="7"/>
  <c r="AZ7" i="7"/>
  <c r="AC7" i="7"/>
  <c r="AE7" i="7"/>
  <c r="AJ7" i="7" s="1"/>
  <c r="AV8" i="7"/>
  <c r="BB7" i="7"/>
  <c r="AC8" i="7"/>
  <c r="AE8" i="7"/>
  <c r="AJ8" i="7" s="1"/>
  <c r="AC9" i="7"/>
  <c r="AE9" i="7"/>
  <c r="AJ9" i="7" s="1"/>
  <c r="AC11" i="7"/>
  <c r="AE11" i="7"/>
  <c r="AJ11" i="7" s="1"/>
  <c r="AH10" i="7"/>
  <c r="AJ10" i="7" s="1"/>
  <c r="AC10" i="7"/>
  <c r="AC12" i="7"/>
  <c r="J17" i="5" s="1"/>
  <c r="AE12" i="7"/>
  <c r="AJ12" i="7" s="1"/>
  <c r="AC13" i="7"/>
  <c r="J18" i="5" s="1"/>
  <c r="AE13" i="7"/>
  <c r="AJ13" i="7" s="1"/>
  <c r="AC14" i="7"/>
  <c r="J19" i="5" s="1"/>
  <c r="AE14" i="7"/>
  <c r="AJ14" i="7" s="1"/>
  <c r="AG15" i="7"/>
  <c r="AJ15" i="7" s="1"/>
  <c r="AC15" i="7"/>
  <c r="J20" i="5" s="1"/>
  <c r="AH16" i="7"/>
  <c r="AJ16" i="7" s="1"/>
  <c r="AC16" i="7"/>
  <c r="J21" i="5" s="1"/>
  <c r="AF18" i="7"/>
  <c r="AJ18" i="7" s="1"/>
  <c r="AC18" i="7"/>
  <c r="J23" i="5" s="1"/>
  <c r="AC19" i="7"/>
  <c r="J24" i="5" s="1"/>
  <c r="AE19" i="7"/>
  <c r="AJ19" i="7" s="1"/>
  <c r="AH23" i="7"/>
  <c r="AJ23" i="7" s="1"/>
  <c r="AC23" i="7"/>
  <c r="J28" i="5" s="1"/>
  <c r="AC26" i="7"/>
  <c r="J31" i="5" s="1"/>
  <c r="AE26" i="7"/>
  <c r="AJ26" i="7" s="1"/>
  <c r="AG27" i="7"/>
  <c r="AJ27" i="7" s="1"/>
  <c r="AC27" i="7"/>
  <c r="J32" i="5" s="1"/>
  <c r="AF28" i="7"/>
  <c r="AJ28" i="7" s="1"/>
  <c r="AC28" i="7"/>
  <c r="J33" i="5" s="1"/>
  <c r="AG30" i="7"/>
  <c r="AJ30" i="7" s="1"/>
  <c r="AC30" i="7"/>
  <c r="J35" i="5" s="1"/>
  <c r="BC65" i="4" l="1"/>
  <c r="BK65" i="4" s="1"/>
  <c r="V65" i="4"/>
  <c r="AD65" i="4" s="1"/>
  <c r="BC56" i="4"/>
  <c r="BK56" i="4" s="1"/>
  <c r="V56" i="4"/>
  <c r="AD56" i="4" s="1"/>
  <c r="BC76" i="4"/>
  <c r="BK76" i="4" s="1"/>
  <c r="V76" i="4"/>
  <c r="AD76" i="4" s="1"/>
  <c r="AA88" i="8"/>
  <c r="N86" i="4"/>
  <c r="BC40" i="4"/>
  <c r="BK40" i="4" s="1"/>
  <c r="V40" i="4"/>
  <c r="AD40" i="4" s="1"/>
  <c r="BC62" i="4"/>
  <c r="BK62" i="4" s="1"/>
  <c r="V62" i="4"/>
  <c r="AD62" i="4" s="1"/>
  <c r="BC68" i="4"/>
  <c r="BK68" i="4" s="1"/>
  <c r="V68" i="4"/>
  <c r="AD68" i="4" s="1"/>
  <c r="BC49" i="4"/>
  <c r="BK49" i="4" s="1"/>
  <c r="V49" i="4"/>
  <c r="AD49" i="4" s="1"/>
  <c r="BC82" i="4"/>
  <c r="BK82" i="4" s="1"/>
  <c r="V82" i="4"/>
  <c r="AD82" i="4" s="1"/>
  <c r="BC66" i="4"/>
  <c r="V66" i="4"/>
  <c r="AD66" i="4" s="1"/>
  <c r="BC53" i="4"/>
  <c r="BK53" i="4" s="1"/>
  <c r="V53" i="4"/>
  <c r="AD53" i="4" s="1"/>
  <c r="BC78" i="4"/>
  <c r="BK78" i="4" s="1"/>
  <c r="V78" i="4"/>
  <c r="AD78" i="4" s="1"/>
  <c r="BC71" i="4"/>
  <c r="BK71" i="4" s="1"/>
  <c r="V71" i="4"/>
  <c r="AD71" i="4" s="1"/>
  <c r="BC59" i="4"/>
  <c r="BK59" i="4" s="1"/>
  <c r="V59" i="4"/>
  <c r="AD59" i="4" s="1"/>
  <c r="BC83" i="4"/>
  <c r="BK83" i="4" s="1"/>
  <c r="V83" i="4"/>
  <c r="AD83" i="4" s="1"/>
  <c r="BC48" i="4"/>
  <c r="BK48" i="4" s="1"/>
  <c r="V48" i="4"/>
  <c r="AD48" i="4" s="1"/>
  <c r="BC41" i="4"/>
  <c r="BK41" i="4" s="1"/>
  <c r="V41" i="4"/>
  <c r="AD41" i="4" s="1"/>
  <c r="BC75" i="4"/>
  <c r="BK75" i="4" s="1"/>
  <c r="V75" i="4"/>
  <c r="AD75" i="4" s="1"/>
  <c r="BC43" i="4"/>
  <c r="BK43" i="4" s="1"/>
  <c r="V43" i="4"/>
  <c r="AD43" i="4" s="1"/>
  <c r="BC74" i="4"/>
  <c r="BK74" i="4" s="1"/>
  <c r="V74" i="4"/>
  <c r="AD74" i="4" s="1"/>
  <c r="AD86" i="5"/>
  <c r="Q86" i="5"/>
  <c r="BC54" i="4"/>
  <c r="BK54" i="4" s="1"/>
  <c r="V54" i="4"/>
  <c r="AD54" i="4" s="1"/>
  <c r="BC39" i="4"/>
  <c r="BK39" i="4" s="1"/>
  <c r="V39" i="4"/>
  <c r="AD39" i="4" s="1"/>
  <c r="BC72" i="4"/>
  <c r="BK72" i="4" s="1"/>
  <c r="V72" i="4"/>
  <c r="AD72" i="4" s="1"/>
  <c r="BC38" i="4"/>
  <c r="V38" i="4"/>
  <c r="O66" i="4"/>
  <c r="D9" i="1"/>
  <c r="E9" i="1" s="1"/>
  <c r="BC60" i="4"/>
  <c r="BK60" i="4" s="1"/>
  <c r="V60" i="4"/>
  <c r="AD60" i="4" s="1"/>
  <c r="BC80" i="4"/>
  <c r="BK80" i="4" s="1"/>
  <c r="V80" i="4"/>
  <c r="AD80" i="4" s="1"/>
  <c r="AQ33" i="7"/>
  <c r="AQ34" i="7" s="1"/>
  <c r="AQ35" i="7" s="1"/>
  <c r="AQ36" i="7" s="1"/>
  <c r="AQ37" i="7" s="1"/>
  <c r="AQ38" i="7" s="1"/>
  <c r="AQ39" i="7" s="1"/>
  <c r="AQ40" i="7" s="1"/>
  <c r="AQ41" i="7" s="1"/>
  <c r="AQ42" i="7" s="1"/>
  <c r="AQ43" i="7" s="1"/>
  <c r="AQ44" i="7" s="1"/>
  <c r="AQ45" i="7" s="1"/>
  <c r="BC84" i="4"/>
  <c r="BK84" i="4" s="1"/>
  <c r="V84" i="4"/>
  <c r="AD84" i="4" s="1"/>
  <c r="BC64" i="4"/>
  <c r="BK64" i="4" s="1"/>
  <c r="V64" i="4"/>
  <c r="AD64" i="4" s="1"/>
  <c r="BC57" i="4"/>
  <c r="BK57" i="4" s="1"/>
  <c r="V57" i="4"/>
  <c r="AD57" i="4" s="1"/>
  <c r="BC45" i="4"/>
  <c r="BK45" i="4" s="1"/>
  <c r="V45" i="4"/>
  <c r="AD45" i="4" s="1"/>
  <c r="BC79" i="4"/>
  <c r="BK79" i="4" s="1"/>
  <c r="V79" i="4"/>
  <c r="AD79" i="4" s="1"/>
  <c r="BC55" i="4"/>
  <c r="BK55" i="4" s="1"/>
  <c r="V55" i="4"/>
  <c r="AD55" i="4" s="1"/>
  <c r="AM33" i="7"/>
  <c r="AM34" i="7" s="1"/>
  <c r="AM35" i="7" s="1"/>
  <c r="AM36" i="7" s="1"/>
  <c r="AM37" i="7" s="1"/>
  <c r="AM38" i="7" s="1"/>
  <c r="AM39" i="7" s="1"/>
  <c r="AM40" i="7" s="1"/>
  <c r="AM41" i="7" s="1"/>
  <c r="AM42" i="7" s="1"/>
  <c r="AM43" i="7" s="1"/>
  <c r="AM44" i="7" s="1"/>
  <c r="AM45" i="7" s="1"/>
  <c r="BC46" i="4"/>
  <c r="BK46" i="4" s="1"/>
  <c r="V46" i="4"/>
  <c r="AD46" i="4" s="1"/>
  <c r="BC58" i="4"/>
  <c r="BK58" i="4" s="1"/>
  <c r="V58" i="4"/>
  <c r="AD58" i="4" s="1"/>
  <c r="BC50" i="4"/>
  <c r="BK50" i="4" s="1"/>
  <c r="V50" i="4"/>
  <c r="AD50" i="4" s="1"/>
  <c r="BC85" i="4"/>
  <c r="BK85" i="4" s="1"/>
  <c r="V85" i="4"/>
  <c r="AD85" i="4" s="1"/>
  <c r="BC67" i="4"/>
  <c r="BK67" i="4" s="1"/>
  <c r="V67" i="4"/>
  <c r="AD67" i="4" s="1"/>
  <c r="BC81" i="4"/>
  <c r="BK81" i="4" s="1"/>
  <c r="V81" i="4"/>
  <c r="AD81" i="4" s="1"/>
  <c r="BC51" i="4"/>
  <c r="BK51" i="4" s="1"/>
  <c r="V51" i="4"/>
  <c r="AA36" i="6"/>
  <c r="I36" i="5"/>
  <c r="AR36" i="5" s="1"/>
  <c r="BC47" i="4"/>
  <c r="BK47" i="4" s="1"/>
  <c r="V47" i="4"/>
  <c r="AD47" i="4" s="1"/>
  <c r="BC73" i="4"/>
  <c r="BK73" i="4" s="1"/>
  <c r="V73" i="4"/>
  <c r="AD73" i="4" s="1"/>
  <c r="BC77" i="4"/>
  <c r="BK77" i="4" s="1"/>
  <c r="V77" i="4"/>
  <c r="AD77" i="4" s="1"/>
  <c r="BC61" i="4"/>
  <c r="BK61" i="4" s="1"/>
  <c r="V61" i="4"/>
  <c r="AD61" i="4" s="1"/>
  <c r="BC63" i="4"/>
  <c r="BK63" i="4" s="1"/>
  <c r="V63" i="4"/>
  <c r="AD63" i="4" s="1"/>
  <c r="I36" i="4"/>
  <c r="M36" i="5"/>
  <c r="BC44" i="4"/>
  <c r="BK44" i="4" s="1"/>
  <c r="V44" i="4"/>
  <c r="AD44" i="4" s="1"/>
  <c r="BC69" i="4"/>
  <c r="BK69" i="4" s="1"/>
  <c r="V69" i="4"/>
  <c r="AD69" i="4" s="1"/>
  <c r="BC42" i="4"/>
  <c r="BK42" i="4" s="1"/>
  <c r="V42" i="4"/>
  <c r="AD42" i="4" s="1"/>
  <c r="BC70" i="4"/>
  <c r="BK70" i="4" s="1"/>
  <c r="V70" i="4"/>
  <c r="AD70" i="4" s="1"/>
  <c r="I35" i="5"/>
  <c r="AR35" i="5" s="1"/>
  <c r="AA35" i="6"/>
  <c r="M35" i="5"/>
  <c r="I35" i="4"/>
  <c r="I33" i="5"/>
  <c r="AR33" i="5" s="1"/>
  <c r="AA33" i="6"/>
  <c r="M33" i="5"/>
  <c r="I33" i="4"/>
  <c r="AA32" i="6"/>
  <c r="I32" i="5"/>
  <c r="AR32" i="5" s="1"/>
  <c r="I32" i="4"/>
  <c r="M32" i="5"/>
  <c r="I31" i="4"/>
  <c r="M31" i="5"/>
  <c r="I31" i="5"/>
  <c r="AR31" i="5" s="1"/>
  <c r="AA31" i="6"/>
  <c r="I28" i="5"/>
  <c r="AR28" i="5" s="1"/>
  <c r="AA28" i="6"/>
  <c r="I28" i="4"/>
  <c r="M28" i="5"/>
  <c r="M24" i="5"/>
  <c r="I24" i="4"/>
  <c r="AA24" i="6"/>
  <c r="I24" i="5"/>
  <c r="AR24" i="5" s="1"/>
  <c r="AA23" i="6"/>
  <c r="I23" i="5"/>
  <c r="AR23" i="5" s="1"/>
  <c r="M23" i="5"/>
  <c r="I23" i="4"/>
  <c r="AA21" i="6"/>
  <c r="I21" i="5"/>
  <c r="AR21" i="5" s="1"/>
  <c r="I21" i="4"/>
  <c r="M21" i="5"/>
  <c r="I20" i="5"/>
  <c r="AR20" i="5" s="1"/>
  <c r="AA20" i="6"/>
  <c r="M20" i="5"/>
  <c r="I20" i="4"/>
  <c r="M19" i="5"/>
  <c r="I19" i="4"/>
  <c r="AA19" i="6"/>
  <c r="I19" i="5"/>
  <c r="AR19" i="5" s="1"/>
  <c r="M18" i="5"/>
  <c r="I18" i="4"/>
  <c r="I18" i="5"/>
  <c r="AR18" i="5" s="1"/>
  <c r="AA18" i="6"/>
  <c r="I17" i="4"/>
  <c r="M17" i="5"/>
  <c r="AA17" i="6"/>
  <c r="I17" i="5"/>
  <c r="AR17" i="5" s="1"/>
  <c r="I15" i="4"/>
  <c r="M15" i="5"/>
  <c r="I16" i="4"/>
  <c r="M16" i="5"/>
  <c r="I14" i="4"/>
  <c r="M14" i="5"/>
  <c r="M13" i="5"/>
  <c r="I13" i="4"/>
  <c r="AV9" i="7"/>
  <c r="BB8" i="7"/>
  <c r="M12" i="5"/>
  <c r="I12" i="4"/>
  <c r="AT9" i="7"/>
  <c r="AZ8" i="7"/>
  <c r="I10" i="4"/>
  <c r="M10" i="5"/>
  <c r="AW4" i="7"/>
  <c r="BC3" i="7"/>
  <c r="M8" i="5"/>
  <c r="I8" i="4"/>
  <c r="I11" i="4"/>
  <c r="M11" i="5"/>
  <c r="AU6" i="7"/>
  <c r="BA5" i="7"/>
  <c r="AS5" i="7"/>
  <c r="AY4" i="7"/>
  <c r="M9" i="5"/>
  <c r="I9" i="4"/>
  <c r="BD66" i="4" l="1"/>
  <c r="C9" i="2" s="1"/>
  <c r="D9" i="2" s="1"/>
  <c r="D10" i="1"/>
  <c r="E10" i="1" s="1"/>
  <c r="AD38" i="4"/>
  <c r="AH38" i="4"/>
  <c r="AJ36" i="4"/>
  <c r="K36" i="4"/>
  <c r="AX36" i="4"/>
  <c r="AZ36" i="4" s="1"/>
  <c r="AU36" i="5"/>
  <c r="BK38" i="4"/>
  <c r="C8" i="2"/>
  <c r="D8" i="2" s="1"/>
  <c r="BC86" i="4"/>
  <c r="V86" i="4"/>
  <c r="AD86" i="4" s="1"/>
  <c r="L36" i="5"/>
  <c r="AC36" i="6" s="1"/>
  <c r="AD36" i="6"/>
  <c r="AX9" i="4"/>
  <c r="AZ9" i="4" s="1"/>
  <c r="AJ9" i="4"/>
  <c r="AQ9" i="4" s="1"/>
  <c r="K9" i="4"/>
  <c r="L9" i="5"/>
  <c r="AC9" i="6" s="1"/>
  <c r="AF9" i="6" s="1"/>
  <c r="AD9" i="6"/>
  <c r="AS6" i="7"/>
  <c r="AY5" i="7"/>
  <c r="AU7" i="7"/>
  <c r="BA6" i="7"/>
  <c r="AD11" i="6"/>
  <c r="L11" i="5"/>
  <c r="AC11" i="6" s="1"/>
  <c r="AF11" i="6" s="1"/>
  <c r="AX11" i="4"/>
  <c r="AZ11" i="4" s="1"/>
  <c r="AJ11" i="4"/>
  <c r="AQ11" i="4" s="1"/>
  <c r="K11" i="4"/>
  <c r="AX8" i="4"/>
  <c r="AZ8" i="4" s="1"/>
  <c r="AJ8" i="4"/>
  <c r="AQ8" i="4" s="1"/>
  <c r="K8" i="4"/>
  <c r="L8" i="5"/>
  <c r="AC8" i="6" s="1"/>
  <c r="AD8" i="6"/>
  <c r="AW5" i="7"/>
  <c r="BC4" i="7"/>
  <c r="L10" i="5"/>
  <c r="AC10" i="6" s="1"/>
  <c r="AD10" i="6"/>
  <c r="AX10" i="4"/>
  <c r="AZ10" i="4" s="1"/>
  <c r="AJ10" i="4"/>
  <c r="AQ10" i="4" s="1"/>
  <c r="K10" i="4"/>
  <c r="AT10" i="7"/>
  <c r="AZ9" i="7"/>
  <c r="AX12" i="4"/>
  <c r="AZ12" i="4" s="1"/>
  <c r="AJ12" i="4"/>
  <c r="AQ12" i="4" s="1"/>
  <c r="K12" i="4"/>
  <c r="AD12" i="6"/>
  <c r="L12" i="5"/>
  <c r="AC12" i="6" s="1"/>
  <c r="AF12" i="6" s="1"/>
  <c r="AV10" i="7"/>
  <c r="BB9" i="7"/>
  <c r="AJ13" i="4"/>
  <c r="AQ13" i="4" s="1"/>
  <c r="AX13" i="4"/>
  <c r="AZ13" i="4" s="1"/>
  <c r="K13" i="4"/>
  <c r="L13" i="5"/>
  <c r="AC13" i="6" s="1"/>
  <c r="AF13" i="6" s="1"/>
  <c r="AD13" i="6"/>
  <c r="AD14" i="6"/>
  <c r="L14" i="5"/>
  <c r="AC14" i="6" s="1"/>
  <c r="AX14" i="4"/>
  <c r="AZ14" i="4" s="1"/>
  <c r="AJ14" i="4"/>
  <c r="AQ14" i="4" s="1"/>
  <c r="K14" i="4"/>
  <c r="L16" i="5"/>
  <c r="AC16" i="6" s="1"/>
  <c r="AD16" i="6"/>
  <c r="AJ16" i="4"/>
  <c r="AQ16" i="4" s="1"/>
  <c r="AX16" i="4"/>
  <c r="AZ16" i="4" s="1"/>
  <c r="K16" i="4"/>
  <c r="L15" i="5"/>
  <c r="AC15" i="6" s="1"/>
  <c r="AD15" i="6"/>
  <c r="AX15" i="4"/>
  <c r="AZ15" i="4" s="1"/>
  <c r="AJ15" i="4"/>
  <c r="AQ15" i="4" s="1"/>
  <c r="K15" i="4"/>
  <c r="AU17" i="5"/>
  <c r="AS17" i="5"/>
  <c r="AS18" i="5" s="1"/>
  <c r="AS19" i="5" s="1"/>
  <c r="AS20" i="5" s="1"/>
  <c r="AS21" i="5" s="1"/>
  <c r="AS22" i="5" s="1"/>
  <c r="AS23" i="5" s="1"/>
  <c r="AS24" i="5" s="1"/>
  <c r="AS25" i="5" s="1"/>
  <c r="AS26" i="5" s="1"/>
  <c r="AS27" i="5" s="1"/>
  <c r="AS28" i="5" s="1"/>
  <c r="AS29" i="5" s="1"/>
  <c r="AS30" i="5" s="1"/>
  <c r="AS31" i="5" s="1"/>
  <c r="AS32" i="5" s="1"/>
  <c r="AS33" i="5" s="1"/>
  <c r="AS34" i="5" s="1"/>
  <c r="AS35" i="5" s="1"/>
  <c r="AS36" i="5" s="1"/>
  <c r="AS37" i="5" s="1"/>
  <c r="L17" i="5"/>
  <c r="AC17" i="6" s="1"/>
  <c r="AD17" i="6"/>
  <c r="AX17" i="4"/>
  <c r="AZ17" i="4" s="1"/>
  <c r="AJ17" i="4"/>
  <c r="AQ17" i="4" s="1"/>
  <c r="K17" i="4"/>
  <c r="AU18" i="5"/>
  <c r="AX18" i="4"/>
  <c r="AZ18" i="4" s="1"/>
  <c r="AJ18" i="4"/>
  <c r="AQ18" i="4" s="1"/>
  <c r="K18" i="4"/>
  <c r="L18" i="5"/>
  <c r="AC18" i="6" s="1"/>
  <c r="AF18" i="6" s="1"/>
  <c r="AD18" i="6"/>
  <c r="AU19" i="5"/>
  <c r="AJ19" i="4"/>
  <c r="AQ19" i="4" s="1"/>
  <c r="AX19" i="4"/>
  <c r="AZ19" i="4" s="1"/>
  <c r="K19" i="4"/>
  <c r="AD19" i="6"/>
  <c r="L19" i="5"/>
  <c r="AC19" i="6" s="1"/>
  <c r="AX20" i="4"/>
  <c r="AZ20" i="4" s="1"/>
  <c r="AJ20" i="4"/>
  <c r="AQ20" i="4" s="1"/>
  <c r="K20" i="4"/>
  <c r="L20" i="5"/>
  <c r="AC20" i="6" s="1"/>
  <c r="AF20" i="6" s="1"/>
  <c r="AD20" i="6"/>
  <c r="AU20" i="5"/>
  <c r="L21" i="5"/>
  <c r="AC21" i="6" s="1"/>
  <c r="AF21" i="6" s="1"/>
  <c r="AD21" i="6"/>
  <c r="AX21" i="4"/>
  <c r="AZ21" i="4" s="1"/>
  <c r="AJ21" i="4"/>
  <c r="AQ21" i="4" s="1"/>
  <c r="K21" i="4"/>
  <c r="AU21" i="5"/>
  <c r="AX23" i="4"/>
  <c r="AZ23" i="4" s="1"/>
  <c r="AJ23" i="4"/>
  <c r="AQ23" i="4" s="1"/>
  <c r="K23" i="4"/>
  <c r="L23" i="5"/>
  <c r="AC23" i="6" s="1"/>
  <c r="AF23" i="6" s="1"/>
  <c r="AD23" i="6"/>
  <c r="AU23" i="5"/>
  <c r="AU24" i="5"/>
  <c r="AX24" i="4"/>
  <c r="AZ24" i="4" s="1"/>
  <c r="AJ24" i="4"/>
  <c r="AQ24" i="4" s="1"/>
  <c r="K24" i="4"/>
  <c r="L24" i="5"/>
  <c r="AC24" i="6" s="1"/>
  <c r="AD24" i="6"/>
  <c r="AD28" i="6"/>
  <c r="L28" i="5"/>
  <c r="AC28" i="6" s="1"/>
  <c r="AF28" i="6" s="1"/>
  <c r="AJ28" i="4"/>
  <c r="AQ28" i="4" s="1"/>
  <c r="AX28" i="4"/>
  <c r="AZ28" i="4" s="1"/>
  <c r="K28" i="4"/>
  <c r="AU28" i="5"/>
  <c r="AU31" i="5"/>
  <c r="L31" i="5"/>
  <c r="AC31" i="6" s="1"/>
  <c r="AD31" i="6"/>
  <c r="AX31" i="4"/>
  <c r="AZ31" i="4" s="1"/>
  <c r="AJ31" i="4"/>
  <c r="AQ31" i="4" s="1"/>
  <c r="K31" i="4"/>
  <c r="L32" i="5"/>
  <c r="AC32" i="6" s="1"/>
  <c r="AD32" i="6"/>
  <c r="AJ32" i="4"/>
  <c r="AQ32" i="4" s="1"/>
  <c r="AX32" i="4"/>
  <c r="AZ32" i="4" s="1"/>
  <c r="K32" i="4"/>
  <c r="AU32" i="5"/>
  <c r="AX33" i="4"/>
  <c r="AZ33" i="4" s="1"/>
  <c r="AJ33" i="4"/>
  <c r="AQ33" i="4" s="1"/>
  <c r="AG33" i="6" s="1"/>
  <c r="K33" i="4"/>
  <c r="AD33" i="6"/>
  <c r="L33" i="5"/>
  <c r="AC33" i="6" s="1"/>
  <c r="AF33" i="6" s="1"/>
  <c r="AU33" i="5"/>
  <c r="AJ35" i="4"/>
  <c r="AQ35" i="4" s="1"/>
  <c r="AX35" i="4"/>
  <c r="AZ35" i="4" s="1"/>
  <c r="K35" i="4"/>
  <c r="L35" i="5"/>
  <c r="AC35" i="6" s="1"/>
  <c r="AF35" i="6" s="1"/>
  <c r="AD35" i="6"/>
  <c r="AU35" i="5"/>
  <c r="AF19" i="6" l="1"/>
  <c r="AF36" i="6"/>
  <c r="BK66" i="4"/>
  <c r="AF14" i="6"/>
  <c r="AF8" i="6"/>
  <c r="BC89" i="4"/>
  <c r="BK86" i="4"/>
  <c r="AD36" i="4"/>
  <c r="AH36" i="4"/>
  <c r="AF32" i="6"/>
  <c r="AF24" i="6"/>
  <c r="AR8" i="4"/>
  <c r="AR9" i="4" s="1"/>
  <c r="AR10" i="4" s="1"/>
  <c r="AR11" i="4" s="1"/>
  <c r="AR12" i="4" s="1"/>
  <c r="AR13" i="4" s="1"/>
  <c r="AR14" i="4" s="1"/>
  <c r="AR15" i="4" s="1"/>
  <c r="AR16" i="4" s="1"/>
  <c r="AR17" i="4" s="1"/>
  <c r="AR18" i="4" s="1"/>
  <c r="AR19" i="4" s="1"/>
  <c r="AR20" i="4" s="1"/>
  <c r="AR21" i="4" s="1"/>
  <c r="AR22" i="4" s="1"/>
  <c r="AR23" i="4" s="1"/>
  <c r="AR24" i="4" s="1"/>
  <c r="AR25" i="4" s="1"/>
  <c r="AR26" i="4" s="1"/>
  <c r="AR27" i="4" s="1"/>
  <c r="AR28" i="4" s="1"/>
  <c r="AR29" i="4" s="1"/>
  <c r="AR30" i="4" s="1"/>
  <c r="AR31" i="4" s="1"/>
  <c r="AR32" i="4" s="1"/>
  <c r="AR33" i="4" s="1"/>
  <c r="AR34" i="4" s="1"/>
  <c r="AR35" i="4" s="1"/>
  <c r="AU8" i="7"/>
  <c r="BA7" i="7"/>
  <c r="AK36" i="4"/>
  <c r="AQ36" i="4" s="1"/>
  <c r="AF31" i="6"/>
  <c r="AF15" i="6"/>
  <c r="AJ38" i="4"/>
  <c r="AF17" i="6"/>
  <c r="AF16" i="6"/>
  <c r="AF10" i="6"/>
  <c r="AD35" i="4"/>
  <c r="AH35" i="4"/>
  <c r="AM35" i="4" s="1"/>
  <c r="AT35" i="4"/>
  <c r="AG35" i="6"/>
  <c r="AH33" i="4"/>
  <c r="AM33" i="4" s="1"/>
  <c r="AD33" i="4"/>
  <c r="AD32" i="4"/>
  <c r="AH32" i="4"/>
  <c r="AM32" i="4" s="1"/>
  <c r="AT32" i="4"/>
  <c r="AG32" i="6"/>
  <c r="AD31" i="4"/>
  <c r="AH31" i="4"/>
  <c r="AM31" i="4" s="1"/>
  <c r="AT31" i="4"/>
  <c r="AG31" i="6"/>
  <c r="AD28" i="4"/>
  <c r="AH28" i="4"/>
  <c r="AM28" i="4" s="1"/>
  <c r="AT28" i="4"/>
  <c r="AG28" i="6"/>
  <c r="AD24" i="4"/>
  <c r="AH24" i="4"/>
  <c r="AM24" i="4" s="1"/>
  <c r="AT24" i="4"/>
  <c r="AG24" i="6"/>
  <c r="AD23" i="4"/>
  <c r="AH23" i="4"/>
  <c r="AM23" i="4" s="1"/>
  <c r="AT23" i="4"/>
  <c r="AG23" i="6"/>
  <c r="AH21" i="4"/>
  <c r="AM21" i="4" s="1"/>
  <c r="AD21" i="4"/>
  <c r="AT21" i="4"/>
  <c r="AG21" i="6"/>
  <c r="AD20" i="4"/>
  <c r="AH20" i="4"/>
  <c r="AM20" i="4" s="1"/>
  <c r="AT20" i="4"/>
  <c r="AG20" i="6"/>
  <c r="AD19" i="4"/>
  <c r="AH19" i="4"/>
  <c r="AM19" i="4" s="1"/>
  <c r="AT19" i="4"/>
  <c r="AG19" i="6"/>
  <c r="AD18" i="4"/>
  <c r="AH18" i="4"/>
  <c r="AM18" i="4" s="1"/>
  <c r="AT18" i="4"/>
  <c r="AG18" i="6"/>
  <c r="AH17" i="4"/>
  <c r="AM17" i="4" s="1"/>
  <c r="AD17" i="4"/>
  <c r="AT17" i="4"/>
  <c r="AG17" i="6"/>
  <c r="AW17" i="5"/>
  <c r="AD15" i="4"/>
  <c r="AH15" i="4"/>
  <c r="AM15" i="4" s="1"/>
  <c r="AT15" i="4"/>
  <c r="AG15" i="6"/>
  <c r="AD16" i="4"/>
  <c r="AH16" i="4"/>
  <c r="AM16" i="4" s="1"/>
  <c r="AT16" i="4"/>
  <c r="AG16" i="6"/>
  <c r="AD14" i="4"/>
  <c r="AH14" i="4"/>
  <c r="AM14" i="4" s="1"/>
  <c r="AT14" i="4"/>
  <c r="AG14" i="6"/>
  <c r="AH13" i="4"/>
  <c r="AM13" i="4" s="1"/>
  <c r="AD13" i="4"/>
  <c r="AT13" i="4"/>
  <c r="AG13" i="6"/>
  <c r="AV11" i="7"/>
  <c r="BB10" i="7"/>
  <c r="AD12" i="4"/>
  <c r="AH12" i="4"/>
  <c r="AM12" i="4" s="1"/>
  <c r="AT12" i="4"/>
  <c r="AG12" i="6"/>
  <c r="AT11" i="7"/>
  <c r="AZ10" i="7"/>
  <c r="AD10" i="4"/>
  <c r="AH10" i="4"/>
  <c r="AM10" i="4" s="1"/>
  <c r="AT10" i="4"/>
  <c r="AG10" i="6"/>
  <c r="AW6" i="7"/>
  <c r="BC5" i="7"/>
  <c r="AD8" i="4"/>
  <c r="AH8" i="4"/>
  <c r="AM8" i="4" s="1"/>
  <c r="AT8" i="4"/>
  <c r="AG8" i="6"/>
  <c r="AD11" i="4"/>
  <c r="AH11" i="4"/>
  <c r="AM11" i="4" s="1"/>
  <c r="AT11" i="4"/>
  <c r="AG11" i="6"/>
  <c r="AU9" i="7"/>
  <c r="BA8" i="7"/>
  <c r="AS7" i="7"/>
  <c r="AY6" i="7"/>
  <c r="AH9" i="4"/>
  <c r="AM9" i="4" s="1"/>
  <c r="AD9" i="4"/>
  <c r="AT9" i="4"/>
  <c r="AG9" i="6"/>
  <c r="AT36" i="4" l="1"/>
  <c r="AG36" i="6"/>
  <c r="AK38" i="4"/>
  <c r="AM38" i="4" s="1"/>
  <c r="AO38" i="4" s="1"/>
  <c r="E39" i="4" s="1"/>
  <c r="AR36" i="4"/>
  <c r="AR37" i="4" s="1"/>
  <c r="AM36" i="4"/>
  <c r="AU10" i="7"/>
  <c r="BA9" i="7"/>
  <c r="AS8" i="7"/>
  <c r="AY7" i="7"/>
  <c r="AU11" i="7"/>
  <c r="BA10" i="7"/>
  <c r="AW7" i="7"/>
  <c r="BC6" i="7"/>
  <c r="AT12" i="7"/>
  <c r="AZ11" i="7"/>
  <c r="AV12" i="7"/>
  <c r="BB11" i="7"/>
  <c r="AX17" i="5"/>
  <c r="AY17" i="5" s="1"/>
  <c r="AW18" i="5"/>
  <c r="AQ38" i="4" l="1"/>
  <c r="AZ17" i="5"/>
  <c r="BC17" i="5"/>
  <c r="AF39" i="4"/>
  <c r="AH39" i="4" s="1"/>
  <c r="AR38" i="4"/>
  <c r="AX18" i="5"/>
  <c r="AY18" i="5" s="1"/>
  <c r="AW19" i="5"/>
  <c r="AV13" i="7"/>
  <c r="AT13" i="7"/>
  <c r="AW8" i="7"/>
  <c r="BC7" i="7"/>
  <c r="AU12" i="7"/>
  <c r="BA11" i="7"/>
  <c r="AS9" i="7"/>
  <c r="AY8" i="7"/>
  <c r="AJ39" i="4" l="1"/>
  <c r="AZ18" i="5"/>
  <c r="Z18" i="6" s="1"/>
  <c r="BC18" i="5"/>
  <c r="BS39" i="4"/>
  <c r="AT14" i="7"/>
  <c r="Z17" i="6"/>
  <c r="BA17" i="5"/>
  <c r="BA18" i="5" s="1"/>
  <c r="AG38" i="6"/>
  <c r="L38" i="5"/>
  <c r="AT38" i="4"/>
  <c r="AS10" i="7"/>
  <c r="AY9" i="7"/>
  <c r="AU13" i="7"/>
  <c r="BA12" i="7"/>
  <c r="AW9" i="7"/>
  <c r="BC8" i="7"/>
  <c r="AT15" i="7"/>
  <c r="AV14" i="7"/>
  <c r="BB13" i="7"/>
  <c r="AX19" i="5"/>
  <c r="AY19" i="5" s="1"/>
  <c r="AW20" i="5"/>
  <c r="AZ19" i="5" l="1"/>
  <c r="BC19" i="5"/>
  <c r="AU14" i="7"/>
  <c r="BA13" i="7"/>
  <c r="E38" i="6"/>
  <c r="J38" i="6"/>
  <c r="H38" i="6"/>
  <c r="BA19" i="5"/>
  <c r="BB12" i="7"/>
  <c r="AZ12" i="7"/>
  <c r="AK39" i="4"/>
  <c r="AM39" i="4" s="1"/>
  <c r="AO39" i="4" s="1"/>
  <c r="E40" i="4" s="1"/>
  <c r="AC38" i="6"/>
  <c r="N38" i="5"/>
  <c r="P38" i="5" s="1"/>
  <c r="AZ13" i="7"/>
  <c r="AX20" i="5"/>
  <c r="AY20" i="5" s="1"/>
  <c r="AW21" i="5"/>
  <c r="AV15" i="7"/>
  <c r="AT16" i="7"/>
  <c r="AW10" i="7"/>
  <c r="BC9" i="7"/>
  <c r="AU15" i="7"/>
  <c r="AS11" i="7"/>
  <c r="AY10" i="7"/>
  <c r="AD38" i="5" l="1"/>
  <c r="AH38" i="5" s="1"/>
  <c r="Q38" i="5"/>
  <c r="AZ20" i="5"/>
  <c r="Z20" i="6" s="1"/>
  <c r="BC20" i="5"/>
  <c r="AF38" i="6"/>
  <c r="AF40" i="4"/>
  <c r="BA20" i="5"/>
  <c r="Z19" i="6"/>
  <c r="AQ39" i="4"/>
  <c r="AS12" i="7"/>
  <c r="AY11" i="7"/>
  <c r="AU16" i="7"/>
  <c r="BA15" i="7"/>
  <c r="AW11" i="7"/>
  <c r="BC10" i="7"/>
  <c r="AT17" i="7"/>
  <c r="AV16" i="7"/>
  <c r="BB15" i="7"/>
  <c r="AX21" i="5"/>
  <c r="AY21" i="5" s="1"/>
  <c r="AW22" i="5"/>
  <c r="AZ21" i="5" l="1"/>
  <c r="BC21" i="5"/>
  <c r="BS40" i="4"/>
  <c r="AH40" i="4"/>
  <c r="AT39" i="4"/>
  <c r="L39" i="5"/>
  <c r="AG39" i="6"/>
  <c r="AR39" i="4"/>
  <c r="BA21" i="5"/>
  <c r="AW12" i="7"/>
  <c r="BC11" i="7"/>
  <c r="AZ14" i="7"/>
  <c r="BB14" i="7"/>
  <c r="AZ15" i="7"/>
  <c r="BA14" i="7"/>
  <c r="AX22" i="5"/>
  <c r="AY22" i="5" s="1"/>
  <c r="AW23" i="5"/>
  <c r="AV17" i="7"/>
  <c r="AT18" i="7"/>
  <c r="AU17" i="7"/>
  <c r="AS13" i="7"/>
  <c r="AY12" i="7"/>
  <c r="N39" i="5" l="1"/>
  <c r="P39" i="5" s="1"/>
  <c r="AC39" i="6"/>
  <c r="AJ40" i="4"/>
  <c r="AS14" i="7"/>
  <c r="AY13" i="7"/>
  <c r="AW13" i="7"/>
  <c r="BC12" i="7"/>
  <c r="J39" i="6"/>
  <c r="H39" i="6"/>
  <c r="E39" i="6"/>
  <c r="Z21" i="6"/>
  <c r="AS15" i="7"/>
  <c r="AY14" i="7"/>
  <c r="AU18" i="7"/>
  <c r="BA17" i="7"/>
  <c r="AT19" i="7"/>
  <c r="AV18" i="7"/>
  <c r="BB17" i="7"/>
  <c r="AX23" i="5"/>
  <c r="AY23" i="5" s="1"/>
  <c r="AW24" i="5"/>
  <c r="AZ22" i="5"/>
  <c r="Z22" i="6" s="1"/>
  <c r="BC22" i="5"/>
  <c r="AQ40" i="4" l="1"/>
  <c r="AK40" i="4"/>
  <c r="AZ23" i="5"/>
  <c r="BC23" i="5"/>
  <c r="AM40" i="4"/>
  <c r="AO40" i="4" s="1"/>
  <c r="E41" i="4" s="1"/>
  <c r="AW14" i="7"/>
  <c r="BC13" i="7"/>
  <c r="AD39" i="5"/>
  <c r="Q39" i="5"/>
  <c r="AS16" i="7"/>
  <c r="AY15" i="7"/>
  <c r="AZ16" i="7"/>
  <c r="BA16" i="7"/>
  <c r="BB16" i="7"/>
  <c r="AZ17" i="7"/>
  <c r="AF39" i="6"/>
  <c r="BA22" i="5"/>
  <c r="BA23" i="5" s="1"/>
  <c r="AX24" i="5"/>
  <c r="AY24" i="5" s="1"/>
  <c r="AW25" i="5"/>
  <c r="AV19" i="7"/>
  <c r="AT20" i="7"/>
  <c r="AU19" i="7"/>
  <c r="AS17" i="7"/>
  <c r="AY16" i="7"/>
  <c r="AW15" i="7" l="1"/>
  <c r="BC14" i="7"/>
  <c r="AF41" i="4"/>
  <c r="AZ24" i="5"/>
  <c r="Z24" i="6" s="1"/>
  <c r="BC24" i="5"/>
  <c r="Z23" i="6"/>
  <c r="BA24" i="5"/>
  <c r="AT40" i="4"/>
  <c r="L40" i="5"/>
  <c r="AG40" i="6"/>
  <c r="AR40" i="4"/>
  <c r="AS18" i="7"/>
  <c r="AY17" i="7"/>
  <c r="AU20" i="7"/>
  <c r="BA19" i="7"/>
  <c r="AT21" i="7"/>
  <c r="AV20" i="7"/>
  <c r="BB19" i="7"/>
  <c r="AX25" i="5"/>
  <c r="AY25" i="5" s="1"/>
  <c r="AW26" i="5"/>
  <c r="AZ18" i="7" l="1"/>
  <c r="BB18" i="7"/>
  <c r="AZ19" i="7"/>
  <c r="BA18" i="7"/>
  <c r="H40" i="6"/>
  <c r="J40" i="6"/>
  <c r="E40" i="6"/>
  <c r="AF40" i="6" s="1"/>
  <c r="AU21" i="7"/>
  <c r="BA20" i="7"/>
  <c r="N40" i="5"/>
  <c r="P40" i="5" s="1"/>
  <c r="AC40" i="6"/>
  <c r="BS41" i="4"/>
  <c r="AH41" i="4"/>
  <c r="AW16" i="7"/>
  <c r="BC15" i="7"/>
  <c r="AX26" i="5"/>
  <c r="AY26" i="5" s="1"/>
  <c r="AW27" i="5"/>
  <c r="AZ25" i="5"/>
  <c r="Z25" i="6" s="1"/>
  <c r="AZ20" i="7" s="1"/>
  <c r="BC25" i="5"/>
  <c r="AV21" i="7"/>
  <c r="BB20" i="7"/>
  <c r="AT22" i="7"/>
  <c r="AU22" i="7"/>
  <c r="AS19" i="7"/>
  <c r="AY18" i="7"/>
  <c r="BA25" i="5" l="1"/>
  <c r="AS20" i="7"/>
  <c r="AY19" i="7"/>
  <c r="AW17" i="7"/>
  <c r="BC16" i="7"/>
  <c r="AD40" i="5"/>
  <c r="Q40" i="5"/>
  <c r="AJ41" i="4"/>
  <c r="AS21" i="7"/>
  <c r="AY20" i="7"/>
  <c r="AU23" i="7"/>
  <c r="AT23" i="7"/>
  <c r="AV22" i="7"/>
  <c r="BB21" i="7"/>
  <c r="AX27" i="5"/>
  <c r="AY27" i="5" s="1"/>
  <c r="AW28" i="5"/>
  <c r="AZ26" i="5"/>
  <c r="Z26" i="6" s="1"/>
  <c r="BC26" i="5"/>
  <c r="BA21" i="7" l="1"/>
  <c r="AZ21" i="7"/>
  <c r="AW18" i="7"/>
  <c r="BC17" i="7"/>
  <c r="AZ22" i="7"/>
  <c r="AK41" i="4"/>
  <c r="AQ41" i="4"/>
  <c r="AM41" i="4"/>
  <c r="AO41" i="4" s="1"/>
  <c r="E42" i="4" s="1"/>
  <c r="BA26" i="5"/>
  <c r="BA27" i="5" s="1"/>
  <c r="AX28" i="5"/>
  <c r="AY28" i="5" s="1"/>
  <c r="AW29" i="5"/>
  <c r="AZ27" i="5"/>
  <c r="Z27" i="6" s="1"/>
  <c r="BA22" i="7" s="1"/>
  <c r="BC27" i="5"/>
  <c r="AV23" i="7"/>
  <c r="BB22" i="7"/>
  <c r="AT24" i="7"/>
  <c r="AU24" i="7"/>
  <c r="AS22" i="7"/>
  <c r="AY21" i="7"/>
  <c r="AT41" i="4" l="1"/>
  <c r="L41" i="5"/>
  <c r="AG41" i="6"/>
  <c r="AR41" i="4"/>
  <c r="AW19" i="7"/>
  <c r="BC18" i="7"/>
  <c r="AZ28" i="5"/>
  <c r="Z28" i="6" s="1"/>
  <c r="BC28" i="5"/>
  <c r="AT25" i="7"/>
  <c r="AT26" i="7" s="1"/>
  <c r="AF42" i="4"/>
  <c r="AS23" i="7"/>
  <c r="AY22" i="7"/>
  <c r="AU25" i="7"/>
  <c r="AV24" i="7"/>
  <c r="BB23" i="7"/>
  <c r="AX29" i="5"/>
  <c r="AY29" i="5" s="1"/>
  <c r="AW30" i="5"/>
  <c r="AZ23" i="7" l="1"/>
  <c r="BA23" i="7"/>
  <c r="BS42" i="4"/>
  <c r="AW20" i="7"/>
  <c r="BC19" i="7"/>
  <c r="AH42" i="4"/>
  <c r="E41" i="6"/>
  <c r="H41" i="6"/>
  <c r="J41" i="6"/>
  <c r="BA28" i="5"/>
  <c r="BA29" i="5" s="1"/>
  <c r="N41" i="5"/>
  <c r="P41" i="5" s="1"/>
  <c r="AC41" i="6"/>
  <c r="AX30" i="5"/>
  <c r="AY30" i="5" s="1"/>
  <c r="AW31" i="5"/>
  <c r="AZ29" i="5"/>
  <c r="Z29" i="6" s="1"/>
  <c r="BC29" i="5"/>
  <c r="AV25" i="7"/>
  <c r="BB24" i="7"/>
  <c r="AT27" i="7"/>
  <c r="AU26" i="7"/>
  <c r="AS24" i="7"/>
  <c r="AY23" i="7"/>
  <c r="AJ42" i="4" l="1"/>
  <c r="BC20" i="7"/>
  <c r="AW21" i="7"/>
  <c r="AF41" i="6"/>
  <c r="Q41" i="5"/>
  <c r="AD41" i="5"/>
  <c r="BA30" i="5"/>
  <c r="AV26" i="7"/>
  <c r="BA24" i="7"/>
  <c r="AZ24" i="7"/>
  <c r="AZ25" i="7"/>
  <c r="AS25" i="7"/>
  <c r="AY24" i="7"/>
  <c r="AU27" i="7"/>
  <c r="AT28" i="7"/>
  <c r="AV27" i="7"/>
  <c r="AX31" i="5"/>
  <c r="AY31" i="5" s="1"/>
  <c r="AW32" i="5"/>
  <c r="AZ30" i="5"/>
  <c r="Z30" i="6" s="1"/>
  <c r="BC30" i="5"/>
  <c r="AZ31" i="5" l="1"/>
  <c r="Z31" i="6" s="1"/>
  <c r="BC31" i="5"/>
  <c r="AW22" i="7"/>
  <c r="BC21" i="7"/>
  <c r="AZ26" i="7"/>
  <c r="BA25" i="7"/>
  <c r="BB25" i="7"/>
  <c r="AK42" i="4"/>
  <c r="AM42" i="4" s="1"/>
  <c r="AO42" i="4" s="1"/>
  <c r="E43" i="4" s="1"/>
  <c r="AX32" i="5"/>
  <c r="AY32" i="5" s="1"/>
  <c r="AW33" i="5"/>
  <c r="AV28" i="7"/>
  <c r="AT29" i="7"/>
  <c r="AU28" i="7"/>
  <c r="AS26" i="7"/>
  <c r="AY25" i="7"/>
  <c r="BC22" i="7" l="1"/>
  <c r="AW23" i="7"/>
  <c r="AZ32" i="5"/>
  <c r="Z32" i="6" s="1"/>
  <c r="BC32" i="5"/>
  <c r="BA31" i="5"/>
  <c r="BA32" i="5" s="1"/>
  <c r="AQ42" i="4"/>
  <c r="AF43" i="4"/>
  <c r="AH43" i="4" s="1"/>
  <c r="BA26" i="7"/>
  <c r="BB26" i="7"/>
  <c r="AZ27" i="7"/>
  <c r="AS27" i="7"/>
  <c r="AY26" i="7"/>
  <c r="AU29" i="7"/>
  <c r="AT30" i="7"/>
  <c r="AV29" i="7"/>
  <c r="AX33" i="5"/>
  <c r="AY33" i="5" s="1"/>
  <c r="AW34" i="5"/>
  <c r="AJ43" i="4" l="1"/>
  <c r="BS43" i="4"/>
  <c r="AZ33" i="5"/>
  <c r="Z33" i="6" s="1"/>
  <c r="BC33" i="5"/>
  <c r="AT42" i="4"/>
  <c r="L42" i="5"/>
  <c r="AG42" i="6"/>
  <c r="AR42" i="4"/>
  <c r="BA33" i="5"/>
  <c r="BB27" i="7"/>
  <c r="AZ28" i="7"/>
  <c r="BA27" i="7"/>
  <c r="AW24" i="7"/>
  <c r="BC23" i="7"/>
  <c r="AX34" i="5"/>
  <c r="AY34" i="5" s="1"/>
  <c r="AW35" i="5"/>
  <c r="AV30" i="7"/>
  <c r="AZ30" i="7"/>
  <c r="AT31" i="7"/>
  <c r="AU30" i="7"/>
  <c r="AS28" i="7"/>
  <c r="AY27" i="7"/>
  <c r="BB28" i="7" l="1"/>
  <c r="BA28" i="7"/>
  <c r="AW25" i="7"/>
  <c r="BC24" i="7"/>
  <c r="N42" i="5"/>
  <c r="P42" i="5" s="1"/>
  <c r="AC42" i="6"/>
  <c r="AZ34" i="5"/>
  <c r="Z34" i="6" s="1"/>
  <c r="BC34" i="5"/>
  <c r="AK43" i="4"/>
  <c r="AQ43" i="4" s="1"/>
  <c r="E42" i="6"/>
  <c r="J42" i="6"/>
  <c r="H42" i="6"/>
  <c r="AM43" i="4"/>
  <c r="AO43" i="4" s="1"/>
  <c r="E44" i="4" s="1"/>
  <c r="AS29" i="7"/>
  <c r="AY28" i="7"/>
  <c r="BA30" i="7"/>
  <c r="AU31" i="7"/>
  <c r="AT32" i="7"/>
  <c r="AV31" i="7"/>
  <c r="BB30" i="7"/>
  <c r="AX35" i="5"/>
  <c r="AY35" i="5" s="1"/>
  <c r="AW36" i="5"/>
  <c r="AT43" i="4" l="1"/>
  <c r="L43" i="5"/>
  <c r="AG43" i="6"/>
  <c r="AR43" i="4"/>
  <c r="AD42" i="5"/>
  <c r="Q42" i="5"/>
  <c r="AF42" i="6"/>
  <c r="AW26" i="7"/>
  <c r="BC25" i="7"/>
  <c r="AZ35" i="5"/>
  <c r="Z35" i="6" s="1"/>
  <c r="BC35" i="5"/>
  <c r="BA34" i="5"/>
  <c r="BB29" i="7"/>
  <c r="BA29" i="7"/>
  <c r="AF44" i="4"/>
  <c r="BS44" i="4" s="1"/>
  <c r="AZ29" i="7"/>
  <c r="AX36" i="5"/>
  <c r="AY36" i="5" s="1"/>
  <c r="AW37" i="5"/>
  <c r="AV32" i="7"/>
  <c r="AT33" i="7"/>
  <c r="AZ33" i="7"/>
  <c r="AU32" i="7"/>
  <c r="AS30" i="7"/>
  <c r="AY29" i="7"/>
  <c r="AH44" i="4" l="1"/>
  <c r="BA35" i="5"/>
  <c r="AW27" i="7"/>
  <c r="BC26" i="7"/>
  <c r="AZ36" i="5"/>
  <c r="Z36" i="6" s="1"/>
  <c r="BC36" i="5"/>
  <c r="J43" i="6"/>
  <c r="H43" i="6"/>
  <c r="E43" i="6"/>
  <c r="N43" i="5"/>
  <c r="P43" i="5" s="1"/>
  <c r="AC43" i="6"/>
  <c r="AS31" i="7"/>
  <c r="AY30" i="7"/>
  <c r="AU33" i="7"/>
  <c r="BA33" i="7"/>
  <c r="AT34" i="7"/>
  <c r="AZ34" i="7"/>
  <c r="AV33" i="7"/>
  <c r="BB33" i="7"/>
  <c r="AX37" i="5"/>
  <c r="AY37" i="5" s="1"/>
  <c r="BB31" i="7" l="1"/>
  <c r="BA31" i="7"/>
  <c r="AZ31" i="7"/>
  <c r="BC27" i="7"/>
  <c r="AW28" i="7"/>
  <c r="AZ37" i="5"/>
  <c r="Z37" i="6" s="1"/>
  <c r="BC37" i="5"/>
  <c r="Q43" i="5"/>
  <c r="AD43" i="5"/>
  <c r="AF43" i="6"/>
  <c r="BA36" i="5"/>
  <c r="BA37" i="5" s="1"/>
  <c r="AJ44" i="4"/>
  <c r="AV34" i="7"/>
  <c r="BB34" i="7"/>
  <c r="AT35" i="7"/>
  <c r="AZ35" i="7"/>
  <c r="AU34" i="7"/>
  <c r="BA34" i="7"/>
  <c r="AS32" i="7"/>
  <c r="AY31" i="7"/>
  <c r="BB32" i="7" l="1"/>
  <c r="BA32" i="7"/>
  <c r="AK44" i="4"/>
  <c r="AM44" i="4" s="1"/>
  <c r="AO44" i="4" s="1"/>
  <c r="E45" i="4" s="1"/>
  <c r="AW29" i="7"/>
  <c r="BC28" i="7"/>
  <c r="AZ32" i="7"/>
  <c r="AS33" i="7"/>
  <c r="AY33" i="7"/>
  <c r="AY32" i="7"/>
  <c r="AU35" i="7"/>
  <c r="BA35" i="7"/>
  <c r="AT36" i="7"/>
  <c r="AZ36" i="7"/>
  <c r="AV35" i="7"/>
  <c r="BB35" i="7"/>
  <c r="AW30" i="7" l="1"/>
  <c r="BC29" i="7"/>
  <c r="AQ44" i="4"/>
  <c r="AF45" i="4"/>
  <c r="BS45" i="4" s="1"/>
  <c r="AV36" i="7"/>
  <c r="BB36" i="7"/>
  <c r="AT37" i="7"/>
  <c r="AZ37" i="7"/>
  <c r="AU36" i="7"/>
  <c r="BA36" i="7"/>
  <c r="AS34" i="7"/>
  <c r="AY34" i="7"/>
  <c r="AH45" i="4" l="1"/>
  <c r="AT44" i="4"/>
  <c r="L44" i="5"/>
  <c r="AG44" i="6"/>
  <c r="AR44" i="4"/>
  <c r="BC30" i="7"/>
  <c r="AW31" i="7"/>
  <c r="AS35" i="7"/>
  <c r="AY35" i="7"/>
  <c r="AU37" i="7"/>
  <c r="BA37" i="7"/>
  <c r="AT38" i="7"/>
  <c r="AZ38" i="7"/>
  <c r="AV37" i="7"/>
  <c r="BB37" i="7"/>
  <c r="AW32" i="7" l="1"/>
  <c r="BC31" i="7"/>
  <c r="J44" i="6"/>
  <c r="H44" i="6"/>
  <c r="E44" i="6"/>
  <c r="N44" i="5"/>
  <c r="P44" i="5" s="1"/>
  <c r="AC44" i="6"/>
  <c r="AJ45" i="4"/>
  <c r="AV38" i="7"/>
  <c r="BB38" i="7"/>
  <c r="AT39" i="7"/>
  <c r="AZ39" i="7"/>
  <c r="AU38" i="7"/>
  <c r="BA38" i="7"/>
  <c r="AS36" i="7"/>
  <c r="AY36" i="7"/>
  <c r="AD44" i="5" l="1"/>
  <c r="Q44" i="5"/>
  <c r="AT40" i="7"/>
  <c r="AZ40" i="7"/>
  <c r="AF44" i="6"/>
  <c r="AK45" i="4"/>
  <c r="AM45" i="4" s="1"/>
  <c r="AO45" i="4" s="1"/>
  <c r="E46" i="4" s="1"/>
  <c r="AW33" i="7"/>
  <c r="BC33" i="7"/>
  <c r="BC32" i="7"/>
  <c r="AS37" i="7"/>
  <c r="AY37" i="7"/>
  <c r="AU39" i="7"/>
  <c r="BA39" i="7"/>
  <c r="AV39" i="7"/>
  <c r="BB39" i="7"/>
  <c r="AF46" i="4" l="1"/>
  <c r="BS46" i="4" s="1"/>
  <c r="AQ45" i="4"/>
  <c r="BC34" i="7"/>
  <c r="AW34" i="7"/>
  <c r="AU40" i="7"/>
  <c r="BA40" i="7"/>
  <c r="AT41" i="7"/>
  <c r="AZ41" i="7"/>
  <c r="AV40" i="7"/>
  <c r="BB40" i="7"/>
  <c r="AS38" i="7"/>
  <c r="AY38" i="7"/>
  <c r="AT42" i="7" l="1"/>
  <c r="AZ42" i="7"/>
  <c r="AU41" i="7"/>
  <c r="BA41" i="7"/>
  <c r="AW35" i="7"/>
  <c r="BC35" i="7"/>
  <c r="AT45" i="4"/>
  <c r="L45" i="5"/>
  <c r="AG45" i="6"/>
  <c r="AR45" i="4"/>
  <c r="AV41" i="7"/>
  <c r="BB41" i="7"/>
  <c r="AH46" i="4"/>
  <c r="AS39" i="7"/>
  <c r="AY39" i="7"/>
  <c r="AS40" i="7" l="1"/>
  <c r="AY40" i="7"/>
  <c r="AJ46" i="4"/>
  <c r="AW36" i="7"/>
  <c r="BC36" i="7"/>
  <c r="AV42" i="7"/>
  <c r="BB42" i="7"/>
  <c r="AU42" i="7"/>
  <c r="BA42" i="7"/>
  <c r="N45" i="5"/>
  <c r="P45" i="5" s="1"/>
  <c r="AC45" i="6"/>
  <c r="J45" i="6"/>
  <c r="H45" i="6"/>
  <c r="E45" i="6"/>
  <c r="AT43" i="7"/>
  <c r="AZ43" i="7"/>
  <c r="AV43" i="7" l="1"/>
  <c r="BB43" i="7"/>
  <c r="BC37" i="7"/>
  <c r="AW37" i="7"/>
  <c r="AK46" i="4"/>
  <c r="AM46" i="4" s="1"/>
  <c r="AO46" i="4" s="1"/>
  <c r="E47" i="4" s="1"/>
  <c r="Q45" i="5"/>
  <c r="AD45" i="5"/>
  <c r="AT44" i="7"/>
  <c r="AZ44" i="7"/>
  <c r="AF45" i="6"/>
  <c r="AU43" i="7"/>
  <c r="BA43" i="7"/>
  <c r="AS41" i="7"/>
  <c r="AY41" i="7"/>
  <c r="AH47" i="4" l="1"/>
  <c r="AF47" i="4"/>
  <c r="BS47" i="4" s="1"/>
  <c r="AQ46" i="4"/>
  <c r="AU44" i="7"/>
  <c r="BA44" i="7"/>
  <c r="AW38" i="7"/>
  <c r="BC38" i="7"/>
  <c r="AS42" i="7"/>
  <c r="AY42" i="7"/>
  <c r="AT45" i="7"/>
  <c r="AZ45" i="7"/>
  <c r="AV44" i="7"/>
  <c r="BB44" i="7"/>
  <c r="AW39" i="7" l="1"/>
  <c r="BC39" i="7"/>
  <c r="AU45" i="7"/>
  <c r="BA45" i="7"/>
  <c r="AT46" i="4"/>
  <c r="L46" i="5"/>
  <c r="AG46" i="6"/>
  <c r="AR46" i="4"/>
  <c r="AS43" i="7"/>
  <c r="AY43" i="7"/>
  <c r="AV45" i="7"/>
  <c r="BB45" i="7"/>
  <c r="AZ46" i="7"/>
  <c r="AJ47" i="4"/>
  <c r="N46" i="5" l="1"/>
  <c r="P46" i="5" s="1"/>
  <c r="AC46" i="6"/>
  <c r="H46" i="6"/>
  <c r="J46" i="6"/>
  <c r="E46" i="6"/>
  <c r="BB46" i="7"/>
  <c r="BA46" i="7"/>
  <c r="AK47" i="4"/>
  <c r="AM47" i="4" s="1"/>
  <c r="AO47" i="4" s="1"/>
  <c r="E48" i="4" s="1"/>
  <c r="AS44" i="7"/>
  <c r="AY44" i="7"/>
  <c r="AW40" i="7"/>
  <c r="BC40" i="7"/>
  <c r="AH48" i="4" l="1"/>
  <c r="AF48" i="4"/>
  <c r="BS48" i="4" s="1"/>
  <c r="AF46" i="6"/>
  <c r="AS45" i="7"/>
  <c r="AY45" i="7"/>
  <c r="AQ47" i="4"/>
  <c r="AD46" i="5"/>
  <c r="Q46" i="5"/>
  <c r="AW41" i="7"/>
  <c r="BC41" i="7"/>
  <c r="AW42" i="7" l="1"/>
  <c r="BC42" i="7"/>
  <c r="AY46" i="7"/>
  <c r="AT47" i="4"/>
  <c r="L47" i="5"/>
  <c r="AG47" i="6"/>
  <c r="AR47" i="4"/>
  <c r="AJ48" i="4"/>
  <c r="H47" i="6" l="1"/>
  <c r="E47" i="6"/>
  <c r="J47" i="6"/>
  <c r="N47" i="5"/>
  <c r="P47" i="5" s="1"/>
  <c r="AC47" i="6"/>
  <c r="AQ48" i="4"/>
  <c r="AR48" i="4" s="1"/>
  <c r="AK48" i="4"/>
  <c r="AM48" i="4" s="1"/>
  <c r="AO48" i="4" s="1"/>
  <c r="E49" i="4" s="1"/>
  <c r="AW43" i="7"/>
  <c r="BC43" i="7"/>
  <c r="AD47" i="5" l="1"/>
  <c r="Q47" i="5"/>
  <c r="AT48" i="4"/>
  <c r="L48" i="5"/>
  <c r="AG48" i="6"/>
  <c r="AW44" i="7"/>
  <c r="BC44" i="7"/>
  <c r="AF47" i="6"/>
  <c r="AF49" i="4"/>
  <c r="BS49" i="4" s="1"/>
  <c r="N48" i="5" l="1"/>
  <c r="P48" i="5" s="1"/>
  <c r="AC48" i="6"/>
  <c r="AW45" i="7"/>
  <c r="BC45" i="7"/>
  <c r="AH49" i="4"/>
  <c r="J48" i="6"/>
  <c r="H48" i="6"/>
  <c r="E48" i="6"/>
  <c r="AF48" i="6" s="1"/>
  <c r="AJ49" i="4" l="1"/>
  <c r="BC46" i="7"/>
  <c r="AD48" i="5"/>
  <c r="Q48" i="5"/>
  <c r="AK49" i="4" l="1"/>
  <c r="AM49" i="4" s="1"/>
  <c r="AO49" i="4" s="1"/>
  <c r="E50" i="4" s="1"/>
  <c r="AQ49" i="4" l="1"/>
  <c r="AF50" i="4"/>
  <c r="BS50" i="4" s="1"/>
  <c r="AH50" i="4" l="1"/>
  <c r="AT49" i="4"/>
  <c r="L49" i="5"/>
  <c r="AG49" i="6"/>
  <c r="AR49" i="4"/>
  <c r="E49" i="6" l="1"/>
  <c r="H49" i="6"/>
  <c r="J49" i="6"/>
  <c r="N49" i="5"/>
  <c r="P49" i="5" s="1"/>
  <c r="AC49" i="6"/>
  <c r="AJ50" i="4"/>
  <c r="AK50" i="4" l="1"/>
  <c r="AQ50" i="4" s="1"/>
  <c r="AD49" i="5"/>
  <c r="Q49" i="5"/>
  <c r="AF49" i="6"/>
  <c r="AT50" i="4" l="1"/>
  <c r="L50" i="5"/>
  <c r="AG50" i="6"/>
  <c r="AR50" i="4"/>
  <c r="AM50" i="4"/>
  <c r="AO50" i="4" s="1"/>
  <c r="E51" i="4" s="1"/>
  <c r="AF51" i="4" l="1"/>
  <c r="BS51" i="4" s="1"/>
  <c r="J50" i="6"/>
  <c r="H50" i="6"/>
  <c r="E50" i="6"/>
  <c r="N50" i="5"/>
  <c r="P50" i="5" s="1"/>
  <c r="AC50" i="6"/>
  <c r="AD50" i="5" l="1"/>
  <c r="AJ38" i="5" s="1"/>
  <c r="Q50" i="5"/>
  <c r="AF50" i="6"/>
  <c r="AR38" i="5" l="1"/>
  <c r="AN38" i="5"/>
  <c r="AP38" i="5" s="1"/>
  <c r="E39" i="5" s="1"/>
  <c r="AF39" i="5" l="1"/>
  <c r="AH39" i="5" s="1"/>
  <c r="AU38" i="5"/>
  <c r="AS38" i="5"/>
  <c r="AW38" i="5" l="1"/>
  <c r="AX38" i="5" l="1"/>
  <c r="AY38" i="5" s="1"/>
  <c r="AZ38" i="5" l="1"/>
  <c r="BC38" i="5"/>
  <c r="Z38" i="6" l="1"/>
  <c r="BA38" i="5"/>
  <c r="Q38" i="6" l="1"/>
  <c r="AN38" i="6" s="1"/>
  <c r="W38" i="6"/>
  <c r="AT38" i="6" s="1"/>
  <c r="V38" i="6"/>
  <c r="AS38" i="6" s="1"/>
  <c r="T38" i="6"/>
  <c r="AQ38" i="6" s="1"/>
  <c r="O38" i="6"/>
  <c r="AL38" i="6" s="1"/>
  <c r="U38" i="6"/>
  <c r="AR38" i="6" s="1"/>
  <c r="M38" i="6"/>
  <c r="AJ38" i="6" s="1"/>
  <c r="N38" i="6"/>
  <c r="AK38" i="6" s="1"/>
  <c r="X38" i="6"/>
  <c r="AU38" i="6" s="1"/>
  <c r="S38" i="6"/>
  <c r="AP38" i="6" s="1"/>
  <c r="P38" i="6"/>
  <c r="AM38" i="6" s="1"/>
  <c r="L38" i="6"/>
  <c r="R38" i="6"/>
  <c r="AO38" i="6" s="1"/>
  <c r="Y38" i="6" l="1"/>
  <c r="AI38" i="6"/>
  <c r="L8" i="7"/>
  <c r="J21" i="7"/>
  <c r="AE46" i="7"/>
  <c r="L9" i="7"/>
  <c r="J22" i="7"/>
  <c r="AF46" i="7"/>
  <c r="L5" i="7"/>
  <c r="J23" i="7"/>
  <c r="AG46" i="7"/>
  <c r="L4" i="7"/>
  <c r="J24" i="7"/>
  <c r="AH46" i="7"/>
  <c r="L10" i="7"/>
  <c r="J25" i="7"/>
  <c r="AI46" i="7"/>
  <c r="AJ46" i="7"/>
  <c r="I51" i="4"/>
  <c r="K51" i="4"/>
  <c r="AH51" i="4"/>
  <c r="AJ51" i="4"/>
  <c r="AK51" i="4"/>
  <c r="AQ51" i="4"/>
  <c r="L51" i="5"/>
  <c r="M51" i="5"/>
  <c r="N51" i="5"/>
  <c r="P51" i="5"/>
  <c r="AD51" i="5"/>
  <c r="AJ39" i="5"/>
  <c r="AR39" i="5"/>
  <c r="AU39" i="5"/>
  <c r="AW39" i="5"/>
  <c r="AN39" i="5"/>
  <c r="AP39" i="5"/>
  <c r="E40" i="5"/>
  <c r="AF40" i="5"/>
  <c r="AH40" i="5"/>
  <c r="AM51" i="4"/>
  <c r="AO51" i="4"/>
  <c r="E52" i="4"/>
  <c r="M52" i="4"/>
  <c r="S52" i="4"/>
  <c r="V52" i="4"/>
  <c r="AF52" i="4"/>
  <c r="AH52" i="4"/>
  <c r="AJ52" i="4"/>
  <c r="AK52" i="4"/>
  <c r="AQ52" i="4"/>
  <c r="L52" i="5"/>
  <c r="N52" i="5"/>
  <c r="P52" i="5"/>
  <c r="AD52" i="5"/>
  <c r="AJ40" i="5"/>
  <c r="AR40" i="5"/>
  <c r="AU40" i="5"/>
  <c r="AN40" i="5"/>
  <c r="AP40" i="5"/>
  <c r="E41" i="5"/>
  <c r="AF41" i="5"/>
  <c r="AH41" i="5"/>
  <c r="AM52" i="4"/>
  <c r="AO52" i="4"/>
  <c r="E53" i="4"/>
  <c r="AF53" i="4"/>
  <c r="AH53" i="4"/>
  <c r="AJ53" i="4"/>
  <c r="AK53" i="4"/>
  <c r="AQ53" i="4"/>
  <c r="L53" i="5"/>
  <c r="N53" i="5"/>
  <c r="P53" i="5"/>
  <c r="AD53" i="5"/>
  <c r="AJ41" i="5"/>
  <c r="AR41" i="5"/>
  <c r="AU41" i="5"/>
  <c r="AN41" i="5"/>
  <c r="AP41" i="5"/>
  <c r="E42" i="5"/>
  <c r="AF42" i="5"/>
  <c r="AH42" i="5"/>
  <c r="AM53" i="4"/>
  <c r="AO53" i="4"/>
  <c r="E54" i="4"/>
  <c r="AF54" i="4"/>
  <c r="AH54" i="4"/>
  <c r="AJ54" i="4"/>
  <c r="AK54" i="4"/>
  <c r="AQ54" i="4"/>
  <c r="L54" i="5"/>
  <c r="N54" i="5"/>
  <c r="P54" i="5"/>
  <c r="AD54" i="5"/>
  <c r="AJ42" i="5"/>
  <c r="AR42" i="5"/>
  <c r="AU42" i="5"/>
  <c r="AN42" i="5"/>
  <c r="AP42" i="5"/>
  <c r="E43" i="5"/>
  <c r="AF43" i="5"/>
  <c r="AH43" i="5"/>
  <c r="AM54" i="4"/>
  <c r="AO54" i="4"/>
  <c r="E55" i="4"/>
  <c r="AF55" i="4"/>
  <c r="AH55" i="4"/>
  <c r="AJ55" i="4"/>
  <c r="AK55" i="4"/>
  <c r="AQ55" i="4"/>
  <c r="L55" i="5"/>
  <c r="N55" i="5"/>
  <c r="P55" i="5"/>
  <c r="AD55" i="5"/>
  <c r="AJ43" i="5"/>
  <c r="AR43" i="5"/>
  <c r="AU43" i="5"/>
  <c r="AN43" i="5"/>
  <c r="AP43" i="5"/>
  <c r="E44" i="5"/>
  <c r="AF44" i="5"/>
  <c r="AH44" i="5"/>
  <c r="AM55" i="4"/>
  <c r="AO55" i="4"/>
  <c r="E56" i="4"/>
  <c r="AF56" i="4"/>
  <c r="AH56" i="4"/>
  <c r="AJ56" i="4"/>
  <c r="AK56" i="4"/>
  <c r="AQ56" i="4"/>
  <c r="L56" i="5"/>
  <c r="N56" i="5"/>
  <c r="P56" i="5"/>
  <c r="AD56" i="5"/>
  <c r="AJ44" i="5"/>
  <c r="AR44" i="5"/>
  <c r="AU44" i="5"/>
  <c r="AN44" i="5"/>
  <c r="AP44" i="5"/>
  <c r="E45" i="5"/>
  <c r="AF45" i="5"/>
  <c r="AH45" i="5"/>
  <c r="AM56" i="4"/>
  <c r="AO56" i="4"/>
  <c r="E57" i="4"/>
  <c r="AF57" i="4"/>
  <c r="AH57" i="4"/>
  <c r="AJ57" i="4"/>
  <c r="AK57" i="4"/>
  <c r="AQ57" i="4"/>
  <c r="L57" i="5"/>
  <c r="N57" i="5"/>
  <c r="P57" i="5"/>
  <c r="AD57" i="5"/>
  <c r="AJ45" i="5"/>
  <c r="AR45" i="5"/>
  <c r="AU45" i="5"/>
  <c r="AN45" i="5"/>
  <c r="AP45" i="5"/>
  <c r="E46" i="5"/>
  <c r="AF46" i="5"/>
  <c r="AH46" i="5"/>
  <c r="AM57" i="4"/>
  <c r="AO57" i="4"/>
  <c r="E58" i="4"/>
  <c r="AF58" i="4"/>
  <c r="AH58" i="4"/>
  <c r="AJ58" i="4"/>
  <c r="AK58" i="4"/>
  <c r="AQ58" i="4"/>
  <c r="L58" i="5"/>
  <c r="N58" i="5"/>
  <c r="P58" i="5"/>
  <c r="AD58" i="5"/>
  <c r="AJ46" i="5"/>
  <c r="AR46" i="5"/>
  <c r="AU46" i="5"/>
  <c r="AN46" i="5"/>
  <c r="AP46" i="5"/>
  <c r="E47" i="5"/>
  <c r="AF47" i="5"/>
  <c r="AH47" i="5"/>
  <c r="AM58" i="4"/>
  <c r="AO58" i="4"/>
  <c r="E59" i="4"/>
  <c r="AF59" i="4"/>
  <c r="AH59" i="4"/>
  <c r="AJ59" i="4"/>
  <c r="AK59" i="4"/>
  <c r="AQ59" i="4"/>
  <c r="L59" i="5"/>
  <c r="N59" i="5"/>
  <c r="P59" i="5"/>
  <c r="AD59" i="5"/>
  <c r="AJ47" i="5"/>
  <c r="AR47" i="5"/>
  <c r="AU47" i="5"/>
  <c r="AN47" i="5"/>
  <c r="AP47" i="5"/>
  <c r="E48" i="5"/>
  <c r="AF48" i="5"/>
  <c r="AH48" i="5"/>
  <c r="AM59" i="4"/>
  <c r="AO59" i="4"/>
  <c r="E60" i="4"/>
  <c r="AF60" i="4"/>
  <c r="AH60" i="4"/>
  <c r="AJ60" i="4"/>
  <c r="AK60" i="4"/>
  <c r="AQ60" i="4"/>
  <c r="L60" i="5"/>
  <c r="N60" i="5"/>
  <c r="P60" i="5"/>
  <c r="AD60" i="5"/>
  <c r="AJ48" i="5"/>
  <c r="AR48" i="5"/>
  <c r="AU48" i="5"/>
  <c r="AN48" i="5"/>
  <c r="AP48" i="5"/>
  <c r="E49" i="5"/>
  <c r="AF49" i="5"/>
  <c r="AH49" i="5"/>
  <c r="AM60" i="4"/>
  <c r="AO60" i="4"/>
  <c r="E61" i="4"/>
  <c r="AF61" i="4"/>
  <c r="AH61" i="4"/>
  <c r="AJ61" i="4"/>
  <c r="AK61" i="4"/>
  <c r="AQ61" i="4"/>
  <c r="L61" i="5"/>
  <c r="N61" i="5"/>
  <c r="P61" i="5"/>
  <c r="AD61" i="5"/>
  <c r="AJ49" i="5"/>
  <c r="AR49" i="5"/>
  <c r="AU49" i="5"/>
  <c r="AN49" i="5"/>
  <c r="AP49" i="5"/>
  <c r="E50" i="5"/>
  <c r="AF50" i="5"/>
  <c r="AH50" i="5"/>
  <c r="AM61" i="4"/>
  <c r="AO61" i="4"/>
  <c r="E62" i="4"/>
  <c r="AF62" i="4"/>
  <c r="AH62" i="4"/>
  <c r="AJ62" i="4"/>
  <c r="AK62" i="4"/>
  <c r="AQ62" i="4"/>
  <c r="L62" i="5"/>
  <c r="N62" i="5"/>
  <c r="P62" i="5"/>
  <c r="AD62" i="5"/>
  <c r="AJ50" i="5"/>
  <c r="AR50" i="5"/>
  <c r="AU50" i="5"/>
  <c r="AN50" i="5"/>
  <c r="AP50" i="5"/>
  <c r="E51" i="5"/>
  <c r="AF51" i="5"/>
  <c r="AH51" i="5"/>
  <c r="X46" i="7"/>
  <c r="Y46" i="7"/>
  <c r="Z46" i="7"/>
  <c r="AA46" i="7"/>
  <c r="AB46" i="7"/>
  <c r="AC46" i="7"/>
  <c r="AK51" i="5"/>
  <c r="AM62" i="4"/>
  <c r="AO62" i="4"/>
  <c r="E63" i="4"/>
  <c r="AF63" i="4"/>
  <c r="AH63" i="4"/>
  <c r="AJ63" i="4"/>
  <c r="AK63" i="4"/>
  <c r="AQ63" i="4"/>
  <c r="L63" i="5"/>
  <c r="N63" i="5"/>
  <c r="P63" i="5"/>
  <c r="AD63" i="5"/>
  <c r="AJ51" i="5"/>
  <c r="AR51" i="5"/>
  <c r="AU51" i="5"/>
  <c r="AN51" i="5"/>
  <c r="AP51" i="5"/>
  <c r="E52" i="5"/>
  <c r="AF52" i="5"/>
  <c r="AH52" i="5"/>
  <c r="AM63" i="4"/>
  <c r="AO63" i="4"/>
  <c r="E64" i="4"/>
  <c r="AF64" i="4"/>
  <c r="AH64" i="4"/>
  <c r="AJ64" i="4"/>
  <c r="AK64" i="4"/>
  <c r="AQ64" i="4"/>
  <c r="L64" i="5"/>
  <c r="N64" i="5"/>
  <c r="P64" i="5"/>
  <c r="AD64" i="5"/>
  <c r="AJ52" i="5"/>
  <c r="AR52" i="5"/>
  <c r="AU52" i="5"/>
  <c r="AN52" i="5"/>
  <c r="AP52" i="5"/>
  <c r="E53" i="5"/>
  <c r="AF53" i="5"/>
  <c r="AH53" i="5"/>
  <c r="AM64" i="4"/>
  <c r="AO64" i="4"/>
  <c r="E65" i="4"/>
  <c r="AF65" i="4"/>
  <c r="AH65" i="4"/>
  <c r="AJ65" i="4"/>
  <c r="AK65" i="4"/>
  <c r="AQ65" i="4"/>
  <c r="L65" i="5"/>
  <c r="N65" i="5"/>
  <c r="P65" i="5"/>
  <c r="AD65" i="5"/>
  <c r="AJ53" i="5"/>
  <c r="AR53" i="5"/>
  <c r="AU53" i="5"/>
  <c r="AN53" i="5"/>
  <c r="AP53" i="5"/>
  <c r="E54" i="5"/>
  <c r="AF54" i="5"/>
  <c r="AH54" i="5"/>
  <c r="AM65" i="4"/>
  <c r="AO65" i="4"/>
  <c r="E66" i="4"/>
  <c r="AF66" i="4"/>
  <c r="AH66" i="4"/>
  <c r="AJ66" i="4"/>
  <c r="AK66" i="4"/>
  <c r="AQ66" i="4"/>
  <c r="L66" i="5"/>
  <c r="N66" i="5"/>
  <c r="P66" i="5"/>
  <c r="AD66" i="5"/>
  <c r="AJ54" i="5"/>
  <c r="AR54" i="5"/>
  <c r="AU54" i="5"/>
  <c r="AN54" i="5"/>
  <c r="AP54" i="5"/>
  <c r="E55" i="5"/>
  <c r="AF55" i="5"/>
  <c r="AH55" i="5"/>
  <c r="AM66" i="4"/>
  <c r="AO66" i="4"/>
  <c r="E67" i="4"/>
  <c r="AF67" i="4"/>
  <c r="AH67" i="4"/>
  <c r="AK67" i="4"/>
  <c r="AQ67" i="4"/>
  <c r="L67" i="5"/>
  <c r="N67" i="5"/>
  <c r="P67" i="5"/>
  <c r="AD67" i="5"/>
  <c r="AJ55" i="5"/>
  <c r="AR55" i="5"/>
  <c r="AU55" i="5"/>
  <c r="AN55" i="5"/>
  <c r="AP55" i="5"/>
  <c r="E56" i="5"/>
  <c r="AF56" i="5"/>
  <c r="AH56" i="5"/>
  <c r="AM67" i="4"/>
  <c r="AO67" i="4"/>
  <c r="E68" i="4"/>
  <c r="AF68" i="4"/>
  <c r="AH68" i="4"/>
  <c r="AK68" i="4"/>
  <c r="AQ68" i="4"/>
  <c r="L68" i="5"/>
  <c r="N68" i="5"/>
  <c r="P68" i="5"/>
  <c r="AD68" i="5"/>
  <c r="AJ56" i="5"/>
  <c r="AR56" i="5"/>
  <c r="AU56" i="5"/>
  <c r="AN56" i="5"/>
  <c r="AP56" i="5"/>
  <c r="E57" i="5"/>
  <c r="AF57" i="5"/>
  <c r="AH57" i="5"/>
  <c r="AM68" i="4"/>
  <c r="AO68" i="4"/>
  <c r="E69" i="4"/>
  <c r="AF69" i="4"/>
  <c r="AH69" i="4"/>
  <c r="AK69" i="4"/>
  <c r="AQ69" i="4"/>
  <c r="L69" i="5"/>
  <c r="N69" i="5"/>
  <c r="P69" i="5"/>
  <c r="AD69" i="5"/>
  <c r="AJ57" i="5"/>
  <c r="AR57" i="5"/>
  <c r="AU57" i="5"/>
  <c r="AN57" i="5"/>
  <c r="AP57" i="5"/>
  <c r="E58" i="5"/>
  <c r="AF58" i="5"/>
  <c r="AH58" i="5"/>
  <c r="AM69" i="4"/>
  <c r="AO69" i="4"/>
  <c r="E70" i="4"/>
  <c r="AF70" i="4"/>
  <c r="AH70" i="4"/>
  <c r="AK70" i="4"/>
  <c r="AQ70" i="4"/>
  <c r="L70" i="5"/>
  <c r="N70" i="5"/>
  <c r="P70" i="5"/>
  <c r="AD70" i="5"/>
  <c r="AJ58" i="5"/>
  <c r="AR58" i="5"/>
  <c r="AU58" i="5"/>
  <c r="AN58" i="5"/>
  <c r="AP58" i="5"/>
  <c r="E59" i="5"/>
  <c r="AF59" i="5"/>
  <c r="AH59" i="5"/>
  <c r="AM70" i="4"/>
  <c r="AO70" i="4"/>
  <c r="E71" i="4"/>
  <c r="AF71" i="4"/>
  <c r="AH71" i="4"/>
  <c r="AK71" i="4"/>
  <c r="AQ71" i="4"/>
  <c r="L71" i="5"/>
  <c r="N71" i="5"/>
  <c r="P71" i="5"/>
  <c r="AD71" i="5"/>
  <c r="AJ59" i="5"/>
  <c r="AR59" i="5"/>
  <c r="AU59" i="5"/>
  <c r="AN59" i="5"/>
  <c r="AP59" i="5"/>
  <c r="E60" i="5"/>
  <c r="AF60" i="5"/>
  <c r="AH60" i="5"/>
  <c r="AM71" i="4"/>
  <c r="AO71" i="4"/>
  <c r="E72" i="4"/>
  <c r="AF72" i="4"/>
  <c r="AH72" i="4"/>
  <c r="AK72" i="4"/>
  <c r="AQ72" i="4"/>
  <c r="L72" i="5"/>
  <c r="N72" i="5"/>
  <c r="P72" i="5"/>
  <c r="AD72" i="5"/>
  <c r="AJ60" i="5"/>
  <c r="AR60" i="5"/>
  <c r="AU60" i="5"/>
  <c r="AN60" i="5"/>
  <c r="AP60" i="5"/>
  <c r="E61" i="5"/>
  <c r="AF61" i="5"/>
  <c r="AH61" i="5"/>
  <c r="AM72" i="4"/>
  <c r="AO72" i="4"/>
  <c r="E73" i="4"/>
  <c r="AF73" i="4"/>
  <c r="AH73" i="4"/>
  <c r="AK73" i="4"/>
  <c r="AQ73" i="4"/>
  <c r="L73" i="5"/>
  <c r="N73" i="5"/>
  <c r="P73" i="5"/>
  <c r="AD73" i="5"/>
  <c r="AJ61" i="5"/>
  <c r="AR61" i="5"/>
  <c r="AU61" i="5"/>
  <c r="AN61" i="5"/>
  <c r="AP61" i="5"/>
  <c r="E62" i="5"/>
  <c r="AF62" i="5"/>
  <c r="AH62" i="5"/>
  <c r="AM73" i="4"/>
  <c r="AO73" i="4"/>
  <c r="E74" i="4"/>
  <c r="AF74" i="4"/>
  <c r="AH74" i="4"/>
  <c r="AK74" i="4"/>
  <c r="AQ74" i="4"/>
  <c r="L74" i="5"/>
  <c r="N74" i="5"/>
  <c r="P74" i="5"/>
  <c r="AD74" i="5"/>
  <c r="AJ62" i="5"/>
  <c r="AR62" i="5"/>
  <c r="AU62" i="5"/>
  <c r="AN62" i="5"/>
  <c r="AP62" i="5"/>
  <c r="E63" i="5"/>
  <c r="AF63" i="5"/>
  <c r="AH63" i="5"/>
  <c r="AM74" i="4"/>
  <c r="AO74" i="4"/>
  <c r="E75" i="4"/>
  <c r="AF75" i="4"/>
  <c r="AH75" i="4"/>
  <c r="AK75" i="4"/>
  <c r="AQ75" i="4"/>
  <c r="L75" i="5"/>
  <c r="N75" i="5"/>
  <c r="P75" i="5"/>
  <c r="AD75" i="5"/>
  <c r="AJ63" i="5"/>
  <c r="AR63" i="5"/>
  <c r="AU63" i="5"/>
  <c r="AN63" i="5"/>
  <c r="AP63" i="5"/>
  <c r="E64" i="5"/>
  <c r="AF64" i="5"/>
  <c r="AH64" i="5"/>
  <c r="AM75" i="4"/>
  <c r="AO75" i="4"/>
  <c r="E76" i="4"/>
  <c r="AF76" i="4"/>
  <c r="AH76" i="4"/>
  <c r="AK76" i="4"/>
  <c r="AQ76" i="4"/>
  <c r="L76" i="5"/>
  <c r="N76" i="5"/>
  <c r="P76" i="5"/>
  <c r="AD76" i="5"/>
  <c r="AJ64" i="5"/>
  <c r="AR64" i="5"/>
  <c r="AU64" i="5"/>
  <c r="AN64" i="5"/>
  <c r="AP64" i="5"/>
  <c r="E65" i="5"/>
  <c r="AF65" i="5"/>
  <c r="AH65" i="5"/>
  <c r="AM76" i="4"/>
  <c r="AO76" i="4"/>
  <c r="E77" i="4"/>
  <c r="AF77" i="4"/>
  <c r="AH77" i="4"/>
  <c r="AK77" i="4"/>
  <c r="AQ77" i="4"/>
  <c r="L77" i="5"/>
  <c r="N77" i="5"/>
  <c r="P77" i="5"/>
  <c r="AD77" i="5"/>
  <c r="AJ65" i="5"/>
  <c r="AR65" i="5"/>
  <c r="AU65" i="5"/>
  <c r="AN65" i="5"/>
  <c r="AP65" i="5"/>
  <c r="E66" i="5"/>
  <c r="AF66" i="5"/>
  <c r="AH66" i="5"/>
  <c r="AM77" i="4"/>
  <c r="AO77" i="4"/>
  <c r="E78" i="4"/>
  <c r="AF78" i="4"/>
  <c r="AH78" i="4"/>
  <c r="AK78" i="4"/>
  <c r="AQ78" i="4"/>
  <c r="L78" i="5"/>
  <c r="N78" i="5"/>
  <c r="P78" i="5"/>
  <c r="AD78" i="5"/>
  <c r="AJ66" i="5"/>
  <c r="AR66" i="5"/>
  <c r="AU66" i="5"/>
  <c r="AN66" i="5"/>
  <c r="AP66" i="5"/>
  <c r="E67" i="5"/>
  <c r="AF67" i="5"/>
  <c r="AH67" i="5"/>
  <c r="AL67" i="5"/>
  <c r="AR67" i="5"/>
  <c r="AU67" i="5"/>
  <c r="AN67" i="5"/>
  <c r="AP67" i="5"/>
  <c r="E68" i="5"/>
  <c r="AF68" i="5"/>
  <c r="AH68" i="5"/>
  <c r="AL68" i="5"/>
  <c r="AR68" i="5"/>
  <c r="AU68" i="5"/>
  <c r="AN68" i="5"/>
  <c r="AP68" i="5"/>
  <c r="E69" i="5"/>
  <c r="AF69" i="5"/>
  <c r="AH69" i="5"/>
  <c r="AL69" i="5"/>
  <c r="AR69" i="5"/>
  <c r="AU69" i="5"/>
  <c r="AN69" i="5"/>
  <c r="AP69" i="5"/>
  <c r="E70" i="5"/>
  <c r="AF70" i="5"/>
  <c r="AH70" i="5"/>
  <c r="AL70" i="5"/>
  <c r="AR70" i="5"/>
  <c r="AU70" i="5"/>
  <c r="AN70" i="5"/>
  <c r="AP70" i="5"/>
  <c r="E71" i="5"/>
  <c r="AF71" i="5"/>
  <c r="AH71" i="5"/>
  <c r="AL71" i="5"/>
  <c r="AR71" i="5"/>
  <c r="AU71" i="5"/>
  <c r="AN71" i="5"/>
  <c r="AP71" i="5"/>
  <c r="E72" i="5"/>
  <c r="AF72" i="5"/>
  <c r="AH72" i="5"/>
  <c r="AL72" i="5"/>
  <c r="AR72" i="5"/>
  <c r="AU72" i="5"/>
  <c r="AN72" i="5"/>
  <c r="AP72" i="5"/>
  <c r="E73" i="5"/>
  <c r="AF73" i="5"/>
  <c r="AH73" i="5"/>
  <c r="AL73" i="5"/>
  <c r="AR73" i="5"/>
  <c r="AU73" i="5"/>
  <c r="AN73" i="5"/>
  <c r="AP73" i="5"/>
  <c r="E74" i="5"/>
  <c r="AF74" i="5"/>
  <c r="AH74" i="5"/>
  <c r="AL74" i="5"/>
  <c r="AR74" i="5"/>
  <c r="AU74" i="5"/>
  <c r="AN74" i="5"/>
  <c r="AP74" i="5"/>
  <c r="E75" i="5"/>
  <c r="AF75" i="5"/>
  <c r="AH75" i="5"/>
  <c r="AL75" i="5"/>
  <c r="AR75" i="5"/>
  <c r="AU75" i="5"/>
  <c r="AN75" i="5"/>
  <c r="AP75" i="5"/>
  <c r="E76" i="5"/>
  <c r="AF76" i="5"/>
  <c r="AH76" i="5"/>
  <c r="AL76" i="5"/>
  <c r="AR76" i="5"/>
  <c r="AU76" i="5"/>
  <c r="AN76" i="5"/>
  <c r="AP76" i="5"/>
  <c r="E77" i="5"/>
  <c r="AF77" i="5"/>
  <c r="AH77" i="5"/>
  <c r="AL77" i="5"/>
  <c r="AR77" i="5"/>
  <c r="AU77" i="5"/>
  <c r="AN77" i="5"/>
  <c r="AP77" i="5"/>
  <c r="E78" i="5"/>
  <c r="AF78" i="5"/>
  <c r="AH78" i="5"/>
  <c r="AL78" i="5"/>
  <c r="AR78" i="5"/>
  <c r="AU78" i="5"/>
  <c r="AN78" i="5"/>
  <c r="AP78" i="5"/>
  <c r="E79" i="5"/>
  <c r="AF79" i="5"/>
  <c r="AH79" i="5"/>
  <c r="AL79" i="5"/>
  <c r="AR79" i="5"/>
  <c r="AU79" i="5"/>
  <c r="AN79" i="5"/>
  <c r="AP79" i="5"/>
  <c r="E80" i="5"/>
  <c r="AF80" i="5"/>
  <c r="AH80" i="5"/>
  <c r="AL80" i="5"/>
  <c r="AR80" i="5"/>
  <c r="AU80" i="5"/>
  <c r="AN80" i="5"/>
  <c r="AP80" i="5"/>
  <c r="E81" i="5"/>
  <c r="AF81" i="5"/>
  <c r="AH81" i="5"/>
  <c r="AL81" i="5"/>
  <c r="AR81" i="5"/>
  <c r="AU81" i="5"/>
  <c r="AN81" i="5"/>
  <c r="AP81" i="5"/>
  <c r="E82" i="5"/>
  <c r="AF82" i="5"/>
  <c r="AH82" i="5"/>
  <c r="AL82" i="5"/>
  <c r="AR82" i="5"/>
  <c r="AU82" i="5"/>
  <c r="AN82" i="5"/>
  <c r="AP82" i="5"/>
  <c r="E83" i="5"/>
  <c r="AF83" i="5"/>
  <c r="AH83" i="5"/>
  <c r="AL83" i="5"/>
  <c r="AR83" i="5"/>
  <c r="AU83" i="5"/>
  <c r="AN83" i="5"/>
  <c r="AP83" i="5"/>
  <c r="E84" i="5"/>
  <c r="AF84" i="5"/>
  <c r="AH84" i="5"/>
  <c r="AL84" i="5"/>
  <c r="AR84" i="5"/>
  <c r="AU84" i="5"/>
  <c r="AN84" i="5"/>
  <c r="AP84" i="5"/>
  <c r="E85" i="5"/>
  <c r="AF85" i="5"/>
  <c r="AH85" i="5"/>
  <c r="AL85" i="5"/>
  <c r="AR85" i="5"/>
  <c r="AU85" i="5"/>
  <c r="AN85" i="5"/>
  <c r="AP85" i="5"/>
  <c r="E86" i="5"/>
  <c r="AF86" i="5"/>
  <c r="AH86" i="5"/>
  <c r="AL86" i="5"/>
  <c r="AR86" i="5"/>
  <c r="AU86" i="5"/>
  <c r="Q15" i="3"/>
  <c r="Q14" i="3"/>
  <c r="AX39" i="5"/>
  <c r="AY39" i="5"/>
  <c r="BC39" i="5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Q7" i="3"/>
  <c r="Q8" i="3"/>
  <c r="BS52" i="4"/>
  <c r="BS53" i="4"/>
  <c r="BS54" i="4"/>
  <c r="BS55" i="4"/>
  <c r="BS56" i="4"/>
  <c r="BS57" i="4"/>
  <c r="BS58" i="4"/>
  <c r="BS59" i="4"/>
  <c r="BS60" i="4"/>
  <c r="BS61" i="4"/>
  <c r="BS62" i="4"/>
  <c r="BS63" i="4"/>
  <c r="BS64" i="4"/>
  <c r="BS65" i="4"/>
  <c r="BS66" i="4"/>
  <c r="BS67" i="4"/>
  <c r="BS68" i="4"/>
  <c r="BS69" i="4"/>
  <c r="BS70" i="4"/>
  <c r="BS71" i="4"/>
  <c r="BS72" i="4"/>
  <c r="BS73" i="4"/>
  <c r="BS74" i="4"/>
  <c r="BS75" i="4"/>
  <c r="BS76" i="4"/>
  <c r="BS77" i="4"/>
  <c r="BS78" i="4"/>
  <c r="AM78" i="4"/>
  <c r="AO78" i="4"/>
  <c r="E79" i="4"/>
  <c r="AF79" i="4"/>
  <c r="BS79" i="4"/>
  <c r="AH79" i="4"/>
  <c r="AM79" i="4"/>
  <c r="AO79" i="4"/>
  <c r="E80" i="4"/>
  <c r="AF80" i="4"/>
  <c r="BS80" i="4"/>
  <c r="AH80" i="4"/>
  <c r="AM80" i="4"/>
  <c r="AO80" i="4"/>
  <c r="E81" i="4"/>
  <c r="AF81" i="4"/>
  <c r="BS81" i="4"/>
  <c r="AH81" i="4"/>
  <c r="AM81" i="4"/>
  <c r="AO81" i="4"/>
  <c r="E82" i="4"/>
  <c r="AF82" i="4"/>
  <c r="BS82" i="4"/>
  <c r="AH82" i="4"/>
  <c r="AM82" i="4"/>
  <c r="AO82" i="4"/>
  <c r="E83" i="4"/>
  <c r="AF83" i="4"/>
  <c r="BS83" i="4"/>
  <c r="AH83" i="4"/>
  <c r="AM83" i="4"/>
  <c r="AO83" i="4"/>
  <c r="E84" i="4"/>
  <c r="AF84" i="4"/>
  <c r="BS84" i="4"/>
  <c r="AH84" i="4"/>
  <c r="AM84" i="4"/>
  <c r="AO84" i="4"/>
  <c r="E85" i="4"/>
  <c r="AF85" i="4"/>
  <c r="BS85" i="4"/>
  <c r="AH85" i="4"/>
  <c r="AM85" i="4"/>
  <c r="AO85" i="4"/>
  <c r="E86" i="4"/>
  <c r="AF86" i="4"/>
  <c r="BS86" i="4"/>
  <c r="C18" i="2"/>
  <c r="D18" i="2"/>
  <c r="AW40" i="5"/>
  <c r="AX40" i="5"/>
  <c r="AY40" i="5"/>
  <c r="BC40" i="5"/>
  <c r="AW41" i="5"/>
  <c r="AX41" i="5"/>
  <c r="AY41" i="5"/>
  <c r="BC41" i="5"/>
  <c r="AW42" i="5"/>
  <c r="AX42" i="5"/>
  <c r="AY42" i="5"/>
  <c r="BC42" i="5"/>
  <c r="AW43" i="5"/>
  <c r="AX43" i="5"/>
  <c r="AY43" i="5"/>
  <c r="BC43" i="5"/>
  <c r="AW44" i="5"/>
  <c r="AX44" i="5"/>
  <c r="AY44" i="5"/>
  <c r="BC44" i="5"/>
  <c r="AW45" i="5"/>
  <c r="AX45" i="5"/>
  <c r="AY45" i="5"/>
  <c r="BC45" i="5"/>
  <c r="AW46" i="5"/>
  <c r="AX46" i="5"/>
  <c r="AY46" i="5"/>
  <c r="BC46" i="5"/>
  <c r="AW47" i="5"/>
  <c r="AX47" i="5"/>
  <c r="AY47" i="5"/>
  <c r="BC47" i="5"/>
  <c r="AW48" i="5"/>
  <c r="AX48" i="5"/>
  <c r="AY48" i="5"/>
  <c r="BC48" i="5"/>
  <c r="AW49" i="5"/>
  <c r="AX49" i="5"/>
  <c r="AY49" i="5"/>
  <c r="BC49" i="5"/>
  <c r="AW50" i="5"/>
  <c r="AX50" i="5"/>
  <c r="AY50" i="5"/>
  <c r="BC50" i="5"/>
  <c r="AW51" i="5"/>
  <c r="AX51" i="5"/>
  <c r="AY51" i="5"/>
  <c r="BC51" i="5"/>
  <c r="AW52" i="5"/>
  <c r="AX52" i="5"/>
  <c r="AY52" i="5"/>
  <c r="BC52" i="5"/>
  <c r="AW53" i="5"/>
  <c r="AX53" i="5"/>
  <c r="AY53" i="5"/>
  <c r="BC53" i="5"/>
  <c r="AW54" i="5"/>
  <c r="AX54" i="5"/>
  <c r="AY54" i="5"/>
  <c r="BC54" i="5"/>
  <c r="AW55" i="5"/>
  <c r="AX55" i="5"/>
  <c r="AY55" i="5"/>
  <c r="BC55" i="5"/>
  <c r="AW56" i="5"/>
  <c r="AX56" i="5"/>
  <c r="AY56" i="5"/>
  <c r="BC56" i="5"/>
  <c r="AW57" i="5"/>
  <c r="AX57" i="5"/>
  <c r="AY57" i="5"/>
  <c r="BC57" i="5"/>
  <c r="AW58" i="5"/>
  <c r="AX58" i="5"/>
  <c r="AY58" i="5"/>
  <c r="BC58" i="5"/>
  <c r="AW59" i="5"/>
  <c r="AX59" i="5"/>
  <c r="AY59" i="5"/>
  <c r="BC59" i="5"/>
  <c r="AW60" i="5"/>
  <c r="AX60" i="5"/>
  <c r="AY60" i="5"/>
  <c r="BC60" i="5"/>
  <c r="AW61" i="5"/>
  <c r="AX61" i="5"/>
  <c r="AY61" i="5"/>
  <c r="BC61" i="5"/>
  <c r="AW62" i="5"/>
  <c r="AX62" i="5"/>
  <c r="AY62" i="5"/>
  <c r="BC62" i="5"/>
  <c r="AW63" i="5"/>
  <c r="AX63" i="5"/>
  <c r="AY63" i="5"/>
  <c r="BC63" i="5"/>
  <c r="AW64" i="5"/>
  <c r="AX64" i="5"/>
  <c r="AY64" i="5"/>
  <c r="BC64" i="5"/>
  <c r="AW65" i="5"/>
  <c r="AX65" i="5"/>
  <c r="AY65" i="5"/>
  <c r="BC65" i="5"/>
  <c r="AW66" i="5"/>
  <c r="AX66" i="5"/>
  <c r="AY66" i="5"/>
  <c r="BC66" i="5"/>
  <c r="AW67" i="5"/>
  <c r="AX67" i="5"/>
  <c r="AY67" i="5"/>
  <c r="BC67" i="5"/>
  <c r="AW68" i="5"/>
  <c r="AX68" i="5"/>
  <c r="AY68" i="5"/>
  <c r="BC68" i="5"/>
  <c r="AW69" i="5"/>
  <c r="AX69" i="5"/>
  <c r="AY69" i="5"/>
  <c r="BC69" i="5"/>
  <c r="AW70" i="5"/>
  <c r="AX70" i="5"/>
  <c r="AY70" i="5"/>
  <c r="BC70" i="5"/>
  <c r="AW71" i="5"/>
  <c r="AX71" i="5"/>
  <c r="AY71" i="5"/>
  <c r="BC71" i="5"/>
  <c r="AW72" i="5"/>
  <c r="AX72" i="5"/>
  <c r="AY72" i="5"/>
  <c r="BC72" i="5"/>
  <c r="AW73" i="5"/>
  <c r="AX73" i="5"/>
  <c r="AY73" i="5"/>
  <c r="BC73" i="5"/>
  <c r="AW74" i="5"/>
  <c r="AX74" i="5"/>
  <c r="AY74" i="5"/>
  <c r="BC74" i="5"/>
  <c r="AW75" i="5"/>
  <c r="AX75" i="5"/>
  <c r="AY75" i="5"/>
  <c r="BC75" i="5"/>
  <c r="AW76" i="5"/>
  <c r="AX76" i="5"/>
  <c r="AY76" i="5"/>
  <c r="BC76" i="5"/>
  <c r="AW77" i="5"/>
  <c r="AX77" i="5"/>
  <c r="AY77" i="5"/>
  <c r="BC77" i="5"/>
  <c r="AW78" i="5"/>
  <c r="AX78" i="5"/>
  <c r="AY78" i="5"/>
  <c r="BC78" i="5"/>
  <c r="BC79" i="5"/>
  <c r="BC80" i="5"/>
  <c r="BC81" i="5"/>
  <c r="BC82" i="5"/>
  <c r="BC83" i="5"/>
  <c r="BC84" i="5"/>
  <c r="BC85" i="5"/>
  <c r="BC86" i="5"/>
  <c r="Q17" i="3"/>
  <c r="Q18" i="3"/>
  <c r="N38" i="3"/>
  <c r="AW46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S46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C28" i="2"/>
  <c r="D28" i="2"/>
  <c r="D29" i="1"/>
  <c r="E29" i="1"/>
  <c r="C27" i="2"/>
  <c r="D27" i="2"/>
  <c r="D28" i="1"/>
  <c r="E28" i="1"/>
  <c r="AV46" i="7"/>
  <c r="AP46" i="7"/>
  <c r="AP47" i="7"/>
  <c r="AP48" i="7"/>
  <c r="AP49" i="7"/>
  <c r="AP50" i="7"/>
  <c r="AP51" i="7"/>
  <c r="AP52" i="7"/>
  <c r="AP53" i="7"/>
  <c r="AP54" i="7"/>
  <c r="AP55" i="7"/>
  <c r="AP56" i="7"/>
  <c r="AP57" i="7"/>
  <c r="AP58" i="7"/>
  <c r="AP59" i="7"/>
  <c r="AP60" i="7"/>
  <c r="AP61" i="7"/>
  <c r="AP62" i="7"/>
  <c r="AP63" i="7"/>
  <c r="AP64" i="7"/>
  <c r="AP65" i="7"/>
  <c r="AP66" i="7"/>
  <c r="AP67" i="7"/>
  <c r="AP68" i="7"/>
  <c r="AP69" i="7"/>
  <c r="AP70" i="7"/>
  <c r="AP71" i="7"/>
  <c r="AP72" i="7"/>
  <c r="AP73" i="7"/>
  <c r="AP74" i="7"/>
  <c r="AP75" i="7"/>
  <c r="AP76" i="7"/>
  <c r="AP77" i="7"/>
  <c r="AP78" i="7"/>
  <c r="AP79" i="7"/>
  <c r="AP80" i="7"/>
  <c r="AP81" i="7"/>
  <c r="AT46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U46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AO64" i="7"/>
  <c r="AO65" i="7"/>
  <c r="AO66" i="7"/>
  <c r="AO67" i="7"/>
  <c r="AO68" i="7"/>
  <c r="AO69" i="7"/>
  <c r="AO70" i="7"/>
  <c r="AO71" i="7"/>
  <c r="AO72" i="7"/>
  <c r="AO73" i="7"/>
  <c r="AO74" i="7"/>
  <c r="AO75" i="7"/>
  <c r="AO76" i="7"/>
  <c r="AO77" i="7"/>
  <c r="AO78" i="7"/>
  <c r="AO79" i="7"/>
  <c r="AO80" i="7"/>
  <c r="AO81" i="7"/>
  <c r="Q21" i="3"/>
  <c r="C29" i="2"/>
  <c r="D29" i="2"/>
  <c r="D30" i="1"/>
  <c r="E30" i="1"/>
  <c r="AX51" i="4"/>
  <c r="C5" i="2"/>
  <c r="BB52" i="4"/>
  <c r="C7" i="2"/>
  <c r="BH52" i="4"/>
  <c r="C13" i="2"/>
  <c r="C15" i="2"/>
  <c r="C20" i="2"/>
  <c r="D20" i="2"/>
  <c r="C22" i="2"/>
  <c r="D22" i="2"/>
  <c r="D15" i="2"/>
  <c r="AZ86" i="5"/>
  <c r="AZ39" i="5"/>
  <c r="Z39" i="6"/>
  <c r="X39" i="6"/>
  <c r="AU39" i="6"/>
  <c r="AZ40" i="5"/>
  <c r="Z40" i="6"/>
  <c r="X40" i="6"/>
  <c r="AU40" i="6"/>
  <c r="AZ41" i="5"/>
  <c r="Z41" i="6"/>
  <c r="X41" i="6"/>
  <c r="AU41" i="6"/>
  <c r="AZ42" i="5"/>
  <c r="Z42" i="6"/>
  <c r="X42" i="6"/>
  <c r="AU42" i="6"/>
  <c r="AZ43" i="5"/>
  <c r="Z43" i="6"/>
  <c r="X43" i="6"/>
  <c r="AU43" i="6"/>
  <c r="AZ44" i="5"/>
  <c r="Z44" i="6"/>
  <c r="X44" i="6"/>
  <c r="AU44" i="6"/>
  <c r="AZ45" i="5"/>
  <c r="Z45" i="6"/>
  <c r="X45" i="6"/>
  <c r="AU45" i="6"/>
  <c r="AZ46" i="5"/>
  <c r="Z46" i="6"/>
  <c r="X46" i="6"/>
  <c r="AU46" i="6"/>
  <c r="AZ47" i="5"/>
  <c r="Z47" i="6"/>
  <c r="X47" i="6"/>
  <c r="AU47" i="6"/>
  <c r="AZ48" i="5"/>
  <c r="Z48" i="6"/>
  <c r="X48" i="6"/>
  <c r="AU48" i="6"/>
  <c r="AZ49" i="5"/>
  <c r="Z49" i="6"/>
  <c r="X49" i="6"/>
  <c r="AU49" i="6"/>
  <c r="AZ50" i="5"/>
  <c r="Z50" i="6"/>
  <c r="X50" i="6"/>
  <c r="AU50" i="6"/>
  <c r="AZ51" i="5"/>
  <c r="Z51" i="6"/>
  <c r="X51" i="6"/>
  <c r="AU51" i="6"/>
  <c r="AZ52" i="5"/>
  <c r="Z52" i="6"/>
  <c r="X52" i="6"/>
  <c r="AU52" i="6"/>
  <c r="AZ53" i="5"/>
  <c r="Z53" i="6"/>
  <c r="X53" i="6"/>
  <c r="AU53" i="6"/>
  <c r="AZ54" i="5"/>
  <c r="Z54" i="6"/>
  <c r="X54" i="6"/>
  <c r="AU54" i="6"/>
  <c r="AZ55" i="5"/>
  <c r="Z55" i="6"/>
  <c r="X55" i="6"/>
  <c r="AU55" i="6"/>
  <c r="AZ56" i="5"/>
  <c r="Z56" i="6"/>
  <c r="X56" i="6"/>
  <c r="AU56" i="6"/>
  <c r="AZ57" i="5"/>
  <c r="Z57" i="6"/>
  <c r="X57" i="6"/>
  <c r="AU57" i="6"/>
  <c r="AZ58" i="5"/>
  <c r="Z58" i="6"/>
  <c r="X58" i="6"/>
  <c r="AU58" i="6"/>
  <c r="AZ59" i="5"/>
  <c r="Z59" i="6"/>
  <c r="X59" i="6"/>
  <c r="AU59" i="6"/>
  <c r="AZ60" i="5"/>
  <c r="Z60" i="6"/>
  <c r="X60" i="6"/>
  <c r="AU60" i="6"/>
  <c r="AZ61" i="5"/>
  <c r="Z61" i="6"/>
  <c r="X61" i="6"/>
  <c r="AU61" i="6"/>
  <c r="AZ62" i="5"/>
  <c r="Z62" i="6"/>
  <c r="X62" i="6"/>
  <c r="AU62" i="6"/>
  <c r="AZ63" i="5"/>
  <c r="Z63" i="6"/>
  <c r="X63" i="6"/>
  <c r="AU63" i="6"/>
  <c r="AZ64" i="5"/>
  <c r="Z64" i="6"/>
  <c r="X64" i="6"/>
  <c r="AU64" i="6"/>
  <c r="AZ65" i="5"/>
  <c r="Z65" i="6"/>
  <c r="X65" i="6"/>
  <c r="AU65" i="6"/>
  <c r="AZ66" i="5"/>
  <c r="Z66" i="6"/>
  <c r="X66" i="6"/>
  <c r="AU66" i="6"/>
  <c r="AZ67" i="5"/>
  <c r="Z67" i="6"/>
  <c r="X67" i="6"/>
  <c r="AU67" i="6"/>
  <c r="AZ68" i="5"/>
  <c r="Z68" i="6"/>
  <c r="X68" i="6"/>
  <c r="AU68" i="6"/>
  <c r="AZ69" i="5"/>
  <c r="Z69" i="6"/>
  <c r="X69" i="6"/>
  <c r="AU69" i="6"/>
  <c r="AZ70" i="5"/>
  <c r="Z70" i="6"/>
  <c r="X70" i="6"/>
  <c r="AU70" i="6"/>
  <c r="AZ71" i="5"/>
  <c r="Z71" i="6"/>
  <c r="X71" i="6"/>
  <c r="AU71" i="6"/>
  <c r="AZ72" i="5"/>
  <c r="Z72" i="6"/>
  <c r="X72" i="6"/>
  <c r="AU72" i="6"/>
  <c r="AZ73" i="5"/>
  <c r="Z73" i="6"/>
  <c r="X73" i="6"/>
  <c r="AU73" i="6"/>
  <c r="AZ74" i="5"/>
  <c r="Z74" i="6"/>
  <c r="X74" i="6"/>
  <c r="AU74" i="6"/>
  <c r="AZ75" i="5"/>
  <c r="Z75" i="6"/>
  <c r="X75" i="6"/>
  <c r="AU75" i="6"/>
  <c r="AZ76" i="5"/>
  <c r="Z76" i="6"/>
  <c r="X76" i="6"/>
  <c r="AU76" i="6"/>
  <c r="AZ77" i="5"/>
  <c r="Z77" i="6"/>
  <c r="X77" i="6"/>
  <c r="AU77" i="6"/>
  <c r="AZ78" i="5"/>
  <c r="Z78" i="6"/>
  <c r="AA51" i="6"/>
  <c r="X78" i="6"/>
  <c r="AU78" i="6"/>
  <c r="AZ79" i="5"/>
  <c r="Z79" i="6"/>
  <c r="X79" i="6"/>
  <c r="AU79" i="6"/>
  <c r="AZ80" i="5"/>
  <c r="Z80" i="6"/>
  <c r="X80" i="6"/>
  <c r="AU80" i="6"/>
  <c r="AZ81" i="5"/>
  <c r="Z81" i="6"/>
  <c r="X81" i="6"/>
  <c r="AU81" i="6"/>
  <c r="AZ82" i="5"/>
  <c r="Z82" i="6"/>
  <c r="X82" i="6"/>
  <c r="AU82" i="6"/>
  <c r="AZ83" i="5"/>
  <c r="Z83" i="6"/>
  <c r="X83" i="6"/>
  <c r="AU83" i="6"/>
  <c r="AZ84" i="5"/>
  <c r="Z84" i="6"/>
  <c r="X84" i="6"/>
  <c r="AU84" i="6"/>
  <c r="AZ85" i="5"/>
  <c r="Z85" i="6"/>
  <c r="X85" i="6"/>
  <c r="AU85" i="6"/>
  <c r="Z86" i="6"/>
  <c r="X86" i="6"/>
  <c r="AU86" i="6"/>
  <c r="C43" i="3"/>
  <c r="R39" i="6"/>
  <c r="AO39" i="6"/>
  <c r="R40" i="6"/>
  <c r="AO40" i="6"/>
  <c r="R41" i="6"/>
  <c r="AO41" i="6"/>
  <c r="R42" i="6"/>
  <c r="AO42" i="6"/>
  <c r="R43" i="6"/>
  <c r="AO43" i="6"/>
  <c r="R44" i="6"/>
  <c r="AO44" i="6"/>
  <c r="R45" i="6"/>
  <c r="AO45" i="6"/>
  <c r="R46" i="6"/>
  <c r="AO46" i="6"/>
  <c r="R47" i="6"/>
  <c r="AO47" i="6"/>
  <c r="R48" i="6"/>
  <c r="AO48" i="6"/>
  <c r="R49" i="6"/>
  <c r="AO49" i="6"/>
  <c r="R50" i="6"/>
  <c r="AO50" i="6"/>
  <c r="R51" i="6"/>
  <c r="AO51" i="6"/>
  <c r="R52" i="6"/>
  <c r="AO52" i="6"/>
  <c r="R53" i="6"/>
  <c r="AO53" i="6"/>
  <c r="R54" i="6"/>
  <c r="AO54" i="6"/>
  <c r="R55" i="6"/>
  <c r="AO55" i="6"/>
  <c r="R56" i="6"/>
  <c r="AO56" i="6"/>
  <c r="R57" i="6"/>
  <c r="AO57" i="6"/>
  <c r="R58" i="6"/>
  <c r="AO58" i="6"/>
  <c r="R59" i="6"/>
  <c r="AO59" i="6"/>
  <c r="R60" i="6"/>
  <c r="AO60" i="6"/>
  <c r="R61" i="6"/>
  <c r="AO61" i="6"/>
  <c r="R62" i="6"/>
  <c r="AO62" i="6"/>
  <c r="R63" i="6"/>
  <c r="AO63" i="6"/>
  <c r="R64" i="6"/>
  <c r="AO64" i="6"/>
  <c r="R65" i="6"/>
  <c r="AO65" i="6"/>
  <c r="R66" i="6"/>
  <c r="AO66" i="6"/>
  <c r="R67" i="6"/>
  <c r="AO67" i="6"/>
  <c r="R68" i="6"/>
  <c r="AO68" i="6"/>
  <c r="R69" i="6"/>
  <c r="AO69" i="6"/>
  <c r="R70" i="6"/>
  <c r="AO70" i="6"/>
  <c r="R71" i="6"/>
  <c r="AO71" i="6"/>
  <c r="R72" i="6"/>
  <c r="AO72" i="6"/>
  <c r="R73" i="6"/>
  <c r="AO73" i="6"/>
  <c r="R74" i="6"/>
  <c r="AO74" i="6"/>
  <c r="R75" i="6"/>
  <c r="AO75" i="6"/>
  <c r="R76" i="6"/>
  <c r="AO76" i="6"/>
  <c r="R77" i="6"/>
  <c r="AO77" i="6"/>
  <c r="R78" i="6"/>
  <c r="AO78" i="6"/>
  <c r="R79" i="6"/>
  <c r="AO79" i="6"/>
  <c r="R80" i="6"/>
  <c r="AO80" i="6"/>
  <c r="R81" i="6"/>
  <c r="AO81" i="6"/>
  <c r="R82" i="6"/>
  <c r="AO82" i="6"/>
  <c r="R83" i="6"/>
  <c r="AO83" i="6"/>
  <c r="R84" i="6"/>
  <c r="AO84" i="6"/>
  <c r="R85" i="6"/>
  <c r="AO85" i="6"/>
  <c r="R86" i="6"/>
  <c r="AO86" i="6"/>
  <c r="C37" i="3"/>
  <c r="D31" i="1"/>
  <c r="E31" i="1"/>
  <c r="C30" i="2"/>
  <c r="D30" i="2"/>
  <c r="U39" i="6"/>
  <c r="AR39" i="6"/>
  <c r="U40" i="6"/>
  <c r="AR40" i="6"/>
  <c r="U41" i="6"/>
  <c r="AR41" i="6"/>
  <c r="U42" i="6"/>
  <c r="AR42" i="6"/>
  <c r="U43" i="6"/>
  <c r="AR43" i="6"/>
  <c r="U44" i="6"/>
  <c r="AR44" i="6"/>
  <c r="U45" i="6"/>
  <c r="AR45" i="6"/>
  <c r="U46" i="6"/>
  <c r="AR46" i="6"/>
  <c r="U47" i="6"/>
  <c r="AR47" i="6"/>
  <c r="U48" i="6"/>
  <c r="AR48" i="6"/>
  <c r="U49" i="6"/>
  <c r="AR49" i="6"/>
  <c r="U50" i="6"/>
  <c r="AR50" i="6"/>
  <c r="U51" i="6"/>
  <c r="AR51" i="6"/>
  <c r="U52" i="6"/>
  <c r="AR52" i="6"/>
  <c r="U53" i="6"/>
  <c r="AR53" i="6"/>
  <c r="U54" i="6"/>
  <c r="AR54" i="6"/>
  <c r="U55" i="6"/>
  <c r="AR55" i="6"/>
  <c r="U56" i="6"/>
  <c r="AR56" i="6"/>
  <c r="U57" i="6"/>
  <c r="AR57" i="6"/>
  <c r="U58" i="6"/>
  <c r="AR58" i="6"/>
  <c r="U59" i="6"/>
  <c r="AR59" i="6"/>
  <c r="U60" i="6"/>
  <c r="AR60" i="6"/>
  <c r="U61" i="6"/>
  <c r="AR61" i="6"/>
  <c r="U62" i="6"/>
  <c r="AR62" i="6"/>
  <c r="U63" i="6"/>
  <c r="AR63" i="6"/>
  <c r="U64" i="6"/>
  <c r="AR64" i="6"/>
  <c r="U65" i="6"/>
  <c r="AR65" i="6"/>
  <c r="U66" i="6"/>
  <c r="AR66" i="6"/>
  <c r="U67" i="6"/>
  <c r="AR67" i="6"/>
  <c r="U68" i="6"/>
  <c r="AR68" i="6"/>
  <c r="U69" i="6"/>
  <c r="AR69" i="6"/>
  <c r="U70" i="6"/>
  <c r="AR70" i="6"/>
  <c r="U71" i="6"/>
  <c r="AR71" i="6"/>
  <c r="U72" i="6"/>
  <c r="AR72" i="6"/>
  <c r="U73" i="6"/>
  <c r="AR73" i="6"/>
  <c r="U74" i="6"/>
  <c r="AR74" i="6"/>
  <c r="U75" i="6"/>
  <c r="AR75" i="6"/>
  <c r="U76" i="6"/>
  <c r="AR76" i="6"/>
  <c r="U77" i="6"/>
  <c r="AR77" i="6"/>
  <c r="U78" i="6"/>
  <c r="AR78" i="6"/>
  <c r="U79" i="6"/>
  <c r="AR79" i="6"/>
  <c r="U80" i="6"/>
  <c r="AR80" i="6"/>
  <c r="U81" i="6"/>
  <c r="AR81" i="6"/>
  <c r="U82" i="6"/>
  <c r="AR82" i="6"/>
  <c r="U83" i="6"/>
  <c r="AR83" i="6"/>
  <c r="U84" i="6"/>
  <c r="AR84" i="6"/>
  <c r="U85" i="6"/>
  <c r="AR85" i="6"/>
  <c r="U86" i="6"/>
  <c r="AR86" i="6"/>
  <c r="C40" i="3"/>
  <c r="W39" i="6"/>
  <c r="AT39" i="6"/>
  <c r="W40" i="6"/>
  <c r="AT40" i="6"/>
  <c r="W41" i="6"/>
  <c r="AT41" i="6"/>
  <c r="W42" i="6"/>
  <c r="AT42" i="6"/>
  <c r="W43" i="6"/>
  <c r="AT43" i="6"/>
  <c r="W44" i="6"/>
  <c r="AT44" i="6"/>
  <c r="W45" i="6"/>
  <c r="AT45" i="6"/>
  <c r="W46" i="6"/>
  <c r="AT46" i="6"/>
  <c r="W47" i="6"/>
  <c r="AT47" i="6"/>
  <c r="W48" i="6"/>
  <c r="AT48" i="6"/>
  <c r="W49" i="6"/>
  <c r="AT49" i="6"/>
  <c r="W50" i="6"/>
  <c r="AT50" i="6"/>
  <c r="W51" i="6"/>
  <c r="AT51" i="6"/>
  <c r="W52" i="6"/>
  <c r="AT52" i="6"/>
  <c r="W53" i="6"/>
  <c r="AT53" i="6"/>
  <c r="W54" i="6"/>
  <c r="AT54" i="6"/>
  <c r="W55" i="6"/>
  <c r="AT55" i="6"/>
  <c r="W56" i="6"/>
  <c r="AT56" i="6"/>
  <c r="W57" i="6"/>
  <c r="AT57" i="6"/>
  <c r="W58" i="6"/>
  <c r="AT58" i="6"/>
  <c r="W59" i="6"/>
  <c r="AT59" i="6"/>
  <c r="W60" i="6"/>
  <c r="AT60" i="6"/>
  <c r="W61" i="6"/>
  <c r="AT61" i="6"/>
  <c r="W62" i="6"/>
  <c r="AT62" i="6"/>
  <c r="W63" i="6"/>
  <c r="AT63" i="6"/>
  <c r="W64" i="6"/>
  <c r="AT64" i="6"/>
  <c r="W65" i="6"/>
  <c r="AT65" i="6"/>
  <c r="W66" i="6"/>
  <c r="AT66" i="6"/>
  <c r="W67" i="6"/>
  <c r="AT67" i="6"/>
  <c r="W68" i="6"/>
  <c r="AT68" i="6"/>
  <c r="W69" i="6"/>
  <c r="AT69" i="6"/>
  <c r="W70" i="6"/>
  <c r="AT70" i="6"/>
  <c r="W71" i="6"/>
  <c r="AT71" i="6"/>
  <c r="W72" i="6"/>
  <c r="AT72" i="6"/>
  <c r="W73" i="6"/>
  <c r="AT73" i="6"/>
  <c r="W74" i="6"/>
  <c r="AT74" i="6"/>
  <c r="W75" i="6"/>
  <c r="AT75" i="6"/>
  <c r="W76" i="6"/>
  <c r="AT76" i="6"/>
  <c r="W77" i="6"/>
  <c r="AT77" i="6"/>
  <c r="W78" i="6"/>
  <c r="AT78" i="6"/>
  <c r="W79" i="6"/>
  <c r="AT79" i="6"/>
  <c r="W80" i="6"/>
  <c r="AT80" i="6"/>
  <c r="W81" i="6"/>
  <c r="AT81" i="6"/>
  <c r="W82" i="6"/>
  <c r="AT82" i="6"/>
  <c r="W83" i="6"/>
  <c r="AT83" i="6"/>
  <c r="W84" i="6"/>
  <c r="AT84" i="6"/>
  <c r="W85" i="6"/>
  <c r="AT85" i="6"/>
  <c r="W86" i="6"/>
  <c r="AT86" i="6"/>
  <c r="C42" i="3"/>
  <c r="V39" i="6"/>
  <c r="AS39" i="6"/>
  <c r="V40" i="6"/>
  <c r="AS40" i="6"/>
  <c r="V41" i="6"/>
  <c r="AS41" i="6"/>
  <c r="V42" i="6"/>
  <c r="AS42" i="6"/>
  <c r="V43" i="6"/>
  <c r="AS43" i="6"/>
  <c r="V44" i="6"/>
  <c r="AS44" i="6"/>
  <c r="V45" i="6"/>
  <c r="AS45" i="6"/>
  <c r="V46" i="6"/>
  <c r="AS46" i="6"/>
  <c r="V47" i="6"/>
  <c r="AS47" i="6"/>
  <c r="V48" i="6"/>
  <c r="AS48" i="6"/>
  <c r="V49" i="6"/>
  <c r="AS49" i="6"/>
  <c r="V50" i="6"/>
  <c r="AS50" i="6"/>
  <c r="V51" i="6"/>
  <c r="AS51" i="6"/>
  <c r="V52" i="6"/>
  <c r="AS52" i="6"/>
  <c r="V53" i="6"/>
  <c r="AS53" i="6"/>
  <c r="V54" i="6"/>
  <c r="AS54" i="6"/>
  <c r="V55" i="6"/>
  <c r="AS55" i="6"/>
  <c r="V56" i="6"/>
  <c r="AS56" i="6"/>
  <c r="V57" i="6"/>
  <c r="AS57" i="6"/>
  <c r="V58" i="6"/>
  <c r="AS58" i="6"/>
  <c r="V59" i="6"/>
  <c r="AS59" i="6"/>
  <c r="V60" i="6"/>
  <c r="AS60" i="6"/>
  <c r="V61" i="6"/>
  <c r="AS61" i="6"/>
  <c r="V62" i="6"/>
  <c r="AS62" i="6"/>
  <c r="V63" i="6"/>
  <c r="AS63" i="6"/>
  <c r="V64" i="6"/>
  <c r="AS64" i="6"/>
  <c r="V65" i="6"/>
  <c r="AS65" i="6"/>
  <c r="V66" i="6"/>
  <c r="AS66" i="6"/>
  <c r="V67" i="6"/>
  <c r="AS67" i="6"/>
  <c r="V68" i="6"/>
  <c r="AS68" i="6"/>
  <c r="V69" i="6"/>
  <c r="AS69" i="6"/>
  <c r="V70" i="6"/>
  <c r="AS70" i="6"/>
  <c r="V71" i="6"/>
  <c r="AS71" i="6"/>
  <c r="V72" i="6"/>
  <c r="AS72" i="6"/>
  <c r="V73" i="6"/>
  <c r="AS73" i="6"/>
  <c r="V74" i="6"/>
  <c r="AS74" i="6"/>
  <c r="V75" i="6"/>
  <c r="AS75" i="6"/>
  <c r="V76" i="6"/>
  <c r="AS76" i="6"/>
  <c r="V77" i="6"/>
  <c r="AS77" i="6"/>
  <c r="V78" i="6"/>
  <c r="AS78" i="6"/>
  <c r="V79" i="6"/>
  <c r="AS79" i="6"/>
  <c r="V80" i="6"/>
  <c r="AS80" i="6"/>
  <c r="V81" i="6"/>
  <c r="AS81" i="6"/>
  <c r="V82" i="6"/>
  <c r="AS82" i="6"/>
  <c r="V83" i="6"/>
  <c r="AS83" i="6"/>
  <c r="V84" i="6"/>
  <c r="AS84" i="6"/>
  <c r="V85" i="6"/>
  <c r="AS85" i="6"/>
  <c r="V86" i="6"/>
  <c r="AS86" i="6"/>
  <c r="C41" i="3"/>
  <c r="O39" i="6"/>
  <c r="AL39" i="6"/>
  <c r="O40" i="6"/>
  <c r="AL40" i="6"/>
  <c r="O41" i="6"/>
  <c r="AL41" i="6"/>
  <c r="O42" i="6"/>
  <c r="AL42" i="6"/>
  <c r="O43" i="6"/>
  <c r="AL43" i="6"/>
  <c r="O44" i="6"/>
  <c r="AL44" i="6"/>
  <c r="O45" i="6"/>
  <c r="AL45" i="6"/>
  <c r="O46" i="6"/>
  <c r="AL46" i="6"/>
  <c r="O47" i="6"/>
  <c r="AL47" i="6"/>
  <c r="O48" i="6"/>
  <c r="AL48" i="6"/>
  <c r="O49" i="6"/>
  <c r="AL49" i="6"/>
  <c r="O50" i="6"/>
  <c r="AL50" i="6"/>
  <c r="O51" i="6"/>
  <c r="AL51" i="6"/>
  <c r="O52" i="6"/>
  <c r="AL52" i="6"/>
  <c r="O53" i="6"/>
  <c r="AL53" i="6"/>
  <c r="O54" i="6"/>
  <c r="AL54" i="6"/>
  <c r="O55" i="6"/>
  <c r="AL55" i="6"/>
  <c r="O56" i="6"/>
  <c r="AL56" i="6"/>
  <c r="O57" i="6"/>
  <c r="AL57" i="6"/>
  <c r="O58" i="6"/>
  <c r="AL58" i="6"/>
  <c r="O59" i="6"/>
  <c r="AL59" i="6"/>
  <c r="O60" i="6"/>
  <c r="AL60" i="6"/>
  <c r="O61" i="6"/>
  <c r="AL61" i="6"/>
  <c r="O62" i="6"/>
  <c r="AL62" i="6"/>
  <c r="O63" i="6"/>
  <c r="AL63" i="6"/>
  <c r="O64" i="6"/>
  <c r="AL64" i="6"/>
  <c r="O65" i="6"/>
  <c r="AL65" i="6"/>
  <c r="O66" i="6"/>
  <c r="AL66" i="6"/>
  <c r="O67" i="6"/>
  <c r="AL67" i="6"/>
  <c r="O68" i="6"/>
  <c r="AL68" i="6"/>
  <c r="O69" i="6"/>
  <c r="AL69" i="6"/>
  <c r="O70" i="6"/>
  <c r="AL70" i="6"/>
  <c r="O71" i="6"/>
  <c r="AL71" i="6"/>
  <c r="O72" i="6"/>
  <c r="AL72" i="6"/>
  <c r="O73" i="6"/>
  <c r="AL73" i="6"/>
  <c r="O74" i="6"/>
  <c r="AL74" i="6"/>
  <c r="O75" i="6"/>
  <c r="AL75" i="6"/>
  <c r="O76" i="6"/>
  <c r="AL76" i="6"/>
  <c r="O77" i="6"/>
  <c r="AL77" i="6"/>
  <c r="O78" i="6"/>
  <c r="AL78" i="6"/>
  <c r="O79" i="6"/>
  <c r="AL79" i="6"/>
  <c r="O80" i="6"/>
  <c r="AL80" i="6"/>
  <c r="O81" i="6"/>
  <c r="AL81" i="6"/>
  <c r="O82" i="6"/>
  <c r="AL82" i="6"/>
  <c r="O83" i="6"/>
  <c r="AL83" i="6"/>
  <c r="O84" i="6"/>
  <c r="AL84" i="6"/>
  <c r="O85" i="6"/>
  <c r="AL85" i="6"/>
  <c r="O86" i="6"/>
  <c r="AL86" i="6"/>
  <c r="C34" i="3"/>
  <c r="L39" i="6"/>
  <c r="AI39" i="6"/>
  <c r="L40" i="6"/>
  <c r="AI40" i="6"/>
  <c r="L41" i="6"/>
  <c r="AI41" i="6"/>
  <c r="L42" i="6"/>
  <c r="AI42" i="6"/>
  <c r="L43" i="6"/>
  <c r="AI43" i="6"/>
  <c r="L44" i="6"/>
  <c r="AI44" i="6"/>
  <c r="L45" i="6"/>
  <c r="AI45" i="6"/>
  <c r="L46" i="6"/>
  <c r="AI46" i="6"/>
  <c r="L47" i="6"/>
  <c r="AI47" i="6"/>
  <c r="L48" i="6"/>
  <c r="AI48" i="6"/>
  <c r="L49" i="6"/>
  <c r="AI49" i="6"/>
  <c r="L50" i="6"/>
  <c r="AI50" i="6"/>
  <c r="L51" i="6"/>
  <c r="AI51" i="6"/>
  <c r="L52" i="6"/>
  <c r="AI52" i="6"/>
  <c r="L53" i="6"/>
  <c r="AI53" i="6"/>
  <c r="L54" i="6"/>
  <c r="AI54" i="6"/>
  <c r="L55" i="6"/>
  <c r="AI55" i="6"/>
  <c r="L56" i="6"/>
  <c r="AI56" i="6"/>
  <c r="L57" i="6"/>
  <c r="AI57" i="6"/>
  <c r="L58" i="6"/>
  <c r="AI58" i="6"/>
  <c r="L59" i="6"/>
  <c r="AI59" i="6"/>
  <c r="L60" i="6"/>
  <c r="AI60" i="6"/>
  <c r="L61" i="6"/>
  <c r="AI61" i="6"/>
  <c r="L62" i="6"/>
  <c r="AI62" i="6"/>
  <c r="L63" i="6"/>
  <c r="AI63" i="6"/>
  <c r="L64" i="6"/>
  <c r="AI64" i="6"/>
  <c r="L65" i="6"/>
  <c r="AI65" i="6"/>
  <c r="L66" i="6"/>
  <c r="AI66" i="6"/>
  <c r="L67" i="6"/>
  <c r="AI67" i="6"/>
  <c r="L68" i="6"/>
  <c r="AI68" i="6"/>
  <c r="L69" i="6"/>
  <c r="AI69" i="6"/>
  <c r="L70" i="6"/>
  <c r="AI70" i="6"/>
  <c r="L71" i="6"/>
  <c r="AI71" i="6"/>
  <c r="L72" i="6"/>
  <c r="AI72" i="6"/>
  <c r="L73" i="6"/>
  <c r="AI73" i="6"/>
  <c r="L74" i="6"/>
  <c r="AI74" i="6"/>
  <c r="L75" i="6"/>
  <c r="AI75" i="6"/>
  <c r="L76" i="6"/>
  <c r="AI76" i="6"/>
  <c r="L77" i="6"/>
  <c r="AI77" i="6"/>
  <c r="L78" i="6"/>
  <c r="AI78" i="6"/>
  <c r="L79" i="6"/>
  <c r="AI79" i="6"/>
  <c r="L80" i="6"/>
  <c r="AI80" i="6"/>
  <c r="L81" i="6"/>
  <c r="AI81" i="6"/>
  <c r="L82" i="6"/>
  <c r="AI82" i="6"/>
  <c r="L83" i="6"/>
  <c r="AI83" i="6"/>
  <c r="L84" i="6"/>
  <c r="AI84" i="6"/>
  <c r="L85" i="6"/>
  <c r="AI85" i="6"/>
  <c r="L86" i="6"/>
  <c r="AI86" i="6"/>
  <c r="C31" i="3"/>
  <c r="M86" i="6"/>
  <c r="N86" i="6"/>
  <c r="P86" i="6"/>
  <c r="Q86" i="6"/>
  <c r="S86" i="6"/>
  <c r="T86" i="6"/>
  <c r="Y86" i="6"/>
  <c r="Q39" i="6"/>
  <c r="AN39" i="6"/>
  <c r="Q40" i="6"/>
  <c r="AN40" i="6"/>
  <c r="Q41" i="6"/>
  <c r="AN41" i="6"/>
  <c r="Q42" i="6"/>
  <c r="AN42" i="6"/>
  <c r="Q43" i="6"/>
  <c r="AN43" i="6"/>
  <c r="Q44" i="6"/>
  <c r="AN44" i="6"/>
  <c r="Q45" i="6"/>
  <c r="AN45" i="6"/>
  <c r="Q46" i="6"/>
  <c r="AN46" i="6"/>
  <c r="Q47" i="6"/>
  <c r="AN47" i="6"/>
  <c r="Q48" i="6"/>
  <c r="AN48" i="6"/>
  <c r="Q49" i="6"/>
  <c r="AN49" i="6"/>
  <c r="Q50" i="6"/>
  <c r="AN50" i="6"/>
  <c r="Q51" i="6"/>
  <c r="AN51" i="6"/>
  <c r="Q52" i="6"/>
  <c r="AN52" i="6"/>
  <c r="Q53" i="6"/>
  <c r="AN53" i="6"/>
  <c r="Q54" i="6"/>
  <c r="AN54" i="6"/>
  <c r="Q55" i="6"/>
  <c r="AN55" i="6"/>
  <c r="Q56" i="6"/>
  <c r="AN56" i="6"/>
  <c r="Q57" i="6"/>
  <c r="AN57" i="6"/>
  <c r="Q58" i="6"/>
  <c r="AN58" i="6"/>
  <c r="Q59" i="6"/>
  <c r="AN59" i="6"/>
  <c r="Q60" i="6"/>
  <c r="AN60" i="6"/>
  <c r="Q61" i="6"/>
  <c r="AN61" i="6"/>
  <c r="Q62" i="6"/>
  <c r="AN62" i="6"/>
  <c r="Q63" i="6"/>
  <c r="AN63" i="6"/>
  <c r="Q64" i="6"/>
  <c r="AN64" i="6"/>
  <c r="Q65" i="6"/>
  <c r="AN65" i="6"/>
  <c r="Q66" i="6"/>
  <c r="AN66" i="6"/>
  <c r="Q67" i="6"/>
  <c r="AN67" i="6"/>
  <c r="Q68" i="6"/>
  <c r="AN68" i="6"/>
  <c r="Q69" i="6"/>
  <c r="AN69" i="6"/>
  <c r="Q70" i="6"/>
  <c r="AN70" i="6"/>
  <c r="Q71" i="6"/>
  <c r="AN71" i="6"/>
  <c r="Q72" i="6"/>
  <c r="AN72" i="6"/>
  <c r="Q73" i="6"/>
  <c r="AN73" i="6"/>
  <c r="Q74" i="6"/>
  <c r="AN74" i="6"/>
  <c r="Q75" i="6"/>
  <c r="AN75" i="6"/>
  <c r="Q76" i="6"/>
  <c r="AN76" i="6"/>
  <c r="Q77" i="6"/>
  <c r="AN77" i="6"/>
  <c r="Q78" i="6"/>
  <c r="AN78" i="6"/>
  <c r="Q79" i="6"/>
  <c r="AN79" i="6"/>
  <c r="Q80" i="6"/>
  <c r="AN80" i="6"/>
  <c r="Q81" i="6"/>
  <c r="AN81" i="6"/>
  <c r="Q82" i="6"/>
  <c r="AN82" i="6"/>
  <c r="Q83" i="6"/>
  <c r="AN83" i="6"/>
  <c r="Q84" i="6"/>
  <c r="AN84" i="6"/>
  <c r="Q85" i="6"/>
  <c r="AN85" i="6"/>
  <c r="AN86" i="6"/>
  <c r="C36" i="3"/>
  <c r="S39" i="6"/>
  <c r="AP39" i="6"/>
  <c r="S40" i="6"/>
  <c r="AP40" i="6"/>
  <c r="S41" i="6"/>
  <c r="AP41" i="6"/>
  <c r="S42" i="6"/>
  <c r="AP42" i="6"/>
  <c r="S43" i="6"/>
  <c r="AP43" i="6"/>
  <c r="S44" i="6"/>
  <c r="AP44" i="6"/>
  <c r="S45" i="6"/>
  <c r="AP45" i="6"/>
  <c r="S46" i="6"/>
  <c r="AP46" i="6"/>
  <c r="S47" i="6"/>
  <c r="AP47" i="6"/>
  <c r="S48" i="6"/>
  <c r="AP48" i="6"/>
  <c r="S49" i="6"/>
  <c r="AP49" i="6"/>
  <c r="S50" i="6"/>
  <c r="AP50" i="6"/>
  <c r="S51" i="6"/>
  <c r="AP51" i="6"/>
  <c r="S52" i="6"/>
  <c r="AP52" i="6"/>
  <c r="S53" i="6"/>
  <c r="AP53" i="6"/>
  <c r="S54" i="6"/>
  <c r="AP54" i="6"/>
  <c r="S55" i="6"/>
  <c r="AP55" i="6"/>
  <c r="S56" i="6"/>
  <c r="AP56" i="6"/>
  <c r="S57" i="6"/>
  <c r="AP57" i="6"/>
  <c r="S58" i="6"/>
  <c r="AP58" i="6"/>
  <c r="S59" i="6"/>
  <c r="AP59" i="6"/>
  <c r="S60" i="6"/>
  <c r="AP60" i="6"/>
  <c r="S61" i="6"/>
  <c r="AP61" i="6"/>
  <c r="S62" i="6"/>
  <c r="AP62" i="6"/>
  <c r="S63" i="6"/>
  <c r="AP63" i="6"/>
  <c r="S64" i="6"/>
  <c r="AP64" i="6"/>
  <c r="S65" i="6"/>
  <c r="AP65" i="6"/>
  <c r="S66" i="6"/>
  <c r="AP66" i="6"/>
  <c r="S67" i="6"/>
  <c r="AP67" i="6"/>
  <c r="S68" i="6"/>
  <c r="AP68" i="6"/>
  <c r="S69" i="6"/>
  <c r="AP69" i="6"/>
  <c r="S70" i="6"/>
  <c r="AP70" i="6"/>
  <c r="S71" i="6"/>
  <c r="AP71" i="6"/>
  <c r="S72" i="6"/>
  <c r="AP72" i="6"/>
  <c r="S73" i="6"/>
  <c r="AP73" i="6"/>
  <c r="S74" i="6"/>
  <c r="AP74" i="6"/>
  <c r="S75" i="6"/>
  <c r="AP75" i="6"/>
  <c r="S76" i="6"/>
  <c r="AP76" i="6"/>
  <c r="S77" i="6"/>
  <c r="AP77" i="6"/>
  <c r="S78" i="6"/>
  <c r="AP78" i="6"/>
  <c r="S79" i="6"/>
  <c r="AP79" i="6"/>
  <c r="S80" i="6"/>
  <c r="AP80" i="6"/>
  <c r="S81" i="6"/>
  <c r="AP81" i="6"/>
  <c r="S82" i="6"/>
  <c r="AP82" i="6"/>
  <c r="S83" i="6"/>
  <c r="AP83" i="6"/>
  <c r="S84" i="6"/>
  <c r="AP84" i="6"/>
  <c r="S85" i="6"/>
  <c r="AP85" i="6"/>
  <c r="AP86" i="6"/>
  <c r="C38" i="3"/>
  <c r="P39" i="6"/>
  <c r="AM39" i="6"/>
  <c r="P40" i="6"/>
  <c r="AM40" i="6"/>
  <c r="P41" i="6"/>
  <c r="AM41" i="6"/>
  <c r="P42" i="6"/>
  <c r="AM42" i="6"/>
  <c r="P43" i="6"/>
  <c r="AM43" i="6"/>
  <c r="P44" i="6"/>
  <c r="AM44" i="6"/>
  <c r="P45" i="6"/>
  <c r="AM45" i="6"/>
  <c r="P46" i="6"/>
  <c r="AM46" i="6"/>
  <c r="P47" i="6"/>
  <c r="AM47" i="6"/>
  <c r="P48" i="6"/>
  <c r="AM48" i="6"/>
  <c r="P49" i="6"/>
  <c r="AM49" i="6"/>
  <c r="P50" i="6"/>
  <c r="AM50" i="6"/>
  <c r="P51" i="6"/>
  <c r="AM51" i="6"/>
  <c r="P52" i="6"/>
  <c r="AM52" i="6"/>
  <c r="P53" i="6"/>
  <c r="AM53" i="6"/>
  <c r="P54" i="6"/>
  <c r="AM54" i="6"/>
  <c r="P55" i="6"/>
  <c r="AM55" i="6"/>
  <c r="P56" i="6"/>
  <c r="AM56" i="6"/>
  <c r="P57" i="6"/>
  <c r="AM57" i="6"/>
  <c r="P58" i="6"/>
  <c r="AM58" i="6"/>
  <c r="P59" i="6"/>
  <c r="AM59" i="6"/>
  <c r="P60" i="6"/>
  <c r="AM60" i="6"/>
  <c r="P61" i="6"/>
  <c r="AM61" i="6"/>
  <c r="P62" i="6"/>
  <c r="AM62" i="6"/>
  <c r="P63" i="6"/>
  <c r="AM63" i="6"/>
  <c r="P64" i="6"/>
  <c r="AM64" i="6"/>
  <c r="P65" i="6"/>
  <c r="AM65" i="6"/>
  <c r="P66" i="6"/>
  <c r="AM66" i="6"/>
  <c r="P67" i="6"/>
  <c r="AM67" i="6"/>
  <c r="P68" i="6"/>
  <c r="AM68" i="6"/>
  <c r="P69" i="6"/>
  <c r="AM69" i="6"/>
  <c r="P70" i="6"/>
  <c r="AM70" i="6"/>
  <c r="P71" i="6"/>
  <c r="AM71" i="6"/>
  <c r="P72" i="6"/>
  <c r="AM72" i="6"/>
  <c r="P73" i="6"/>
  <c r="AM73" i="6"/>
  <c r="P74" i="6"/>
  <c r="AM74" i="6"/>
  <c r="P75" i="6"/>
  <c r="AM75" i="6"/>
  <c r="P76" i="6"/>
  <c r="AM76" i="6"/>
  <c r="P77" i="6"/>
  <c r="AM77" i="6"/>
  <c r="P78" i="6"/>
  <c r="AM78" i="6"/>
  <c r="P79" i="6"/>
  <c r="AM79" i="6"/>
  <c r="P80" i="6"/>
  <c r="AM80" i="6"/>
  <c r="P81" i="6"/>
  <c r="AM81" i="6"/>
  <c r="P82" i="6"/>
  <c r="AM82" i="6"/>
  <c r="P83" i="6"/>
  <c r="AM83" i="6"/>
  <c r="P84" i="6"/>
  <c r="AM84" i="6"/>
  <c r="P85" i="6"/>
  <c r="AM85" i="6"/>
  <c r="AM86" i="6"/>
  <c r="C35" i="3"/>
  <c r="D21" i="1"/>
  <c r="D23" i="1"/>
  <c r="E23" i="1"/>
  <c r="E21" i="1"/>
  <c r="N39" i="6"/>
  <c r="AK39" i="6"/>
  <c r="N40" i="6"/>
  <c r="AK40" i="6"/>
  <c r="N41" i="6"/>
  <c r="AK41" i="6"/>
  <c r="N42" i="6"/>
  <c r="AK42" i="6"/>
  <c r="N43" i="6"/>
  <c r="AK43" i="6"/>
  <c r="N44" i="6"/>
  <c r="AK44" i="6"/>
  <c r="N45" i="6"/>
  <c r="AK45" i="6"/>
  <c r="N46" i="6"/>
  <c r="AK46" i="6"/>
  <c r="N47" i="6"/>
  <c r="AK47" i="6"/>
  <c r="N48" i="6"/>
  <c r="AK48" i="6"/>
  <c r="N49" i="6"/>
  <c r="AK49" i="6"/>
  <c r="N50" i="6"/>
  <c r="AK50" i="6"/>
  <c r="N51" i="6"/>
  <c r="AK51" i="6"/>
  <c r="N52" i="6"/>
  <c r="AK52" i="6"/>
  <c r="N53" i="6"/>
  <c r="AK53" i="6"/>
  <c r="N54" i="6"/>
  <c r="AK54" i="6"/>
  <c r="N55" i="6"/>
  <c r="AK55" i="6"/>
  <c r="N56" i="6"/>
  <c r="AK56" i="6"/>
  <c r="N57" i="6"/>
  <c r="AK57" i="6"/>
  <c r="N58" i="6"/>
  <c r="AK58" i="6"/>
  <c r="N59" i="6"/>
  <c r="AK59" i="6"/>
  <c r="N60" i="6"/>
  <c r="AK60" i="6"/>
  <c r="N61" i="6"/>
  <c r="AK61" i="6"/>
  <c r="N62" i="6"/>
  <c r="AK62" i="6"/>
  <c r="N63" i="6"/>
  <c r="AK63" i="6"/>
  <c r="N64" i="6"/>
  <c r="AK64" i="6"/>
  <c r="N65" i="6"/>
  <c r="AK65" i="6"/>
  <c r="N66" i="6"/>
  <c r="AK66" i="6"/>
  <c r="N67" i="6"/>
  <c r="AK67" i="6"/>
  <c r="N68" i="6"/>
  <c r="AK68" i="6"/>
  <c r="N69" i="6"/>
  <c r="AK69" i="6"/>
  <c r="N70" i="6"/>
  <c r="AK70" i="6"/>
  <c r="N71" i="6"/>
  <c r="AK71" i="6"/>
  <c r="N72" i="6"/>
  <c r="AK72" i="6"/>
  <c r="N73" i="6"/>
  <c r="AK73" i="6"/>
  <c r="N74" i="6"/>
  <c r="AK74" i="6"/>
  <c r="N75" i="6"/>
  <c r="AK75" i="6"/>
  <c r="N76" i="6"/>
  <c r="AK76" i="6"/>
  <c r="N77" i="6"/>
  <c r="AK77" i="6"/>
  <c r="N78" i="6"/>
  <c r="AK78" i="6"/>
  <c r="N79" i="6"/>
  <c r="AK79" i="6"/>
  <c r="N80" i="6"/>
  <c r="AK80" i="6"/>
  <c r="N81" i="6"/>
  <c r="AK81" i="6"/>
  <c r="N82" i="6"/>
  <c r="AK82" i="6"/>
  <c r="N83" i="6"/>
  <c r="AK83" i="6"/>
  <c r="N84" i="6"/>
  <c r="AK84" i="6"/>
  <c r="N85" i="6"/>
  <c r="AK85" i="6"/>
  <c r="AK86" i="6"/>
  <c r="C33" i="3"/>
  <c r="D8" i="1"/>
  <c r="D14" i="1"/>
  <c r="D16" i="1"/>
  <c r="E16" i="1"/>
  <c r="E8" i="1"/>
  <c r="N2" i="2"/>
  <c r="D7" i="2"/>
  <c r="T39" i="6"/>
  <c r="AQ39" i="6"/>
  <c r="T40" i="6"/>
  <c r="AQ40" i="6"/>
  <c r="T41" i="6"/>
  <c r="AQ41" i="6"/>
  <c r="T42" i="6"/>
  <c r="AQ42" i="6"/>
  <c r="T43" i="6"/>
  <c r="AQ43" i="6"/>
  <c r="T44" i="6"/>
  <c r="AQ44" i="6"/>
  <c r="T45" i="6"/>
  <c r="AQ45" i="6"/>
  <c r="T46" i="6"/>
  <c r="AQ46" i="6"/>
  <c r="T47" i="6"/>
  <c r="AQ47" i="6"/>
  <c r="T48" i="6"/>
  <c r="AQ48" i="6"/>
  <c r="T49" i="6"/>
  <c r="AQ49" i="6"/>
  <c r="T50" i="6"/>
  <c r="AQ50" i="6"/>
  <c r="T51" i="6"/>
  <c r="AQ51" i="6"/>
  <c r="T52" i="6"/>
  <c r="AQ52" i="6"/>
  <c r="T53" i="6"/>
  <c r="AQ53" i="6"/>
  <c r="T54" i="6"/>
  <c r="AQ54" i="6"/>
  <c r="T55" i="6"/>
  <c r="AQ55" i="6"/>
  <c r="T56" i="6"/>
  <c r="AQ56" i="6"/>
  <c r="T57" i="6"/>
  <c r="AQ57" i="6"/>
  <c r="T58" i="6"/>
  <c r="AQ58" i="6"/>
  <c r="T59" i="6"/>
  <c r="AQ59" i="6"/>
  <c r="T60" i="6"/>
  <c r="AQ60" i="6"/>
  <c r="T61" i="6"/>
  <c r="AQ61" i="6"/>
  <c r="T62" i="6"/>
  <c r="AQ62" i="6"/>
  <c r="T63" i="6"/>
  <c r="AQ63" i="6"/>
  <c r="T64" i="6"/>
  <c r="AQ64" i="6"/>
  <c r="T65" i="6"/>
  <c r="AQ65" i="6"/>
  <c r="T66" i="6"/>
  <c r="AQ66" i="6"/>
  <c r="T67" i="6"/>
  <c r="AQ67" i="6"/>
  <c r="T68" i="6"/>
  <c r="AQ68" i="6"/>
  <c r="T69" i="6"/>
  <c r="AQ69" i="6"/>
  <c r="T70" i="6"/>
  <c r="AQ70" i="6"/>
  <c r="T71" i="6"/>
  <c r="AQ71" i="6"/>
  <c r="T72" i="6"/>
  <c r="AQ72" i="6"/>
  <c r="T73" i="6"/>
  <c r="AQ73" i="6"/>
  <c r="T74" i="6"/>
  <c r="AQ74" i="6"/>
  <c r="T75" i="6"/>
  <c r="AQ75" i="6"/>
  <c r="T76" i="6"/>
  <c r="AQ76" i="6"/>
  <c r="T77" i="6"/>
  <c r="AQ77" i="6"/>
  <c r="T78" i="6"/>
  <c r="AQ78" i="6"/>
  <c r="T79" i="6"/>
  <c r="AQ79" i="6"/>
  <c r="T80" i="6"/>
  <c r="AQ80" i="6"/>
  <c r="T81" i="6"/>
  <c r="AQ81" i="6"/>
  <c r="T82" i="6"/>
  <c r="AQ82" i="6"/>
  <c r="T83" i="6"/>
  <c r="AQ83" i="6"/>
  <c r="T84" i="6"/>
  <c r="AQ84" i="6"/>
  <c r="T85" i="6"/>
  <c r="AQ85" i="6"/>
  <c r="AQ86" i="6"/>
  <c r="C39" i="3"/>
  <c r="M39" i="6"/>
  <c r="AJ39" i="6"/>
  <c r="M40" i="6"/>
  <c r="AJ40" i="6"/>
  <c r="M41" i="6"/>
  <c r="AJ41" i="6"/>
  <c r="M42" i="6"/>
  <c r="AJ42" i="6"/>
  <c r="M43" i="6"/>
  <c r="AJ43" i="6"/>
  <c r="M44" i="6"/>
  <c r="AJ44" i="6"/>
  <c r="M45" i="6"/>
  <c r="AJ45" i="6"/>
  <c r="M46" i="6"/>
  <c r="AJ46" i="6"/>
  <c r="M47" i="6"/>
  <c r="AJ47" i="6"/>
  <c r="M48" i="6"/>
  <c r="AJ48" i="6"/>
  <c r="M49" i="6"/>
  <c r="AJ49" i="6"/>
  <c r="M50" i="6"/>
  <c r="AJ50" i="6"/>
  <c r="M51" i="6"/>
  <c r="AJ51" i="6"/>
  <c r="M52" i="6"/>
  <c r="AJ52" i="6"/>
  <c r="M53" i="6"/>
  <c r="AJ53" i="6"/>
  <c r="M54" i="6"/>
  <c r="AJ54" i="6"/>
  <c r="M55" i="6"/>
  <c r="AJ55" i="6"/>
  <c r="M56" i="6"/>
  <c r="AJ56" i="6"/>
  <c r="M57" i="6"/>
  <c r="AJ57" i="6"/>
  <c r="M58" i="6"/>
  <c r="AJ58" i="6"/>
  <c r="M59" i="6"/>
  <c r="AJ59" i="6"/>
  <c r="M60" i="6"/>
  <c r="AJ60" i="6"/>
  <c r="M61" i="6"/>
  <c r="AJ61" i="6"/>
  <c r="M62" i="6"/>
  <c r="AJ62" i="6"/>
  <c r="M63" i="6"/>
  <c r="AJ63" i="6"/>
  <c r="M64" i="6"/>
  <c r="AJ64" i="6"/>
  <c r="M65" i="6"/>
  <c r="AJ65" i="6"/>
  <c r="M66" i="6"/>
  <c r="AJ66" i="6"/>
  <c r="M67" i="6"/>
  <c r="AJ67" i="6"/>
  <c r="M68" i="6"/>
  <c r="AJ68" i="6"/>
  <c r="M69" i="6"/>
  <c r="AJ69" i="6"/>
  <c r="M70" i="6"/>
  <c r="AJ70" i="6"/>
  <c r="M71" i="6"/>
  <c r="AJ71" i="6"/>
  <c r="M72" i="6"/>
  <c r="AJ72" i="6"/>
  <c r="M73" i="6"/>
  <c r="AJ73" i="6"/>
  <c r="M74" i="6"/>
  <c r="AJ74" i="6"/>
  <c r="M75" i="6"/>
  <c r="AJ75" i="6"/>
  <c r="M76" i="6"/>
  <c r="AJ76" i="6"/>
  <c r="M77" i="6"/>
  <c r="AJ77" i="6"/>
  <c r="M78" i="6"/>
  <c r="AJ78" i="6"/>
  <c r="M79" i="6"/>
  <c r="AJ79" i="6"/>
  <c r="M80" i="6"/>
  <c r="AJ80" i="6"/>
  <c r="M81" i="6"/>
  <c r="AJ81" i="6"/>
  <c r="M82" i="6"/>
  <c r="AJ82" i="6"/>
  <c r="M83" i="6"/>
  <c r="AJ83" i="6"/>
  <c r="M84" i="6"/>
  <c r="AJ84" i="6"/>
  <c r="M85" i="6"/>
  <c r="AJ85" i="6"/>
  <c r="AJ86" i="6"/>
  <c r="C32" i="3"/>
  <c r="D19" i="1"/>
  <c r="E19" i="1"/>
  <c r="Y85" i="6"/>
  <c r="AH86" i="4"/>
  <c r="AM86" i="4"/>
  <c r="AO86" i="4"/>
  <c r="AN86" i="5"/>
  <c r="AP86" i="5"/>
  <c r="BK52" i="4"/>
  <c r="D13" i="2"/>
  <c r="Y84" i="6"/>
  <c r="C24" i="2"/>
  <c r="D24" i="2"/>
  <c r="D25" i="1"/>
  <c r="E25" i="1"/>
  <c r="Y83" i="6"/>
  <c r="Y82" i="6"/>
  <c r="Q11" i="3"/>
  <c r="D26" i="1"/>
  <c r="E26" i="1"/>
  <c r="C25" i="2"/>
  <c r="D25" i="2"/>
  <c r="Y81" i="6"/>
  <c r="Y80" i="6"/>
  <c r="Q78" i="5"/>
  <c r="AG78" i="6"/>
  <c r="J78" i="6"/>
  <c r="H78" i="6"/>
  <c r="E78" i="6"/>
  <c r="AC78" i="6"/>
  <c r="AF78" i="6"/>
  <c r="Y79" i="6"/>
  <c r="Q77" i="5"/>
  <c r="Y78" i="6"/>
  <c r="AG77" i="6"/>
  <c r="J77" i="6"/>
  <c r="E77" i="6"/>
  <c r="H77" i="6"/>
  <c r="AC77" i="6"/>
  <c r="AF77" i="6"/>
  <c r="Y77" i="6"/>
  <c r="Q76" i="5"/>
  <c r="Q10" i="3"/>
  <c r="AG76" i="6"/>
  <c r="E76" i="6"/>
  <c r="H76" i="6"/>
  <c r="J76" i="6"/>
  <c r="AC76" i="6"/>
  <c r="AF76" i="6"/>
  <c r="Q75" i="5"/>
  <c r="AG75" i="6"/>
  <c r="E75" i="6"/>
  <c r="H75" i="6"/>
  <c r="J75" i="6"/>
  <c r="AC75" i="6"/>
  <c r="AF75" i="6"/>
  <c r="Y76" i="6"/>
  <c r="Q74" i="5"/>
  <c r="AG74" i="6"/>
  <c r="J74" i="6"/>
  <c r="E74" i="6"/>
  <c r="H74" i="6"/>
  <c r="AC74" i="6"/>
  <c r="AF74" i="6"/>
  <c r="Y75" i="6"/>
  <c r="Y74" i="6"/>
  <c r="Q73" i="5"/>
  <c r="AG73" i="6"/>
  <c r="J73" i="6"/>
  <c r="E73" i="6"/>
  <c r="H73" i="6"/>
  <c r="AC73" i="6"/>
  <c r="AF73" i="6"/>
  <c r="Y73" i="6"/>
  <c r="Q72" i="5"/>
  <c r="AG72" i="6"/>
  <c r="J72" i="6"/>
  <c r="E72" i="6"/>
  <c r="H72" i="6"/>
  <c r="AC72" i="6"/>
  <c r="AF72" i="6"/>
  <c r="Y72" i="6"/>
  <c r="AG71" i="6"/>
  <c r="E71" i="6"/>
  <c r="H71" i="6"/>
  <c r="J71" i="6"/>
  <c r="AC71" i="6"/>
  <c r="AF71" i="6"/>
  <c r="Q71" i="5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AW64" i="7"/>
  <c r="AW65" i="7"/>
  <c r="AW66" i="7"/>
  <c r="AW67" i="7"/>
  <c r="AW68" i="7"/>
  <c r="AW69" i="7"/>
  <c r="AW70" i="7"/>
  <c r="AW71" i="7"/>
  <c r="AW72" i="7"/>
  <c r="BC73" i="7"/>
  <c r="AW73" i="7"/>
  <c r="AW74" i="7"/>
  <c r="AW75" i="7"/>
  <c r="AW76" i="7"/>
  <c r="AW77" i="7"/>
  <c r="AW78" i="7"/>
  <c r="AW79" i="7"/>
  <c r="AW80" i="7"/>
  <c r="AW81" i="7"/>
  <c r="Q70" i="5"/>
  <c r="AG70" i="6"/>
  <c r="H70" i="6"/>
  <c r="J70" i="6"/>
  <c r="E70" i="6"/>
  <c r="AC70" i="6"/>
  <c r="AF70" i="6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AS64" i="7"/>
  <c r="AS65" i="7"/>
  <c r="AS66" i="7"/>
  <c r="AS67" i="7"/>
  <c r="AS68" i="7"/>
  <c r="AS69" i="7"/>
  <c r="AS70" i="7"/>
  <c r="AS71" i="7"/>
  <c r="AS72" i="7"/>
  <c r="AY73" i="7"/>
  <c r="AS73" i="7"/>
  <c r="AS74" i="7"/>
  <c r="AS75" i="7"/>
  <c r="AS76" i="7"/>
  <c r="AS77" i="7"/>
  <c r="AS78" i="7"/>
  <c r="AS79" i="7"/>
  <c r="AS80" i="7"/>
  <c r="AS81" i="7"/>
  <c r="AV47" i="7"/>
  <c r="AV48" i="7"/>
  <c r="AV49" i="7"/>
  <c r="AV50" i="7"/>
  <c r="AV51" i="7"/>
  <c r="AV52" i="7"/>
  <c r="AV53" i="7"/>
  <c r="AV54" i="7"/>
  <c r="AV55" i="7"/>
  <c r="AV56" i="7"/>
  <c r="AV57" i="7"/>
  <c r="AV58" i="7"/>
  <c r="AV59" i="7"/>
  <c r="AV60" i="7"/>
  <c r="AV61" i="7"/>
  <c r="AV62" i="7"/>
  <c r="AV63" i="7"/>
  <c r="AV64" i="7"/>
  <c r="AV65" i="7"/>
  <c r="AV66" i="7"/>
  <c r="AV67" i="7"/>
  <c r="AV68" i="7"/>
  <c r="AV69" i="7"/>
  <c r="AV70" i="7"/>
  <c r="AV71" i="7"/>
  <c r="AV72" i="7"/>
  <c r="BB73" i="7"/>
  <c r="AV73" i="7"/>
  <c r="AV74" i="7"/>
  <c r="AV75" i="7"/>
  <c r="AV76" i="7"/>
  <c r="AV77" i="7"/>
  <c r="AV78" i="7"/>
  <c r="AV79" i="7"/>
  <c r="AV80" i="7"/>
  <c r="AV81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AU64" i="7"/>
  <c r="AU65" i="7"/>
  <c r="AU66" i="7"/>
  <c r="AU67" i="7"/>
  <c r="AU68" i="7"/>
  <c r="AU69" i="7"/>
  <c r="AU70" i="7"/>
  <c r="AU71" i="7"/>
  <c r="AU72" i="7"/>
  <c r="BA73" i="7"/>
  <c r="AU73" i="7"/>
  <c r="AU74" i="7"/>
  <c r="AU75" i="7"/>
  <c r="AU76" i="7"/>
  <c r="AU77" i="7"/>
  <c r="AU78" i="7"/>
  <c r="AU79" i="7"/>
  <c r="AU80" i="7"/>
  <c r="AU81" i="7"/>
  <c r="Y71" i="6"/>
  <c r="AT47" i="7"/>
  <c r="AT48" i="7"/>
  <c r="AT49" i="7"/>
  <c r="AT50" i="7"/>
  <c r="AT51" i="7"/>
  <c r="AT52" i="7"/>
  <c r="AT53" i="7"/>
  <c r="AT54" i="7"/>
  <c r="AT55" i="7"/>
  <c r="AT56" i="7"/>
  <c r="AT57" i="7"/>
  <c r="AT58" i="7"/>
  <c r="AT59" i="7"/>
  <c r="AT60" i="7"/>
  <c r="AT61" i="7"/>
  <c r="AT62" i="7"/>
  <c r="AT63" i="7"/>
  <c r="AT64" i="7"/>
  <c r="AT65" i="7"/>
  <c r="AT66" i="7"/>
  <c r="AT67" i="7"/>
  <c r="AT68" i="7"/>
  <c r="AT69" i="7"/>
  <c r="AT70" i="7"/>
  <c r="AT71" i="7"/>
  <c r="AT72" i="7"/>
  <c r="AZ73" i="7"/>
  <c r="AT73" i="7"/>
  <c r="AT74" i="7"/>
  <c r="AT75" i="7"/>
  <c r="AT76" i="7"/>
  <c r="AT77" i="7"/>
  <c r="AT78" i="7"/>
  <c r="AT79" i="7"/>
  <c r="AT80" i="7"/>
  <c r="AT81" i="7"/>
  <c r="BA72" i="7"/>
  <c r="Y70" i="6"/>
  <c r="BC72" i="7"/>
  <c r="AG69" i="6"/>
  <c r="E69" i="6"/>
  <c r="H69" i="6"/>
  <c r="J69" i="6"/>
  <c r="AC69" i="6"/>
  <c r="AF69" i="6"/>
  <c r="AY72" i="7"/>
  <c r="AZ72" i="7"/>
  <c r="Q69" i="5"/>
  <c r="BB72" i="7"/>
  <c r="BB71" i="7"/>
  <c r="AG68" i="6"/>
  <c r="E68" i="6"/>
  <c r="H68" i="6"/>
  <c r="J68" i="6"/>
  <c r="AC68" i="6"/>
  <c r="AF68" i="6"/>
  <c r="BA71" i="7"/>
  <c r="AY71" i="7"/>
  <c r="BC71" i="7"/>
  <c r="AZ71" i="7"/>
  <c r="Q68" i="5"/>
  <c r="Y69" i="6"/>
  <c r="AZ70" i="7"/>
  <c r="AY70" i="7"/>
  <c r="Y68" i="6"/>
  <c r="BC70" i="7"/>
  <c r="AG67" i="6"/>
  <c r="E67" i="6"/>
  <c r="H67" i="6"/>
  <c r="J67" i="6"/>
  <c r="AC67" i="6"/>
  <c r="AF67" i="6"/>
  <c r="BB70" i="7"/>
  <c r="BA70" i="7"/>
  <c r="Q67" i="5"/>
  <c r="Y67" i="6"/>
  <c r="AY69" i="7"/>
  <c r="AZ69" i="7"/>
  <c r="BA69" i="7"/>
  <c r="Q66" i="5"/>
  <c r="AG66" i="6"/>
  <c r="H66" i="6"/>
  <c r="E66" i="6"/>
  <c r="J66" i="6"/>
  <c r="AC66" i="6"/>
  <c r="AF66" i="6"/>
  <c r="BB69" i="7"/>
  <c r="BC69" i="7"/>
  <c r="Y66" i="6"/>
  <c r="Q65" i="5"/>
  <c r="AY68" i="7"/>
  <c r="BA68" i="7"/>
  <c r="BC68" i="7"/>
  <c r="AG65" i="6"/>
  <c r="J65" i="6"/>
  <c r="E65" i="6"/>
  <c r="H65" i="6"/>
  <c r="AC65" i="6"/>
  <c r="AF65" i="6"/>
  <c r="BB68" i="7"/>
  <c r="AZ68" i="7"/>
  <c r="BC67" i="7"/>
  <c r="Q64" i="5"/>
  <c r="AY67" i="7"/>
  <c r="BA67" i="7"/>
  <c r="Y65" i="6"/>
  <c r="AZ67" i="7"/>
  <c r="AG64" i="6"/>
  <c r="H64" i="6"/>
  <c r="J64" i="6"/>
  <c r="E64" i="6"/>
  <c r="AC64" i="6"/>
  <c r="AF64" i="6"/>
  <c r="BB67" i="7"/>
  <c r="BB66" i="7"/>
  <c r="BA66" i="7"/>
  <c r="AZ66" i="7"/>
  <c r="Y64" i="6"/>
  <c r="AY66" i="7"/>
  <c r="AG63" i="6"/>
  <c r="J63" i="6"/>
  <c r="H63" i="6"/>
  <c r="E63" i="6"/>
  <c r="AC63" i="6"/>
  <c r="AF63" i="6"/>
  <c r="Q63" i="5"/>
  <c r="BC66" i="7"/>
  <c r="Y63" i="6"/>
  <c r="AY65" i="7"/>
  <c r="BA65" i="7"/>
  <c r="BC65" i="7"/>
  <c r="AZ65" i="7"/>
  <c r="Q62" i="5"/>
  <c r="AG62" i="6"/>
  <c r="J62" i="6"/>
  <c r="E62" i="6"/>
  <c r="H62" i="6"/>
  <c r="AC62" i="6"/>
  <c r="AF62" i="6"/>
  <c r="BB65" i="7"/>
  <c r="BA64" i="7"/>
  <c r="AG61" i="6"/>
  <c r="E61" i="6"/>
  <c r="H61" i="6"/>
  <c r="J61" i="6"/>
  <c r="AC61" i="6"/>
  <c r="AF61" i="6"/>
  <c r="Q61" i="5"/>
  <c r="BC64" i="7"/>
  <c r="AZ64" i="7"/>
  <c r="Y62" i="6"/>
  <c r="AD52" i="4"/>
  <c r="AY64" i="7"/>
  <c r="BB64" i="7"/>
  <c r="AZ63" i="7"/>
  <c r="BC63" i="7"/>
  <c r="BB63" i="7"/>
  <c r="Y61" i="6"/>
  <c r="AY63" i="7"/>
  <c r="D5" i="2"/>
  <c r="AZ51" i="4"/>
  <c r="Q60" i="5"/>
  <c r="BA63" i="7"/>
  <c r="AG60" i="6"/>
  <c r="E60" i="6"/>
  <c r="H60" i="6"/>
  <c r="J60" i="6"/>
  <c r="AC60" i="6"/>
  <c r="AF60" i="6"/>
  <c r="BB62" i="7"/>
  <c r="AZ62" i="7"/>
  <c r="Y60" i="6"/>
  <c r="Q59" i="5"/>
  <c r="BC62" i="7"/>
  <c r="BA62" i="7"/>
  <c r="AY62" i="7"/>
  <c r="AG59" i="6"/>
  <c r="H59" i="6"/>
  <c r="J59" i="6"/>
  <c r="E59" i="6"/>
  <c r="AC59" i="6"/>
  <c r="AF59" i="6"/>
  <c r="Q58" i="5"/>
  <c r="AY61" i="7"/>
  <c r="BC61" i="7"/>
  <c r="BB61" i="7"/>
  <c r="AZ61" i="7"/>
  <c r="Y59" i="6"/>
  <c r="BA61" i="7"/>
  <c r="AG58" i="6"/>
  <c r="E58" i="6"/>
  <c r="H58" i="6"/>
  <c r="J58" i="6"/>
  <c r="AC58" i="6"/>
  <c r="AF58" i="6"/>
  <c r="BB60" i="7"/>
  <c r="BC60" i="7"/>
  <c r="Y58" i="6"/>
  <c r="Q57" i="5"/>
  <c r="AY60" i="7"/>
  <c r="AZ60" i="7"/>
  <c r="BA60" i="7"/>
  <c r="AG57" i="6"/>
  <c r="J57" i="6"/>
  <c r="E57" i="6"/>
  <c r="H57" i="6"/>
  <c r="AC57" i="6"/>
  <c r="AF57" i="6"/>
  <c r="BA59" i="7"/>
  <c r="BC59" i="7"/>
  <c r="AG56" i="6"/>
  <c r="J56" i="6"/>
  <c r="E56" i="6"/>
  <c r="H56" i="6"/>
  <c r="AC56" i="6"/>
  <c r="AF56" i="6"/>
  <c r="Y57" i="6"/>
  <c r="AY59" i="7"/>
  <c r="Q56" i="5"/>
  <c r="AZ59" i="7"/>
  <c r="BB59" i="7"/>
  <c r="BA58" i="7"/>
  <c r="BC58" i="7"/>
  <c r="AZ58" i="7"/>
  <c r="Y56" i="6"/>
  <c r="Q55" i="5"/>
  <c r="AY58" i="7"/>
  <c r="AG55" i="6"/>
  <c r="E55" i="6"/>
  <c r="H55" i="6"/>
  <c r="J55" i="6"/>
  <c r="AC55" i="6"/>
  <c r="AF55" i="6"/>
  <c r="BB58" i="7"/>
  <c r="AY57" i="7"/>
  <c r="BC57" i="7"/>
  <c r="AZ57" i="7"/>
  <c r="AG54" i="6"/>
  <c r="H54" i="6"/>
  <c r="J54" i="6"/>
  <c r="E54" i="6"/>
  <c r="AC54" i="6"/>
  <c r="AF54" i="6"/>
  <c r="BB57" i="7"/>
  <c r="Q54" i="5"/>
  <c r="Y55" i="6"/>
  <c r="BA57" i="7"/>
  <c r="BA56" i="7"/>
  <c r="Y54" i="6"/>
  <c r="AG53" i="6"/>
  <c r="H53" i="6"/>
  <c r="E53" i="6"/>
  <c r="J53" i="6"/>
  <c r="AC53" i="6"/>
  <c r="AF53" i="6"/>
  <c r="AZ56" i="7"/>
  <c r="AY56" i="7"/>
  <c r="BC56" i="7"/>
  <c r="BB56" i="7"/>
  <c r="Q53" i="5"/>
  <c r="AY55" i="7"/>
  <c r="BA55" i="7"/>
  <c r="BC55" i="7"/>
  <c r="Q52" i="5"/>
  <c r="BB55" i="7"/>
  <c r="Y53" i="6"/>
  <c r="AG52" i="6"/>
  <c r="E52" i="6"/>
  <c r="H52" i="6"/>
  <c r="J52" i="6"/>
  <c r="AC52" i="6"/>
  <c r="AF52" i="6"/>
  <c r="AZ55" i="7"/>
  <c r="AY54" i="7"/>
  <c r="BC54" i="7"/>
  <c r="BB54" i="7"/>
  <c r="Q51" i="5"/>
  <c r="Y52" i="6"/>
  <c r="R33" i="3"/>
  <c r="AZ54" i="7"/>
  <c r="AG51" i="6"/>
  <c r="J51" i="6"/>
  <c r="H51" i="6"/>
  <c r="E51" i="6"/>
  <c r="AC51" i="6"/>
  <c r="AD51" i="6"/>
  <c r="AF51" i="6"/>
  <c r="BA54" i="7"/>
  <c r="BB53" i="7"/>
  <c r="AZ53" i="7"/>
  <c r="AD51" i="4"/>
  <c r="BA53" i="7"/>
  <c r="BC53" i="7"/>
  <c r="E14" i="1"/>
  <c r="AY53" i="7"/>
  <c r="Y51" i="6"/>
  <c r="BC52" i="7"/>
  <c r="Y50" i="6"/>
  <c r="S33" i="3"/>
  <c r="T33" i="3"/>
  <c r="BB52" i="7"/>
  <c r="AY52" i="7"/>
  <c r="AZ52" i="7"/>
  <c r="D6" i="1"/>
  <c r="E6" i="1"/>
  <c r="BA52" i="7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BB51" i="7"/>
  <c r="AZ51" i="7"/>
  <c r="BA51" i="7"/>
  <c r="BC51" i="7"/>
  <c r="Y49" i="6"/>
  <c r="AY51" i="7"/>
  <c r="BB50" i="7"/>
  <c r="AZ50" i="7"/>
  <c r="Y48" i="6"/>
  <c r="BA50" i="7"/>
  <c r="BC50" i="7"/>
  <c r="AY50" i="7"/>
  <c r="BC49" i="7"/>
  <c r="BA49" i="7"/>
  <c r="Y47" i="6"/>
  <c r="AY49" i="7"/>
  <c r="BB49" i="7"/>
  <c r="AZ49" i="7"/>
  <c r="AY48" i="7"/>
  <c r="BB48" i="7"/>
  <c r="Y46" i="6"/>
  <c r="AZ48" i="7"/>
  <c r="BA48" i="7"/>
  <c r="BC48" i="7"/>
  <c r="AZ47" i="7"/>
  <c r="BC47" i="7"/>
  <c r="AY47" i="7"/>
  <c r="Y45" i="6"/>
  <c r="BA47" i="7"/>
  <c r="BB47" i="7"/>
  <c r="Y44" i="6"/>
  <c r="Y43" i="6"/>
  <c r="Y42" i="6"/>
  <c r="Y41" i="6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Q20" i="3"/>
  <c r="Y40" i="6"/>
  <c r="Y39" i="6"/>
  <c r="BA39" i="5"/>
  <c r="BA40" i="5"/>
  <c r="BA41" i="5"/>
  <c r="BA42" i="5"/>
  <c r="BA43" i="5"/>
  <c r="BA44" i="5"/>
  <c r="BA45" i="5"/>
  <c r="BA46" i="5"/>
  <c r="BA47" i="5"/>
  <c r="BA48" i="5"/>
  <c r="BA49" i="5"/>
  <c r="BA50" i="5"/>
  <c r="BA51" i="5"/>
  <c r="BA52" i="5"/>
  <c r="BA53" i="5"/>
  <c r="BA54" i="5"/>
  <c r="BA55" i="5"/>
  <c r="BA56" i="5"/>
  <c r="BA57" i="5"/>
  <c r="BA58" i="5"/>
  <c r="BA59" i="5"/>
  <c r="BA60" i="5"/>
  <c r="BA61" i="5"/>
  <c r="BA62" i="5"/>
  <c r="BA63" i="5"/>
  <c r="BA64" i="5"/>
  <c r="BA65" i="5"/>
  <c r="BA66" i="5"/>
  <c r="BA67" i="5"/>
  <c r="BA68" i="5"/>
  <c r="BA69" i="5"/>
  <c r="BA70" i="5"/>
  <c r="BA71" i="5"/>
  <c r="BA72" i="5"/>
  <c r="BA73" i="5"/>
  <c r="BA74" i="5"/>
  <c r="BA75" i="5"/>
  <c r="BA76" i="5"/>
  <c r="BA77" i="5"/>
  <c r="BA78" i="5"/>
  <c r="BA79" i="5"/>
  <c r="BA80" i="5"/>
  <c r="BA81" i="5"/>
  <c r="BA82" i="5"/>
  <c r="BA83" i="5"/>
  <c r="BA84" i="5"/>
  <c r="BA85" i="5"/>
  <c r="BA8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K3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Autor:
já inclusa no custo raso conforme clausulá 5.1 e 6.1.1 do contrato de construção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A3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Autor:
ajuste valor chamada que entrou em dezembro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11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Juros pós chaves</t>
        </r>
      </text>
    </comment>
    <comment ref="H14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PIS/Cofins sobre vendas</t>
        </r>
      </text>
    </comment>
    <comment ref="M14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9% - Taxa Construção +  1,5% - Assistência  Técnica</t>
        </r>
      </text>
    </comment>
    <comment ref="Z14" authorId="0" shapeId="0" xr:uid="{00000000-0006-0000-0F00-000004000000}">
      <text>
        <r>
          <rPr>
            <sz val="11"/>
            <color theme="1"/>
            <rFont val="Calibri"/>
            <family val="2"/>
            <scheme val="minor"/>
          </rPr>
          <t>Taxa de Administração</t>
        </r>
      </text>
    </comment>
    <comment ref="AC14" authorId="0" shapeId="0" xr:uid="{00000000-0006-0000-0F00-000005000000}">
      <text>
        <r>
          <rPr>
            <sz val="11"/>
            <color theme="1"/>
            <rFont val="Calibri"/>
            <family val="2"/>
            <scheme val="minor"/>
          </rPr>
          <t>IR/CSLL - LDI</t>
        </r>
      </text>
    </comment>
  </commentList>
</comments>
</file>

<file path=xl/sharedStrings.xml><?xml version="1.0" encoding="utf-8"?>
<sst xmlns="http://schemas.openxmlformats.org/spreadsheetml/2006/main" count="3735" uniqueCount="918">
  <si>
    <t>Ativo</t>
  </si>
  <si>
    <t>01/10/2020 - Base</t>
  </si>
  <si>
    <t>∆</t>
  </si>
  <si>
    <t>Base data?</t>
  </si>
  <si>
    <t>Inflacionado?</t>
  </si>
  <si>
    <t>Sim</t>
  </si>
  <si>
    <t>Caixa</t>
  </si>
  <si>
    <t>Receita (Carteira + Estoque) - ex permuta</t>
  </si>
  <si>
    <t>Receita Permuta</t>
  </si>
  <si>
    <t>Comentários</t>
  </si>
  <si>
    <t>ver distribuições fluxo LDI x alugueis</t>
  </si>
  <si>
    <t>Impostos</t>
  </si>
  <si>
    <t>Custo de Obra</t>
  </si>
  <si>
    <t>Taxa de Administração Obra</t>
  </si>
  <si>
    <t>Carrego</t>
  </si>
  <si>
    <t>Incorporação</t>
  </si>
  <si>
    <t>Marketing</t>
  </si>
  <si>
    <t>Taxa de Gestão Imobiliária</t>
  </si>
  <si>
    <t>venda</t>
  </si>
  <si>
    <t>valor tabela</t>
  </si>
  <si>
    <t>Outras Despesas</t>
  </si>
  <si>
    <t>TOTAL DESPESAS</t>
  </si>
  <si>
    <t>ganho vendas</t>
  </si>
  <si>
    <t>Terreno + CEPAC</t>
  </si>
  <si>
    <t>ganho tabela</t>
  </si>
  <si>
    <t>Receitas/Despesas Financeiras</t>
  </si>
  <si>
    <t>var. multipla</t>
  </si>
  <si>
    <t>TOTAL</t>
  </si>
  <si>
    <t>NAV TOTAL (c/ permuta)</t>
  </si>
  <si>
    <t>NAV SCP</t>
  </si>
  <si>
    <t>TIR REAL PROJETO</t>
  </si>
  <si>
    <t>TIR NOMINAL PROJETO</t>
  </si>
  <si>
    <t>tabela nova</t>
  </si>
  <si>
    <t>tabela antiga</t>
  </si>
  <si>
    <t>TIR REAL HOLDING</t>
  </si>
  <si>
    <t>TIR REAL HOLDING - PÓS-PERF.</t>
  </si>
  <si>
    <t>TIR NOMINAL HOLDING</t>
  </si>
  <si>
    <t>MULTIPLO</t>
  </si>
  <si>
    <t>Não</t>
  </si>
  <si>
    <t>estamos usando d-2 para a data base</t>
  </si>
  <si>
    <t>Data base</t>
  </si>
  <si>
    <t>INCC data</t>
  </si>
  <si>
    <t>INCC d-2</t>
  </si>
  <si>
    <t>Variação INCC d-2</t>
  </si>
  <si>
    <t>IPCA data</t>
  </si>
  <si>
    <t>IPCA d-2</t>
  </si>
  <si>
    <t>Variação IPCA d-2</t>
  </si>
  <si>
    <t>Datas</t>
  </si>
  <si>
    <t>Curva de Venda Pós-Chaves</t>
  </si>
  <si>
    <t>Carteira</t>
  </si>
  <si>
    <t>Premissas SPE</t>
  </si>
  <si>
    <t>Resultados</t>
  </si>
  <si>
    <t>Compra do terreno</t>
  </si>
  <si>
    <t>Carência</t>
  </si>
  <si>
    <t>Tipo</t>
  </si>
  <si>
    <t>Caixa Mínimo Pré Obra</t>
  </si>
  <si>
    <t>Lucro Real SPE</t>
  </si>
  <si>
    <t>Lançamento</t>
  </si>
  <si>
    <t>Prazo</t>
  </si>
  <si>
    <t>Valor Carteira</t>
  </si>
  <si>
    <t>Caixa Mínimo Pós Obra</t>
  </si>
  <si>
    <t>TIR Real SPE</t>
  </si>
  <si>
    <t>Início de obra</t>
  </si>
  <si>
    <t>Prazo Repasse</t>
  </si>
  <si>
    <t>Distribuição Mínima</t>
  </si>
  <si>
    <t>Entrega</t>
  </si>
  <si>
    <t>Ato</t>
  </si>
  <si>
    <t>Início Distribuições</t>
  </si>
  <si>
    <t>Lucro Nominal SPE</t>
  </si>
  <si>
    <t>Término Projeto</t>
  </si>
  <si>
    <t>Mensais</t>
  </si>
  <si>
    <t>TIR Nominal SPE</t>
  </si>
  <si>
    <t>Repasse</t>
  </si>
  <si>
    <t>Inadimplência</t>
  </si>
  <si>
    <t>Passivos SPE</t>
  </si>
  <si>
    <t>Cenário Macro</t>
  </si>
  <si>
    <t>Indadimplência</t>
  </si>
  <si>
    <t>Pré-performance</t>
  </si>
  <si>
    <t>CDI Nominal Bruto Ano</t>
  </si>
  <si>
    <t>Curva de Venda Pré-Chaves</t>
  </si>
  <si>
    <t>Curva Projetada</t>
  </si>
  <si>
    <t>Condomínio</t>
  </si>
  <si>
    <t>Lucro Real Holding</t>
  </si>
  <si>
    <t>CDI Nominal Bruto Mês</t>
  </si>
  <si>
    <t>Ch-Repasse</t>
  </si>
  <si>
    <t>% Distrato</t>
  </si>
  <si>
    <t>IPTU</t>
  </si>
  <si>
    <t>TIR Real Holding</t>
  </si>
  <si>
    <t>Aplicação CDI</t>
  </si>
  <si>
    <t>Período Repasse</t>
  </si>
  <si>
    <t>% Devolução</t>
  </si>
  <si>
    <t>Pós-performance</t>
  </si>
  <si>
    <t>% Imposto</t>
  </si>
  <si>
    <t>PDD</t>
  </si>
  <si>
    <t>CDI Nominal Líquido Mês</t>
  </si>
  <si>
    <t>IPCA Ano</t>
  </si>
  <si>
    <t>Quadro Unidades</t>
  </si>
  <si>
    <t>Gestão/Adm</t>
  </si>
  <si>
    <t>IPCA Mês</t>
  </si>
  <si>
    <t>Lucro Nominal Holding</t>
  </si>
  <si>
    <t>CDI Real Mensal Liq</t>
  </si>
  <si>
    <t>Hipóteses de Venda</t>
  </si>
  <si>
    <t>ajuste</t>
  </si>
  <si>
    <t>Quitados</t>
  </si>
  <si>
    <t>TIR Nominal Holding</t>
  </si>
  <si>
    <t>Estoque</t>
  </si>
  <si>
    <t>Premissas Holding</t>
  </si>
  <si>
    <t>Participação Investidores</t>
  </si>
  <si>
    <t>Período de obra</t>
  </si>
  <si>
    <t>Permuta</t>
  </si>
  <si>
    <t>Velocidade de Vendas</t>
  </si>
  <si>
    <t>SCP Permuta</t>
  </si>
  <si>
    <t>Pós-Chaves</t>
  </si>
  <si>
    <t>SCP Equity</t>
  </si>
  <si>
    <t>Valor Estoque</t>
  </si>
  <si>
    <t>Seed Money</t>
  </si>
  <si>
    <t>Preço de venda</t>
  </si>
  <si>
    <t>Obra</t>
  </si>
  <si>
    <t>Passivos Holding</t>
  </si>
  <si>
    <t>CM Corporate</t>
  </si>
  <si>
    <t>Tabela</t>
  </si>
  <si>
    <t>Chamadas de Capital SCP</t>
  </si>
  <si>
    <t>Aportes SPE</t>
  </si>
  <si>
    <t>% Aportes</t>
  </si>
  <si>
    <t>LDI</t>
  </si>
  <si>
    <t>Histórico</t>
  </si>
  <si>
    <t>INCC base</t>
  </si>
  <si>
    <t>Auditoria</t>
  </si>
  <si>
    <t>1ª chamada</t>
  </si>
  <si>
    <t>Custo Raso</t>
  </si>
  <si>
    <t>Monitoramento Obra</t>
  </si>
  <si>
    <t>2ª chamada</t>
  </si>
  <si>
    <t>TIR Investidores</t>
  </si>
  <si>
    <t>Real</t>
  </si>
  <si>
    <t>Desconto</t>
  </si>
  <si>
    <t>Custo Raso (INCC)</t>
  </si>
  <si>
    <t>Jurídico</t>
  </si>
  <si>
    <t>3ª chamada</t>
  </si>
  <si>
    <t>SCP 1</t>
  </si>
  <si>
    <t>Gordura</t>
  </si>
  <si>
    <t>Taxa de Administração</t>
  </si>
  <si>
    <t>4ª chamada</t>
  </si>
  <si>
    <t>SCP 2</t>
  </si>
  <si>
    <t>Comissão</t>
  </si>
  <si>
    <t>Assistência Técnica</t>
  </si>
  <si>
    <t>Contabilidade</t>
  </si>
  <si>
    <t>5ª chamada</t>
  </si>
  <si>
    <t>SCP 3</t>
  </si>
  <si>
    <t>Prêmio</t>
  </si>
  <si>
    <t>Tolerância</t>
  </si>
  <si>
    <t>6ª chamada</t>
  </si>
  <si>
    <t>SCP 4</t>
  </si>
  <si>
    <t>Preço Líquido</t>
  </si>
  <si>
    <t>Premissa Tolerância</t>
  </si>
  <si>
    <t>7ª chamada</t>
  </si>
  <si>
    <t>-</t>
  </si>
  <si>
    <t>SCP 5</t>
  </si>
  <si>
    <t>Performance</t>
  </si>
  <si>
    <t>8ª chamada</t>
  </si>
  <si>
    <t>SCP 6</t>
  </si>
  <si>
    <t>Venda Permutas</t>
  </si>
  <si>
    <t>Hurdle</t>
  </si>
  <si>
    <t>SCP 7</t>
  </si>
  <si>
    <t>Adicional Venda</t>
  </si>
  <si>
    <t>Taxa Performance</t>
  </si>
  <si>
    <t>SCP 8</t>
  </si>
  <si>
    <t>ITBI + cartório</t>
  </si>
  <si>
    <t>Total Performance</t>
  </si>
  <si>
    <t>SCP 9</t>
  </si>
  <si>
    <t>Imposto ganho de K</t>
  </si>
  <si>
    <t>SCP 10</t>
  </si>
  <si>
    <t>SCP 11</t>
  </si>
  <si>
    <t>SCP 12</t>
  </si>
  <si>
    <t>SCP 13</t>
  </si>
  <si>
    <t>SUAVIZAR CURVA REPASSE VENDIDOS</t>
  </si>
  <si>
    <t>ter VPL</t>
  </si>
  <si>
    <t>Data</t>
  </si>
  <si>
    <t>INCC</t>
  </si>
  <si>
    <t>IPCA</t>
  </si>
  <si>
    <t>Caixa Inicial</t>
  </si>
  <si>
    <t>Vendido</t>
  </si>
  <si>
    <t>A Vender</t>
  </si>
  <si>
    <t>Permuta Kinea</t>
  </si>
  <si>
    <t>Permuta LDI</t>
  </si>
  <si>
    <t>Fluxo Total de Recebíveis</t>
  </si>
  <si>
    <t>Comercial e Marketing</t>
  </si>
  <si>
    <t>Outras Receitas</t>
  </si>
  <si>
    <t>Despesas Totais</t>
  </si>
  <si>
    <t>Entrada Financiamento</t>
  </si>
  <si>
    <t>Saída Financiamento</t>
  </si>
  <si>
    <t>Terreno</t>
  </si>
  <si>
    <t>CEPAC</t>
  </si>
  <si>
    <t>Resultado</t>
  </si>
  <si>
    <t>Caixa Intermediário</t>
  </si>
  <si>
    <t>Aportes</t>
  </si>
  <si>
    <t>Distribuições</t>
  </si>
  <si>
    <t>Caixa Final</t>
  </si>
  <si>
    <t>Caixa Final Efetivo</t>
  </si>
  <si>
    <t>Saldo Nominal</t>
  </si>
  <si>
    <t>Saldo Acumulado</t>
  </si>
  <si>
    <t>Saldo Real</t>
  </si>
  <si>
    <t>Despesas Totais INCC</t>
  </si>
  <si>
    <t>Terreno INCC</t>
  </si>
  <si>
    <t>CEPAC INCC</t>
  </si>
  <si>
    <t>Receita Financeira INCC</t>
  </si>
  <si>
    <t>Chamada Efetiva</t>
  </si>
  <si>
    <t>Distribuição Efetiva</t>
  </si>
  <si>
    <t>Chamada Equity</t>
  </si>
  <si>
    <t>Chamada Permuta</t>
  </si>
  <si>
    <t>SPE Bandeira Incorporação Equity</t>
  </si>
  <si>
    <t>SPE Bandeira Incorporação Permuta</t>
  </si>
  <si>
    <t>SPE Bandeira Incorporação</t>
  </si>
  <si>
    <t>Bandeira Co Nominal</t>
  </si>
  <si>
    <t>Bandeira Co Real</t>
  </si>
  <si>
    <t>Taxa de Performance Permutas</t>
  </si>
  <si>
    <t>Chamada Equity Modelo</t>
  </si>
  <si>
    <t>Chamada Permuta Modelo</t>
  </si>
  <si>
    <t>Distribuição Modelo</t>
  </si>
  <si>
    <t>Saldo Real Acumulado</t>
  </si>
  <si>
    <t>Base Performance</t>
  </si>
  <si>
    <t>Saldo Nominal Pós Performance</t>
  </si>
  <si>
    <t>Saldo Acumulado Nominal Pós Performance</t>
  </si>
  <si>
    <t>Saldo Real Pós-Performance</t>
  </si>
  <si>
    <t>LDI Permuta</t>
  </si>
  <si>
    <t>Empresa 1</t>
  </si>
  <si>
    <t>K Próprio</t>
  </si>
  <si>
    <t>Bandeira Co Total</t>
  </si>
  <si>
    <t>Bandeira Co Equity</t>
  </si>
  <si>
    <t>Bandeira Co Permuta</t>
  </si>
  <si>
    <t>Aporte Bandeira Co Equity</t>
  </si>
  <si>
    <t>Aporte Bandeira Co Permuta</t>
  </si>
  <si>
    <t>Validação</t>
  </si>
  <si>
    <t>Total Chamada K Bandeira-Co</t>
  </si>
  <si>
    <t>Total part. Permuta Bandeira-Co</t>
  </si>
  <si>
    <t>Total Aportado Permuta SPE</t>
  </si>
  <si>
    <t>Saldo Custo Permuta</t>
  </si>
  <si>
    <t>Acumulado Permuta</t>
  </si>
  <si>
    <t>Taxa de Administração Permuta</t>
  </si>
  <si>
    <t>Total</t>
  </si>
  <si>
    <t>ID Unidade</t>
  </si>
  <si>
    <t>Unidade</t>
  </si>
  <si>
    <t>Final</t>
  </si>
  <si>
    <t>M²</t>
  </si>
  <si>
    <t>Vagas</t>
  </si>
  <si>
    <t>ID Andar</t>
  </si>
  <si>
    <t>SCPista</t>
  </si>
  <si>
    <t>Custo</t>
  </si>
  <si>
    <t>Saldo SCPista</t>
  </si>
  <si>
    <t>Permuta - Kinea</t>
  </si>
  <si>
    <t>Permuta - LDI</t>
  </si>
  <si>
    <t>Preço</t>
  </si>
  <si>
    <t>Total Unidades</t>
  </si>
  <si>
    <t>Fluxo de Pagamento</t>
  </si>
  <si>
    <t>Início de Obra</t>
  </si>
  <si>
    <t>Início de Obra + 12</t>
  </si>
  <si>
    <t>Total Comprometido</t>
  </si>
  <si>
    <t>Custo Unidade</t>
  </si>
  <si>
    <t>Custo Corrigido</t>
  </si>
  <si>
    <t>Diferença</t>
  </si>
  <si>
    <t>Saldo Devedor</t>
  </si>
  <si>
    <t>Equity</t>
  </si>
  <si>
    <t>Saldo Aporte</t>
  </si>
  <si>
    <t>Adicional CEPAC</t>
  </si>
  <si>
    <t>Chamadas de Capital SCPistas</t>
  </si>
  <si>
    <t>Chamada</t>
  </si>
  <si>
    <t>Data aporte SPE</t>
  </si>
  <si>
    <t>Chamada de K</t>
  </si>
  <si>
    <t>Aportado SPE</t>
  </si>
  <si>
    <t>Percentual</t>
  </si>
  <si>
    <t>ajustado pois pagamos performance nesse mês na coluna de taxa adm</t>
  </si>
  <si>
    <t>aconteceu</t>
  </si>
  <si>
    <t>futuro</t>
  </si>
  <si>
    <t>Aportes + Recebíveis</t>
  </si>
  <si>
    <t>Curva Obra</t>
  </si>
  <si>
    <t>Fluxo Inicial out-2018</t>
  </si>
  <si>
    <t>Fluxo Inicial INCC</t>
  </si>
  <si>
    <t>Curva Inicial</t>
  </si>
  <si>
    <t>Fluxo Original</t>
  </si>
  <si>
    <t>Fluxo Original INCC</t>
  </si>
  <si>
    <t>Fluxo Original + tolerância INCC</t>
  </si>
  <si>
    <t>Fluxo Original + tolerância Hoje</t>
  </si>
  <si>
    <t>Validação Curva Obra</t>
  </si>
  <si>
    <t>Fluxo Incorrido</t>
  </si>
  <si>
    <t>Fluxo Incorrido INCC</t>
  </si>
  <si>
    <t>Fluxo Final INCC</t>
  </si>
  <si>
    <t>Fluxo Final + tolerência INCC</t>
  </si>
  <si>
    <t>Fluxo Final</t>
  </si>
  <si>
    <t>Curva Atualizada</t>
  </si>
  <si>
    <t>Acompanhamento Físico</t>
  </si>
  <si>
    <t>Cronograma 1a fase</t>
  </si>
  <si>
    <t>Legenda</t>
  </si>
  <si>
    <t>Mês</t>
  </si>
  <si>
    <t>Início obras</t>
  </si>
  <si>
    <t>Término obras</t>
  </si>
  <si>
    <t>Base</t>
  </si>
  <si>
    <t>Custo Raso INCC</t>
  </si>
  <si>
    <t>Custo Raso + tolerância INCC</t>
  </si>
  <si>
    <t>Total Hoje</t>
  </si>
  <si>
    <t>Gasto</t>
  </si>
  <si>
    <t>A Gastar</t>
  </si>
  <si>
    <t>Fluxo Inicial</t>
  </si>
  <si>
    <t>Total Fluxo Original</t>
  </si>
  <si>
    <t>Total Fluxo Original Hoje</t>
  </si>
  <si>
    <t>ID</t>
  </si>
  <si>
    <t>Andar</t>
  </si>
  <si>
    <t>Status</t>
  </si>
  <si>
    <t>Data Venda</t>
  </si>
  <si>
    <t>Mês venda</t>
  </si>
  <si>
    <t>Valor Vendido Original</t>
  </si>
  <si>
    <t>R$/m² vendido</t>
  </si>
  <si>
    <t>R$/m² projeção</t>
  </si>
  <si>
    <t>R$/m² líquido</t>
  </si>
  <si>
    <t>Estoque?</t>
  </si>
  <si>
    <t>Vendida</t>
  </si>
  <si>
    <t>Quitada</t>
  </si>
  <si>
    <t>Memória de Cálculo Tabela</t>
  </si>
  <si>
    <t>Δ Andar</t>
  </si>
  <si>
    <t>Δ Andar adicional</t>
  </si>
  <si>
    <t>Δ Final</t>
  </si>
  <si>
    <t>Δ Genérico</t>
  </si>
  <si>
    <t>Δ Garden</t>
  </si>
  <si>
    <t>Preço Tipo (R$/m²)</t>
  </si>
  <si>
    <t>B-011</t>
  </si>
  <si>
    <t>B-012</t>
  </si>
  <si>
    <t>%Plus</t>
  </si>
  <si>
    <t>B-021</t>
  </si>
  <si>
    <t>Andar Tipo</t>
  </si>
  <si>
    <t>B-022</t>
  </si>
  <si>
    <t>Δ Final 1</t>
  </si>
  <si>
    <t>B-031</t>
  </si>
  <si>
    <t>Δ Final 2</t>
  </si>
  <si>
    <t>B-032</t>
  </si>
  <si>
    <t>Δ Garden 01</t>
  </si>
  <si>
    <t>B-041</t>
  </si>
  <si>
    <t>Δ Garden 02</t>
  </si>
  <si>
    <t>B-042</t>
  </si>
  <si>
    <t>Δ Andares</t>
  </si>
  <si>
    <t>B-051</t>
  </si>
  <si>
    <t>B-052</t>
  </si>
  <si>
    <t>Área Garden (m²)</t>
  </si>
  <si>
    <t>B-061</t>
  </si>
  <si>
    <t>B-062</t>
  </si>
  <si>
    <t>B-071</t>
  </si>
  <si>
    <t>B-072</t>
  </si>
  <si>
    <t>Preço/m²</t>
  </si>
  <si>
    <t>B-081</t>
  </si>
  <si>
    <t>Preço base</t>
  </si>
  <si>
    <t>B-082</t>
  </si>
  <si>
    <t>Data base preço</t>
  </si>
  <si>
    <t>B-091</t>
  </si>
  <si>
    <t>Input</t>
  </si>
  <si>
    <t>B-092</t>
  </si>
  <si>
    <t>B-101</t>
  </si>
  <si>
    <t>Premissas Output</t>
  </si>
  <si>
    <t>B-102</t>
  </si>
  <si>
    <t>nº unidades equity</t>
  </si>
  <si>
    <t>B-111</t>
  </si>
  <si>
    <t>Média área (m²)</t>
  </si>
  <si>
    <t>B-112</t>
  </si>
  <si>
    <t>VGV equity</t>
  </si>
  <si>
    <t>B-121</t>
  </si>
  <si>
    <t>B-122</t>
  </si>
  <si>
    <t>B-131</t>
  </si>
  <si>
    <t>B-132</t>
  </si>
  <si>
    <t>B-141</t>
  </si>
  <si>
    <t>B-142</t>
  </si>
  <si>
    <t>B-151</t>
  </si>
  <si>
    <t>B-152</t>
  </si>
  <si>
    <t>B-161</t>
  </si>
  <si>
    <t>B-162</t>
  </si>
  <si>
    <t>B-171</t>
  </si>
  <si>
    <t>B-172</t>
  </si>
  <si>
    <t>B-181</t>
  </si>
  <si>
    <t>B-182</t>
  </si>
  <si>
    <t>B-191</t>
  </si>
  <si>
    <t>B-192</t>
  </si>
  <si>
    <t>B-201</t>
  </si>
  <si>
    <t>B-202</t>
  </si>
  <si>
    <t>B-211</t>
  </si>
  <si>
    <t>B-212</t>
  </si>
  <si>
    <t>B-221</t>
  </si>
  <si>
    <t>B-222</t>
  </si>
  <si>
    <t>B-231</t>
  </si>
  <si>
    <t>B-232</t>
  </si>
  <si>
    <t>Vendas</t>
  </si>
  <si>
    <t>Carrego do Estoque</t>
  </si>
  <si>
    <t>Carrego dos Vendidos</t>
  </si>
  <si>
    <t>Receita</t>
  </si>
  <si>
    <t># Mês</t>
  </si>
  <si>
    <t>% Mensal</t>
  </si>
  <si>
    <t>% Acumulado</t>
  </si>
  <si>
    <t>Estoque Inicial</t>
  </si>
  <si>
    <t>Repasses</t>
  </si>
  <si>
    <t>Estoque Final</t>
  </si>
  <si>
    <t>Base Carrego</t>
  </si>
  <si>
    <t>Parcela</t>
  </si>
  <si>
    <t>% Receita</t>
  </si>
  <si>
    <t>Data Base +1</t>
  </si>
  <si>
    <t>PRÉ-CHAVES</t>
  </si>
  <si>
    <t>L</t>
  </si>
  <si>
    <t>Lçto</t>
  </si>
  <si>
    <t>IO</t>
  </si>
  <si>
    <t>VSO</t>
  </si>
  <si>
    <t>CH</t>
  </si>
  <si>
    <t>Chaves</t>
  </si>
  <si>
    <t>TP</t>
  </si>
  <si>
    <t>PÓS-CHAVES</t>
  </si>
  <si>
    <t>Status Multipla</t>
  </si>
  <si>
    <t>Status Planilha</t>
  </si>
  <si>
    <t>A0012</t>
  </si>
  <si>
    <t>COND LINDENBERG RESERVA ITAIM</t>
  </si>
  <si>
    <t>A0041</t>
  </si>
  <si>
    <t>Liquidado</t>
  </si>
  <si>
    <t>A0052</t>
  </si>
  <si>
    <t>A0062</t>
  </si>
  <si>
    <t>A0072</t>
  </si>
  <si>
    <t>A0082</t>
  </si>
  <si>
    <t>A0092</t>
  </si>
  <si>
    <t>A0112</t>
  </si>
  <si>
    <t>A0122</t>
  </si>
  <si>
    <t>A0132</t>
  </si>
  <si>
    <t>A0141</t>
  </si>
  <si>
    <t>A0151</t>
  </si>
  <si>
    <t>A0171</t>
  </si>
  <si>
    <t>A0172</t>
  </si>
  <si>
    <t>A0181</t>
  </si>
  <si>
    <t>A0191</t>
  </si>
  <si>
    <t>A0192</t>
  </si>
  <si>
    <t>A0201</t>
  </si>
  <si>
    <t>A0211</t>
  </si>
  <si>
    <t>A0212</t>
  </si>
  <si>
    <t>A0221</t>
  </si>
  <si>
    <t>A0231</t>
  </si>
  <si>
    <t>A0232</t>
  </si>
  <si>
    <t>Total de Unidades</t>
  </si>
  <si>
    <t>Unidades Ativas:</t>
  </si>
  <si>
    <t>Unidades Liquidadas:</t>
  </si>
  <si>
    <t>Unidades Livres:</t>
  </si>
  <si>
    <t>Contas a Receber</t>
  </si>
  <si>
    <t>Empresa:</t>
  </si>
  <si>
    <t>SPE BANDEIRA INCORPORACAO AS</t>
  </si>
  <si>
    <t>Obra:</t>
  </si>
  <si>
    <t>Vcto.</t>
  </si>
  <si>
    <t>Cliente</t>
  </si>
  <si>
    <t>Nro.</t>
  </si>
  <si>
    <t>Moeda</t>
  </si>
  <si>
    <t>Vlr.Venc.</t>
  </si>
  <si>
    <t>Vlr em 30/11 sem encargos</t>
  </si>
  <si>
    <t>Multa</t>
  </si>
  <si>
    <t>Mora</t>
  </si>
  <si>
    <t>Seguro</t>
  </si>
  <si>
    <t>TCA</t>
  </si>
  <si>
    <t>Vlr.Corr.</t>
  </si>
  <si>
    <t>Dias Atr.</t>
  </si>
  <si>
    <t>Mês a receber</t>
  </si>
  <si>
    <t>Valor a receber</t>
  </si>
  <si>
    <t>039A0012</t>
  </si>
  <si>
    <t>01724324306_GREGORY VILLELA BRANDAO PAOLUCCI</t>
  </si>
  <si>
    <t>Mensal</t>
  </si>
  <si>
    <t>1/5</t>
  </si>
  <si>
    <t>INCC M 6</t>
  </si>
  <si>
    <t>2/5</t>
  </si>
  <si>
    <t>3/5</t>
  </si>
  <si>
    <t>4/5</t>
  </si>
  <si>
    <t>5/5</t>
  </si>
  <si>
    <t>Financiamento</t>
  </si>
  <si>
    <t>1/1</t>
  </si>
  <si>
    <t>UNICA</t>
  </si>
  <si>
    <t>039A0041</t>
  </si>
  <si>
    <t>97791423987_JULIANA CHINASSO MARTINS DE OLIVEIRA</t>
  </si>
  <si>
    <t>Intermediária</t>
  </si>
  <si>
    <t>Anual</t>
  </si>
  <si>
    <t>1/2</t>
  </si>
  <si>
    <t>Mensal 1</t>
  </si>
  <si>
    <t>1/21</t>
  </si>
  <si>
    <t>2/21</t>
  </si>
  <si>
    <t>3/21</t>
  </si>
  <si>
    <t>4/21</t>
  </si>
  <si>
    <t>5/21</t>
  </si>
  <si>
    <t>6/21</t>
  </si>
  <si>
    <t>7/21</t>
  </si>
  <si>
    <t>8/21</t>
  </si>
  <si>
    <t>2/2</t>
  </si>
  <si>
    <t>9/21</t>
  </si>
  <si>
    <t>10/21</t>
  </si>
  <si>
    <t>11/21</t>
  </si>
  <si>
    <t>12/21</t>
  </si>
  <si>
    <t>13/21</t>
  </si>
  <si>
    <t>14/21</t>
  </si>
  <si>
    <t>15/21</t>
  </si>
  <si>
    <t>16/21</t>
  </si>
  <si>
    <t>17/21</t>
  </si>
  <si>
    <t>18/21</t>
  </si>
  <si>
    <t>19/21</t>
  </si>
  <si>
    <t>20/21</t>
  </si>
  <si>
    <t>21/21</t>
  </si>
  <si>
    <t>039A0052</t>
  </si>
  <si>
    <t>12636847693_DANIELLE FERREIRA RESENDE DE OLIVEIRA</t>
  </si>
  <si>
    <t>039A0072</t>
  </si>
  <si>
    <t>28365908824_SERGIO FONSECA ROSA</t>
  </si>
  <si>
    <t>5/32</t>
  </si>
  <si>
    <t>6/32</t>
  </si>
  <si>
    <t>7/32</t>
  </si>
  <si>
    <t>8/32</t>
  </si>
  <si>
    <t>9/32</t>
  </si>
  <si>
    <t>10/32</t>
  </si>
  <si>
    <t>11/32</t>
  </si>
  <si>
    <t>12/32</t>
  </si>
  <si>
    <t>13/32</t>
  </si>
  <si>
    <t>14/32</t>
  </si>
  <si>
    <t>15/32</t>
  </si>
  <si>
    <t>16/32</t>
  </si>
  <si>
    <t>17/32</t>
  </si>
  <si>
    <t>18/32</t>
  </si>
  <si>
    <t>19/32</t>
  </si>
  <si>
    <t>20/32</t>
  </si>
  <si>
    <t>21/32</t>
  </si>
  <si>
    <t>22/32</t>
  </si>
  <si>
    <t>23/32</t>
  </si>
  <si>
    <t>24/32</t>
  </si>
  <si>
    <t>25/32</t>
  </si>
  <si>
    <t>26/32</t>
  </si>
  <si>
    <t>27/32</t>
  </si>
  <si>
    <t>28/32</t>
  </si>
  <si>
    <t>29/32</t>
  </si>
  <si>
    <t>30/32</t>
  </si>
  <si>
    <t>31/32</t>
  </si>
  <si>
    <t>32/32</t>
  </si>
  <si>
    <t>039A0082</t>
  </si>
  <si>
    <t>04785896701_ALINE MARQUES DE ANDRADE FIGUEIRA</t>
  </si>
  <si>
    <t>039A0092</t>
  </si>
  <si>
    <t>04131607859_SOFIA ALFONSO FREIRE</t>
  </si>
  <si>
    <t>2/30</t>
  </si>
  <si>
    <t>3/30</t>
  </si>
  <si>
    <t>SEMESTRAL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</si>
  <si>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</si>
  <si>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</si>
  <si>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</si>
  <si>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</si>
  <si>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</si>
  <si>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</si>
  <si>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</si>
  <si>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</si>
  <si>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</si>
  <si>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</si>
  <si>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</si>
  <si>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</si>
  <si>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</si>
  <si>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</si>
  <si>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18/30</t>
  </si>
  <si>
    <t>19/30</t>
  </si>
  <si>
    <t>20/30</t>
  </si>
  <si>
    <t>21/30</t>
  </si>
  <si>
    <t>22/30</t>
  </si>
  <si>
    <t>23/30</t>
  </si>
  <si>
    <t>24/30</t>
  </si>
  <si>
    <t>25/30</t>
  </si>
  <si>
    <t>26/30</t>
  </si>
  <si>
    <t>27/30</t>
  </si>
  <si>
    <t>28/30</t>
  </si>
  <si>
    <t>29/30</t>
  </si>
  <si>
    <t>30/30</t>
  </si>
  <si>
    <t>039A0112</t>
  </si>
  <si>
    <t>30816467820_LUIZ PAULO BURCKAUSER</t>
  </si>
  <si>
    <t>2/3</t>
  </si>
  <si>
    <t>3/3</t>
  </si>
  <si>
    <t>MENSAL 2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</si>
  <si>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</si>
  <si>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</si>
  <si>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</si>
  <si>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</si>
  <si>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</si>
  <si>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</si>
  <si>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</si>
  <si>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</si>
  <si>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</si>
  <si>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</si>
  <si>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</si>
  <si>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</si>
  <si>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</si>
  <si>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</si>
  <si>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</si>
  <si>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</si>
  <si>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</si>
  <si>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</si>
  <si>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</si>
  <si>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</si>
  <si>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</si>
  <si>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</si>
  <si>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23/25</t>
  </si>
  <si>
    <t>24/25</t>
  </si>
  <si>
    <t>25/25</t>
  </si>
  <si>
    <t>039A0122</t>
  </si>
  <si>
    <t>35763764889_FABIO CORREA DA FONSECA</t>
  </si>
  <si>
    <t>039A0132</t>
  </si>
  <si>
    <t>02442270714_ALEXANDRE COSTA CARVALHO DE F RODRIGUES</t>
  </si>
  <si>
    <t>039A0141</t>
  </si>
  <si>
    <t>00697567834_CARLOS ALBERTO DE SOUZA ROSSI</t>
  </si>
  <si>
    <t>039A0171</t>
  </si>
  <si>
    <t>07777366912_GABRIELLE FONTOURA BERGER</t>
  </si>
  <si>
    <t>MENSAL</t>
  </si>
  <si>
    <t>1/3</t>
  </si>
  <si>
    <t>INCC M</t>
  </si>
  <si>
    <t>1/26</t>
  </si>
  <si>
    <t>2/26</t>
  </si>
  <si>
    <t>3/26</t>
  </si>
  <si>
    <t>4/26</t>
  </si>
  <si>
    <t>5/26</t>
  </si>
  <si>
    <t>6/26</t>
  </si>
  <si>
    <t>7/26</t>
  </si>
  <si>
    <t>8/26</t>
  </si>
  <si>
    <t>9/26</t>
  </si>
  <si>
    <t>10/26</t>
  </si>
  <si>
    <t>11/26</t>
  </si>
  <si>
    <t>12/26</t>
  </si>
  <si>
    <t>13/26</t>
  </si>
  <si>
    <t>14/26</t>
  </si>
  <si>
    <t>15/26</t>
  </si>
  <si>
    <t>16/26</t>
  </si>
  <si>
    <t>17/26</t>
  </si>
  <si>
    <t>18/26</t>
  </si>
  <si>
    <t>19/26</t>
  </si>
  <si>
    <t>20/26</t>
  </si>
  <si>
    <t>21/26</t>
  </si>
  <si>
    <t>22/26</t>
  </si>
  <si>
    <t>23/26</t>
  </si>
  <si>
    <t>24/26</t>
  </si>
  <si>
    <t>25/26</t>
  </si>
  <si>
    <t>26/26</t>
  </si>
  <si>
    <t>039A0172</t>
  </si>
  <si>
    <t>94683042800_ARTHUR GUERRA DE ANDRADE</t>
  </si>
  <si>
    <t>6/34</t>
  </si>
  <si>
    <t>7/34</t>
  </si>
  <si>
    <t>8/34</t>
  </si>
  <si>
    <t>9/34</t>
  </si>
  <si>
    <t>10/34</t>
  </si>
  <si>
    <t>11/34</t>
  </si>
  <si>
    <t>12/34</t>
  </si>
  <si>
    <t>13/34</t>
  </si>
  <si>
    <t>14/34</t>
  </si>
  <si>
    <t>15/34</t>
  </si>
  <si>
    <t>16/34</t>
  </si>
  <si>
    <t>17/34</t>
  </si>
  <si>
    <t>18/34</t>
  </si>
  <si>
    <t>19/34</t>
  </si>
  <si>
    <t>20/34</t>
  </si>
  <si>
    <t>21/34</t>
  </si>
  <si>
    <t>22/34</t>
  </si>
  <si>
    <t>23/34</t>
  </si>
  <si>
    <t>24/34</t>
  </si>
  <si>
    <t>25/34</t>
  </si>
  <si>
    <t>26/34</t>
  </si>
  <si>
    <t>27/34</t>
  </si>
  <si>
    <t>28/34</t>
  </si>
  <si>
    <t>29/34</t>
  </si>
  <si>
    <t>30/34</t>
  </si>
  <si>
    <t>31/34</t>
  </si>
  <si>
    <t>32/34</t>
  </si>
  <si>
    <t>33/34</t>
  </si>
  <si>
    <t>34/34</t>
  </si>
  <si>
    <t>039A0181</t>
  </si>
  <si>
    <t>12864944863_HELIOS DOMINGUEZ ALVAREZ FILHO</t>
  </si>
  <si>
    <t>039A0191</t>
  </si>
  <si>
    <t>31858183855_BRUNO RIEGER SALZANO</t>
  </si>
  <si>
    <t>039A0192</t>
  </si>
  <si>
    <t>08847600812_FABIO GUIMARAES VIANNA</t>
  </si>
  <si>
    <t>3/31</t>
  </si>
  <si>
    <t>4/31</t>
  </si>
  <si>
    <t>5/31</t>
  </si>
  <si>
    <t>6/31</t>
  </si>
  <si>
    <t>7/31</t>
  </si>
  <si>
    <t>8/31</t>
  </si>
  <si>
    <t>9/31</t>
  </si>
  <si>
    <t>10/31</t>
  </si>
  <si>
    <t>11/31</t>
  </si>
  <si>
    <t>12/31</t>
  </si>
  <si>
    <t>13/31</t>
  </si>
  <si>
    <t>14/31</t>
  </si>
  <si>
    <t>15/31</t>
  </si>
  <si>
    <t>16/31</t>
  </si>
  <si>
    <t>17/31</t>
  </si>
  <si>
    <t>18/31</t>
  </si>
  <si>
    <t>19/31</t>
  </si>
  <si>
    <t>20/31</t>
  </si>
  <si>
    <t>21/31</t>
  </si>
  <si>
    <t>22/31</t>
  </si>
  <si>
    <t>23/31</t>
  </si>
  <si>
    <t>24/31</t>
  </si>
  <si>
    <t>25/31</t>
  </si>
  <si>
    <t>26/31</t>
  </si>
  <si>
    <t>27/31</t>
  </si>
  <si>
    <t>28/31</t>
  </si>
  <si>
    <t>29/31</t>
  </si>
  <si>
    <t>30/31</t>
  </si>
  <si>
    <t>31/31</t>
  </si>
  <si>
    <t>039A0201</t>
  </si>
  <si>
    <t>39891230848_ANDRE YURI MURRINS</t>
  </si>
  <si>
    <t>1/29</t>
  </si>
  <si>
    <t>2/29</t>
  </si>
  <si>
    <t>3/29</t>
  </si>
  <si>
    <t>4/29</t>
  </si>
  <si>
    <t>5/29</t>
  </si>
  <si>
    <t>6/29</t>
  </si>
  <si>
    <t>7/29</t>
  </si>
  <si>
    <t>8/29</t>
  </si>
  <si>
    <t>9/29</t>
  </si>
  <si>
    <t>10/29</t>
  </si>
  <si>
    <t>11/29</t>
  </si>
  <si>
    <t>12/29</t>
  </si>
  <si>
    <t>13/29</t>
  </si>
  <si>
    <t>14/29</t>
  </si>
  <si>
    <t>15/29</t>
  </si>
  <si>
    <t>16/29</t>
  </si>
  <si>
    <t>17/29</t>
  </si>
  <si>
    <t>18/29</t>
  </si>
  <si>
    <t>19/29</t>
  </si>
  <si>
    <t>20/29</t>
  </si>
  <si>
    <t>21/29</t>
  </si>
  <si>
    <t>22/29</t>
  </si>
  <si>
    <t>23/29</t>
  </si>
  <si>
    <t>24/29</t>
  </si>
  <si>
    <t>25/29</t>
  </si>
  <si>
    <t>26/29</t>
  </si>
  <si>
    <t>27/29</t>
  </si>
  <si>
    <t>28/29</t>
  </si>
  <si>
    <t>29/29</t>
  </si>
  <si>
    <t>039A0211</t>
  </si>
  <si>
    <t>23650306883_JUAN SEBASTIAN GOMEZ CORRALES</t>
  </si>
  <si>
    <t>5/35</t>
  </si>
  <si>
    <t>6/35</t>
  </si>
  <si>
    <t>7/35</t>
  </si>
  <si>
    <t>8/35</t>
  </si>
  <si>
    <t>9/35</t>
  </si>
  <si>
    <t>10/35</t>
  </si>
  <si>
    <t>11/35</t>
  </si>
  <si>
    <t>12/35</t>
  </si>
  <si>
    <t>13/35</t>
  </si>
  <si>
    <t>14/35</t>
  </si>
  <si>
    <t>15/35</t>
  </si>
  <si>
    <t>16/35</t>
  </si>
  <si>
    <t>17/35</t>
  </si>
  <si>
    <t>18/35</t>
  </si>
  <si>
    <t>19/35</t>
  </si>
  <si>
    <t>20/35</t>
  </si>
  <si>
    <t>21/35</t>
  </si>
  <si>
    <t>22/35</t>
  </si>
  <si>
    <t>23/35</t>
  </si>
  <si>
    <t>24/35</t>
  </si>
  <si>
    <t>25/35</t>
  </si>
  <si>
    <t>26/35</t>
  </si>
  <si>
    <t>27/35</t>
  </si>
  <si>
    <t>28/35</t>
  </si>
  <si>
    <t>29/35</t>
  </si>
  <si>
    <t>30/35</t>
  </si>
  <si>
    <t>31/35</t>
  </si>
  <si>
    <t>32/35</t>
  </si>
  <si>
    <t>33/35</t>
  </si>
  <si>
    <t>34/35</t>
  </si>
  <si>
    <t>35/35</t>
  </si>
  <si>
    <t>039A0212</t>
  </si>
  <si>
    <t>29838881856_RAFAEL SANCHEZ BRANDAO</t>
  </si>
  <si>
    <t>039A0221</t>
  </si>
  <si>
    <t>40578137801_VALENTINA RIBEIRO</t>
  </si>
  <si>
    <t>039A0231</t>
  </si>
  <si>
    <t>25417125881_CHRISTINE YUMI LUZ MOREIRA</t>
  </si>
  <si>
    <t>039A0232</t>
  </si>
  <si>
    <t>07314158843_ARMANDO SERGIO ANTUNES DA SILVA</t>
  </si>
  <si>
    <t>Posição Financeira</t>
  </si>
  <si>
    <t xml:space="preserve">Mês Ref.: </t>
  </si>
  <si>
    <t>Data Contrato</t>
  </si>
  <si>
    <t>Valor Original</t>
  </si>
  <si>
    <t>CodObra</t>
  </si>
  <si>
    <t>NomeObra</t>
  </si>
  <si>
    <t>NomeCliente</t>
  </si>
  <si>
    <t>Data_Contrato</t>
  </si>
  <si>
    <t>Vlr_Imovel_Origem</t>
  </si>
  <si>
    <t>Vlr_Imovel_Atual</t>
  </si>
  <si>
    <t>LTV</t>
  </si>
  <si>
    <t>Total_Vencido</t>
  </si>
  <si>
    <t>Total_Recebido_No_Mes</t>
  </si>
  <si>
    <t>GREGORY VILLELA BRANDAO PAOLUCCI</t>
  </si>
  <si>
    <t>JULIANA CHINASSO MARTINS DE OLIVEIRA</t>
  </si>
  <si>
    <t>DANIELLE FERREIRA RESENDE DE OLIVEIRA</t>
  </si>
  <si>
    <t>SERGIO FONSECA ROSA</t>
  </si>
  <si>
    <t>ALINE MARQUES DE ANDRADE FIGUEIRA</t>
  </si>
  <si>
    <t>SOFIA ALFONSO FREIRE</t>
  </si>
  <si>
    <t>LUIZ PAULO BURCKAUSER</t>
  </si>
  <si>
    <t>FABIO CORREA DA FONSECA</t>
  </si>
  <si>
    <t>ALEXANDRE COSTA CARVALHO DE F RODRIGUES</t>
  </si>
  <si>
    <t>CARLOS ALBERTO DE SOUZA ROSSI</t>
  </si>
  <si>
    <t>GABRIELLE FONTOURA BERGER</t>
  </si>
  <si>
    <t>ARTHUR GUERRA DE ANDRADE</t>
  </si>
  <si>
    <t>HELIOS DOMINGUEZ ALVAREZ FILHO</t>
  </si>
  <si>
    <t>BRUNO RIEGER SALZANO</t>
  </si>
  <si>
    <t>FABIO GUIMARAES VIANNA</t>
  </si>
  <si>
    <t>ANDRE YURI MURRINS</t>
  </si>
  <si>
    <t>JUAN SEBASTIAN GOMEZ CORRALES</t>
  </si>
  <si>
    <t>RAFAEL SANCHEZ BRANDAO</t>
  </si>
  <si>
    <t>VALENTINA RIBEIRO</t>
  </si>
  <si>
    <t>CHRISTINE YUMI LUZ MOREIRA</t>
  </si>
  <si>
    <t>ARMANDO SERGIO ANTUNES DA SILVA</t>
  </si>
  <si>
    <t>Contratos Liquidados</t>
  </si>
  <si>
    <t>Dt. Assin.</t>
  </si>
  <si>
    <t>Dt. Quit.</t>
  </si>
  <si>
    <t>Vlr.Recebido</t>
  </si>
  <si>
    <t>Situação</t>
  </si>
  <si>
    <t>ICMVS EMPREEND E PARTIC LTDA</t>
  </si>
  <si>
    <t>NORMAL</t>
  </si>
  <si>
    <t>ISIDRO DO BRASIL EMPREENDIMENTOS IMOBILIARIOS LTDA</t>
  </si>
  <si>
    <t>Total Geral:</t>
  </si>
  <si>
    <t>COMO PREENCHER: Pegar a linha referente ao mês incorrido e tudo que vem pela frente da tabela encaminhada da LDI e sobrepor na tabela abaixo.</t>
  </si>
  <si>
    <t>DE-PARA FLUXO</t>
  </si>
  <si>
    <t>Terreno/CEPAC</t>
  </si>
  <si>
    <t xml:space="preserve">FLUXO DE CAIXA - </t>
  </si>
  <si>
    <t>Lindenberg Reserva Itaim</t>
  </si>
  <si>
    <t>RECEITAS (+)</t>
  </si>
  <si>
    <t>CUSTOS (-)</t>
  </si>
  <si>
    <t>DESPESAS (-)</t>
  </si>
  <si>
    <t>FINANCIAMENTOS (+)</t>
  </si>
  <si>
    <t>APORTES e DISTRIBUIÇÕES (+)</t>
  </si>
  <si>
    <t>MOVIMENTO e SALDO TOTAL</t>
  </si>
  <si>
    <t xml:space="preserve">Vendas   </t>
  </si>
  <si>
    <t>SCPs</t>
  </si>
  <si>
    <t>Outras</t>
  </si>
  <si>
    <t>Impostos PIS/Cofins</t>
  </si>
  <si>
    <t>Aprovações</t>
  </si>
  <si>
    <t>Projetos</t>
  </si>
  <si>
    <t>Engenharia Preliminar</t>
  </si>
  <si>
    <t>Jurídico  (RI / Emolumentos)</t>
  </si>
  <si>
    <t>Decoração de Areas Comuns</t>
  </si>
  <si>
    <t>Despesas Jurídicas (Honorários)</t>
  </si>
  <si>
    <t>Despesas Comercial / Relacionamento</t>
  </si>
  <si>
    <t>Despesas de Pessoal</t>
  </si>
  <si>
    <t>Gestão Financeira</t>
  </si>
  <si>
    <t>Reembolso Despesas</t>
  </si>
  <si>
    <t>Tribut. IRPJ/CSLL</t>
  </si>
  <si>
    <t>Despesas / Receitas Financeiras</t>
  </si>
  <si>
    <t>Liberação</t>
  </si>
  <si>
    <t>Amortização</t>
  </si>
  <si>
    <t>Juros</t>
  </si>
  <si>
    <t>Fee</t>
  </si>
  <si>
    <t>Movimento Mensal Total</t>
  </si>
  <si>
    <t>Saldo Acumulado LSP</t>
  </si>
  <si>
    <t>Abertura Terreno</t>
  </si>
  <si>
    <t>Raso</t>
  </si>
  <si>
    <t>Taxa Construtora</t>
  </si>
  <si>
    <t>Campanha</t>
  </si>
  <si>
    <t>Stand</t>
  </si>
  <si>
    <t>Taxas</t>
  </si>
  <si>
    <t>IOF</t>
  </si>
  <si>
    <t>LPI &gt; LSP</t>
  </si>
  <si>
    <t>Bratke &gt; Kinea FII</t>
  </si>
  <si>
    <t>CM (Kinea)</t>
  </si>
  <si>
    <t>SCP</t>
  </si>
  <si>
    <t>Medição</t>
  </si>
  <si>
    <t>Saldo Inicial</t>
  </si>
  <si>
    <t>Investidor</t>
  </si>
  <si>
    <t>Equity?</t>
  </si>
  <si>
    <t>Permuta?</t>
  </si>
  <si>
    <t>Comprometido</t>
  </si>
  <si>
    <t>Participação Total</t>
  </si>
  <si>
    <t>Participação Equity</t>
  </si>
  <si>
    <t>Participação Permuta</t>
  </si>
  <si>
    <t>Equity/Equity</t>
  </si>
  <si>
    <t>Permuta/Permuta</t>
  </si>
  <si>
    <t>Duplex</t>
  </si>
  <si>
    <t>Cenário de Longo Prazo</t>
  </si>
  <si>
    <t>2020P</t>
  </si>
  <si>
    <t>2021P</t>
  </si>
  <si>
    <t>2022P</t>
  </si>
  <si>
    <t>2023P</t>
  </si>
  <si>
    <t xml:space="preserve">World </t>
  </si>
  <si>
    <t>Atividade econômica</t>
  </si>
  <si>
    <t>Mundo –  Crescimento real do PIB</t>
  </si>
  <si>
    <t>EUA – Crescimento real do PIB</t>
  </si>
  <si>
    <t>Zona do Euro – Crescimento real do PIB</t>
  </si>
  <si>
    <t>China – Crescimento real do PIB</t>
  </si>
  <si>
    <t>Japão – Crescimento real do PIB</t>
  </si>
  <si>
    <t>Inflação</t>
  </si>
  <si>
    <t>EUA – CPI</t>
  </si>
  <si>
    <t>Zona do Euro – CPI</t>
  </si>
  <si>
    <t>Brasil</t>
  </si>
  <si>
    <t>PIB nominal – Bilhões de reais</t>
  </si>
  <si>
    <t>PIB nominal – Bilhões de dólares</t>
  </si>
  <si>
    <t>Crescimento real do PIB</t>
  </si>
  <si>
    <t>Taxa de desemprego - média do ano</t>
  </si>
  <si>
    <t>Taxa de desemprego - fim de período</t>
  </si>
  <si>
    <t>INPC</t>
  </si>
  <si>
    <t>IGP-M</t>
  </si>
  <si>
    <t>IPA-M (preços por atacado)</t>
  </si>
  <si>
    <t>Taxa de juros</t>
  </si>
  <si>
    <t>Selic – final do ano</t>
  </si>
  <si>
    <t>Selic – média do ano</t>
  </si>
  <si>
    <t>Taxa real de juros (Selic/IPCA) – fim de período</t>
  </si>
  <si>
    <t>CDI - final do ano (anualizado)</t>
  </si>
  <si>
    <t>CDI - acumulado no ano</t>
  </si>
  <si>
    <t>TJLP (Taxa nominal) – fim de período</t>
  </si>
  <si>
    <t>TLP (Taxa real) – fim de período</t>
  </si>
  <si>
    <t>Finanças públicas</t>
  </si>
  <si>
    <t>Resultado primário – % do PIB</t>
  </si>
  <si>
    <t>Resultado nominal – % do PIB</t>
  </si>
  <si>
    <t>Dívida pública líquida - % do PIB</t>
  </si>
  <si>
    <t>Dívida pública bruta - % do PIB</t>
  </si>
  <si>
    <t>Taxa de câmbio</t>
  </si>
  <si>
    <t>BRL / USD – dez</t>
  </si>
  <si>
    <t>BRL / USD – média do ano</t>
  </si>
  <si>
    <t>Setor externo</t>
  </si>
  <si>
    <t>Balança comercial - USD bi</t>
  </si>
  <si>
    <t>Exportações – USD bi</t>
  </si>
  <si>
    <t>Importações – USD bi</t>
  </si>
  <si>
    <t>Conta corrente - % PIB</t>
  </si>
  <si>
    <t>Investimento direto no país - % PIB</t>
  </si>
  <si>
    <t>Variação</t>
  </si>
  <si>
    <t>CDI</t>
  </si>
  <si>
    <t>https://sindusconpr.com.br/incc-di-fgv-310-p</t>
  </si>
  <si>
    <t>https://sidra.ibge.gov.br/tabela/1737</t>
  </si>
  <si>
    <t>https://www3.bcb.gov.br/sgspub/localizarseries/localizarSeries.do?method=prepararTelaLocalizarSeries</t>
  </si>
  <si>
    <t>Série 4391 BACEN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</si>
</sst>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_ ;[Red]\(#,##0\);\-\ "/>
    <numFmt numFmtId="165" formatCode="[$-416]mmm\-yy;@"/>
    <numFmt numFmtId="166" formatCode="0\ &quot;meses&quot;"/>
    <numFmt numFmtId="167" formatCode="&quot;R$&quot;\ #,##0.00&quot;/m²&quot;\ ;[Red]\-#,##0.00&quot;/m²&quot;;\-"/>
    <numFmt numFmtId="168" formatCode="&quot;R$&quot;\ #,##0;[Red]\-&quot;R$&quot;\ #,##0;\ &quot;R$&quot;\ 0"/>
    <numFmt numFmtId="169" formatCode="0.00%\ &quot;a.a.&quot;;[Red]\ \-\ 0.00%\ &quot;a.a.&quot;;\-"/>
    <numFmt numFmtId="170" formatCode="&quot;R$&quot;\ #,##0\ ;[Red]\-#,##0;\-"/>
    <numFmt numFmtId="171" formatCode="0.0%"/>
    <numFmt numFmtId="172" formatCode="#,##0.000_ ;[Red]\(#,##0.000\);\-\ "/>
    <numFmt numFmtId="173" formatCode="0_ ;[Red]\-0\ "/>
    <numFmt numFmtId="174" formatCode="0.00%\ &quot;a.m.&quot;"/>
    <numFmt numFmtId="175" formatCode="&quot;R$&quot;\ #,##0;[Red]\-&quot;R$&quot;\ #,##0;\-"/>
    <numFmt numFmtId="176" formatCode="_(* #,##0_);_(* \(#,##0\);_(* &quot;-&quot;??_);_(@_)"/>
    <numFmt numFmtId="177" formatCode="#,##0.0&quot; m²&quot;"/>
    <numFmt numFmtId="178" formatCode="0.0&quot; un/mês&quot;"/>
    <numFmt numFmtId="179" formatCode="0.00%\ &quot;a&quot;\.&quot;a&quot;"/>
    <numFmt numFmtId="180" formatCode="_-[$R$-416]\ * #,##0.00_-;\-[$R$-416]\ * #,##0.00_-;_-[$R$-416]\ * &quot;-&quot;??_-;_-@_-"/>
    <numFmt numFmtId="181" formatCode="0.000%"/>
    <numFmt numFmtId="182" formatCode="&quot;Inic Proj &quot;mmm/yy"/>
    <numFmt numFmtId="183" formatCode="&quot;Incorp &quot;mmm/yy"/>
    <numFmt numFmtId="184" formatCode="&quot;Obra &quot;mmm/yy"/>
    <numFmt numFmtId="185" formatCode="&quot;Chvs &quot;mmm/yy"/>
    <numFmt numFmtId="186" formatCode="#,##0.00_ ;[Red]\(#,##0.00\);\-\ "/>
    <numFmt numFmtId="187" formatCode="#,##0.00&quot;/m²&quot;_ ;\-#,##0.00&quot;/m²&quot;;\-\ "/>
    <numFmt numFmtId="188" formatCode="0.00%\ &quot;a.a.&quot;"/>
    <numFmt numFmtId="189" formatCode="&quot;R$&quot;\ #,##0.00&quot;/ano&quot;\ ;[Red]\-#,##0.00&quot;/ano&quot;;\-"/>
    <numFmt numFmtId="190" formatCode="&quot;R$&quot;\ #,##0.00&quot;/mês&quot;\ ;[Red]\-#,##0.00&quot;/mês&quot;;\-"/>
    <numFmt numFmtId="191" formatCode="&quot;IPCA +&quot;\ 0.00%\ &quot;a.a.&quot;;[Red]\ \-&quot;IPCA +&quot;\ 0.00%\ &quot;a.a.&quot;;\-"/>
    <numFmt numFmtId="192" formatCode="0.00%\ &quot;a.a.&quot;;[Red]\ \-0.00%\ &quot;a.a.&quot;;\-"/>
    <numFmt numFmtId="193" formatCode="&quot;IPCA +&quot;\ 0.00%\ &quot;a.a.&quot;;[Red]\ &quot;IPCA -&quot;\ 0.00%\ &quot;a.a.&quot;;\-"/>
    <numFmt numFmtId="194" formatCode="#,##0.0000_ ;[Red]\(#,##0.0000\);\-\ "/>
    <numFmt numFmtId="195" formatCode="_-* #,##0_-;\-* #,##0_-;_-* &quot;-&quot;??_-;_-@_-"/>
    <numFmt numFmtId="196" formatCode="0.000"/>
    <numFmt numFmtId="197" formatCode="dd\/mm\/yyyy"/>
    <numFmt numFmtId="198" formatCode="0.0000%"/>
    <numFmt numFmtId="199" formatCode="#,##0.00\x;[Red]\-#,##0.00\x"/>
    <numFmt numFmtId="200" formatCode="0.00000%"/>
    <numFmt numFmtId="201" formatCode="0.0"/>
  </numFmts>
  <fonts count="6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Myriad Pro"/>
      <family val="2"/>
    </font>
    <font>
      <sz val="10"/>
      <color theme="1"/>
      <name val="Myriad Pro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9"/>
      <color theme="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0"/>
      <name val="Myriad Pro"/>
      <family val="2"/>
    </font>
    <font>
      <sz val="11"/>
      <color theme="1"/>
      <name val="Myriad Pro"/>
      <family val="2"/>
    </font>
    <font>
      <sz val="11"/>
      <color rgb="FF92D050"/>
      <name val="Myriad Pro"/>
      <family val="2"/>
    </font>
    <font>
      <sz val="11"/>
      <color rgb="FF92D050"/>
      <name val="Calibri"/>
      <family val="2"/>
      <scheme val="minor"/>
    </font>
    <font>
      <b/>
      <i/>
      <sz val="10"/>
      <color indexed="9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0"/>
      <color rgb="FFFF7800"/>
      <name val="Arial"/>
      <family val="2"/>
    </font>
    <font>
      <sz val="10"/>
      <color rgb="FF606060"/>
      <name val="Arial"/>
      <family val="2"/>
    </font>
    <font>
      <b/>
      <sz val="10"/>
      <color rgb="FF606060"/>
      <name val="Arial"/>
      <family val="2"/>
    </font>
    <font>
      <b/>
      <i/>
      <sz val="10"/>
      <color rgb="FFFF7800"/>
      <name val="Arial"/>
      <family val="2"/>
    </font>
    <font>
      <sz val="9"/>
      <name val="Calibri"/>
      <family val="2"/>
      <scheme val="minor"/>
    </font>
    <font>
      <sz val="9"/>
      <color theme="0"/>
      <name val="Myriad Pro"/>
      <family val="2"/>
    </font>
    <font>
      <sz val="9"/>
      <color theme="1"/>
      <name val="Myriad Pro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9"/>
      <color rgb="FF002060"/>
      <name val="Calibri"/>
      <family val="2"/>
      <scheme val="minor"/>
    </font>
    <font>
      <sz val="11"/>
      <name val="Myriad Pro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9"/>
      <color rgb="FFFFFFFF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sz val="10"/>
      <color indexed="8"/>
      <name val="Times New Roman"/>
      <family val="1"/>
    </font>
    <font>
      <b/>
      <sz val="16"/>
      <color theme="1"/>
      <name val="Arial"/>
      <family val="2"/>
    </font>
    <font>
      <b/>
      <sz val="10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1"/>
      <name val="Myriad Pro"/>
      <family val="2"/>
    </font>
    <font>
      <b/>
      <i/>
      <sz val="16"/>
      <color theme="1"/>
      <name val="Times New Roman"/>
      <family val="1"/>
    </font>
    <font>
      <b/>
      <i/>
      <sz val="16"/>
      <color indexed="21"/>
      <name val="Times New Roman"/>
      <family val="1"/>
    </font>
    <font>
      <b/>
      <sz val="10"/>
      <color indexed="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B012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0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9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4" fillId="0" borderId="0"/>
    <xf numFmtId="9" fontId="14" fillId="0" borderId="0"/>
    <xf numFmtId="9" fontId="18" fillId="0" borderId="0"/>
    <xf numFmtId="0" fontId="18" fillId="0" borderId="0"/>
    <xf numFmtId="0" fontId="18" fillId="0" borderId="0"/>
    <xf numFmtId="43" fontId="18" fillId="0" borderId="0"/>
    <xf numFmtId="0" fontId="18" fillId="0" borderId="0"/>
    <xf numFmtId="0" fontId="14" fillId="0" borderId="0"/>
    <xf numFmtId="44" fontId="14" fillId="0" borderId="0"/>
    <xf numFmtId="0" fontId="45" fillId="0" borderId="0"/>
  </cellStyleXfs>
  <cellXfs count="62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readingOrder="1"/>
    </xf>
    <xf numFmtId="0" fontId="6" fillId="0" borderId="0" xfId="0" applyFont="1" applyAlignment="1">
      <alignment readingOrder="1"/>
    </xf>
    <xf numFmtId="3" fontId="2" fillId="0" borderId="0" xfId="0" applyNumberFormat="1" applyFont="1" applyAlignment="1">
      <alignment horizontal="center" vertical="center"/>
    </xf>
    <xf numFmtId="17" fontId="0" fillId="0" borderId="0" xfId="0" applyNumberFormat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166" fontId="10" fillId="4" borderId="0" xfId="0" applyNumberFormat="1" applyFont="1" applyFill="1" applyAlignment="1">
      <alignment horizontal="center"/>
    </xf>
    <xf numFmtId="10" fontId="10" fillId="4" borderId="0" xfId="0" applyNumberFormat="1" applyFont="1" applyFill="1" applyAlignment="1">
      <alignment horizontal="center"/>
    </xf>
    <xf numFmtId="167" fontId="11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12" fillId="5" borderId="0" xfId="0" applyFont="1" applyFill="1" applyAlignment="1">
      <alignment horizontal="left" vertical="center"/>
    </xf>
    <xf numFmtId="168" fontId="13" fillId="6" borderId="0" xfId="0" applyNumberFormat="1" applyFont="1" applyFill="1" applyAlignment="1">
      <alignment horizontal="center"/>
    </xf>
    <xf numFmtId="169" fontId="13" fillId="6" borderId="0" xfId="0" applyNumberFormat="1" applyFont="1" applyFill="1" applyAlignment="1">
      <alignment horizontal="center"/>
    </xf>
    <xf numFmtId="170" fontId="10" fillId="4" borderId="0" xfId="0" applyNumberFormat="1" applyFont="1" applyFill="1" applyAlignment="1">
      <alignment horizontal="center"/>
    </xf>
    <xf numFmtId="0" fontId="0" fillId="8" borderId="0" xfId="0" applyFill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17" fontId="1" fillId="6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4" fontId="2" fillId="6" borderId="0" xfId="0" applyNumberFormat="1" applyFont="1" applyFill="1" applyAlignment="1">
      <alignment horizontal="center" vertical="center"/>
    </xf>
    <xf numFmtId="17" fontId="2" fillId="6" borderId="0" xfId="0" applyNumberFormat="1" applyFont="1" applyFill="1" applyAlignment="1">
      <alignment horizontal="center" vertical="center"/>
    </xf>
    <xf numFmtId="3" fontId="2" fillId="6" borderId="0" xfId="0" applyNumberFormat="1" applyFont="1" applyFill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1" fontId="1" fillId="10" borderId="8" xfId="0" applyNumberFormat="1" applyFont="1" applyFill="1" applyBorder="1" applyAlignment="1">
      <alignment horizontal="center" vertical="center"/>
    </xf>
    <xf numFmtId="3" fontId="2" fillId="10" borderId="7" xfId="0" applyNumberFormat="1" applyFont="1" applyFill="1" applyBorder="1" applyAlignment="1">
      <alignment horizontal="center" vertical="center"/>
    </xf>
    <xf numFmtId="171" fontId="2" fillId="4" borderId="0" xfId="2" applyNumberFormat="1" applyFont="1" applyFill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7" fontId="1" fillId="0" borderId="10" xfId="0" applyNumberFormat="1" applyFont="1" applyBorder="1" applyAlignment="1">
      <alignment horizontal="center" vertical="center"/>
    </xf>
    <xf numFmtId="9" fontId="0" fillId="0" borderId="0" xfId="2" applyFont="1"/>
    <xf numFmtId="9" fontId="1" fillId="0" borderId="1" xfId="2" applyFont="1" applyBorder="1" applyAlignment="1">
      <alignment horizontal="center" vertical="center"/>
    </xf>
    <xf numFmtId="9" fontId="1" fillId="0" borderId="0" xfId="2" applyFont="1" applyAlignment="1">
      <alignment horizontal="centerContinuous" vertical="center"/>
    </xf>
    <xf numFmtId="9" fontId="1" fillId="0" borderId="16" xfId="2" applyFont="1" applyBorder="1" applyAlignment="1">
      <alignment horizontal="center" vertical="center"/>
    </xf>
    <xf numFmtId="171" fontId="2" fillId="0" borderId="15" xfId="2" applyNumberFormat="1" applyFont="1" applyBorder="1" applyAlignment="1">
      <alignment horizontal="center" vertical="center"/>
    </xf>
    <xf numFmtId="9" fontId="1" fillId="0" borderId="19" xfId="2" applyFont="1" applyBorder="1" applyAlignment="1">
      <alignment horizontal="center" vertical="center"/>
    </xf>
    <xf numFmtId="171" fontId="2" fillId="0" borderId="18" xfId="2" applyNumberFormat="1" applyFont="1" applyBorder="1" applyAlignment="1">
      <alignment horizontal="center" vertical="center"/>
    </xf>
    <xf numFmtId="9" fontId="1" fillId="0" borderId="21" xfId="2" applyFont="1" applyBorder="1" applyAlignment="1">
      <alignment horizontal="centerContinuous" vertical="center"/>
    </xf>
    <xf numFmtId="9" fontId="1" fillId="0" borderId="22" xfId="2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2" xfId="0" applyBorder="1"/>
    <xf numFmtId="0" fontId="1" fillId="0" borderId="21" xfId="2" applyNumberFormat="1" applyFont="1" applyBorder="1" applyAlignment="1">
      <alignment horizontal="centerContinuous" vertical="center"/>
    </xf>
    <xf numFmtId="0" fontId="1" fillId="0" borderId="16" xfId="2" applyNumberFormat="1" applyFont="1" applyBorder="1" applyAlignment="1">
      <alignment horizontal="center" vertical="center"/>
    </xf>
    <xf numFmtId="0" fontId="2" fillId="0" borderId="15" xfId="2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26" xfId="0" applyBorder="1"/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9" fontId="1" fillId="0" borderId="20" xfId="2" applyFont="1" applyBorder="1" applyAlignment="1">
      <alignment horizontal="center" vertical="center"/>
    </xf>
    <xf numFmtId="0" fontId="0" fillId="0" borderId="0" xfId="0" applyAlignment="1">
      <alignment vertical="top"/>
    </xf>
    <xf numFmtId="3" fontId="11" fillId="0" borderId="0" xfId="0" applyNumberFormat="1" applyFont="1" applyAlignment="1">
      <alignment horizontal="center"/>
    </xf>
    <xf numFmtId="9" fontId="1" fillId="0" borderId="23" xfId="2" applyFont="1" applyBorder="1" applyAlignment="1">
      <alignment horizontal="centerContinuous" vertical="center"/>
    </xf>
    <xf numFmtId="9" fontId="1" fillId="0" borderId="33" xfId="2" applyFont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1" fontId="2" fillId="0" borderId="32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1" fontId="1" fillId="0" borderId="17" xfId="2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8" fontId="8" fillId="0" borderId="0" xfId="0" applyNumberFormat="1" applyFont="1"/>
    <xf numFmtId="0" fontId="13" fillId="0" borderId="0" xfId="0" applyFont="1" applyAlignment="1">
      <alignment horizontal="left" indent="1"/>
    </xf>
    <xf numFmtId="0" fontId="13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17" fontId="22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indent="1"/>
    </xf>
    <xf numFmtId="0" fontId="23" fillId="0" borderId="0" xfId="0" applyFont="1" applyAlignment="1">
      <alignment horizontal="center"/>
    </xf>
    <xf numFmtId="0" fontId="22" fillId="5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/>
    <xf numFmtId="0" fontId="22" fillId="0" borderId="0" xfId="0" applyFont="1" applyAlignment="1">
      <alignment horizontal="left" vertical="center"/>
    </xf>
    <xf numFmtId="10" fontId="0" fillId="0" borderId="0" xfId="0" applyNumberFormat="1"/>
    <xf numFmtId="0" fontId="13" fillId="0" borderId="0" xfId="0" applyFont="1"/>
    <xf numFmtId="0" fontId="0" fillId="9" borderId="0" xfId="0" applyFill="1"/>
    <xf numFmtId="0" fontId="16" fillId="7" borderId="0" xfId="0" applyFont="1" applyFill="1" applyAlignment="1">
      <alignment vertical="center" wrapText="1"/>
    </xf>
    <xf numFmtId="0" fontId="26" fillId="15" borderId="0" xfId="0" applyFont="1" applyFill="1" applyAlignment="1">
      <alignment horizontal="center" vertical="center" wrapText="1"/>
    </xf>
    <xf numFmtId="1" fontId="17" fillId="8" borderId="0" xfId="0" applyNumberFormat="1" applyFont="1" applyFill="1" applyAlignment="1">
      <alignment horizontal="right" vertical="center" wrapText="1"/>
    </xf>
    <xf numFmtId="0" fontId="27" fillId="15" borderId="0" xfId="0" applyFont="1" applyFill="1" applyAlignment="1">
      <alignment vertical="center" wrapText="1"/>
    </xf>
    <xf numFmtId="0" fontId="28" fillId="9" borderId="4" xfId="0" applyFont="1" applyFill="1" applyBorder="1" applyAlignment="1">
      <alignment vertical="center" wrapText="1"/>
    </xf>
    <xf numFmtId="17" fontId="29" fillId="9" borderId="4" xfId="0" applyNumberFormat="1" applyFont="1" applyFill="1" applyBorder="1" applyAlignment="1">
      <alignment horizontal="center" vertical="center" wrapText="1"/>
    </xf>
    <xf numFmtId="0" fontId="30" fillId="0" borderId="4" xfId="0" applyFont="1" applyBorder="1" applyAlignment="1">
      <alignment vertical="center" wrapText="1"/>
    </xf>
    <xf numFmtId="171" fontId="27" fillId="0" borderId="4" xfId="0" applyNumberFormat="1" applyFont="1" applyBorder="1" applyAlignment="1">
      <alignment horizontal="center" vertical="center" wrapText="1"/>
    </xf>
    <xf numFmtId="0" fontId="31" fillId="8" borderId="0" xfId="0" applyFont="1" applyFill="1" applyAlignment="1">
      <alignment horizontal="left" vertical="center" indent="1"/>
    </xf>
    <xf numFmtId="171" fontId="31" fillId="8" borderId="0" xfId="0" applyNumberFormat="1" applyFont="1" applyFill="1" applyAlignment="1">
      <alignment horizontal="center" vertical="center" wrapText="1"/>
    </xf>
    <xf numFmtId="171" fontId="31" fillId="9" borderId="0" xfId="0" applyNumberFormat="1" applyFont="1" applyFill="1" applyAlignment="1">
      <alignment horizontal="center" vertical="center" wrapText="1"/>
    </xf>
    <xf numFmtId="171" fontId="32" fillId="10" borderId="0" xfId="3" applyNumberFormat="1" applyFont="1" applyFill="1" applyAlignment="1">
      <alignment horizontal="center" vertical="center" wrapText="1"/>
    </xf>
    <xf numFmtId="171" fontId="32" fillId="10" borderId="0" xfId="0" applyNumberFormat="1" applyFont="1" applyFill="1" applyAlignment="1">
      <alignment horizontal="center" vertical="center" wrapText="1"/>
    </xf>
    <xf numFmtId="0" fontId="32" fillId="0" borderId="4" xfId="0" applyFont="1" applyBorder="1" applyAlignment="1">
      <alignment vertical="center" wrapText="1"/>
    </xf>
    <xf numFmtId="171" fontId="32" fillId="0" borderId="4" xfId="0" applyNumberFormat="1" applyFont="1" applyBorder="1" applyAlignment="1">
      <alignment horizontal="center" vertical="center" wrapText="1"/>
    </xf>
    <xf numFmtId="17" fontId="33" fillId="9" borderId="4" xfId="0" applyNumberFormat="1" applyFont="1" applyFill="1" applyBorder="1" applyAlignment="1">
      <alignment horizontal="center" vertical="center" wrapText="1"/>
    </xf>
    <xf numFmtId="171" fontId="31" fillId="9" borderId="0" xfId="4" applyNumberFormat="1" applyFont="1" applyFill="1" applyAlignment="1">
      <alignment horizontal="center" vertical="center" wrapText="1"/>
    </xf>
    <xf numFmtId="171" fontId="32" fillId="10" borderId="0" xfId="4" applyNumberFormat="1" applyFont="1" applyFill="1" applyAlignment="1">
      <alignment horizontal="center" vertical="center" wrapText="1"/>
    </xf>
    <xf numFmtId="10" fontId="31" fillId="9" borderId="0" xfId="0" applyNumberFormat="1" applyFont="1" applyFill="1" applyAlignment="1">
      <alignment horizontal="center" vertical="center" wrapText="1"/>
    </xf>
    <xf numFmtId="10" fontId="32" fillId="10" borderId="0" xfId="0" applyNumberFormat="1" applyFont="1" applyFill="1" applyAlignment="1">
      <alignment horizontal="center" vertical="center" wrapText="1"/>
    </xf>
    <xf numFmtId="10" fontId="31" fillId="9" borderId="0" xfId="5" applyNumberFormat="1" applyFont="1" applyFill="1" applyAlignment="1">
      <alignment horizontal="center" vertical="center" wrapText="1"/>
    </xf>
    <xf numFmtId="10" fontId="32" fillId="10" borderId="0" xfId="5" applyNumberFormat="1" applyFont="1" applyFill="1" applyAlignment="1">
      <alignment horizontal="center" vertical="center" wrapText="1"/>
    </xf>
    <xf numFmtId="10" fontId="31" fillId="0" borderId="0" xfId="5" applyNumberFormat="1" applyFont="1" applyAlignment="1">
      <alignment horizontal="center" vertical="center" wrapText="1"/>
    </xf>
    <xf numFmtId="171" fontId="31" fillId="8" borderId="0" xfId="3" applyNumberFormat="1" applyFont="1" applyFill="1" applyAlignment="1">
      <alignment horizontal="left" vertical="center" indent="1"/>
    </xf>
    <xf numFmtId="171" fontId="31" fillId="9" borderId="0" xfId="3" applyNumberFormat="1" applyFont="1" applyFill="1" applyAlignment="1">
      <alignment horizontal="center" vertical="center" wrapText="1"/>
    </xf>
    <xf numFmtId="171" fontId="32" fillId="10" borderId="0" xfId="2" applyNumberFormat="1" applyFont="1" applyFill="1" applyAlignment="1">
      <alignment horizontal="center" vertical="center" wrapText="1"/>
    </xf>
    <xf numFmtId="2" fontId="31" fillId="9" borderId="0" xfId="6" applyNumberFormat="1" applyFont="1" applyFill="1" applyAlignment="1">
      <alignment horizontal="center" vertical="center" wrapText="1"/>
    </xf>
    <xf numFmtId="2" fontId="32" fillId="10" borderId="0" xfId="6" applyNumberFormat="1" applyFont="1" applyFill="1" applyAlignment="1">
      <alignment horizontal="center" vertical="center" wrapText="1"/>
    </xf>
    <xf numFmtId="1" fontId="31" fillId="9" borderId="0" xfId="1" applyNumberFormat="1" applyFont="1" applyFill="1" applyAlignment="1">
      <alignment horizontal="center" vertical="center" wrapText="1"/>
    </xf>
    <xf numFmtId="1" fontId="32" fillId="10" borderId="0" xfId="1" applyNumberFormat="1" applyFont="1" applyFill="1" applyAlignment="1">
      <alignment horizontal="center" vertical="center" wrapText="1"/>
    </xf>
    <xf numFmtId="0" fontId="31" fillId="0" borderId="0" xfId="0" applyFont="1" applyAlignment="1">
      <alignment horizontal="left" vertical="center" indent="1"/>
    </xf>
    <xf numFmtId="1" fontId="31" fillId="9" borderId="0" xfId="7" applyNumberFormat="1" applyFont="1" applyFill="1" applyAlignment="1">
      <alignment horizontal="center" vertical="center" wrapText="1"/>
    </xf>
    <xf numFmtId="1" fontId="32" fillId="10" borderId="0" xfId="7" applyNumberFormat="1" applyFont="1" applyFill="1" applyAlignment="1">
      <alignment horizontal="center" vertical="center" wrapText="1"/>
    </xf>
    <xf numFmtId="171" fontId="31" fillId="9" borderId="0" xfId="2" applyNumberFormat="1" applyFont="1" applyFill="1" applyAlignment="1">
      <alignment horizontal="center" vertical="center" wrapText="1"/>
    </xf>
    <xf numFmtId="0" fontId="31" fillId="8" borderId="37" xfId="0" applyFont="1" applyFill="1" applyBorder="1" applyAlignment="1">
      <alignment horizontal="left" vertical="center" indent="1"/>
    </xf>
    <xf numFmtId="171" fontId="31" fillId="9" borderId="37" xfId="2" applyNumberFormat="1" applyFont="1" applyFill="1" applyBorder="1" applyAlignment="1">
      <alignment horizontal="center" vertical="center" wrapText="1"/>
    </xf>
    <xf numFmtId="171" fontId="32" fillId="10" borderId="37" xfId="2" applyNumberFormat="1" applyFont="1" applyFill="1" applyBorder="1" applyAlignment="1">
      <alignment horizontal="center" vertical="center" wrapText="1"/>
    </xf>
    <xf numFmtId="0" fontId="35" fillId="5" borderId="0" xfId="0" applyFont="1" applyFill="1" applyAlignment="1">
      <alignment horizontal="left" vertical="center"/>
    </xf>
    <xf numFmtId="168" fontId="36" fillId="6" borderId="0" xfId="0" applyNumberFormat="1" applyFont="1" applyFill="1" applyAlignment="1">
      <alignment horizontal="center"/>
    </xf>
    <xf numFmtId="0" fontId="14" fillId="0" borderId="13" xfId="8" applyBorder="1"/>
    <xf numFmtId="4" fontId="14" fillId="0" borderId="45" xfId="8" applyNumberFormat="1" applyBorder="1"/>
    <xf numFmtId="0" fontId="14" fillId="0" borderId="46" xfId="8" applyBorder="1"/>
    <xf numFmtId="4" fontId="14" fillId="0" borderId="11" xfId="8" applyNumberFormat="1" applyBorder="1"/>
    <xf numFmtId="3" fontId="14" fillId="0" borderId="49" xfId="8" applyNumberFormat="1" applyBorder="1"/>
    <xf numFmtId="0" fontId="14" fillId="0" borderId="43" xfId="8" applyBorder="1"/>
    <xf numFmtId="1" fontId="1" fillId="4" borderId="6" xfId="0" applyNumberFormat="1" applyFont="1" applyFill="1" applyBorder="1" applyAlignment="1">
      <alignment horizontal="center" vertical="center"/>
    </xf>
    <xf numFmtId="1" fontId="0" fillId="0" borderId="42" xfId="8" quotePrefix="1" applyNumberFormat="1" applyFont="1" applyBorder="1" applyAlignment="1">
      <alignment horizontal="right"/>
    </xf>
    <xf numFmtId="1" fontId="0" fillId="0" borderId="43" xfId="8" quotePrefix="1" applyNumberFormat="1" applyFont="1" applyBorder="1" applyAlignment="1">
      <alignment horizontal="right"/>
    </xf>
    <xf numFmtId="171" fontId="14" fillId="0" borderId="12" xfId="8" applyNumberFormat="1" applyBorder="1"/>
    <xf numFmtId="171" fontId="14" fillId="0" borderId="44" xfId="8" applyNumberFormat="1" applyBorder="1"/>
    <xf numFmtId="1" fontId="37" fillId="0" borderId="42" xfId="8" quotePrefix="1" applyNumberFormat="1" applyFont="1" applyBorder="1" applyAlignment="1">
      <alignment horizontal="right"/>
    </xf>
    <xf numFmtId="0" fontId="37" fillId="0" borderId="12" xfId="8" applyFont="1" applyBorder="1"/>
    <xf numFmtId="10" fontId="0" fillId="0" borderId="0" xfId="2" applyNumberFormat="1" applyFont="1"/>
    <xf numFmtId="4" fontId="2" fillId="10" borderId="7" xfId="0" applyNumberFormat="1" applyFont="1" applyFill="1" applyBorder="1" applyAlignment="1">
      <alignment horizontal="center" vertical="center"/>
    </xf>
    <xf numFmtId="171" fontId="2" fillId="4" borderId="50" xfId="2" applyNumberFormat="1" applyFont="1" applyFill="1" applyBorder="1" applyAlignment="1">
      <alignment horizontal="center" vertical="center"/>
    </xf>
    <xf numFmtId="171" fontId="2" fillId="4" borderId="5" xfId="2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8" fillId="0" borderId="52" xfId="0" applyFont="1" applyBorder="1"/>
    <xf numFmtId="0" fontId="18" fillId="0" borderId="13" xfId="0" applyFont="1" applyBorder="1"/>
    <xf numFmtId="0" fontId="27" fillId="0" borderId="54" xfId="0" applyFont="1" applyBorder="1" applyAlignment="1">
      <alignment horizontal="center"/>
    </xf>
    <xf numFmtId="0" fontId="27" fillId="0" borderId="55" xfId="0" applyFont="1" applyBorder="1"/>
    <xf numFmtId="0" fontId="18" fillId="0" borderId="57" xfId="0" applyFont="1" applyBorder="1" applyAlignment="1">
      <alignment vertical="center"/>
    </xf>
    <xf numFmtId="0" fontId="18" fillId="0" borderId="43" xfId="0" applyFont="1" applyBorder="1"/>
    <xf numFmtId="0" fontId="0" fillId="0" borderId="5" xfId="0" applyBorder="1"/>
    <xf numFmtId="0" fontId="0" fillId="0" borderId="51" xfId="0" applyBorder="1" applyAlignment="1">
      <alignment horizontal="center"/>
    </xf>
    <xf numFmtId="0" fontId="0" fillId="0" borderId="52" xfId="0" applyBorder="1"/>
    <xf numFmtId="0" fontId="0" fillId="0" borderId="43" xfId="0" applyBorder="1"/>
    <xf numFmtId="0" fontId="0" fillId="0" borderId="38" xfId="0" applyBorder="1" applyAlignment="1">
      <alignment horizontal="center"/>
    </xf>
    <xf numFmtId="0" fontId="8" fillId="0" borderId="38" xfId="0" applyFont="1" applyBorder="1" applyAlignment="1">
      <alignment horizontal="left" indent="1"/>
    </xf>
    <xf numFmtId="0" fontId="9" fillId="0" borderId="0" xfId="0" applyFont="1"/>
    <xf numFmtId="0" fontId="0" fillId="0" borderId="53" xfId="0" applyBorder="1"/>
    <xf numFmtId="0" fontId="0" fillId="0" borderId="11" xfId="0" applyBorder="1"/>
    <xf numFmtId="0" fontId="27" fillId="0" borderId="54" xfId="0" applyFont="1" applyBorder="1"/>
    <xf numFmtId="0" fontId="27" fillId="0" borderId="47" xfId="0" applyFont="1" applyBorder="1"/>
    <xf numFmtId="39" fontId="27" fillId="0" borderId="63" xfId="0" applyNumberFormat="1" applyFont="1" applyBorder="1" applyAlignment="1">
      <alignment horizontal="center"/>
    </xf>
    <xf numFmtId="0" fontId="27" fillId="0" borderId="63" xfId="0" applyFont="1" applyBorder="1" applyAlignment="1">
      <alignment horizontal="center"/>
    </xf>
    <xf numFmtId="37" fontId="27" fillId="0" borderId="63" xfId="0" applyNumberFormat="1" applyFont="1" applyBorder="1" applyAlignment="1">
      <alignment horizontal="center" vertical="center"/>
    </xf>
    <xf numFmtId="0" fontId="27" fillId="0" borderId="64" xfId="0" applyFont="1" applyBorder="1" applyAlignment="1">
      <alignment horizontal="center"/>
    </xf>
    <xf numFmtId="0" fontId="27" fillId="17" borderId="0" xfId="0" applyFont="1" applyFill="1"/>
    <xf numFmtId="0" fontId="18" fillId="17" borderId="0" xfId="0" applyFont="1" applyFill="1"/>
    <xf numFmtId="0" fontId="18" fillId="0" borderId="0" xfId="0" applyFont="1"/>
    <xf numFmtId="0" fontId="18" fillId="0" borderId="31" xfId="0" applyFont="1" applyBorder="1"/>
    <xf numFmtId="39" fontId="39" fillId="0" borderId="65" xfId="0" applyNumberFormat="1" applyFont="1" applyBorder="1" applyAlignment="1">
      <alignment horizontal="centerContinuous" vertical="center" wrapText="1"/>
    </xf>
    <xf numFmtId="0" fontId="27" fillId="0" borderId="0" xfId="0" applyFont="1"/>
    <xf numFmtId="39" fontId="39" fillId="0" borderId="67" xfId="0" applyNumberFormat="1" applyFont="1" applyBorder="1" applyAlignment="1">
      <alignment horizontal="centerContinuous" vertical="center" wrapText="1"/>
    </xf>
    <xf numFmtId="10" fontId="28" fillId="18" borderId="2" xfId="0" applyNumberFormat="1" applyFont="1" applyFill="1" applyBorder="1" applyAlignment="1">
      <alignment horizontal="centerContinuous" vertical="center" wrapText="1"/>
    </xf>
    <xf numFmtId="10" fontId="28" fillId="3" borderId="2" xfId="0" applyNumberFormat="1" applyFont="1" applyFill="1" applyBorder="1" applyAlignment="1">
      <alignment horizontal="center" vertical="center" wrapText="1"/>
    </xf>
    <xf numFmtId="10" fontId="27" fillId="20" borderId="2" xfId="2" applyNumberFormat="1" applyFont="1" applyFill="1" applyBorder="1" applyAlignment="1">
      <alignment horizontal="center" vertical="center" wrapText="1"/>
    </xf>
    <xf numFmtId="10" fontId="3" fillId="16" borderId="2" xfId="2" applyNumberFormat="1" applyFont="1" applyFill="1" applyBorder="1" applyAlignment="1">
      <alignment horizontal="center" vertical="center" wrapText="1"/>
    </xf>
    <xf numFmtId="37" fontId="27" fillId="0" borderId="0" xfId="0" applyNumberFormat="1" applyFont="1" applyAlignment="1">
      <alignment horizontal="center" vertical="center"/>
    </xf>
    <xf numFmtId="39" fontId="18" fillId="0" borderId="0" xfId="0" applyNumberFormat="1" applyFont="1"/>
    <xf numFmtId="37" fontId="18" fillId="0" borderId="0" xfId="0" applyNumberFormat="1" applyFont="1" applyAlignment="1">
      <alignment horizontal="center" vertical="center"/>
    </xf>
    <xf numFmtId="9" fontId="27" fillId="0" borderId="0" xfId="2" applyFont="1" applyAlignment="1">
      <alignment horizontal="center" vertical="center"/>
    </xf>
    <xf numFmtId="10" fontId="18" fillId="0" borderId="0" xfId="2" applyNumberFormat="1" applyFont="1" applyAlignment="1">
      <alignment horizontal="center" vertical="center"/>
    </xf>
    <xf numFmtId="10" fontId="27" fillId="0" borderId="0" xfId="2" applyNumberFormat="1" applyFont="1" applyAlignment="1">
      <alignment horizontal="center" vertical="center"/>
    </xf>
    <xf numFmtId="10" fontId="28" fillId="9" borderId="23" xfId="2" applyNumberFormat="1" applyFont="1" applyFill="1" applyBorder="1" applyAlignment="1">
      <alignment horizontal="center" vertical="center"/>
    </xf>
    <xf numFmtId="0" fontId="18" fillId="0" borderId="1" xfId="0" applyFont="1" applyBorder="1"/>
    <xf numFmtId="167" fontId="10" fillId="4" borderId="0" xfId="0" applyNumberFormat="1" applyFont="1" applyFill="1" applyAlignment="1">
      <alignment horizontal="center"/>
    </xf>
    <xf numFmtId="167" fontId="38" fillId="0" borderId="0" xfId="0" applyNumberFormat="1" applyFont="1" applyAlignment="1">
      <alignment horizontal="center"/>
    </xf>
    <xf numFmtId="0" fontId="0" fillId="0" borderId="0" xfId="0"/>
    <xf numFmtId="10" fontId="2" fillId="0" borderId="15" xfId="2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0" fillId="0" borderId="0" xfId="0" quotePrefix="1"/>
    <xf numFmtId="10" fontId="0" fillId="4" borderId="55" xfId="2" applyNumberFormat="1" applyFont="1" applyFill="1" applyBorder="1"/>
    <xf numFmtId="10" fontId="0" fillId="4" borderId="48" xfId="2" applyNumberFormat="1" applyFont="1" applyFill="1" applyBorder="1"/>
    <xf numFmtId="14" fontId="0" fillId="0" borderId="0" xfId="0" applyNumberFormat="1"/>
    <xf numFmtId="10" fontId="2" fillId="0" borderId="0" xfId="2" applyNumberFormat="1" applyFont="1" applyAlignment="1">
      <alignment horizontal="center" vertical="center"/>
    </xf>
    <xf numFmtId="10" fontId="1" fillId="0" borderId="17" xfId="2" applyNumberFormat="1" applyFont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1" fontId="1" fillId="0" borderId="0" xfId="2" applyNumberFormat="1" applyFont="1" applyAlignment="1">
      <alignment horizontal="center" vertical="center"/>
    </xf>
    <xf numFmtId="17" fontId="1" fillId="0" borderId="14" xfId="0" applyNumberFormat="1" applyFont="1" applyBorder="1" applyAlignment="1">
      <alignment horizontal="center" vertical="center"/>
    </xf>
    <xf numFmtId="17" fontId="1" fillId="0" borderId="3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10" fontId="2" fillId="10" borderId="14" xfId="2" applyNumberFormat="1" applyFont="1" applyFill="1" applyBorder="1" applyAlignment="1">
      <alignment horizontal="center" vertical="center"/>
    </xf>
    <xf numFmtId="10" fontId="34" fillId="10" borderId="35" xfId="2" applyNumberFormat="1" applyFont="1" applyFill="1" applyBorder="1" applyAlignment="1">
      <alignment horizontal="center" vertical="center"/>
    </xf>
    <xf numFmtId="10" fontId="34" fillId="4" borderId="14" xfId="2" applyNumberFormat="1" applyFont="1" applyFill="1" applyBorder="1" applyAlignment="1">
      <alignment horizontal="center" vertical="center"/>
    </xf>
    <xf numFmtId="0" fontId="9" fillId="0" borderId="52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8" fillId="0" borderId="80" xfId="0" applyFont="1" applyBorder="1" applyAlignment="1">
      <alignment horizontal="center"/>
    </xf>
    <xf numFmtId="0" fontId="8" fillId="21" borderId="81" xfId="0" applyFont="1" applyFill="1" applyBorder="1" applyAlignment="1">
      <alignment horizontal="center"/>
    </xf>
    <xf numFmtId="0" fontId="8" fillId="0" borderId="78" xfId="0" applyFont="1" applyBorder="1" applyAlignment="1">
      <alignment horizontal="center"/>
    </xf>
    <xf numFmtId="0" fontId="8" fillId="22" borderId="2" xfId="0" applyFont="1" applyFill="1" applyBorder="1" applyAlignment="1">
      <alignment horizontal="center"/>
    </xf>
    <xf numFmtId="0" fontId="8" fillId="0" borderId="7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3" xfId="0" applyBorder="1"/>
    <xf numFmtId="0" fontId="0" fillId="0" borderId="12" xfId="0" applyBorder="1"/>
    <xf numFmtId="0" fontId="8" fillId="23" borderId="84" xfId="0" applyFont="1" applyFill="1" applyBorder="1" applyAlignment="1">
      <alignment horizontal="center"/>
    </xf>
    <xf numFmtId="0" fontId="0" fillId="0" borderId="14" xfId="0" applyBorder="1"/>
    <xf numFmtId="10" fontId="8" fillId="0" borderId="0" xfId="2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8" fillId="0" borderId="88" xfId="0" applyFont="1" applyBorder="1" applyAlignment="1">
      <alignment horizontal="center"/>
    </xf>
    <xf numFmtId="0" fontId="0" fillId="0" borderId="55" xfId="0" applyBorder="1"/>
    <xf numFmtId="1" fontId="1" fillId="4" borderId="8" xfId="0" applyNumberFormat="1" applyFont="1" applyFill="1" applyBorder="1" applyAlignment="1">
      <alignment horizontal="center" vertical="center"/>
    </xf>
    <xf numFmtId="10" fontId="38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89" fontId="10" fillId="4" borderId="0" xfId="0" applyNumberFormat="1" applyFont="1" applyFill="1" applyAlignment="1">
      <alignment horizontal="center"/>
    </xf>
    <xf numFmtId="190" fontId="10" fillId="4" borderId="0" xfId="0" applyNumberFormat="1" applyFont="1" applyFill="1" applyAlignment="1">
      <alignment horizontal="center"/>
    </xf>
    <xf numFmtId="191" fontId="13" fillId="6" borderId="0" xfId="0" applyNumberFormat="1" applyFont="1" applyFill="1" applyAlignment="1">
      <alignment horizontal="center"/>
    </xf>
    <xf numFmtId="191" fontId="10" fillId="4" borderId="0" xfId="0" applyNumberFormat="1" applyFont="1" applyFill="1" applyAlignment="1">
      <alignment horizontal="center"/>
    </xf>
    <xf numFmtId="9" fontId="0" fillId="0" borderId="0" xfId="0" applyNumberFormat="1"/>
    <xf numFmtId="0" fontId="44" fillId="0" borderId="0" xfId="0" applyFont="1"/>
    <xf numFmtId="17" fontId="1" fillId="0" borderId="90" xfId="0" applyNumberFormat="1" applyFont="1" applyBorder="1" applyAlignment="1">
      <alignment horizontal="center" vertical="center"/>
    </xf>
    <xf numFmtId="191" fontId="23" fillId="6" borderId="0" xfId="2" applyNumberFormat="1" applyFont="1" applyFill="1" applyAlignment="1">
      <alignment horizontal="center"/>
    </xf>
    <xf numFmtId="191" fontId="43" fillId="6" borderId="0" xfId="2" applyNumberFormat="1" applyFont="1" applyFill="1" applyAlignment="1">
      <alignment horizontal="center"/>
    </xf>
    <xf numFmtId="10" fontId="2" fillId="0" borderId="12" xfId="2" applyNumberFormat="1" applyFont="1" applyBorder="1" applyAlignment="1">
      <alignment horizontal="center" vertical="center"/>
    </xf>
    <xf numFmtId="10" fontId="34" fillId="0" borderId="34" xfId="2" applyNumberFormat="1" applyFont="1" applyBorder="1" applyAlignment="1">
      <alignment horizontal="center" vertical="center"/>
    </xf>
    <xf numFmtId="10" fontId="34" fillId="0" borderId="12" xfId="2" applyNumberFormat="1" applyFont="1" applyBorder="1" applyAlignment="1">
      <alignment horizontal="center" vertical="center"/>
    </xf>
    <xf numFmtId="10" fontId="2" fillId="4" borderId="14" xfId="2" applyNumberFormat="1" applyFont="1" applyFill="1" applyBorder="1" applyAlignment="1">
      <alignment horizontal="center" vertical="center"/>
    </xf>
    <xf numFmtId="10" fontId="34" fillId="4" borderId="35" xfId="2" applyNumberFormat="1" applyFont="1" applyFill="1" applyBorder="1" applyAlignment="1">
      <alignment horizontal="center" vertical="center"/>
    </xf>
    <xf numFmtId="10" fontId="34" fillId="0" borderId="14" xfId="2" applyNumberFormat="1" applyFont="1" applyBorder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0" fontId="45" fillId="0" borderId="0" xfId="10"/>
    <xf numFmtId="0" fontId="46" fillId="0" borderId="0" xfId="0" applyFont="1" applyAlignment="1">
      <alignment horizontal="left" vertical="top" readingOrder="1"/>
    </xf>
    <xf numFmtId="0" fontId="0" fillId="0" borderId="0" xfId="0" applyAlignment="1">
      <alignment horizontal="left" vertical="top" readingOrder="1"/>
    </xf>
    <xf numFmtId="0" fontId="47" fillId="0" borderId="0" xfId="0" applyFont="1" applyAlignment="1">
      <alignment horizontal="right" vertical="top" readingOrder="1"/>
    </xf>
    <xf numFmtId="0" fontId="47" fillId="0" borderId="0" xfId="0" applyFont="1" applyAlignment="1">
      <alignment horizontal="left" vertical="top" readingOrder="1"/>
    </xf>
    <xf numFmtId="0" fontId="48" fillId="0" borderId="0" xfId="0" applyFont="1" applyAlignment="1">
      <alignment horizontal="right" vertical="top" readingOrder="1"/>
    </xf>
    <xf numFmtId="0" fontId="48" fillId="0" borderId="0" xfId="0" applyFont="1" applyAlignment="1">
      <alignment horizontal="left" vertical="top" readingOrder="1"/>
    </xf>
    <xf numFmtId="0" fontId="49" fillId="0" borderId="0" xfId="0" applyFont="1" applyAlignment="1">
      <alignment horizontal="justify" vertical="top" readingOrder="1"/>
    </xf>
    <xf numFmtId="0" fontId="49" fillId="0" borderId="0" xfId="0" applyFont="1" applyAlignment="1">
      <alignment horizontal="right" vertical="top" readingOrder="1"/>
    </xf>
    <xf numFmtId="0" fontId="50" fillId="0" borderId="0" xfId="0" applyFont="1" applyAlignment="1">
      <alignment horizontal="justify" vertical="top" readingOrder="1"/>
    </xf>
    <xf numFmtId="4" fontId="50" fillId="0" borderId="0" xfId="0" applyNumberFormat="1" applyFont="1" applyAlignment="1">
      <alignment horizontal="right" vertical="top"/>
    </xf>
    <xf numFmtId="0" fontId="1" fillId="24" borderId="16" xfId="0" applyFont="1" applyFill="1" applyBorder="1" applyAlignment="1">
      <alignment horizontal="center" vertical="center"/>
    </xf>
    <xf numFmtId="1" fontId="1" fillId="24" borderId="19" xfId="0" applyNumberFormat="1" applyFont="1" applyFill="1" applyBorder="1" applyAlignment="1">
      <alignment horizontal="center" vertical="center"/>
    </xf>
    <xf numFmtId="1" fontId="1" fillId="24" borderId="1" xfId="0" applyNumberFormat="1" applyFont="1" applyFill="1" applyBorder="1" applyAlignment="1">
      <alignment horizontal="center" vertical="center"/>
    </xf>
    <xf numFmtId="1" fontId="2" fillId="24" borderId="32" xfId="0" applyNumberFormat="1" applyFont="1" applyFill="1" applyBorder="1" applyAlignment="1">
      <alignment horizontal="center" vertical="center"/>
    </xf>
    <xf numFmtId="1" fontId="2" fillId="24" borderId="18" xfId="0" applyNumberFormat="1" applyFont="1" applyFill="1" applyBorder="1" applyAlignment="1">
      <alignment horizontal="center" vertical="center"/>
    </xf>
    <xf numFmtId="0" fontId="53" fillId="0" borderId="2" xfId="0" applyFont="1" applyBorder="1" applyAlignment="1">
      <alignment horizontal="left" vertical="top" readingOrder="1"/>
    </xf>
    <xf numFmtId="0" fontId="47" fillId="0" borderId="0" xfId="0" applyFont="1" applyAlignment="1">
      <alignment horizontal="center" vertical="top" readingOrder="1"/>
    </xf>
    <xf numFmtId="0" fontId="56" fillId="0" borderId="0" xfId="0" applyFont="1" applyAlignment="1">
      <alignment horizontal="center" vertical="top" readingOrder="1"/>
    </xf>
    <xf numFmtId="0" fontId="4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top" readingOrder="1"/>
    </xf>
    <xf numFmtId="0" fontId="57" fillId="0" borderId="0" xfId="0" applyFont="1" applyAlignment="1">
      <alignment horizontal="left" vertical="top" readingOrder="1"/>
    </xf>
    <xf numFmtId="0" fontId="58" fillId="0" borderId="0" xfId="0" applyFont="1" applyAlignment="1">
      <alignment horizontal="left" vertical="top" readingOrder="1"/>
    </xf>
    <xf numFmtId="0" fontId="59" fillId="0" borderId="93" xfId="0" applyFont="1" applyBorder="1" applyAlignment="1">
      <alignment horizontal="center" vertical="center"/>
    </xf>
    <xf numFmtId="17" fontId="59" fillId="0" borderId="9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5" fillId="0" borderId="0" xfId="0" applyFont="1" applyAlignment="1">
      <alignment horizontal="center" readingOrder="1"/>
    </xf>
    <xf numFmtId="0" fontId="5" fillId="0" borderId="0" xfId="0" applyFont="1" applyAlignment="1">
      <alignment horizontal="right" readingOrder="1"/>
    </xf>
    <xf numFmtId="0" fontId="61" fillId="0" borderId="91" xfId="0" applyFont="1" applyBorder="1" applyAlignment="1">
      <alignment horizontal="left" vertical="center"/>
    </xf>
    <xf numFmtId="0" fontId="0" fillId="0" borderId="13" xfId="8" applyFont="1" applyBorder="1"/>
    <xf numFmtId="10" fontId="28" fillId="18" borderId="2" xfId="2" applyNumberFormat="1" applyFont="1" applyFill="1" applyBorder="1" applyAlignment="1">
      <alignment horizontal="center" vertical="center" wrapText="1"/>
    </xf>
    <xf numFmtId="0" fontId="54" fillId="0" borderId="2" xfId="0" applyFont="1" applyBorder="1" applyAlignment="1">
      <alignment horizontal="left" vertical="top"/>
    </xf>
    <xf numFmtId="0" fontId="54" fillId="0" borderId="2" xfId="0" applyFont="1" applyBorder="1" applyAlignment="1">
      <alignment horizontal="left" vertical="top" readingOrder="1"/>
    </xf>
    <xf numFmtId="0" fontId="54" fillId="0" borderId="2" xfId="0" applyFont="1" applyBorder="1" applyAlignment="1">
      <alignment vertical="top"/>
    </xf>
    <xf numFmtId="1" fontId="1" fillId="24" borderId="95" xfId="0" applyNumberFormat="1" applyFont="1" applyFill="1" applyBorder="1" applyAlignment="1">
      <alignment horizontal="center" vertical="center"/>
    </xf>
    <xf numFmtId="1" fontId="2" fillId="24" borderId="96" xfId="0" applyNumberFormat="1" applyFont="1" applyFill="1" applyBorder="1" applyAlignment="1">
      <alignment horizontal="center" vertical="center"/>
    </xf>
    <xf numFmtId="1" fontId="2" fillId="24" borderId="17" xfId="0" applyNumberFormat="1" applyFont="1" applyFill="1" applyBorder="1" applyAlignment="1">
      <alignment horizontal="center" vertical="center"/>
    </xf>
    <xf numFmtId="3" fontId="50" fillId="0" borderId="0" xfId="0" applyNumberFormat="1" applyFont="1" applyAlignment="1">
      <alignment horizontal="right" vertical="top"/>
    </xf>
    <xf numFmtId="0" fontId="63" fillId="0" borderId="0" xfId="0" applyFont="1" applyAlignment="1">
      <alignment horizontal="justify" vertical="top" readingOrder="1"/>
    </xf>
    <xf numFmtId="0" fontId="63" fillId="0" borderId="0" xfId="0" applyFont="1" applyAlignment="1">
      <alignment horizontal="right" vertical="top" readingOrder="1"/>
    </xf>
    <xf numFmtId="0" fontId="0" fillId="0" borderId="0" xfId="0" applyAlignment="1">
      <alignment horizontal="right" vertical="top" readingOrder="1"/>
    </xf>
    <xf numFmtId="0" fontId="0" fillId="0" borderId="0" xfId="0" applyAlignment="1">
      <alignment vertical="top" readingOrder="1"/>
    </xf>
    <xf numFmtId="0" fontId="64" fillId="0" borderId="0" xfId="0" applyFont="1" applyAlignment="1">
      <alignment horizontal="left" vertical="top" readingOrder="1"/>
    </xf>
    <xf numFmtId="0" fontId="0" fillId="0" borderId="0" xfId="0" applyAlignment="1">
      <alignment horizontal="left" vertical="top"/>
    </xf>
    <xf numFmtId="0" fontId="64" fillId="0" borderId="0" xfId="0" applyFont="1" applyAlignment="1">
      <alignment horizontal="right" vertical="top" readingOrder="1"/>
    </xf>
    <xf numFmtId="0" fontId="56" fillId="0" borderId="2" xfId="0" applyFont="1" applyBorder="1" applyAlignment="1">
      <alignment horizontal="left" vertical="top"/>
    </xf>
    <xf numFmtId="14" fontId="56" fillId="0" borderId="2" xfId="0" applyNumberFormat="1" applyFont="1" applyBorder="1" applyAlignment="1">
      <alignment horizontal="left" vertical="top"/>
    </xf>
    <xf numFmtId="4" fontId="56" fillId="0" borderId="2" xfId="0" applyNumberFormat="1" applyFont="1" applyBorder="1" applyAlignment="1">
      <alignment horizontal="right" vertical="top"/>
    </xf>
    <xf numFmtId="4" fontId="47" fillId="0" borderId="0" xfId="0" applyNumberFormat="1" applyFont="1" applyAlignment="1">
      <alignment horizontal="right" vertical="top"/>
    </xf>
    <xf numFmtId="0" fontId="62" fillId="3" borderId="0" xfId="0" applyFont="1" applyFill="1" applyAlignment="1">
      <alignment horizontal="left" vertical="top" readingOrder="1"/>
    </xf>
    <xf numFmtId="10" fontId="23" fillId="0" borderId="0" xfId="2" applyNumberFormat="1" applyFont="1" applyAlignment="1">
      <alignment horizontal="center"/>
    </xf>
    <xf numFmtId="0" fontId="37" fillId="0" borderId="0" xfId="0" applyFont="1"/>
    <xf numFmtId="10" fontId="23" fillId="0" borderId="0" xfId="2" applyNumberFormat="1" applyFont="1" applyAlignment="1">
      <alignment horizontal="left"/>
    </xf>
    <xf numFmtId="0" fontId="6" fillId="0" borderId="2" xfId="0" applyFont="1" applyBorder="1"/>
    <xf numFmtId="14" fontId="6" fillId="0" borderId="2" xfId="0" applyNumberFormat="1" applyFont="1" applyBorder="1"/>
    <xf numFmtId="4" fontId="6" fillId="0" borderId="2" xfId="0" applyNumberFormat="1" applyFont="1" applyBorder="1"/>
    <xf numFmtId="4" fontId="60" fillId="22" borderId="94" xfId="0" applyNumberFormat="1" applyFont="1" applyFill="1" applyBorder="1"/>
    <xf numFmtId="0" fontId="64" fillId="0" borderId="0" xfId="0" applyFont="1" applyAlignment="1">
      <alignment horizontal="left" vertical="top"/>
    </xf>
    <xf numFmtId="0" fontId="52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21" fillId="0" borderId="0" xfId="0" applyFont="1" applyAlignment="1">
      <alignment vertical="top"/>
    </xf>
    <xf numFmtId="0" fontId="5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4" fillId="0" borderId="0" xfId="0" applyFont="1" applyAlignment="1">
      <alignment vertical="top"/>
    </xf>
    <xf numFmtId="0" fontId="55" fillId="0" borderId="0" xfId="0" applyFont="1" applyAlignment="1">
      <alignment vertical="top"/>
    </xf>
    <xf numFmtId="10" fontId="10" fillId="4" borderId="0" xfId="2" applyNumberFormat="1" applyFont="1" applyFill="1" applyAlignment="1">
      <alignment horizontal="center"/>
    </xf>
    <xf numFmtId="0" fontId="8" fillId="0" borderId="9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99" xfId="0" applyFont="1" applyBorder="1" applyAlignment="1">
      <alignment horizontal="center"/>
    </xf>
    <xf numFmtId="0" fontId="0" fillId="0" borderId="0" xfId="0" applyAlignment="1">
      <alignment horizontal="center"/>
    </xf>
    <xf numFmtId="4" fontId="23" fillId="0" borderId="0" xfId="2" applyNumberFormat="1" applyFont="1" applyAlignment="1">
      <alignment horizontal="left"/>
    </xf>
    <xf numFmtId="17" fontId="1" fillId="0" borderId="52" xfId="0" applyNumberFormat="1" applyFont="1" applyBorder="1" applyAlignment="1">
      <alignment horizontal="center" vertical="center"/>
    </xf>
    <xf numFmtId="17" fontId="1" fillId="0" borderId="13" xfId="0" applyNumberFormat="1" applyFont="1" applyBorder="1" applyAlignment="1">
      <alignment horizontal="center" vertical="center"/>
    </xf>
    <xf numFmtId="17" fontId="1" fillId="0" borderId="36" xfId="0" applyNumberFormat="1" applyFont="1" applyBorder="1" applyAlignment="1">
      <alignment horizontal="center" vertical="center"/>
    </xf>
    <xf numFmtId="0" fontId="15" fillId="9" borderId="0" xfId="0" applyFont="1" applyFill="1" applyAlignment="1">
      <alignment horizontal="centerContinuous" vertical="center"/>
    </xf>
    <xf numFmtId="0" fontId="60" fillId="0" borderId="2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4" fontId="51" fillId="0" borderId="0" xfId="0" applyNumberFormat="1" applyFont="1" applyAlignment="1">
      <alignment vertical="top"/>
    </xf>
    <xf numFmtId="3" fontId="47" fillId="0" borderId="0" xfId="0" applyNumberFormat="1" applyFont="1" applyAlignment="1">
      <alignment horizontal="center" vertical="top"/>
    </xf>
    <xf numFmtId="0" fontId="46" fillId="3" borderId="0" xfId="0" applyFont="1" applyFill="1" applyAlignment="1">
      <alignment horizontal="left" vertical="top" readingOrder="1"/>
    </xf>
    <xf numFmtId="4" fontId="50" fillId="0" borderId="0" xfId="0" applyNumberFormat="1" applyFont="1" applyAlignment="1">
      <alignment horizontal="right" vertical="top" readingOrder="1"/>
    </xf>
    <xf numFmtId="4" fontId="5" fillId="0" borderId="0" xfId="0" applyNumberFormat="1" applyFont="1" applyAlignment="1">
      <alignment readingOrder="1"/>
    </xf>
    <xf numFmtId="10" fontId="6" fillId="0" borderId="0" xfId="0" applyNumberFormat="1" applyFont="1" applyAlignment="1">
      <alignment readingOrder="1"/>
    </xf>
    <xf numFmtId="4" fontId="6" fillId="0" borderId="0" xfId="0" applyNumberFormat="1" applyFont="1" applyAlignment="1">
      <alignment readingOrder="1"/>
    </xf>
    <xf numFmtId="17" fontId="22" fillId="5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0" fontId="28" fillId="18" borderId="68" xfId="0" applyNumberFormat="1" applyFont="1" applyFill="1" applyBorder="1" applyAlignment="1">
      <alignment horizontal="center" vertical="center" wrapText="1"/>
    </xf>
    <xf numFmtId="10" fontId="28" fillId="18" borderId="7" xfId="0" applyNumberFormat="1" applyFont="1" applyFill="1" applyBorder="1" applyAlignment="1">
      <alignment horizontal="center" vertical="center" wrapText="1"/>
    </xf>
    <xf numFmtId="10" fontId="28" fillId="18" borderId="62" xfId="0" applyNumberFormat="1" applyFont="1" applyFill="1" applyBorder="1" applyAlignment="1">
      <alignment horizontal="center" vertical="center" wrapText="1"/>
    </xf>
    <xf numFmtId="175" fontId="23" fillId="6" borderId="0" xfId="0" applyNumberFormat="1" applyFont="1" applyFill="1" applyAlignment="1">
      <alignment horizontal="center"/>
    </xf>
    <xf numFmtId="175" fontId="23" fillId="0" borderId="0" xfId="0" applyNumberFormat="1" applyFont="1" applyAlignment="1">
      <alignment horizontal="left"/>
    </xf>
    <xf numFmtId="175" fontId="43" fillId="0" borderId="0" xfId="0" applyNumberFormat="1" applyFont="1" applyAlignment="1">
      <alignment horizontal="center"/>
    </xf>
    <xf numFmtId="175" fontId="24" fillId="0" borderId="0" xfId="0" applyNumberFormat="1" applyFont="1" applyAlignment="1">
      <alignment horizontal="center"/>
    </xf>
    <xf numFmtId="43" fontId="0" fillId="0" borderId="0" xfId="1" applyFont="1"/>
    <xf numFmtId="175" fontId="23" fillId="0" borderId="0" xfId="0" applyNumberFormat="1" applyFont="1" applyAlignment="1">
      <alignment horizontal="center"/>
    </xf>
    <xf numFmtId="175" fontId="23" fillId="0" borderId="4" xfId="0" applyNumberFormat="1" applyFont="1" applyBorder="1" applyAlignment="1">
      <alignment horizontal="center"/>
    </xf>
    <xf numFmtId="175" fontId="23" fillId="0" borderId="92" xfId="0" applyNumberFormat="1" applyFont="1" applyBorder="1" applyAlignment="1">
      <alignment horizontal="center"/>
    </xf>
    <xf numFmtId="175" fontId="0" fillId="0" borderId="0" xfId="0" applyNumberFormat="1"/>
    <xf numFmtId="43" fontId="37" fillId="0" borderId="0" xfId="0" applyNumberFormat="1" applyFont="1"/>
    <xf numFmtId="43" fontId="0" fillId="0" borderId="0" xfId="0" applyNumberFormat="1"/>
    <xf numFmtId="179" fontId="23" fillId="6" borderId="0" xfId="2" applyNumberFormat="1" applyFont="1" applyFill="1" applyAlignment="1">
      <alignment horizontal="center"/>
    </xf>
    <xf numFmtId="179" fontId="43" fillId="6" borderId="0" xfId="2" applyNumberFormat="1" applyFont="1" applyFill="1" applyAlignment="1">
      <alignment horizontal="center"/>
    </xf>
    <xf numFmtId="199" fontId="23" fillId="6" borderId="0" xfId="2" applyNumberFormat="1" applyFont="1" applyFill="1" applyAlignment="1">
      <alignment horizontal="center"/>
    </xf>
    <xf numFmtId="199" fontId="43" fillId="6" borderId="0" xfId="2" applyNumberFormat="1" applyFont="1" applyFill="1" applyAlignment="1">
      <alignment horizontal="center"/>
    </xf>
    <xf numFmtId="43" fontId="23" fillId="6" borderId="0" xfId="1" applyFont="1" applyFill="1"/>
    <xf numFmtId="200" fontId="23" fillId="0" borderId="0" xfId="2" applyNumberFormat="1" applyFont="1" applyAlignment="1">
      <alignment horizontal="left"/>
    </xf>
    <xf numFmtId="43" fontId="0" fillId="0" borderId="0" xfId="1" applyFont="1" applyAlignment="1">
      <alignment horizontal="center"/>
    </xf>
    <xf numFmtId="43" fontId="23" fillId="0" borderId="92" xfId="1" applyFont="1" applyBorder="1" applyAlignment="1">
      <alignment horizontal="center"/>
    </xf>
    <xf numFmtId="43" fontId="23" fillId="6" borderId="0" xfId="1" applyFont="1" applyFill="1" applyAlignment="1">
      <alignment horizontal="center"/>
    </xf>
    <xf numFmtId="164" fontId="8" fillId="0" borderId="0" xfId="0" applyNumberFormat="1" applyFont="1"/>
    <xf numFmtId="164" fontId="7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165" fontId="10" fillId="4" borderId="0" xfId="0" applyNumberFormat="1" applyFont="1" applyFill="1" applyAlignment="1">
      <alignment horizontal="center"/>
    </xf>
    <xf numFmtId="196" fontId="10" fillId="4" borderId="0" xfId="0" applyNumberFormat="1" applyFont="1" applyFill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88" fontId="10" fillId="0" borderId="0" xfId="0" applyNumberFormat="1" applyFont="1" applyAlignment="1">
      <alignment horizontal="center"/>
    </xf>
    <xf numFmtId="187" fontId="10" fillId="4" borderId="0" xfId="0" applyNumberFormat="1" applyFont="1" applyFill="1" applyAlignment="1">
      <alignment horizontal="center"/>
    </xf>
    <xf numFmtId="174" fontId="10" fillId="0" borderId="0" xfId="0" applyNumberFormat="1" applyFont="1" applyAlignment="1">
      <alignment horizontal="center"/>
    </xf>
    <xf numFmtId="193" fontId="13" fillId="6" borderId="0" xfId="2" applyNumberFormat="1" applyFont="1" applyFill="1" applyAlignment="1">
      <alignment horizontal="center"/>
    </xf>
    <xf numFmtId="192" fontId="13" fillId="6" borderId="0" xfId="0" applyNumberFormat="1" applyFont="1" applyFill="1" applyAlignment="1">
      <alignment horizontal="center"/>
    </xf>
    <xf numFmtId="178" fontId="13" fillId="6" borderId="0" xfId="0" applyNumberFormat="1" applyFont="1" applyFill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180" fontId="8" fillId="4" borderId="0" xfId="0" applyNumberFormat="1" applyFont="1" applyFill="1" applyAlignment="1">
      <alignment vertical="center"/>
    </xf>
    <xf numFmtId="43" fontId="10" fillId="4" borderId="0" xfId="1" applyFont="1" applyFill="1" applyAlignment="1">
      <alignment horizontal="center"/>
    </xf>
    <xf numFmtId="193" fontId="8" fillId="0" borderId="0" xfId="2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80" fontId="8" fillId="0" borderId="0" xfId="0" applyNumberFormat="1" applyFont="1" applyAlignment="1">
      <alignment vertical="center"/>
    </xf>
    <xf numFmtId="44" fontId="11" fillId="0" borderId="0" xfId="9" applyFont="1" applyAlignment="1">
      <alignment horizontal="center"/>
    </xf>
    <xf numFmtId="164" fontId="0" fillId="0" borderId="0" xfId="0" applyNumberFormat="1"/>
    <xf numFmtId="186" fontId="0" fillId="0" borderId="0" xfId="0" applyNumberFormat="1"/>
    <xf numFmtId="164" fontId="19" fillId="11" borderId="87" xfId="0" applyNumberFormat="1" applyFont="1" applyFill="1" applyBorder="1" applyAlignment="1">
      <alignment horizontal="center" vertical="center" wrapText="1"/>
    </xf>
    <xf numFmtId="164" fontId="19" fillId="12" borderId="0" xfId="0" applyNumberFormat="1" applyFont="1" applyFill="1" applyAlignment="1">
      <alignment horizontal="center" vertical="center" wrapText="1"/>
    </xf>
    <xf numFmtId="164" fontId="19" fillId="12" borderId="11" xfId="0" applyNumberFormat="1" applyFont="1" applyFill="1" applyBorder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186" fontId="19" fillId="12" borderId="14" xfId="0" applyNumberFormat="1" applyFont="1" applyFill="1" applyBorder="1" applyAlignment="1">
      <alignment horizontal="center" vertical="center" wrapText="1"/>
    </xf>
    <xf numFmtId="164" fontId="19" fillId="13" borderId="13" xfId="0" applyNumberFormat="1" applyFont="1" applyFill="1" applyBorder="1" applyAlignment="1">
      <alignment horizontal="center" vertical="center" wrapText="1"/>
    </xf>
    <xf numFmtId="164" fontId="19" fillId="13" borderId="0" xfId="0" applyNumberFormat="1" applyFont="1" applyFill="1" applyAlignment="1">
      <alignment horizontal="center" vertical="center" wrapText="1"/>
    </xf>
    <xf numFmtId="164" fontId="19" fillId="13" borderId="14" xfId="0" applyNumberFormat="1" applyFont="1" applyFill="1" applyBorder="1" applyAlignment="1">
      <alignment horizontal="center" vertical="center" wrapText="1"/>
    </xf>
    <xf numFmtId="164" fontId="19" fillId="14" borderId="13" xfId="0" applyNumberFormat="1" applyFont="1" applyFill="1" applyBorder="1" applyAlignment="1">
      <alignment horizontal="center" vertical="center" wrapText="1"/>
    </xf>
    <xf numFmtId="164" fontId="19" fillId="14" borderId="0" xfId="0" applyNumberFormat="1" applyFont="1" applyFill="1" applyAlignment="1">
      <alignment horizontal="center" vertical="center" wrapText="1"/>
    </xf>
    <xf numFmtId="164" fontId="19" fillId="14" borderId="14" xfId="0" applyNumberFormat="1" applyFont="1" applyFill="1" applyBorder="1" applyAlignment="1">
      <alignment horizontal="center" vertical="center" wrapText="1"/>
    </xf>
    <xf numFmtId="164" fontId="19" fillId="14" borderId="12" xfId="0" applyNumberFormat="1" applyFont="1" applyFill="1" applyBorder="1" applyAlignment="1">
      <alignment horizontal="center" vertical="center" wrapText="1"/>
    </xf>
    <xf numFmtId="164" fontId="19" fillId="12" borderId="14" xfId="0" applyNumberFormat="1" applyFont="1" applyFill="1" applyBorder="1" applyAlignment="1">
      <alignment horizontal="center" vertical="center" wrapText="1"/>
    </xf>
    <xf numFmtId="164" fontId="19" fillId="12" borderId="13" xfId="0" applyNumberFormat="1" applyFont="1" applyFill="1" applyBorder="1" applyAlignment="1">
      <alignment horizontal="center" vertical="center" wrapText="1"/>
    </xf>
    <xf numFmtId="164" fontId="19" fillId="12" borderId="12" xfId="0" applyNumberFormat="1" applyFont="1" applyFill="1" applyBorder="1" applyAlignment="1">
      <alignment horizontal="center" vertical="center" wrapText="1"/>
    </xf>
    <xf numFmtId="172" fontId="2" fillId="0" borderId="0" xfId="0" applyNumberFormat="1" applyFont="1" applyAlignment="1">
      <alignment horizontal="center" vertical="center"/>
    </xf>
    <xf numFmtId="172" fontId="2" fillId="0" borderId="12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86" fontId="2" fillId="0" borderId="14" xfId="0" applyNumberFormat="1" applyFont="1" applyBorder="1" applyAlignment="1">
      <alignment horizontal="center" vertical="center"/>
    </xf>
    <xf numFmtId="164" fontId="2" fillId="10" borderId="13" xfId="0" applyNumberFormat="1" applyFont="1" applyFill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9" borderId="13" xfId="0" applyNumberFormat="1" applyFont="1" applyFill="1" applyBorder="1" applyAlignment="1">
      <alignment horizontal="center" vertical="center"/>
    </xf>
    <xf numFmtId="164" fontId="2" fillId="9" borderId="0" xfId="0" applyNumberFormat="1" applyFont="1" applyFill="1" applyAlignment="1">
      <alignment horizontal="center" vertical="center"/>
    </xf>
    <xf numFmtId="164" fontId="2" fillId="9" borderId="12" xfId="0" applyNumberFormat="1" applyFont="1" applyFill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10" borderId="14" xfId="0" applyNumberFormat="1" applyFont="1" applyFill="1" applyBorder="1" applyAlignment="1">
      <alignment horizontal="center" vertical="center"/>
    </xf>
    <xf numFmtId="164" fontId="34" fillId="0" borderId="13" xfId="0" applyNumberFormat="1" applyFont="1" applyBorder="1" applyAlignment="1">
      <alignment horizontal="center" vertical="center"/>
    </xf>
    <xf numFmtId="164" fontId="34" fillId="0" borderId="12" xfId="0" applyNumberFormat="1" applyFont="1" applyBorder="1" applyAlignment="1">
      <alignment horizontal="center" vertical="center"/>
    </xf>
    <xf numFmtId="172" fontId="2" fillId="0" borderId="36" xfId="0" applyNumberFormat="1" applyFont="1" applyBorder="1" applyAlignment="1">
      <alignment horizontal="center" vertical="center"/>
    </xf>
    <xf numFmtId="172" fontId="2" fillId="0" borderId="34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164" fontId="2" fillId="10" borderId="36" xfId="0" applyNumberFormat="1" applyFont="1" applyFill="1" applyBorder="1" applyAlignment="1">
      <alignment horizontal="center" vertical="center"/>
    </xf>
    <xf numFmtId="164" fontId="2" fillId="9" borderId="36" xfId="0" applyNumberFormat="1" applyFont="1" applyFill="1" applyBorder="1" applyAlignment="1">
      <alignment horizontal="center" vertical="center"/>
    </xf>
    <xf numFmtId="164" fontId="34" fillId="9" borderId="23" xfId="0" applyNumberFormat="1" applyFont="1" applyFill="1" applyBorder="1" applyAlignment="1">
      <alignment horizontal="center" vertical="center"/>
    </xf>
    <xf numFmtId="164" fontId="34" fillId="0" borderId="23" xfId="0" applyNumberFormat="1" applyFont="1" applyBorder="1" applyAlignment="1">
      <alignment horizontal="center" vertical="center"/>
    </xf>
    <xf numFmtId="164" fontId="34" fillId="0" borderId="36" xfId="0" applyNumberFormat="1" applyFont="1" applyBorder="1" applyAlignment="1">
      <alignment horizontal="center" vertical="center"/>
    </xf>
    <xf numFmtId="164" fontId="34" fillId="0" borderId="34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10" borderId="35" xfId="0" applyNumberFormat="1" applyFont="1" applyFill="1" applyBorder="1" applyAlignment="1">
      <alignment horizontal="center" vertical="center"/>
    </xf>
    <xf numFmtId="164" fontId="34" fillId="0" borderId="0" xfId="0" applyNumberFormat="1" applyFont="1" applyAlignment="1">
      <alignment horizontal="center" vertical="center"/>
    </xf>
    <xf numFmtId="164" fontId="20" fillId="4" borderId="13" xfId="0" applyNumberFormat="1" applyFont="1" applyFill="1" applyBorder="1" applyAlignment="1">
      <alignment horizontal="center" vertical="center"/>
    </xf>
    <xf numFmtId="164" fontId="20" fillId="4" borderId="12" xfId="0" applyNumberFormat="1" applyFont="1" applyFill="1" applyBorder="1" applyAlignment="1">
      <alignment horizontal="center" vertical="center"/>
    </xf>
    <xf numFmtId="198" fontId="34" fillId="4" borderId="0" xfId="2" applyNumberFormat="1" applyFont="1" applyFill="1" applyAlignment="1">
      <alignment horizontal="center" vertical="center"/>
    </xf>
    <xf numFmtId="186" fontId="19" fillId="12" borderId="13" xfId="0" applyNumberFormat="1" applyFont="1" applyFill="1" applyBorder="1" applyAlignment="1">
      <alignment horizontal="center" vertical="center" wrapText="1"/>
    </xf>
    <xf numFmtId="164" fontId="19" fillId="0" borderId="14" xfId="0" applyNumberFormat="1" applyFont="1" applyBorder="1" applyAlignment="1">
      <alignment horizontal="center" vertical="center" wrapText="1"/>
    </xf>
    <xf numFmtId="164" fontId="19" fillId="0" borderId="13" xfId="0" applyNumberFormat="1" applyFont="1" applyBorder="1" applyAlignment="1">
      <alignment horizontal="center" vertical="center" wrapText="1"/>
    </xf>
    <xf numFmtId="164" fontId="19" fillId="13" borderId="12" xfId="0" applyNumberFormat="1" applyFont="1" applyFill="1" applyBorder="1" applyAlignment="1">
      <alignment horizontal="center" vertical="center" wrapText="1"/>
    </xf>
    <xf numFmtId="186" fontId="2" fillId="0" borderId="13" xfId="0" applyNumberFormat="1" applyFont="1" applyBorder="1" applyAlignment="1">
      <alignment horizontal="center" vertical="center"/>
    </xf>
    <xf numFmtId="186" fontId="2" fillId="0" borderId="0" xfId="0" applyNumberFormat="1" applyFont="1" applyAlignment="1">
      <alignment horizontal="center" vertical="center"/>
    </xf>
    <xf numFmtId="164" fontId="2" fillId="10" borderId="0" xfId="0" applyNumberFormat="1" applyFont="1" applyFill="1" applyAlignment="1">
      <alignment horizontal="center" vertical="center"/>
    </xf>
    <xf numFmtId="164" fontId="2" fillId="10" borderId="12" xfId="0" applyNumberFormat="1" applyFont="1" applyFill="1" applyBorder="1" applyAlignment="1">
      <alignment horizontal="center" vertical="center"/>
    </xf>
    <xf numFmtId="164" fontId="34" fillId="0" borderId="35" xfId="0" applyNumberFormat="1" applyFont="1" applyBorder="1" applyAlignment="1">
      <alignment horizontal="center" vertical="center"/>
    </xf>
    <xf numFmtId="164" fontId="34" fillId="10" borderId="23" xfId="0" applyNumberFormat="1" applyFont="1" applyFill="1" applyBorder="1" applyAlignment="1">
      <alignment horizontal="center" vertical="center"/>
    </xf>
    <xf numFmtId="164" fontId="0" fillId="0" borderId="14" xfId="0" applyNumberFormat="1" applyBorder="1"/>
    <xf numFmtId="164" fontId="2" fillId="4" borderId="13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12" xfId="0" applyNumberFormat="1" applyFont="1" applyFill="1" applyBorder="1" applyAlignment="1">
      <alignment horizontal="center" vertical="center"/>
    </xf>
    <xf numFmtId="201" fontId="0" fillId="0" borderId="0" xfId="0" applyNumberFormat="1"/>
    <xf numFmtId="164" fontId="42" fillId="0" borderId="0" xfId="0" applyNumberFormat="1" applyFont="1" applyAlignment="1">
      <alignment horizontal="center" vertical="center" wrapText="1"/>
    </xf>
    <xf numFmtId="186" fontId="2" fillId="10" borderId="12" xfId="0" applyNumberFormat="1" applyFont="1" applyFill="1" applyBorder="1" applyAlignment="1">
      <alignment horizontal="center" vertical="center"/>
    </xf>
    <xf numFmtId="186" fontId="2" fillId="0" borderId="12" xfId="0" applyNumberFormat="1" applyFont="1" applyBorder="1" applyAlignment="1">
      <alignment horizontal="center" vertical="center"/>
    </xf>
    <xf numFmtId="164" fontId="2" fillId="10" borderId="34" xfId="0" applyNumberFormat="1" applyFont="1" applyFill="1" applyBorder="1" applyAlignment="1">
      <alignment horizontal="center" vertical="center"/>
    </xf>
    <xf numFmtId="164" fontId="2" fillId="10" borderId="23" xfId="0" applyNumberFormat="1" applyFont="1" applyFill="1" applyBorder="1" applyAlignment="1">
      <alignment horizontal="center" vertical="center"/>
    </xf>
    <xf numFmtId="164" fontId="19" fillId="12" borderId="54" xfId="0" applyNumberFormat="1" applyFont="1" applyFill="1" applyBorder="1" applyAlignment="1">
      <alignment horizontal="centerContinuous" vertical="center"/>
    </xf>
    <xf numFmtId="164" fontId="19" fillId="12" borderId="55" xfId="0" applyNumberFormat="1" applyFont="1" applyFill="1" applyBorder="1" applyAlignment="1">
      <alignment horizontal="centerContinuous" vertical="center"/>
    </xf>
    <xf numFmtId="164" fontId="19" fillId="12" borderId="48" xfId="0" applyNumberFormat="1" applyFont="1" applyFill="1" applyBorder="1" applyAlignment="1">
      <alignment horizontal="centerContinuous" vertical="center"/>
    </xf>
    <xf numFmtId="164" fontId="2" fillId="9" borderId="14" xfId="0" applyNumberFormat="1" applyFont="1" applyFill="1" applyBorder="1" applyAlignment="1">
      <alignment horizontal="center" vertical="center"/>
    </xf>
    <xf numFmtId="164" fontId="19" fillId="9" borderId="0" xfId="0" applyNumberFormat="1" applyFont="1" applyFill="1" applyAlignment="1">
      <alignment horizontal="center" vertical="center" wrapText="1"/>
    </xf>
    <xf numFmtId="8" fontId="2" fillId="0" borderId="0" xfId="0" applyNumberFormat="1" applyFont="1"/>
    <xf numFmtId="180" fontId="8" fillId="0" borderId="0" xfId="0" applyNumberFormat="1" applyFont="1" applyAlignment="1">
      <alignment horizontal="center"/>
    </xf>
    <xf numFmtId="180" fontId="8" fillId="16" borderId="0" xfId="0" applyNumberFormat="1" applyFont="1" applyFill="1" applyAlignment="1">
      <alignment horizontal="center"/>
    </xf>
    <xf numFmtId="180" fontId="0" fillId="0" borderId="0" xfId="0" applyNumberFormat="1"/>
    <xf numFmtId="165" fontId="8" fillId="0" borderId="0" xfId="0" applyNumberFormat="1" applyFont="1" applyAlignment="1">
      <alignment horizontal="center"/>
    </xf>
    <xf numFmtId="164" fontId="2" fillId="4" borderId="36" xfId="0" applyNumberFormat="1" applyFont="1" applyFill="1" applyBorder="1" applyAlignment="1">
      <alignment horizontal="center" vertical="center"/>
    </xf>
    <xf numFmtId="164" fontId="2" fillId="4" borderId="23" xfId="0" applyNumberFormat="1" applyFont="1" applyFill="1" applyBorder="1" applyAlignment="1">
      <alignment horizontal="center" vertical="center"/>
    </xf>
    <xf numFmtId="164" fontId="2" fillId="9" borderId="35" xfId="0" applyNumberFormat="1" applyFont="1" applyFill="1" applyBorder="1" applyAlignment="1">
      <alignment horizontal="center" vertical="center"/>
    </xf>
    <xf numFmtId="164" fontId="2" fillId="9" borderId="23" xfId="0" applyNumberFormat="1" applyFont="1" applyFill="1" applyBorder="1" applyAlignment="1">
      <alignment horizontal="center" vertical="center"/>
    </xf>
    <xf numFmtId="164" fontId="2" fillId="9" borderId="34" xfId="0" applyNumberFormat="1" applyFont="1" applyFill="1" applyBorder="1" applyAlignment="1">
      <alignment horizontal="center" vertical="center"/>
    </xf>
    <xf numFmtId="164" fontId="19" fillId="11" borderId="86" xfId="0" applyNumberFormat="1" applyFont="1" applyFill="1" applyBorder="1" applyAlignment="1">
      <alignment horizontal="center" vertical="center" wrapText="1"/>
    </xf>
    <xf numFmtId="165" fontId="19" fillId="14" borderId="13" xfId="0" applyNumberFormat="1" applyFont="1" applyFill="1" applyBorder="1" applyAlignment="1">
      <alignment horizontal="center" vertical="center" wrapText="1"/>
    </xf>
    <xf numFmtId="165" fontId="19" fillId="14" borderId="0" xfId="0" applyNumberFormat="1" applyFont="1" applyFill="1" applyAlignment="1">
      <alignment horizontal="center" vertical="center" wrapText="1"/>
    </xf>
    <xf numFmtId="165" fontId="8" fillId="0" borderId="82" xfId="0" applyNumberFormat="1" applyFont="1" applyBorder="1" applyAlignment="1">
      <alignment horizontal="center"/>
    </xf>
    <xf numFmtId="165" fontId="8" fillId="0" borderId="83" xfId="0" applyNumberFormat="1" applyFont="1" applyBorder="1" applyAlignment="1">
      <alignment horizontal="center"/>
    </xf>
    <xf numFmtId="165" fontId="8" fillId="0" borderId="85" xfId="0" applyNumberFormat="1" applyFont="1" applyBorder="1" applyAlignment="1">
      <alignment horizontal="center"/>
    </xf>
    <xf numFmtId="164" fontId="8" fillId="0" borderId="98" xfId="0" applyNumberFormat="1" applyFont="1" applyBorder="1"/>
    <xf numFmtId="164" fontId="8" fillId="0" borderId="40" xfId="0" applyNumberFormat="1" applyFont="1" applyBorder="1"/>
    <xf numFmtId="164" fontId="8" fillId="0" borderId="39" xfId="0" applyNumberFormat="1" applyFont="1" applyBorder="1"/>
    <xf numFmtId="164" fontId="34" fillId="4" borderId="36" xfId="0" applyNumberFormat="1" applyFont="1" applyFill="1" applyBorder="1" applyAlignment="1">
      <alignment horizontal="center" vertical="center"/>
    </xf>
    <xf numFmtId="164" fontId="34" fillId="4" borderId="13" xfId="0" applyNumberFormat="1" applyFont="1" applyFill="1" applyBorder="1" applyAlignment="1">
      <alignment horizontal="center" vertical="center"/>
    </xf>
    <xf numFmtId="43" fontId="2" fillId="0" borderId="50" xfId="1" applyFont="1" applyBorder="1" applyAlignment="1">
      <alignment horizontal="center"/>
    </xf>
    <xf numFmtId="43" fontId="2" fillId="0" borderId="5" xfId="1" applyFont="1" applyBorder="1" applyAlignment="1">
      <alignment horizontal="center"/>
    </xf>
    <xf numFmtId="165" fontId="14" fillId="0" borderId="45" xfId="8" applyNumberFormat="1" applyBorder="1"/>
    <xf numFmtId="43" fontId="14" fillId="0" borderId="44" xfId="1" applyBorder="1"/>
    <xf numFmtId="180" fontId="14" fillId="0" borderId="44" xfId="8" applyNumberFormat="1" applyBorder="1"/>
    <xf numFmtId="43" fontId="37" fillId="0" borderId="0" xfId="1" applyFont="1"/>
    <xf numFmtId="165" fontId="0" fillId="0" borderId="0" xfId="0" applyNumberFormat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26" xfId="0" applyNumberFormat="1" applyFont="1" applyBorder="1" applyAlignment="1">
      <alignment horizontal="center"/>
    </xf>
    <xf numFmtId="165" fontId="1" fillId="0" borderId="16" xfId="0" applyNumberFormat="1" applyFont="1" applyBorder="1" applyAlignment="1">
      <alignment horizontal="center" vertical="center"/>
    </xf>
    <xf numFmtId="165" fontId="1" fillId="0" borderId="27" xfId="0" applyNumberFormat="1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/>
    </xf>
    <xf numFmtId="173" fontId="2" fillId="0" borderId="31" xfId="0" applyNumberFormat="1" applyFont="1" applyBorder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165" fontId="37" fillId="0" borderId="31" xfId="0" applyNumberFormat="1" applyFont="1" applyBorder="1"/>
    <xf numFmtId="165" fontId="37" fillId="0" borderId="0" xfId="0" applyNumberFormat="1" applyFont="1"/>
    <xf numFmtId="165" fontId="27" fillId="0" borderId="56" xfId="0" applyNumberFormat="1" applyFont="1" applyBorder="1" applyAlignment="1">
      <alignment horizontal="center" vertical="center"/>
    </xf>
    <xf numFmtId="165" fontId="27" fillId="0" borderId="58" xfId="0" applyNumberFormat="1" applyFont="1" applyBorder="1" applyAlignment="1">
      <alignment horizontal="center" vertical="center"/>
    </xf>
    <xf numFmtId="165" fontId="37" fillId="0" borderId="1" xfId="0" applyNumberFormat="1" applyFont="1" applyBorder="1"/>
    <xf numFmtId="165" fontId="27" fillId="0" borderId="59" xfId="0" applyNumberFormat="1" applyFont="1" applyBorder="1" applyAlignment="1">
      <alignment horizontal="center"/>
    </xf>
    <xf numFmtId="181" fontId="0" fillId="0" borderId="0" xfId="2" applyNumberFormat="1" applyFont="1"/>
    <xf numFmtId="181" fontId="0" fillId="0" borderId="51" xfId="2" applyNumberFormat="1" applyFont="1" applyBorder="1"/>
    <xf numFmtId="165" fontId="27" fillId="0" borderId="60" xfId="0" applyNumberFormat="1" applyFont="1" applyBorder="1" applyAlignment="1">
      <alignment horizontal="center"/>
    </xf>
    <xf numFmtId="165" fontId="27" fillId="0" borderId="61" xfId="0" applyNumberFormat="1" applyFont="1" applyBorder="1" applyAlignment="1">
      <alignment horizontal="center"/>
    </xf>
    <xf numFmtId="181" fontId="0" fillId="0" borderId="38" xfId="2" applyNumberFormat="1" applyFont="1" applyBorder="1"/>
    <xf numFmtId="181" fontId="0" fillId="0" borderId="39" xfId="2" applyNumberFormat="1" applyFont="1" applyBorder="1"/>
    <xf numFmtId="197" fontId="50" fillId="0" borderId="0" xfId="0" applyNumberFormat="1" applyFont="1" applyAlignment="1">
      <alignment horizontal="justify" vertical="top" readingOrder="1"/>
    </xf>
    <xf numFmtId="165" fontId="2" fillId="24" borderId="30" xfId="0" applyNumberFormat="1" applyFont="1" applyFill="1" applyBorder="1" applyAlignment="1">
      <alignment horizontal="center" vertical="center"/>
    </xf>
    <xf numFmtId="195" fontId="2" fillId="24" borderId="31" xfId="1" applyNumberFormat="1" applyFont="1" applyFill="1" applyBorder="1" applyAlignment="1">
      <alignment horizontal="center" vertical="center"/>
    </xf>
    <xf numFmtId="165" fontId="2" fillId="24" borderId="91" xfId="0" applyNumberFormat="1" applyFont="1" applyFill="1" applyBorder="1" applyAlignment="1">
      <alignment horizontal="center" vertical="center"/>
    </xf>
    <xf numFmtId="43" fontId="2" fillId="24" borderId="92" xfId="1" applyFont="1" applyFill="1" applyBorder="1" applyAlignment="1">
      <alignment horizontal="center" vertical="center"/>
    </xf>
    <xf numFmtId="165" fontId="2" fillId="24" borderId="15" xfId="0" applyNumberFormat="1" applyFont="1" applyFill="1" applyBorder="1" applyAlignment="1">
      <alignment horizontal="center" vertical="center"/>
    </xf>
    <xf numFmtId="195" fontId="2" fillId="24" borderId="0" xfId="1" applyNumberFormat="1" applyFont="1" applyFill="1" applyAlignment="1">
      <alignment horizontal="center" vertical="center"/>
    </xf>
    <xf numFmtId="43" fontId="2" fillId="24" borderId="0" xfId="1" applyFont="1" applyFill="1" applyAlignment="1">
      <alignment horizontal="center" vertical="center"/>
    </xf>
    <xf numFmtId="165" fontId="47" fillId="0" borderId="0" xfId="0" applyNumberFormat="1" applyFont="1" applyAlignment="1">
      <alignment horizontal="left" vertical="top" readingOrder="1"/>
    </xf>
    <xf numFmtId="43" fontId="5" fillId="0" borderId="0" xfId="1" applyFont="1" applyAlignment="1">
      <alignment readingOrder="1"/>
    </xf>
    <xf numFmtId="43" fontId="5" fillId="0" borderId="0" xfId="0" applyNumberFormat="1" applyFont="1" applyAlignment="1">
      <alignment readingOrder="1"/>
    </xf>
    <xf numFmtId="165" fontId="47" fillId="0" borderId="0" xfId="0" applyNumberFormat="1" applyFont="1" applyAlignment="1">
      <alignment horizontal="right" vertical="center" readingOrder="1"/>
    </xf>
    <xf numFmtId="197" fontId="56" fillId="0" borderId="2" xfId="0" applyNumberFormat="1" applyFont="1" applyBorder="1" applyAlignment="1">
      <alignment horizontal="left" vertical="top"/>
    </xf>
    <xf numFmtId="165" fontId="39" fillId="0" borderId="31" xfId="0" applyNumberFormat="1" applyFont="1" applyBorder="1" applyAlignment="1">
      <alignment horizontal="center" vertical="center" wrapText="1"/>
    </xf>
    <xf numFmtId="176" fontId="27" fillId="0" borderId="31" xfId="1" applyNumberFormat="1" applyFont="1" applyBorder="1" applyAlignment="1">
      <alignment horizontal="center" vertical="center"/>
    </xf>
    <xf numFmtId="182" fontId="27" fillId="17" borderId="2" xfId="0" applyNumberFormat="1" applyFont="1" applyFill="1" applyBorder="1" applyAlignment="1">
      <alignment horizontal="center" vertical="center" wrapText="1"/>
    </xf>
    <xf numFmtId="165" fontId="27" fillId="0" borderId="66" xfId="0" applyNumberFormat="1" applyFont="1" applyBorder="1" applyAlignment="1">
      <alignment horizontal="center" vertical="center" wrapText="1"/>
    </xf>
    <xf numFmtId="176" fontId="27" fillId="0" borderId="0" xfId="1" applyNumberFormat="1" applyFont="1" applyAlignment="1">
      <alignment horizontal="center" vertical="center"/>
    </xf>
    <xf numFmtId="165" fontId="39" fillId="0" borderId="66" xfId="0" applyNumberFormat="1" applyFont="1" applyBorder="1" applyAlignment="1">
      <alignment horizontal="center" vertical="center" wrapText="1"/>
    </xf>
    <xf numFmtId="183" fontId="27" fillId="17" borderId="2" xfId="0" applyNumberFormat="1" applyFont="1" applyFill="1" applyBorder="1" applyAlignment="1">
      <alignment horizontal="center" vertical="center" wrapText="1"/>
    </xf>
    <xf numFmtId="165" fontId="27" fillId="0" borderId="0" xfId="0" applyNumberFormat="1" applyFont="1" applyAlignment="1">
      <alignment horizontal="center" vertical="center" wrapText="1"/>
    </xf>
    <xf numFmtId="165" fontId="39" fillId="0" borderId="0" xfId="0" applyNumberFormat="1" applyFont="1" applyAlignment="1">
      <alignment horizontal="center" vertical="center" wrapText="1"/>
    </xf>
    <xf numFmtId="184" fontId="27" fillId="17" borderId="2" xfId="0" applyNumberFormat="1" applyFont="1" applyFill="1" applyBorder="1" applyAlignment="1">
      <alignment horizontal="center" vertical="center" wrapText="1"/>
    </xf>
    <xf numFmtId="185" fontId="40" fillId="17" borderId="2" xfId="0" applyNumberFormat="1" applyFont="1" applyFill="1" applyBorder="1" applyAlignment="1">
      <alignment horizontal="center" vertical="center" wrapText="1"/>
    </xf>
    <xf numFmtId="165" fontId="41" fillId="17" borderId="2" xfId="0" applyNumberFormat="1" applyFont="1" applyFill="1" applyBorder="1" applyAlignment="1">
      <alignment horizontal="center" vertical="center"/>
    </xf>
    <xf numFmtId="164" fontId="19" fillId="13" borderId="52" xfId="0" applyNumberFormat="1" applyFont="1" applyFill="1" applyBorder="1" applyAlignment="1">
      <alignment horizontal="center" vertical="center" wrapText="1"/>
    </xf>
    <xf numFmtId="164" fontId="19" fillId="14" borderId="31" xfId="0" applyNumberFormat="1" applyFont="1" applyFill="1" applyBorder="1" applyAlignment="1">
      <alignment horizontal="center" vertical="center" wrapText="1"/>
    </xf>
    <xf numFmtId="164" fontId="19" fillId="13" borderId="31" xfId="0" applyNumberFormat="1" applyFont="1" applyFill="1" applyBorder="1" applyAlignment="1">
      <alignment horizontal="center" vertical="center" wrapText="1"/>
    </xf>
    <xf numFmtId="164" fontId="19" fillId="12" borderId="31" xfId="0" applyNumberFormat="1" applyFont="1" applyFill="1" applyBorder="1" applyAlignment="1">
      <alignment horizontal="center" vertical="center" wrapText="1"/>
    </xf>
    <xf numFmtId="164" fontId="19" fillId="14" borderId="53" xfId="0" applyNumberFormat="1" applyFont="1" applyFill="1" applyBorder="1" applyAlignment="1">
      <alignment horizontal="center" vertical="center" wrapText="1"/>
    </xf>
    <xf numFmtId="165" fontId="27" fillId="0" borderId="0" xfId="0" applyNumberFormat="1" applyFont="1" applyAlignment="1">
      <alignment horizontal="center"/>
    </xf>
    <xf numFmtId="176" fontId="14" fillId="0" borderId="13" xfId="1" applyNumberFormat="1" applyBorder="1"/>
    <xf numFmtId="176" fontId="27" fillId="0" borderId="20" xfId="1" applyNumberFormat="1" applyFont="1" applyBorder="1" applyAlignment="1">
      <alignment horizontal="center" vertical="center"/>
    </xf>
    <xf numFmtId="176" fontId="14" fillId="0" borderId="69" xfId="1" applyNumberFormat="1" applyBorder="1" applyAlignment="1">
      <alignment horizontal="center" vertical="center"/>
    </xf>
    <xf numFmtId="176" fontId="27" fillId="0" borderId="20" xfId="1" applyNumberFormat="1" applyFont="1" applyBorder="1" applyAlignment="1">
      <alignment horizontal="right" vertical="center"/>
    </xf>
    <xf numFmtId="176" fontId="27" fillId="19" borderId="20" xfId="1" applyNumberFormat="1" applyFont="1" applyFill="1" applyBorder="1" applyAlignment="1">
      <alignment horizontal="right" vertical="center"/>
    </xf>
    <xf numFmtId="43" fontId="27" fillId="0" borderId="20" xfId="1" applyFont="1" applyBorder="1" applyAlignment="1">
      <alignment horizontal="right" vertical="center"/>
    </xf>
    <xf numFmtId="176" fontId="27" fillId="0" borderId="69" xfId="1" applyNumberFormat="1" applyFont="1" applyBorder="1" applyAlignment="1">
      <alignment horizontal="center" vertical="center"/>
    </xf>
    <xf numFmtId="176" fontId="27" fillId="0" borderId="70" xfId="1" applyNumberFormat="1" applyFont="1" applyBorder="1" applyAlignment="1">
      <alignment horizontal="right" vertical="center"/>
    </xf>
    <xf numFmtId="176" fontId="27" fillId="0" borderId="71" xfId="1" applyNumberFormat="1" applyFont="1" applyBorder="1" applyAlignment="1">
      <alignment horizontal="right" vertical="center"/>
    </xf>
    <xf numFmtId="165" fontId="27" fillId="0" borderId="20" xfId="0" applyNumberFormat="1" applyFont="1" applyBorder="1" applyAlignment="1">
      <alignment horizontal="right" vertical="center"/>
    </xf>
    <xf numFmtId="176" fontId="27" fillId="0" borderId="72" xfId="1" applyNumberFormat="1" applyFont="1" applyBorder="1" applyAlignment="1">
      <alignment horizontal="center" vertical="center"/>
    </xf>
    <xf numFmtId="176" fontId="14" fillId="0" borderId="20" xfId="1" applyNumberFormat="1" applyBorder="1"/>
    <xf numFmtId="176" fontId="14" fillId="0" borderId="22" xfId="1" applyNumberFormat="1" applyBorder="1"/>
    <xf numFmtId="176" fontId="14" fillId="19" borderId="20" xfId="1" applyNumberFormat="1" applyFill="1" applyBorder="1"/>
    <xf numFmtId="176" fontId="14" fillId="0" borderId="70" xfId="1" applyNumberFormat="1" applyBorder="1"/>
    <xf numFmtId="176" fontId="27" fillId="19" borderId="20" xfId="1" applyNumberFormat="1" applyFont="1" applyFill="1" applyBorder="1"/>
    <xf numFmtId="165" fontId="27" fillId="0" borderId="20" xfId="0" applyNumberFormat="1" applyFont="1" applyBorder="1" applyAlignment="1">
      <alignment horizontal="right"/>
    </xf>
    <xf numFmtId="176" fontId="14" fillId="0" borderId="23" xfId="1" applyNumberFormat="1" applyBorder="1"/>
    <xf numFmtId="165" fontId="27" fillId="0" borderId="73" xfId="0" applyNumberFormat="1" applyFont="1" applyBorder="1" applyAlignment="1">
      <alignment horizontal="right"/>
    </xf>
    <xf numFmtId="176" fontId="27" fillId="0" borderId="74" xfId="1" applyNumberFormat="1" applyFont="1" applyBorder="1" applyAlignment="1">
      <alignment horizontal="center" vertical="center"/>
    </xf>
    <xf numFmtId="176" fontId="14" fillId="0" borderId="73" xfId="1" applyNumberFormat="1" applyBorder="1"/>
    <xf numFmtId="176" fontId="14" fillId="0" borderId="25" xfId="1" applyNumberFormat="1" applyBorder="1"/>
    <xf numFmtId="176" fontId="14" fillId="19" borderId="73" xfId="1" applyNumberFormat="1" applyFill="1" applyBorder="1"/>
    <xf numFmtId="176" fontId="14" fillId="0" borderId="75" xfId="1" applyNumberFormat="1" applyBorder="1"/>
    <xf numFmtId="176" fontId="14" fillId="0" borderId="26" xfId="1" applyNumberFormat="1" applyBorder="1"/>
    <xf numFmtId="176" fontId="27" fillId="19" borderId="73" xfId="1" applyNumberFormat="1" applyFont="1" applyFill="1" applyBorder="1"/>
    <xf numFmtId="165" fontId="27" fillId="0" borderId="17" xfId="0" applyNumberFormat="1" applyFont="1" applyBorder="1" applyAlignment="1">
      <alignment horizontal="right"/>
    </xf>
    <xf numFmtId="176" fontId="27" fillId="0" borderId="17" xfId="1" applyNumberFormat="1" applyFont="1" applyBorder="1" applyAlignment="1">
      <alignment horizontal="center" vertical="center"/>
    </xf>
    <xf numFmtId="176" fontId="14" fillId="0" borderId="17" xfId="1" applyNumberFormat="1" applyBorder="1"/>
    <xf numFmtId="176" fontId="14" fillId="0" borderId="0" xfId="1" applyNumberFormat="1"/>
    <xf numFmtId="176" fontId="14" fillId="19" borderId="17" xfId="1" applyNumberFormat="1" applyFill="1" applyBorder="1"/>
    <xf numFmtId="176" fontId="14" fillId="0" borderId="89" xfId="1" applyNumberFormat="1" applyBorder="1"/>
    <xf numFmtId="176" fontId="14" fillId="0" borderId="18" xfId="1" applyNumberFormat="1" applyBorder="1"/>
    <xf numFmtId="176" fontId="27" fillId="19" borderId="17" xfId="1" applyNumberFormat="1" applyFont="1" applyFill="1" applyBorder="1"/>
    <xf numFmtId="176" fontId="14" fillId="16" borderId="20" xfId="1" applyNumberFormat="1" applyFill="1" applyBorder="1"/>
    <xf numFmtId="176" fontId="14" fillId="16" borderId="22" xfId="1" applyNumberFormat="1" applyFill="1" applyBorder="1"/>
    <xf numFmtId="165" fontId="27" fillId="0" borderId="47" xfId="0" applyNumberFormat="1" applyFont="1" applyBorder="1" applyAlignment="1">
      <alignment horizontal="right"/>
    </xf>
    <xf numFmtId="176" fontId="27" fillId="0" borderId="63" xfId="1" applyNumberFormat="1" applyFont="1" applyBorder="1" applyAlignment="1">
      <alignment horizontal="center" vertical="center"/>
    </xf>
    <xf numFmtId="176" fontId="14" fillId="0" borderId="63" xfId="1" applyNumberFormat="1" applyBorder="1"/>
    <xf numFmtId="176" fontId="14" fillId="16" borderId="63" xfId="1" applyNumberFormat="1" applyFill="1" applyBorder="1"/>
    <xf numFmtId="176" fontId="14" fillId="0" borderId="55" xfId="1" applyNumberFormat="1" applyBorder="1"/>
    <xf numFmtId="176" fontId="14" fillId="19" borderId="63" xfId="1" applyNumberFormat="1" applyFill="1" applyBorder="1"/>
    <xf numFmtId="176" fontId="14" fillId="0" borderId="76" xfId="1" applyNumberFormat="1" applyBorder="1"/>
    <xf numFmtId="176" fontId="14" fillId="16" borderId="77" xfId="1" applyNumberFormat="1" applyFill="1" applyBorder="1"/>
    <xf numFmtId="176" fontId="27" fillId="19" borderId="63" xfId="1" applyNumberFormat="1" applyFont="1" applyFill="1" applyBorder="1"/>
    <xf numFmtId="164" fontId="2" fillId="10" borderId="54" xfId="0" applyNumberFormat="1" applyFont="1" applyFill="1" applyBorder="1" applyAlignment="1">
      <alignment horizontal="center" vertical="center"/>
    </xf>
    <xf numFmtId="164" fontId="2" fillId="10" borderId="55" xfId="0" applyNumberFormat="1" applyFont="1" applyFill="1" applyBorder="1" applyAlignment="1">
      <alignment horizontal="center" vertical="center"/>
    </xf>
    <xf numFmtId="164" fontId="2" fillId="10" borderId="48" xfId="0" applyNumberFormat="1" applyFont="1" applyFill="1" applyBorder="1" applyAlignment="1">
      <alignment horizontal="center" vertical="center"/>
    </xf>
    <xf numFmtId="176" fontId="14" fillId="19" borderId="22" xfId="1" applyNumberFormat="1" applyFill="1" applyBorder="1"/>
    <xf numFmtId="176" fontId="27" fillId="19" borderId="21" xfId="1" applyNumberFormat="1" applyFont="1" applyFill="1" applyBorder="1"/>
    <xf numFmtId="176" fontId="27" fillId="19" borderId="22" xfId="1" applyNumberFormat="1" applyFont="1" applyFill="1" applyBorder="1"/>
    <xf numFmtId="164" fontId="2" fillId="10" borderId="43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  <xf numFmtId="164" fontId="2" fillId="10" borderId="11" xfId="0" applyNumberFormat="1" applyFont="1" applyFill="1" applyBorder="1" applyAlignment="1">
      <alignment horizontal="center" vertical="center"/>
    </xf>
    <xf numFmtId="176" fontId="31" fillId="9" borderId="0" xfId="1" applyNumberFormat="1" applyFont="1" applyFill="1" applyAlignment="1">
      <alignment horizontal="center" vertical="center" wrapText="1"/>
    </xf>
    <xf numFmtId="176" fontId="32" fillId="10" borderId="0" xfId="1" applyNumberFormat="1" applyFont="1" applyFill="1" applyAlignment="1">
      <alignment horizontal="center" vertical="center" wrapText="1"/>
    </xf>
    <xf numFmtId="43" fontId="31" fillId="8" borderId="0" xfId="6" applyFont="1" applyFill="1" applyAlignment="1">
      <alignment horizontal="left" vertical="center" indent="1"/>
    </xf>
    <xf numFmtId="164" fontId="19" fillId="11" borderId="9" xfId="0" applyNumberFormat="1" applyFont="1" applyFill="1" applyBorder="1" applyAlignment="1">
      <alignment horizontal="center" vertical="center" wrapText="1"/>
    </xf>
    <xf numFmtId="172" fontId="19" fillId="12" borderId="1" xfId="0" applyNumberFormat="1" applyFont="1" applyFill="1" applyBorder="1" applyAlignment="1">
      <alignment horizontal="center" vertical="center" wrapText="1"/>
    </xf>
    <xf numFmtId="172" fontId="19" fillId="12" borderId="19" xfId="0" applyNumberFormat="1" applyFont="1" applyFill="1" applyBorder="1" applyAlignment="1">
      <alignment horizontal="center" vertical="center" wrapText="1"/>
    </xf>
    <xf numFmtId="172" fontId="19" fillId="12" borderId="16" xfId="0" applyNumberFormat="1" applyFont="1" applyFill="1" applyBorder="1" applyAlignment="1">
      <alignment horizontal="center" vertical="center" wrapText="1"/>
    </xf>
    <xf numFmtId="194" fontId="19" fillId="12" borderId="16" xfId="0" applyNumberFormat="1" applyFont="1" applyFill="1" applyBorder="1" applyAlignment="1">
      <alignment horizontal="center" vertical="center" wrapText="1"/>
    </xf>
    <xf numFmtId="172" fontId="2" fillId="10" borderId="0" xfId="0" applyNumberFormat="1" applyFont="1" applyFill="1" applyAlignment="1">
      <alignment horizontal="center" vertical="center"/>
    </xf>
    <xf numFmtId="172" fontId="2" fillId="10" borderId="18" xfId="0" applyNumberFormat="1" applyFont="1" applyFill="1" applyBorder="1" applyAlignment="1">
      <alignment horizontal="center" vertical="center"/>
    </xf>
    <xf numFmtId="172" fontId="2" fillId="10" borderId="15" xfId="0" applyNumberFormat="1" applyFont="1" applyFill="1" applyBorder="1" applyAlignment="1">
      <alignment horizontal="center" vertical="center"/>
    </xf>
    <xf numFmtId="194" fontId="2" fillId="10" borderId="15" xfId="0" applyNumberFormat="1" applyFont="1" applyFill="1" applyBorder="1" applyAlignment="1">
      <alignment horizontal="center" vertical="center"/>
    </xf>
    <xf numFmtId="172" fontId="2" fillId="10" borderId="23" xfId="0" applyNumberFormat="1" applyFont="1" applyFill="1" applyBorder="1" applyAlignment="1">
      <alignment horizontal="center" vertical="center"/>
    </xf>
    <xf numFmtId="172" fontId="2" fillId="10" borderId="22" xfId="0" applyNumberFormat="1" applyFont="1" applyFill="1" applyBorder="1" applyAlignment="1">
      <alignment horizontal="center" vertical="center"/>
    </xf>
    <xf numFmtId="164" fontId="0" fillId="0" borderId="23" xfId="0" applyNumberFormat="1" applyBorder="1"/>
    <xf numFmtId="172" fontId="2" fillId="10" borderId="21" xfId="0" applyNumberFormat="1" applyFont="1" applyFill="1" applyBorder="1" applyAlignment="1">
      <alignment horizontal="center" vertical="center"/>
    </xf>
    <xf numFmtId="194" fontId="2" fillId="10" borderId="21" xfId="0" applyNumberFormat="1" applyFont="1" applyFill="1" applyBorder="1" applyAlignment="1">
      <alignment horizontal="center" vertical="center"/>
    </xf>
    <xf numFmtId="172" fontId="2" fillId="4" borderId="0" xfId="0" applyNumberFormat="1" applyFont="1" applyFill="1" applyAlignment="1">
      <alignment horizontal="center" vertical="center"/>
    </xf>
    <xf numFmtId="172" fontId="2" fillId="4" borderId="18" xfId="0" applyNumberFormat="1" applyFont="1" applyFill="1" applyBorder="1" applyAlignment="1">
      <alignment horizontal="center" vertical="center"/>
    </xf>
    <xf numFmtId="172" fontId="2" fillId="4" borderId="15" xfId="0" applyNumberFormat="1" applyFont="1" applyFill="1" applyBorder="1" applyAlignment="1">
      <alignment horizontal="center" vertical="center"/>
    </xf>
    <xf numFmtId="194" fontId="2" fillId="4" borderId="15" xfId="0" applyNumberFormat="1" applyFont="1" applyFill="1" applyBorder="1" applyAlignment="1">
      <alignment horizontal="center" vertical="center"/>
    </xf>
    <xf numFmtId="17" fontId="22" fillId="5" borderId="0" xfId="0" applyNumberFormat="1" applyFont="1" applyFill="1" applyAlignment="1">
      <alignment horizontal="center" vertical="center"/>
    </xf>
    <xf numFmtId="0" fontId="0" fillId="0" borderId="0" xfId="0"/>
    <xf numFmtId="175" fontId="23" fillId="6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19" fillId="11" borderId="54" xfId="0" applyNumberFormat="1" applyFont="1" applyFill="1" applyBorder="1" applyAlignment="1">
      <alignment horizontal="center" vertical="center" wrapText="1"/>
    </xf>
    <xf numFmtId="0" fontId="0" fillId="0" borderId="43" xfId="0" applyBorder="1"/>
    <xf numFmtId="164" fontId="19" fillId="12" borderId="12" xfId="0" applyNumberFormat="1" applyFont="1" applyFill="1" applyBorder="1" applyAlignment="1">
      <alignment horizontal="center" vertical="center" wrapText="1"/>
    </xf>
    <xf numFmtId="0" fontId="0" fillId="0" borderId="12" xfId="0" applyBorder="1"/>
    <xf numFmtId="1" fontId="1" fillId="10" borderId="8" xfId="0" applyNumberFormat="1" applyFont="1" applyFill="1" applyBorder="1" applyAlignment="1">
      <alignment horizontal="center" vertical="center"/>
    </xf>
    <xf numFmtId="0" fontId="0" fillId="0" borderId="40" xfId="0" applyBorder="1"/>
    <xf numFmtId="0" fontId="37" fillId="0" borderId="100" xfId="8" applyFont="1" applyBorder="1" applyAlignment="1">
      <alignment horizontal="center"/>
    </xf>
    <xf numFmtId="0" fontId="0" fillId="0" borderId="41" xfId="0" applyBorder="1"/>
    <xf numFmtId="0" fontId="37" fillId="16" borderId="87" xfId="0" applyFont="1" applyFill="1" applyBorder="1" applyAlignment="1">
      <alignment horizontal="center"/>
    </xf>
    <xf numFmtId="0" fontId="0" fillId="0" borderId="55" xfId="0" applyBorder="1"/>
    <xf numFmtId="0" fontId="0" fillId="0" borderId="48" xfId="0" applyBorder="1"/>
    <xf numFmtId="10" fontId="28" fillId="18" borderId="2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62" xfId="0" applyBorder="1"/>
    <xf numFmtId="165" fontId="27" fillId="19" borderId="2" xfId="0" applyNumberFormat="1" applyFont="1" applyFill="1" applyBorder="1" applyAlignment="1">
      <alignment horizontal="center" vertical="center" wrapText="1"/>
    </xf>
    <xf numFmtId="0" fontId="0" fillId="0" borderId="92" xfId="0" applyBorder="1"/>
    <xf numFmtId="39" fontId="27" fillId="19" borderId="2" xfId="0" applyNumberFormat="1" applyFont="1" applyFill="1" applyBorder="1" applyAlignment="1">
      <alignment horizontal="center" vertical="center" wrapText="1"/>
    </xf>
    <xf numFmtId="10" fontId="28" fillId="18" borderId="62" xfId="0" applyNumberFormat="1" applyFont="1" applyFill="1" applyBorder="1" applyAlignment="1">
      <alignment horizontal="center" vertical="center" wrapText="1"/>
    </xf>
    <xf numFmtId="10" fontId="28" fillId="18" borderId="2" xfId="0" applyNumberFormat="1" applyFont="1" applyFill="1" applyBorder="1" applyAlignment="1">
      <alignment horizontal="center" vertical="center"/>
    </xf>
    <xf numFmtId="0" fontId="27" fillId="6" borderId="87" xfId="0" applyFont="1" applyFill="1" applyBorder="1" applyAlignment="1">
      <alignment horizontal="left" vertical="top" wrapText="1"/>
    </xf>
    <xf numFmtId="0" fontId="0" fillId="0" borderId="31" xfId="0" applyBorder="1"/>
    <xf numFmtId="0" fontId="0" fillId="0" borderId="53" xfId="0" applyBorder="1"/>
    <xf numFmtId="0" fontId="0" fillId="0" borderId="13" xfId="0" applyBorder="1"/>
    <xf numFmtId="0" fontId="0" fillId="0" borderId="1" xfId="0" applyBorder="1"/>
    <xf numFmtId="0" fontId="0" fillId="0" borderId="11" xfId="0" applyBorder="1"/>
  </cellXfs>
  <cellStyles count="11">
    <cellStyle name="Comma 5 10" xfId="6" xr:uid="{00000000-0005-0000-0000-000006000000}"/>
    <cellStyle name="Hiperlink" xfId="10" builtinId="8"/>
    <cellStyle name="Moeda" xfId="9" builtinId="4"/>
    <cellStyle name="Normal" xfId="0" builtinId="0"/>
    <cellStyle name="Normal 13" xfId="7" xr:uid="{00000000-0005-0000-0000-000007000000}"/>
    <cellStyle name="Normal 14" xfId="4" xr:uid="{00000000-0005-0000-0000-000004000000}"/>
    <cellStyle name="Normal 23" xfId="8" xr:uid="{00000000-0005-0000-0000-000008000000}"/>
    <cellStyle name="Normal 31" xfId="5" xr:uid="{00000000-0005-0000-0000-000005000000}"/>
    <cellStyle name="Percent 5 10" xfId="3" xr:uid="{00000000-0005-0000-0000-000003000000}"/>
    <cellStyle name="Porcentagem" xfId="2" builtinId="5"/>
    <cellStyle name="Vírgula" xfId="1" builtinId="3"/>
  </cellStyles>
  <dxfs count="23719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 patternType="solid">
          <bgColor indexed="5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ndense val="0"/>
        <extend val="0"/>
        <color auto="1"/>
      </font>
      <border>
        <left style="hair">
          <color indexed="64"/>
        </left>
        <right style="hair">
          <color indexed="64"/>
        </right>
        <top style="dashDotDot">
          <color indexed="12"/>
        </top>
        <bottom style="hair">
          <color indexed="64"/>
        </bottom>
      </border>
    </dxf>
    <dxf>
      <font>
        <condense val="0"/>
        <extend val="0"/>
        <color auto="1"/>
      </font>
      <fill>
        <patternFill>
          <bgColor indexed="65"/>
        </patternFill>
      </fill>
      <border>
        <left style="hair">
          <color indexed="64"/>
        </left>
        <right style="hair">
          <color indexed="64"/>
        </right>
        <top style="dashDotDot">
          <color indexed="17"/>
        </top>
        <bottom style="hair">
          <color indexed="64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85725</xdr:rowOff>
    </xdr:from>
    <xdr:to>
      <xdr:col>0</xdr:col>
      <xdr:colOff>538692</xdr:colOff>
      <xdr:row>1</xdr:row>
      <xdr:rowOff>182033</xdr:rowOff>
    </xdr:to>
    <xdr:pic>
      <xdr:nvPicPr>
        <xdr:cNvPr id="2" name="Picture 1" descr="BBA__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r="47398" b="-271"/>
        <a:stretch>
          <a:fillRect/>
        </a:stretch>
      </xdr:blipFill>
      <xdr:spPr bwMode="auto">
        <a:xfrm>
          <a:off x="142875" y="85725"/>
          <a:ext cx="395817" cy="391583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3.bcb.gov.br/sgspub/localizarseries/localizarSeries.do?method=prepararTelaLocalizarSeries" TargetMode="External"/><Relationship Id="rId2" Type="http://schemas.openxmlformats.org/officeDocument/2006/relationships/hyperlink" Target="https://sidra.ibge.gov.br/tabela/1737" TargetMode="External"/><Relationship Id="rId1" Type="http://schemas.openxmlformats.org/officeDocument/2006/relationships/hyperlink" Target="https://sindusconpr.com.br/incc-di-fgv-310-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N31"/>
  <sheetViews>
    <sheetView showGridLines="0" topLeftCell="A13" zoomScaleNormal="100" workbookViewId="0">
      <selection activeCell="G30" sqref="G30"/>
    </sheetView>
  </sheetViews>
  <sheetFormatPr defaultRowHeight="15" x14ac:dyDescent="0.25"/>
  <cols>
    <col min="1" max="1" width="41" style="85" bestFit="1" customWidth="1"/>
    <col min="2" max="2" width="24.42578125" style="75" bestFit="1" customWidth="1"/>
    <col min="3" max="3" width="24.42578125" style="75" customWidth="1"/>
    <col min="4" max="4" width="19.5703125" style="75" bestFit="1" customWidth="1"/>
    <col min="5" max="5" width="19.85546875" style="186" bestFit="1" customWidth="1"/>
    <col min="6" max="6" width="10.5703125" style="186" bestFit="1" customWidth="1"/>
    <col min="7" max="7" width="11.7109375" style="186" bestFit="1" customWidth="1"/>
    <col min="8" max="8" width="11.5703125" style="186" bestFit="1" customWidth="1"/>
    <col min="10" max="10" width="13.42578125" style="186" customWidth="1"/>
    <col min="11" max="11" width="13.28515625" style="186" bestFit="1" customWidth="1"/>
    <col min="12" max="12" width="12.42578125" style="186" bestFit="1" customWidth="1"/>
    <col min="13" max="14" width="14.28515625" style="186" bestFit="1" customWidth="1"/>
  </cols>
  <sheetData>
    <row r="1" spans="1:14" x14ac:dyDescent="0.25">
      <c r="A1" s="74"/>
    </row>
    <row r="2" spans="1:14" x14ac:dyDescent="0.25">
      <c r="A2" s="76" t="s">
        <v>0</v>
      </c>
      <c r="B2" s="327" t="s">
        <v>1</v>
      </c>
      <c r="C2" s="327">
        <f>EDATE(baseData, -1)</f>
        <v>44105</v>
      </c>
      <c r="D2" s="327">
        <f>baseData</f>
        <v>44136</v>
      </c>
      <c r="E2" s="327" t="s">
        <v>2</v>
      </c>
      <c r="F2" s="77"/>
      <c r="G2" s="77"/>
      <c r="H2" s="327" t="s">
        <v>3</v>
      </c>
      <c r="J2" s="327" t="s">
        <v>4</v>
      </c>
    </row>
    <row r="3" spans="1:14" x14ac:dyDescent="0.25">
      <c r="A3" s="78"/>
      <c r="B3" s="79"/>
      <c r="C3" s="79"/>
      <c r="D3" s="79"/>
      <c r="E3" s="79"/>
      <c r="F3" s="79"/>
      <c r="G3" s="79"/>
      <c r="H3" s="332" t="s">
        <v>5</v>
      </c>
      <c r="J3" s="332" t="s">
        <v>5</v>
      </c>
    </row>
    <row r="4" spans="1:14" x14ac:dyDescent="0.25">
      <c r="A4" s="80" t="s">
        <v>6</v>
      </c>
      <c r="B4" s="332">
        <v>10927784.640000001</v>
      </c>
      <c r="C4" s="332">
        <f>B4</f>
        <v>10927784.640000001</v>
      </c>
      <c r="D4" s="332">
        <f>IF($H$3="Sim",INDEX('Fluxo Projeto'!$E:$E,MATCH(baseData,'Fluxo Projeto'!$A:$A,0)),INDEX('Fluxo Projeto'!$E:$E,MATCH(EDATE(baseData,1),'Fluxo Projeto'!$A:$A,0)))</f>
        <v>10927784.640000001</v>
      </c>
      <c r="E4" s="332">
        <f>D4-C4</f>
        <v>0</v>
      </c>
      <c r="F4" s="333"/>
      <c r="G4" s="333"/>
    </row>
    <row r="5" spans="1:14" s="82" customFormat="1" x14ac:dyDescent="0.25">
      <c r="A5" s="80" t="s">
        <v>7</v>
      </c>
      <c r="B5" s="332">
        <v>105104624.0240003</v>
      </c>
      <c r="C5" s="332">
        <f>B5*IF($J$3="Sim", (1+varINCC), 1)</f>
        <v>106324212.27007319</v>
      </c>
      <c r="D5" s="332">
        <f>IF($H$3="Sim",SUMIF('Fluxo Projeto'!A1:A86,"&gt;="&amp;baseData,'Fluxo Projeto'!G1:G86), SUMIF('Fluxo Projeto'!A1:A86,"&gt;"&amp;baseData,'Fluxo Projeto'!G1:G86))+IF($H$3="Sim",SUMIF('Fluxo Projeto'!A1:A86,"&gt;="&amp;baseData,'Fluxo Projeto'!H1:H86), SUMIF('Fluxo Projeto'!A1:A86,"&gt;"&amp;baseData,'Fluxo Projeto'!H1:H86))</f>
        <v>106253248.77896737</v>
      </c>
      <c r="E5" s="332">
        <f>D5-C5</f>
        <v>-70963.491105824709</v>
      </c>
      <c r="F5" s="333"/>
      <c r="G5" s="334"/>
    </row>
    <row r="6" spans="1:14" x14ac:dyDescent="0.25">
      <c r="A6" s="80" t="s">
        <v>8</v>
      </c>
      <c r="B6" s="332">
        <v>8256997.5740177594</v>
      </c>
      <c r="C6" s="332">
        <f>B6</f>
        <v>8256997.5740177594</v>
      </c>
      <c r="D6" s="332">
        <f>IF($H$3="Sim",SUMIF('Fluxo Projeto'!A1:A86,"&gt;="&amp;baseData,'Fluxo Projeto'!I1:I86), SUMIF('Fluxo Projeto'!A1:A86,"&gt;"&amp;baseData,'Fluxo Projeto'!I1:I86))+IF($H$3="Sim",SUMIF('Fluxo Projeto'!A1:A86,"&gt;="&amp;baseData,'Fluxo Projeto'!J1:J86), SUMIF('Fluxo Projeto'!A1:A86,"&gt;"&amp;baseData,'Fluxo Projeto'!J1:J86))</f>
        <v>8292648.1727152392</v>
      </c>
      <c r="E6" s="332">
        <f>D6-C6</f>
        <v>35650.598697479814</v>
      </c>
      <c r="F6" s="333"/>
      <c r="G6" s="333"/>
      <c r="H6" s="598" t="s">
        <v>9</v>
      </c>
      <c r="I6" s="599"/>
      <c r="J6" s="599"/>
      <c r="K6" s="599"/>
    </row>
    <row r="7" spans="1:14" x14ac:dyDescent="0.25">
      <c r="A7" s="81"/>
      <c r="B7" s="335"/>
      <c r="C7" s="335"/>
      <c r="D7" s="335"/>
      <c r="E7" s="335"/>
      <c r="F7" s="295"/>
      <c r="G7" s="293"/>
      <c r="H7" s="600" t="s">
        <v>10</v>
      </c>
      <c r="I7" s="599"/>
      <c r="J7" s="599"/>
      <c r="K7" s="599"/>
      <c r="M7" s="336"/>
    </row>
    <row r="8" spans="1:14" x14ac:dyDescent="0.25">
      <c r="A8" s="80" t="s">
        <v>11</v>
      </c>
      <c r="B8" s="332">
        <v>-5226792.8129343633</v>
      </c>
      <c r="C8" s="332">
        <f t="shared" ref="C8:C15" si="0">B8*IF($J$3="Sim", (1+varINCC), 1)</f>
        <v>-5287442.2385757836</v>
      </c>
      <c r="D8" s="332">
        <f>IF($H$3="Sim",SUMIF('Fluxo Projeto'!A1:A86,"&gt;="&amp;baseData,'Fluxo Projeto'!M1:M86), SUMIF('Fluxo Projeto'!A1:A86,"&gt;"&amp;baseData,'Fluxo Projeto'!M1:M86))</f>
        <v>-5283392.438067303</v>
      </c>
      <c r="E8" s="332">
        <f t="shared" ref="E8:E16" si="1">D8-C8</f>
        <v>4049.8005084805191</v>
      </c>
      <c r="F8" s="333"/>
      <c r="G8" s="337"/>
      <c r="H8" s="599"/>
      <c r="I8" s="599"/>
      <c r="J8" s="599"/>
      <c r="K8" s="599"/>
      <c r="M8" s="336"/>
    </row>
    <row r="9" spans="1:14" x14ac:dyDescent="0.25">
      <c r="A9" s="80" t="s">
        <v>12</v>
      </c>
      <c r="B9" s="332">
        <v>-37426736.894330263</v>
      </c>
      <c r="C9" s="332">
        <f t="shared" si="0"/>
        <v>-37861020.436363243</v>
      </c>
      <c r="D9" s="332">
        <f ca="1">IF($H$3="Sim",SUMIF('Fluxo Projeto'!A1:A86,"&gt;="&amp;baseData,'Fluxo Projeto'!N1:N86), SUMIF('Fluxo Projeto'!A1:A86,"&gt;"&amp;baseData,'Fluxo Projeto'!N1:N86))</f>
        <v>-37869888.477485061</v>
      </c>
      <c r="E9" s="332">
        <f t="shared" ca="1" si="1"/>
        <v>-8868.0411218181252</v>
      </c>
      <c r="F9" s="295"/>
      <c r="G9" s="293"/>
      <c r="H9" s="599"/>
      <c r="I9" s="599"/>
      <c r="J9" s="599"/>
      <c r="K9" s="599"/>
      <c r="M9" s="336"/>
    </row>
    <row r="10" spans="1:14" x14ac:dyDescent="0.25">
      <c r="A10" s="80" t="s">
        <v>13</v>
      </c>
      <c r="B10" s="332">
        <v>-561497.05341495387</v>
      </c>
      <c r="C10" s="332">
        <f t="shared" si="0"/>
        <v>-568012.42048760585</v>
      </c>
      <c r="D10" s="332">
        <f ca="1">IF($H$3="Sim",SUMIF('Fluxo Projeto'!A1:A86,"&gt;="&amp;baseData,'Fluxo Projeto'!O1:O86), SUMIF('Fluxo Projeto'!A1:A86,"&gt;"&amp;baseData,'Fluxo Projeto'!O1:O86))</f>
        <v>-568144.32716227591</v>
      </c>
      <c r="E10" s="332">
        <f t="shared" ca="1" si="1"/>
        <v>-131.90667467005551</v>
      </c>
      <c r="F10" s="295"/>
      <c r="H10" s="599"/>
      <c r="I10" s="599"/>
      <c r="J10" s="599"/>
      <c r="K10" s="599"/>
      <c r="M10" s="336"/>
    </row>
    <row r="11" spans="1:14" x14ac:dyDescent="0.25">
      <c r="A11" s="80" t="s">
        <v>14</v>
      </c>
      <c r="B11" s="332">
        <v>-501995.18370835372</v>
      </c>
      <c r="C11" s="332">
        <f t="shared" si="0"/>
        <v>-507820.11701952858</v>
      </c>
      <c r="D11" s="332">
        <f ca="1">IF($H$3="Sim",SUMIF('Fluxo Projeto'!A1:A86,"&gt;="&amp;baseData,'Fluxo Projeto'!P1:P86), SUMIF('Fluxo Projeto'!A1:A86,"&gt;"&amp;baseData,'Fluxo Projeto'!P1:P86))</f>
        <v>-569448.77199762699</v>
      </c>
      <c r="E11" s="332">
        <f t="shared" ca="1" si="1"/>
        <v>-61628.654978098406</v>
      </c>
      <c r="F11" s="333"/>
      <c r="G11" s="337"/>
      <c r="M11" s="336"/>
    </row>
    <row r="12" spans="1:14" x14ac:dyDescent="0.25">
      <c r="A12" s="80" t="s">
        <v>15</v>
      </c>
      <c r="B12" s="332">
        <v>-769478.68038682442</v>
      </c>
      <c r="C12" s="332">
        <f t="shared" si="0"/>
        <v>-778407.37560758996</v>
      </c>
      <c r="D12" s="332">
        <f>IF($H$3="Sim",SUMIF('Fluxo Projeto'!A1:A86,"&gt;="&amp;baseData,'Fluxo Projeto'!Q1:Q86), SUMIF('Fluxo Projeto'!A1:A86,"&gt;"&amp;baseData,'Fluxo Projeto'!Q1:Q86))</f>
        <v>-792451.17548616731</v>
      </c>
      <c r="E12" s="332">
        <f t="shared" si="1"/>
        <v>-14043.799878577353</v>
      </c>
      <c r="F12" s="333"/>
      <c r="G12" s="337"/>
      <c r="M12" s="336"/>
    </row>
    <row r="13" spans="1:14" x14ac:dyDescent="0.25">
      <c r="A13" s="80" t="s">
        <v>16</v>
      </c>
      <c r="B13" s="332">
        <v>-1445892.8407736479</v>
      </c>
      <c r="C13" s="332">
        <f t="shared" si="0"/>
        <v>-1462670.3510883779</v>
      </c>
      <c r="D13" s="332">
        <f>IF($H$3="Sim",SUMIF('Fluxo Projeto'!A1:A86,"&gt;="&amp;baseData,'Fluxo Projeto'!R1:R86), SUMIF('Fluxo Projeto'!A1:A86,"&gt;"&amp;baseData,'Fluxo Projeto'!R1:R86))</f>
        <v>-1491837.8309723337</v>
      </c>
      <c r="E13" s="332">
        <f t="shared" si="1"/>
        <v>-29167.479883955792</v>
      </c>
      <c r="F13" s="333"/>
      <c r="G13" s="337"/>
      <c r="J13" s="139"/>
    </row>
    <row r="14" spans="1:14" x14ac:dyDescent="0.25">
      <c r="A14" s="80" t="s">
        <v>17</v>
      </c>
      <c r="B14" s="332">
        <v>-3280703.1613200079</v>
      </c>
      <c r="C14" s="332">
        <f t="shared" si="0"/>
        <v>-3318771.0108704367</v>
      </c>
      <c r="D14" s="332">
        <f>IF($H$3="Sim",SUMIF('Fluxo Projeto'!A1:A86,"&gt;="&amp;baseData,'Fluxo Projeto'!S1:S86), SUMIF('Fluxo Projeto'!A1:A86,"&gt;"&amp;baseData,'Fluxo Projeto'!S1:S86))</f>
        <v>-3852955.5885504782</v>
      </c>
      <c r="E14" s="332">
        <f t="shared" si="1"/>
        <v>-534184.57768004155</v>
      </c>
      <c r="F14" s="333"/>
      <c r="G14" s="337"/>
      <c r="M14" s="336" t="s">
        <v>18</v>
      </c>
      <c r="N14" t="s">
        <v>19</v>
      </c>
    </row>
    <row r="15" spans="1:14" x14ac:dyDescent="0.25">
      <c r="A15" s="80" t="s">
        <v>20</v>
      </c>
      <c r="B15" s="332">
        <v>-473567.55009670602</v>
      </c>
      <c r="C15" s="332">
        <f t="shared" si="0"/>
        <v>-479062.62153797387</v>
      </c>
      <c r="D15" s="332">
        <f>IF($H$3="Sim",SUMIF('Fluxo Projeto'!A1:A86,"&gt;="&amp;baseData,'Fluxo Projeto'!T1:T86), SUMIF('Fluxo Projeto'!A1:A86,"&gt;"&amp;baseData,'Fluxo Projeto'!T1:T86))+IF($H$3="Sim",SUMIF('Fluxo Projeto'!A1:A86,"&gt;="&amp;baseData,'Fluxo Projeto'!U1:U86), SUMIF('Fluxo Projeto'!A1:A86,"&gt;"&amp;baseData,'Fluxo Projeto'!U1:U86))</f>
        <v>3254372.476128458</v>
      </c>
      <c r="E15" s="332">
        <f t="shared" si="1"/>
        <v>3733435.0976664321</v>
      </c>
      <c r="F15" s="333"/>
      <c r="G15" s="337"/>
      <c r="J15" s="139"/>
      <c r="M15" s="336">
        <v>2802500</v>
      </c>
      <c r="N15" s="336">
        <v>3109307.281063173</v>
      </c>
    </row>
    <row r="16" spans="1:14" x14ac:dyDescent="0.25">
      <c r="A16" s="271" t="s">
        <v>21</v>
      </c>
      <c r="B16" s="338">
        <v>-49534201.368342571</v>
      </c>
      <c r="C16" s="338">
        <f>SUM(C8:C15)</f>
        <v>-50263206.571550533</v>
      </c>
      <c r="D16" s="338">
        <f ca="1">SUM(D8:D15)</f>
        <v>-47173746.133592792</v>
      </c>
      <c r="E16" s="339">
        <f t="shared" ca="1" si="1"/>
        <v>3089460.4379577413</v>
      </c>
      <c r="G16" s="337"/>
      <c r="H16" s="340"/>
      <c r="J16" s="139"/>
      <c r="M16" s="341">
        <f>SUM(M15)</f>
        <v>2802500</v>
      </c>
      <c r="N16" s="341">
        <f>SUM(N15)</f>
        <v>3109307.281063173</v>
      </c>
    </row>
    <row r="17" spans="1:14" x14ac:dyDescent="0.25">
      <c r="A17" s="83"/>
      <c r="B17" s="337"/>
      <c r="C17" s="337"/>
      <c r="D17" s="337"/>
      <c r="E17" s="337"/>
      <c r="G17" s="337"/>
      <c r="J17" s="139"/>
      <c r="K17" t="s">
        <v>22</v>
      </c>
      <c r="M17" s="342">
        <f>M16-N16</f>
        <v>-306807.28106317297</v>
      </c>
    </row>
    <row r="18" spans="1:14" x14ac:dyDescent="0.25">
      <c r="A18" s="80" t="s">
        <v>23</v>
      </c>
      <c r="B18" s="332">
        <v>-1007029.2399999989</v>
      </c>
      <c r="C18" s="332">
        <f>B18</f>
        <v>-1007029.2399999989</v>
      </c>
      <c r="D18" s="332">
        <f>IF($H$3="Sim",SUMIF('Fluxo Projeto'!A1:A86,"&gt;="&amp;baseData,'Fluxo Projeto'!AA1:AA86), SUMIF('Fluxo Projeto'!A1:A86,"&gt;"&amp;baseData,'Fluxo Projeto'!AA1:AA86))+IF($H$3="Sim",SUMIF('Fluxo Projeto'!A1:A86,"&gt;="&amp;baseData,'Fluxo Projeto'!AB1:AB86), SUMIF('Fluxo Projeto'!A1:A86,"&gt;"&amp;baseData,'Fluxo Projeto'!AB1:AB86))</f>
        <v>-1007029.2499999881</v>
      </c>
      <c r="E18" s="332">
        <f>D18-C18</f>
        <v>-9.9999891826882958E-3</v>
      </c>
      <c r="F18" s="333"/>
      <c r="G18" s="337"/>
      <c r="H18" s="336"/>
      <c r="K18" t="s">
        <v>24</v>
      </c>
      <c r="M18" s="336">
        <f>M26-M27</f>
        <v>370370.9070674628</v>
      </c>
    </row>
    <row r="19" spans="1:14" x14ac:dyDescent="0.25">
      <c r="A19" s="80" t="s">
        <v>25</v>
      </c>
      <c r="B19" s="332">
        <v>-101977.775580535</v>
      </c>
      <c r="C19" s="332">
        <f>B19</f>
        <v>-101977.775580535</v>
      </c>
      <c r="D19" s="332">
        <f ca="1">IF($H$3="Sim",SUMIF('Fluxo Projeto'!A1:A86,"&gt;="&amp;baseData,'Fluxo Projeto'!AF1:AF86), SUMIF('Fluxo Projeto'!A1:A86,"&gt;"&amp;baseData,'Fluxo Projeto'!AF1:AF86))</f>
        <v>-90940.48908878761</v>
      </c>
      <c r="E19" s="332">
        <f ca="1">D19-C19</f>
        <v>11037.286491747393</v>
      </c>
      <c r="F19" s="333"/>
      <c r="G19" s="337"/>
      <c r="H19" s="336"/>
      <c r="K19" t="s">
        <v>26</v>
      </c>
      <c r="M19" s="336">
        <v>447047.69999999739</v>
      </c>
    </row>
    <row r="20" spans="1:14" x14ac:dyDescent="0.25">
      <c r="A20" s="83"/>
      <c r="B20" s="337"/>
      <c r="C20" s="337"/>
      <c r="D20" s="337"/>
      <c r="E20" s="337"/>
      <c r="H20" s="337"/>
      <c r="K20" s="294" t="s">
        <v>27</v>
      </c>
      <c r="M20" s="341">
        <f>SUM(M17:M19)</f>
        <v>510611.32600428723</v>
      </c>
    </row>
    <row r="21" spans="1:14" x14ac:dyDescent="0.25">
      <c r="A21" s="80" t="s">
        <v>28</v>
      </c>
      <c r="B21" s="332">
        <v>73493735.045472369</v>
      </c>
      <c r="C21" s="332">
        <f>SUM(C4:C6)+C16+SUM(C18:C19)</f>
        <v>74136780.896959886</v>
      </c>
      <c r="D21" s="332">
        <f ca="1">IF($H$3="Sim",SUMIF('Fluxo Projeto'!A1:A86,"&gt;="&amp;baseData,'Fluxo Projeto'!AQ1:AQ86), SUMIF('Fluxo Projeto'!A1:A86,"&gt;"&amp;baseData,'Fluxo Projeto'!AQ1:AQ86))</f>
        <v>73401821.585239977</v>
      </c>
      <c r="E21" s="332">
        <f ca="1">D21-C21</f>
        <v>-734959.31171990931</v>
      </c>
      <c r="H21" s="340"/>
    </row>
    <row r="22" spans="1:14" x14ac:dyDescent="0.25">
      <c r="A22" s="83"/>
      <c r="B22" s="337"/>
      <c r="C22" s="337"/>
      <c r="D22" s="337"/>
      <c r="E22" s="337"/>
    </row>
    <row r="23" spans="1:14" x14ac:dyDescent="0.25">
      <c r="A23" s="80" t="s">
        <v>29</v>
      </c>
      <c r="B23" s="332">
        <v>53043563.568847373</v>
      </c>
      <c r="C23" s="332">
        <f>B23</f>
        <v>53043563.568847373</v>
      </c>
      <c r="D23" s="332">
        <f ca="1">D21*(pctSCPequity+pctSCPpermuta)</f>
        <v>52977225.703889869</v>
      </c>
      <c r="E23" s="332">
        <f ca="1">D23-C23</f>
        <v>-66337.864957503974</v>
      </c>
    </row>
    <row r="25" spans="1:14" x14ac:dyDescent="0.25">
      <c r="A25" s="80" t="s">
        <v>30</v>
      </c>
      <c r="B25" s="234">
        <v>0.18825407208433551</v>
      </c>
      <c r="C25" s="234">
        <f>B25</f>
        <v>0.18825407208433551</v>
      </c>
      <c r="D25" s="234">
        <f ca="1">Premissas!Q8</f>
        <v>0.18575134512992397</v>
      </c>
      <c r="E25" s="235">
        <f ca="1">D25-C25</f>
        <v>-2.5027269544115327E-3</v>
      </c>
    </row>
    <row r="26" spans="1:14" x14ac:dyDescent="0.25">
      <c r="A26" s="80" t="s">
        <v>31</v>
      </c>
      <c r="B26" s="343">
        <v>0.2005490141477719</v>
      </c>
      <c r="C26" s="343">
        <f>B26</f>
        <v>0.2005490141477719</v>
      </c>
      <c r="D26" s="343">
        <f ca="1">Premissas!Q11</f>
        <v>0.20071590909061543</v>
      </c>
      <c r="E26" s="344">
        <f ca="1">D26-C26</f>
        <v>1.6689494284352624E-4</v>
      </c>
      <c r="L26" t="s">
        <v>32</v>
      </c>
      <c r="M26" s="336">
        <v>51721940.737339526</v>
      </c>
      <c r="N26" s="342"/>
    </row>
    <row r="27" spans="1:14" x14ac:dyDescent="0.25">
      <c r="E27" s="232"/>
      <c r="L27" t="s">
        <v>33</v>
      </c>
      <c r="M27" s="336">
        <v>51351569.830272064</v>
      </c>
      <c r="N27" s="336"/>
    </row>
    <row r="28" spans="1:14" x14ac:dyDescent="0.25">
      <c r="A28" s="80" t="s">
        <v>34</v>
      </c>
      <c r="B28" s="234">
        <v>0.15499639579275851</v>
      </c>
      <c r="C28" s="234">
        <f>B28</f>
        <v>0.15499639579275851</v>
      </c>
      <c r="D28" s="234">
        <f ca="1">Premissas!Q15</f>
        <v>0.15574727844230507</v>
      </c>
      <c r="E28" s="235">
        <f ca="1">D28-C28</f>
        <v>7.508826495465637E-4</v>
      </c>
    </row>
    <row r="29" spans="1:14" x14ac:dyDescent="0.25">
      <c r="A29" s="80" t="s">
        <v>35</v>
      </c>
      <c r="B29" s="234">
        <v>0.13816713294639429</v>
      </c>
      <c r="C29" s="234">
        <f>B29</f>
        <v>0.13816713294639429</v>
      </c>
      <c r="D29" s="234">
        <f ca="1">Premissas!Q18</f>
        <v>0.13879342843981712</v>
      </c>
      <c r="E29" s="235">
        <f ca="1">D29-C29</f>
        <v>6.2629549342282931E-4</v>
      </c>
    </row>
    <row r="30" spans="1:14" x14ac:dyDescent="0.25">
      <c r="A30" s="80" t="s">
        <v>36</v>
      </c>
      <c r="B30" s="343">
        <v>0.16583678692795289</v>
      </c>
      <c r="C30" s="343">
        <f>B30</f>
        <v>0.16583678692795289</v>
      </c>
      <c r="D30" s="343">
        <f ca="1">Premissas!Q21</f>
        <v>0.16907192614553734</v>
      </c>
      <c r="E30" s="344">
        <f ca="1">D30-C30</f>
        <v>3.2351392175844484E-3</v>
      </c>
    </row>
    <row r="31" spans="1:14" x14ac:dyDescent="0.25">
      <c r="A31" s="80" t="s">
        <v>37</v>
      </c>
      <c r="B31" s="345">
        <v>1.697394298741421</v>
      </c>
      <c r="C31" s="345">
        <f>B31</f>
        <v>1.697394298741421</v>
      </c>
      <c r="D31" s="345">
        <f ca="1">SUMIF('Fluxo Bandeira Co'!$AZ:$AZ, "&gt;0", 'Fluxo Bandeira Co'!$AZ:$AZ)/-SUMIF('Fluxo Bandeira Co'!$AZ:$AZ, "&lt;0", 'Fluxo Bandeira Co'!$AZ:$AZ)</f>
        <v>1.7121900088280129</v>
      </c>
      <c r="E31" s="346">
        <f ca="1">D31-C31</f>
        <v>1.4795710086591862E-2</v>
      </c>
    </row>
  </sheetData>
  <mergeCells count="2">
    <mergeCell ref="H6:K6"/>
    <mergeCell ref="H7:K10"/>
  </mergeCells>
  <dataValidations count="1">
    <dataValidation type="list" showInputMessage="1" showErrorMessage="1" sqref="H3 J3" xr:uid="{00000000-0002-0000-0000-000000000000}">
      <formula1>"Sim, Não"</formula1>
    </dataValidation>
  </dataValidation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0"/>
  <sheetViews>
    <sheetView showGridLines="0" zoomScaleNormal="100" workbookViewId="0">
      <selection activeCell="C1" sqref="C1"/>
    </sheetView>
  </sheetViews>
  <sheetFormatPr defaultRowHeight="15" x14ac:dyDescent="0.25"/>
  <cols>
    <col min="1" max="1" width="41" style="85" bestFit="1" customWidth="1"/>
    <col min="2" max="2" width="24.42578125" style="75" customWidth="1"/>
    <col min="3" max="3" width="19.5703125" style="75" bestFit="1" customWidth="1"/>
    <col min="4" max="4" width="19.85546875" style="186" bestFit="1" customWidth="1"/>
    <col min="5" max="5" width="12.140625" style="186" bestFit="1" customWidth="1"/>
    <col min="6" max="6" width="14.28515625" style="186" bestFit="1" customWidth="1"/>
    <col min="7" max="7" width="10.5703125" style="186" customWidth="1"/>
    <col min="8" max="8" width="11.5703125" style="186" bestFit="1" customWidth="1"/>
    <col min="10" max="10" width="13.42578125" style="186" customWidth="1"/>
    <col min="12" max="12" width="10.7109375" style="186" customWidth="1"/>
    <col min="13" max="14" width="15.28515625" style="186" bestFit="1" customWidth="1"/>
  </cols>
  <sheetData>
    <row r="1" spans="1:17" x14ac:dyDescent="0.25">
      <c r="A1" s="74"/>
      <c r="K1">
        <v>787.66600000000005</v>
      </c>
      <c r="M1" s="342">
        <f>B4*K1</f>
        <v>102795954.56728235</v>
      </c>
      <c r="N1" s="342">
        <f>B7*K1</f>
        <v>-5111984.0018485701</v>
      </c>
    </row>
    <row r="2" spans="1:17" x14ac:dyDescent="0.25">
      <c r="A2" s="76" t="s">
        <v>0</v>
      </c>
      <c r="B2" s="327">
        <v>44075</v>
      </c>
      <c r="C2" s="327">
        <f>baseData</f>
        <v>44136</v>
      </c>
      <c r="D2" s="327" t="s">
        <v>2</v>
      </c>
      <c r="E2" s="77"/>
      <c r="F2" s="77"/>
      <c r="G2" s="77"/>
      <c r="H2" s="327" t="s">
        <v>3</v>
      </c>
      <c r="K2">
        <f>inccD2</f>
        <v>814.70100000000002</v>
      </c>
      <c r="M2" s="342">
        <f>C4*K2</f>
        <v>104975108.55896734</v>
      </c>
      <c r="N2" s="342">
        <f>C7*K2</f>
        <v>-4581835.8780673053</v>
      </c>
    </row>
    <row r="3" spans="1:17" x14ac:dyDescent="0.25">
      <c r="A3" s="78"/>
      <c r="B3" s="79"/>
      <c r="C3" s="79"/>
      <c r="D3" s="79"/>
      <c r="E3" s="79"/>
      <c r="F3" s="79"/>
      <c r="G3" s="79"/>
      <c r="H3" s="332" t="s">
        <v>38</v>
      </c>
    </row>
    <row r="4" spans="1:17" x14ac:dyDescent="0.25">
      <c r="A4" s="80" t="s">
        <v>7</v>
      </c>
      <c r="B4" s="347">
        <v>130507.03542781121</v>
      </c>
      <c r="C4" s="347">
        <f>IF($H$3="Sim",SUMIF('Fluxo Projeto'!A1:A86,"&gt;="&amp;baseData,'Fluxo Projeto'!AV1:AV86), SUMIF('Fluxo Projeto'!A1:A86,"&gt;"&amp;baseData,'Fluxo Projeto'!AV1:AV86))+IF($H$3="Sim",SUMIF('Fluxo Projeto'!A1:A86,"&gt;="&amp;baseData,'Fluxo Projeto'!AW1:AW86), SUMIF('Fluxo Projeto'!A1:A86,"&gt;"&amp;baseData,'Fluxo Projeto'!AW1:AW86))</f>
        <v>128851.08593087198</v>
      </c>
      <c r="D4" s="347">
        <f>C4-B4</f>
        <v>-1655.9494969392254</v>
      </c>
      <c r="E4" s="333"/>
      <c r="F4" s="333"/>
      <c r="G4" s="333"/>
    </row>
    <row r="5" spans="1:17" s="82" customFormat="1" x14ac:dyDescent="0.25">
      <c r="A5" s="80" t="s">
        <v>8</v>
      </c>
      <c r="B5" s="347">
        <v>10252.605771879469</v>
      </c>
      <c r="C5" s="347">
        <f>IF($H$3="Sim",SUMIF('Fluxo Projeto'!A1:A86,"&gt;="&amp;baseData,'Fluxo Projeto'!AX1:AX86), SUMIF('Fluxo Projeto'!A1:A86,"&gt;"&amp;baseData,'Fluxo Projeto'!AX1:AX86))+IF($H$3="Sim",SUMIF('Fluxo Projeto'!A1:A86,"&gt;="&amp;baseData,'Fluxo Projeto'!AY1:AY86), SUMIF('Fluxo Projeto'!A1:A86,"&gt;"&amp;baseData,'Fluxo Projeto'!AY1:AY86))</f>
        <v>6172.8004958180773</v>
      </c>
      <c r="D5" s="347">
        <f>C5-B5</f>
        <v>-4079.8052760613919</v>
      </c>
      <c r="E5" s="333"/>
      <c r="F5" s="333"/>
      <c r="G5" s="333"/>
    </row>
    <row r="6" spans="1:17" x14ac:dyDescent="0.25">
      <c r="A6" s="81"/>
      <c r="B6" s="335"/>
      <c r="C6" s="335"/>
      <c r="D6" s="335"/>
      <c r="E6" s="333"/>
      <c r="F6" s="333"/>
      <c r="G6" s="333"/>
      <c r="H6" s="598" t="s">
        <v>9</v>
      </c>
      <c r="I6" s="599"/>
      <c r="J6" s="599"/>
      <c r="K6" s="599"/>
      <c r="O6">
        <v>-5157440.4159656391</v>
      </c>
      <c r="Q6">
        <f>O6/K1</f>
        <v>-6547.7504627159715</v>
      </c>
    </row>
    <row r="7" spans="1:17" x14ac:dyDescent="0.25">
      <c r="A7" s="80" t="s">
        <v>11</v>
      </c>
      <c r="B7" s="347">
        <v>-6490.0401970487101</v>
      </c>
      <c r="C7" s="347">
        <f>IF($H$3="Sim",SUMIF('Fluxo Projeto'!A1:A86,"&gt;="&amp;baseData,'Fluxo Projeto'!BB1:BB86), SUMIF('Fluxo Projeto'!A1:A86,"&gt;"&amp;baseData,'Fluxo Projeto'!BB1:BB86))</f>
        <v>-5623.9477772425771</v>
      </c>
      <c r="D7" s="347">
        <f t="shared" ref="D7:D15" si="0">C7-B7</f>
        <v>866.09241980613297</v>
      </c>
      <c r="E7" s="348"/>
      <c r="G7" s="313"/>
      <c r="H7" s="600" t="s">
        <v>39</v>
      </c>
      <c r="I7" s="599"/>
      <c r="J7" s="599"/>
      <c r="K7" s="599"/>
      <c r="M7" s="336"/>
      <c r="O7">
        <v>-5177154.1596071022</v>
      </c>
      <c r="P7">
        <f>O7/inccD2</f>
        <v>-6354.6677365157302</v>
      </c>
    </row>
    <row r="8" spans="1:17" x14ac:dyDescent="0.25">
      <c r="A8" s="80" t="s">
        <v>12</v>
      </c>
      <c r="B8" s="347">
        <v>-46472.28914210642</v>
      </c>
      <c r="C8" s="347">
        <f ca="1">IF($H$3="Sim",SUMIF('Fluxo Projeto'!A1:A86,"&gt;="&amp;baseData,'Fluxo Projeto'!BC1:BC86), SUMIF('Fluxo Projeto'!A1:A86,"&gt;"&amp;baseData,'Fluxo Projeto'!BC1:BC86))</f>
        <v>-46112.982747640024</v>
      </c>
      <c r="D8" s="347">
        <f t="shared" ca="1" si="0"/>
        <v>359.30639446639543</v>
      </c>
      <c r="E8" s="333"/>
      <c r="F8" s="333"/>
      <c r="G8" s="333"/>
      <c r="H8" s="599"/>
      <c r="I8" s="599"/>
      <c r="J8" s="599"/>
      <c r="K8" s="599"/>
      <c r="M8" s="336"/>
    </row>
    <row r="9" spans="1:17" x14ac:dyDescent="0.25">
      <c r="A9" s="80" t="s">
        <v>13</v>
      </c>
      <c r="B9" s="347">
        <v>-697.20353907458798</v>
      </c>
      <c r="C9" s="347">
        <f ca="1">IF($H$3="Sim",SUMIF('Fluxo Projeto'!A1:A86,"&gt;="&amp;baseData,'Fluxo Projeto'!BD1:BD86), SUMIF('Fluxo Projeto'!A1:A86,"&gt;"&amp;baseData,'Fluxo Projeto'!BD1:BD86))</f>
        <v>-697.36544715457069</v>
      </c>
      <c r="D9" s="347">
        <f t="shared" ca="1" si="0"/>
        <v>-0.16190807998270884</v>
      </c>
      <c r="E9" s="295"/>
      <c r="F9" s="295"/>
      <c r="G9" s="295"/>
      <c r="H9" s="599"/>
      <c r="I9" s="599"/>
      <c r="J9" s="599"/>
      <c r="K9" s="599"/>
      <c r="M9" s="336"/>
    </row>
    <row r="10" spans="1:17" x14ac:dyDescent="0.25">
      <c r="A10" s="80" t="s">
        <v>14</v>
      </c>
      <c r="B10" s="347">
        <v>-623.32084656767165</v>
      </c>
      <c r="C10" s="347">
        <f ca="1">IF($H$3="Sim",SUMIF('Fluxo Projeto'!A1:A86,"&gt;="&amp;baseData,'Fluxo Projeto'!BE1:BE86), SUMIF('Fluxo Projeto'!A1:A86,"&gt;"&amp;baseData,'Fluxo Projeto'!BE1:BE86))</f>
        <v>-698.96658037442876</v>
      </c>
      <c r="D10" s="347">
        <f t="shared" ca="1" si="0"/>
        <v>-75.645733806757107</v>
      </c>
      <c r="E10" s="295"/>
      <c r="F10" s="295"/>
      <c r="G10" s="295"/>
      <c r="H10" s="599"/>
      <c r="I10" s="599"/>
      <c r="J10" s="599"/>
      <c r="K10" s="599"/>
      <c r="M10" s="336"/>
    </row>
    <row r="11" spans="1:17" x14ac:dyDescent="0.25">
      <c r="A11" s="80" t="s">
        <v>15</v>
      </c>
      <c r="B11" s="347">
        <v>-955.45160200808641</v>
      </c>
      <c r="C11" s="347">
        <f>IF($H$3="Sim",SUMIF('Fluxo Projeto'!A1:A86,"&gt;="&amp;baseData,'Fluxo Projeto'!BF1:BF86), SUMIF('Fluxo Projeto'!A1:A86,"&gt;"&amp;baseData,'Fluxo Projeto'!BF1:BF86))</f>
        <v>-970.32067652570356</v>
      </c>
      <c r="D11" s="347">
        <f t="shared" si="0"/>
        <v>-14.86907451761715</v>
      </c>
      <c r="E11" s="348"/>
      <c r="F11" s="333"/>
      <c r="G11" s="333"/>
      <c r="M11" s="336"/>
    </row>
    <row r="12" spans="1:17" x14ac:dyDescent="0.25">
      <c r="A12" s="80" t="s">
        <v>16</v>
      </c>
      <c r="B12" s="347">
        <v>-1795.3462081038051</v>
      </c>
      <c r="C12" s="347">
        <f>IF($H$3="Sim",SUMIF('Fluxo Projeto'!A1:A86,"&gt;="&amp;baseData,'Fluxo Projeto'!BG1:BG86), SUMIF('Fluxo Projeto'!A1:A86,"&gt;"&amp;baseData,'Fluxo Projeto'!BG1:BG86))</f>
        <v>-1852.3661821604901</v>
      </c>
      <c r="D12" s="347">
        <f t="shared" si="0"/>
        <v>-57.019974056684987</v>
      </c>
      <c r="E12" s="348"/>
      <c r="F12" s="333"/>
      <c r="G12" s="333"/>
      <c r="L12" s="312"/>
      <c r="M12" s="349"/>
      <c r="N12" s="312"/>
    </row>
    <row r="13" spans="1:17" x14ac:dyDescent="0.25">
      <c r="A13" s="80" t="s">
        <v>17</v>
      </c>
      <c r="B13" s="347">
        <v>-4073.6061584193922</v>
      </c>
      <c r="C13" s="347">
        <f>IF($H$3="Sim",SUMIF('Fluxo Projeto'!A1:A86,"&gt;="&amp;baseData,'Fluxo Projeto'!BH1:BH86), SUMIF('Fluxo Projeto'!A1:A86,"&gt;"&amp;baseData,'Fluxo Projeto'!BH1:BH86))</f>
        <v>-4217.9608329319326</v>
      </c>
      <c r="D13" s="347">
        <f t="shared" si="0"/>
        <v>-144.35467451254044</v>
      </c>
      <c r="E13" s="333"/>
      <c r="F13" s="333"/>
      <c r="G13" s="333"/>
      <c r="J13" s="312"/>
      <c r="K13" s="312"/>
      <c r="L13" s="312"/>
      <c r="M13" s="312"/>
      <c r="N13" s="312"/>
    </row>
    <row r="14" spans="1:17" x14ac:dyDescent="0.25">
      <c r="A14" s="80" t="s">
        <v>20</v>
      </c>
      <c r="B14" s="347">
        <v>-588.02262613888297</v>
      </c>
      <c r="C14" s="347">
        <f>IF($H$3="Sim",SUMIF('Fluxo Projeto'!A1:A86,"&gt;="&amp;baseData,'Fluxo Projeto'!BI1:BI86), SUMIF('Fluxo Projeto'!A1:A86,"&gt;"&amp;baseData,'Fluxo Projeto'!BI1:BI86))+IF($H$3="Sim",SUMIF('Fluxo Projeto'!A1:A86,"&gt;="&amp;baseData,'Fluxo Projeto'!BJ1:BJ86), SUMIF('Fluxo Projeto'!A1:A86,"&gt;"&amp;baseData,'Fluxo Projeto'!BJ1:BJ86))</f>
        <v>-587.2507507313012</v>
      </c>
      <c r="D14" s="347">
        <f t="shared" si="0"/>
        <v>0.7718754075817742</v>
      </c>
      <c r="E14" s="333"/>
      <c r="F14" s="333"/>
      <c r="G14" s="333"/>
      <c r="J14" s="312"/>
      <c r="K14" s="312"/>
      <c r="L14" s="312"/>
      <c r="M14" s="312"/>
      <c r="N14" s="312"/>
    </row>
    <row r="15" spans="1:17" x14ac:dyDescent="0.25">
      <c r="A15" s="271" t="s">
        <v>21</v>
      </c>
      <c r="B15" s="350">
        <v>-62238.235453892659</v>
      </c>
      <c r="C15" s="350">
        <f ca="1">SUM(C7:C14)</f>
        <v>-60761.160994761027</v>
      </c>
      <c r="D15" s="350">
        <f t="shared" ca="1" si="0"/>
        <v>1477.0744591316325</v>
      </c>
      <c r="E15" s="333"/>
      <c r="F15" s="333"/>
      <c r="G15" s="333"/>
      <c r="J15" s="312"/>
      <c r="K15" s="312"/>
      <c r="L15" s="312"/>
      <c r="M15" s="312"/>
      <c r="N15" s="312"/>
    </row>
    <row r="16" spans="1:17" x14ac:dyDescent="0.25">
      <c r="A16" s="83"/>
      <c r="B16" s="337"/>
      <c r="C16" s="337"/>
      <c r="D16" s="337"/>
      <c r="J16" s="312"/>
      <c r="K16" s="312"/>
      <c r="L16" s="312"/>
      <c r="M16" s="312"/>
      <c r="N16" s="312"/>
    </row>
    <row r="17" spans="1:14" x14ac:dyDescent="0.25">
      <c r="A17" s="80" t="s">
        <v>23</v>
      </c>
      <c r="B17" s="351">
        <v>-1250.415021431515</v>
      </c>
      <c r="C17" s="351">
        <f>IF($H$3="Sim",SUMIF('Fluxo Projeto'!A1:A86,"&gt;="&amp;baseData,'Fluxo Projeto'!BP1:BP86), SUMIF('Fluxo Projeto'!A1:A86,"&gt;"&amp;baseData,'Fluxo Projeto'!BP1:BP86))+IF($H$3="Sim",SUMIF('Fluxo Projeto'!A1:A86,"&gt;="&amp;baseData,'Fluxo Projeto'!BQ1:BQ86), SUMIF('Fluxo Projeto'!A1:A86,"&gt;"&amp;baseData,'Fluxo Projeto'!BQ1:BQ86))</f>
        <v>-1214.3251696020848</v>
      </c>
      <c r="D17" s="351">
        <f>C17-B17</f>
        <v>36.089851829430245</v>
      </c>
      <c r="J17" s="312"/>
      <c r="K17" s="312"/>
      <c r="L17" s="312"/>
      <c r="M17" s="312"/>
      <c r="N17" s="312"/>
    </row>
    <row r="18" spans="1:14" x14ac:dyDescent="0.25">
      <c r="A18" s="80" t="s">
        <v>25</v>
      </c>
      <c r="B18" s="351">
        <v>-126.62446865800349</v>
      </c>
      <c r="C18" s="351">
        <f ca="1">IF($H$3="Sim",SUMIF('Fluxo Projeto'!A1:A86,"&gt;="&amp;baseData,'Fluxo Projeto'!BS1:BS86), SUMIF('Fluxo Projeto'!A1:A86,"&gt;"&amp;baseData,'Fluxo Projeto'!BS1:BS86))</f>
        <v>-129.51027320303734</v>
      </c>
      <c r="D18" s="351">
        <f ca="1">C18-B18</f>
        <v>-2.8858045450338494</v>
      </c>
      <c r="E18" s="333"/>
      <c r="F18" s="333"/>
      <c r="G18" s="333"/>
    </row>
    <row r="19" spans="1:14" x14ac:dyDescent="0.25">
      <c r="A19" s="83"/>
      <c r="B19" s="337"/>
      <c r="C19" s="337"/>
      <c r="D19" s="337"/>
      <c r="E19" s="333"/>
      <c r="F19" s="333"/>
      <c r="G19" s="333"/>
    </row>
    <row r="20" spans="1:14" x14ac:dyDescent="0.25">
      <c r="A20" s="80" t="s">
        <v>28</v>
      </c>
      <c r="B20" s="351">
        <v>77687.321390133584</v>
      </c>
      <c r="C20" s="351">
        <f ca="1">SUM(C4:C5)+C15+SUM(C17:C18)</f>
        <v>72918.889989123913</v>
      </c>
      <c r="D20" s="351">
        <f ca="1">C20-B20</f>
        <v>-4768.4314010096714</v>
      </c>
    </row>
    <row r="21" spans="1:14" x14ac:dyDescent="0.25">
      <c r="A21" s="83"/>
      <c r="B21" s="337"/>
      <c r="C21" s="337"/>
      <c r="D21" s="337"/>
    </row>
    <row r="22" spans="1:14" x14ac:dyDescent="0.25">
      <c r="A22" s="80" t="s">
        <v>29</v>
      </c>
      <c r="B22" s="351">
        <v>56070.253717563537</v>
      </c>
      <c r="C22" s="351">
        <f ca="1">C20*(pctSCPequity+pctSCPpermuta)</f>
        <v>52628.67337079456</v>
      </c>
      <c r="D22" s="351">
        <f ca="1">C22-B22</f>
        <v>-3441.5803467689766</v>
      </c>
    </row>
    <row r="24" spans="1:14" x14ac:dyDescent="0.25">
      <c r="A24" s="80" t="s">
        <v>30</v>
      </c>
      <c r="B24" s="234">
        <v>0.18825407208433551</v>
      </c>
      <c r="C24" s="234">
        <f ca="1">Premissas!Q8</f>
        <v>0.18575134512992397</v>
      </c>
      <c r="D24" s="235">
        <f ca="1">C24-B24</f>
        <v>-2.5027269544115327E-3</v>
      </c>
    </row>
    <row r="25" spans="1:14" x14ac:dyDescent="0.25">
      <c r="A25" s="80" t="s">
        <v>31</v>
      </c>
      <c r="B25" s="343">
        <v>0.2005490141477719</v>
      </c>
      <c r="C25" s="343">
        <f ca="1">Premissas!Q11</f>
        <v>0.20071590909061543</v>
      </c>
      <c r="D25" s="344">
        <f ca="1">C25-B25</f>
        <v>1.6689494284352624E-4</v>
      </c>
    </row>
    <row r="26" spans="1:14" x14ac:dyDescent="0.25">
      <c r="D26" s="232"/>
    </row>
    <row r="27" spans="1:14" x14ac:dyDescent="0.25">
      <c r="A27" s="80" t="s">
        <v>34</v>
      </c>
      <c r="B27" s="234">
        <v>0.15499639579275851</v>
      </c>
      <c r="C27" s="234">
        <f ca="1">Premissas!Q15</f>
        <v>0.15574727844230507</v>
      </c>
      <c r="D27" s="235">
        <f ca="1">C27-B27</f>
        <v>7.508826495465637E-4</v>
      </c>
    </row>
    <row r="28" spans="1:14" x14ac:dyDescent="0.25">
      <c r="A28" s="80" t="s">
        <v>35</v>
      </c>
      <c r="B28" s="234">
        <v>0.13816713294639429</v>
      </c>
      <c r="C28" s="234">
        <f ca="1">Premissas!Q18</f>
        <v>0.13879342843981712</v>
      </c>
      <c r="D28" s="235">
        <f ca="1">C28-B28</f>
        <v>6.2629549342282931E-4</v>
      </c>
    </row>
    <row r="29" spans="1:14" x14ac:dyDescent="0.25">
      <c r="A29" s="80" t="s">
        <v>36</v>
      </c>
      <c r="B29" s="343">
        <v>0.16583678692795289</v>
      </c>
      <c r="C29" s="343">
        <f ca="1">Premissas!Q21</f>
        <v>0.16907192614553734</v>
      </c>
      <c r="D29" s="344">
        <f ca="1">C29-B29</f>
        <v>3.2351392175844484E-3</v>
      </c>
    </row>
    <row r="30" spans="1:14" x14ac:dyDescent="0.25">
      <c r="A30" s="80" t="s">
        <v>37</v>
      </c>
      <c r="B30" s="345">
        <v>1.697394298741421</v>
      </c>
      <c r="C30" s="345">
        <f ca="1">SUMIF('Fluxo Bandeira Co'!$AZ:$AZ, "&gt;0", 'Fluxo Bandeira Co'!$AZ:$AZ)/-SUMIF('Fluxo Bandeira Co'!$AZ:$AZ, "&lt;0", 'Fluxo Bandeira Co'!$AZ:$AZ)</f>
        <v>1.7121900088280129</v>
      </c>
      <c r="D30" s="346">
        <f ca="1">C30-B30</f>
        <v>1.4795710086591862E-2</v>
      </c>
    </row>
  </sheetData>
  <mergeCells count="2">
    <mergeCell ref="H6:K6"/>
    <mergeCell ref="H7:K10"/>
  </mergeCells>
  <conditionalFormatting sqref="D15 B4:D5 B17:D18">
    <cfRule type="cellIs" dxfId="23718" priority="5" operator="lessThan">
      <formula>0</formula>
    </cfRule>
  </conditionalFormatting>
  <conditionalFormatting sqref="B7:D14">
    <cfRule type="cellIs" dxfId="23717" priority="4" operator="lessThan">
      <formula>0</formula>
    </cfRule>
  </conditionalFormatting>
  <conditionalFormatting sqref="B15:C15">
    <cfRule type="cellIs" dxfId="23716" priority="3" operator="lessThan">
      <formula>0</formula>
    </cfRule>
  </conditionalFormatting>
  <conditionalFormatting sqref="B20:D20">
    <cfRule type="cellIs" dxfId="23715" priority="2" operator="lessThan">
      <formula>0</formula>
    </cfRule>
  </conditionalFormatting>
  <conditionalFormatting sqref="B22:D22">
    <cfRule type="cellIs" dxfId="23714" priority="1" operator="lessThan">
      <formula>0</formula>
    </cfRule>
  </conditionalFormatting>
  <dataValidations count="1">
    <dataValidation type="list" showInputMessage="1" showErrorMessage="1" sqref="H3" xr:uid="{00000000-0002-0000-0100-000000000000}">
      <formula1>"Sim, Não"</formula1>
    </dataValidation>
  </dataValidation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0B050"/>
  </sheetPr>
  <dimension ref="A1:T83"/>
  <sheetViews>
    <sheetView showGridLines="0" topLeftCell="A21" zoomScaleNormal="100" workbookViewId="0">
      <selection activeCell="E32" sqref="E32"/>
    </sheetView>
  </sheetViews>
  <sheetFormatPr defaultRowHeight="15" x14ac:dyDescent="0.25"/>
  <cols>
    <col min="1" max="1" width="3.28515625" style="352" customWidth="1"/>
    <col min="2" max="2" width="20.5703125" style="217" bestFit="1" customWidth="1"/>
    <col min="3" max="3" width="15.5703125" style="211" bestFit="1" customWidth="1"/>
    <col min="4" max="4" width="9.28515625" style="211" customWidth="1"/>
    <col min="5" max="5" width="3.28515625" style="352" customWidth="1"/>
    <col min="6" max="6" width="16.5703125" style="217" bestFit="1" customWidth="1"/>
    <col min="7" max="7" width="15" style="211" bestFit="1" customWidth="1"/>
    <col min="8" max="8" width="9" style="186" customWidth="1"/>
    <col min="9" max="9" width="3.28515625" style="352" customWidth="1"/>
    <col min="10" max="10" width="21.7109375" style="352" customWidth="1"/>
    <col min="11" max="11" width="15" style="352" bestFit="1" customWidth="1"/>
    <col min="12" max="12" width="3.28515625" style="352" customWidth="1"/>
    <col min="13" max="13" width="19.28515625" style="217" bestFit="1" customWidth="1"/>
    <col min="14" max="14" width="15.5703125" style="217" bestFit="1" customWidth="1"/>
    <col min="15" max="15" width="3.28515625" style="217" customWidth="1"/>
    <col min="16" max="16" width="22.42578125" style="217" bestFit="1" customWidth="1"/>
    <col min="17" max="17" width="19" style="217" bestFit="1" customWidth="1"/>
    <col min="18" max="39" width="17.85546875" style="217" bestFit="1" customWidth="1"/>
    <col min="40" max="40" width="9.140625" style="217" customWidth="1"/>
    <col min="41" max="16384" width="9.140625" style="217"/>
  </cols>
  <sheetData>
    <row r="1" spans="1:17" x14ac:dyDescent="0.25">
      <c r="A1" s="353"/>
      <c r="E1" s="353"/>
      <c r="I1" s="353"/>
      <c r="J1" s="353"/>
      <c r="K1" s="353"/>
      <c r="L1" s="353"/>
    </row>
    <row r="2" spans="1:17" x14ac:dyDescent="0.25">
      <c r="A2" s="354"/>
      <c r="B2" s="217" t="s">
        <v>40</v>
      </c>
      <c r="C2" s="355">
        <v>44136</v>
      </c>
      <c r="E2" s="354"/>
      <c r="I2" s="354"/>
      <c r="J2" s="354"/>
      <c r="K2" s="354"/>
      <c r="L2" s="354"/>
    </row>
    <row r="3" spans="1:17" ht="12.75" customHeight="1" x14ac:dyDescent="0.2">
      <c r="A3" s="354"/>
      <c r="B3" s="217" t="s">
        <v>41</v>
      </c>
      <c r="C3" s="143">
        <f>INDEX(Indicadores!$B:$B, MATCH(baseData, Indicadores!$A:$A, 0))</f>
        <v>839.38199999999995</v>
      </c>
      <c r="E3" s="354"/>
      <c r="F3" s="217" t="s">
        <v>42</v>
      </c>
      <c r="G3" s="143">
        <f>INDEX(Indicadores!$B:$B, MATCH(EDATE(baseData, -2), Indicadores!$A:$A, 0))</f>
        <v>814.70100000000002</v>
      </c>
      <c r="H3" s="354"/>
      <c r="J3" s="217" t="s">
        <v>43</v>
      </c>
      <c r="K3" s="308">
        <f>INDEX(Indicadores!$B:$B, MATCH(EDATE(baseData, -2), Indicadores!$A:$A, 0))/INDEX(Indicadores!$B:$B, MATCH(EDATE(baseData, -3), Indicadores!$A:$A, 0))-1</f>
        <v>1.1603564138095379E-2</v>
      </c>
    </row>
    <row r="4" spans="1:17" ht="12.75" customHeight="1" x14ac:dyDescent="0.2">
      <c r="A4" s="354"/>
      <c r="B4" s="217" t="s">
        <v>44</v>
      </c>
      <c r="C4" s="356">
        <f>INDEX(Indicadores!$E:$E, MATCH(baseData, Indicadores!$A:$A, 0))</f>
        <v>5486.52</v>
      </c>
      <c r="E4" s="354"/>
      <c r="F4" s="217" t="s">
        <v>45</v>
      </c>
      <c r="G4" s="356">
        <f>INDEX(Indicadores!$E:$E, MATCH(EDATE(baseData, -2), Indicadores!$A:$A, 0))</f>
        <v>5391.75</v>
      </c>
      <c r="H4" s="354"/>
      <c r="J4" s="217" t="s">
        <v>46</v>
      </c>
      <c r="K4" s="17">
        <f>INDEX(Indicadores!$E:$E, MATCH(EDATE(baseData, -2), Indicadores!$A:$A, 0))/INDEX(Indicadores!$E:$E, MATCH(EDATE(baseData, -3), Indicadores!$A:$A, 0))-1</f>
        <v>6.4004210950712181E-3</v>
      </c>
    </row>
    <row r="5" spans="1:17" x14ac:dyDescent="0.25">
      <c r="A5" s="354"/>
      <c r="C5" s="217"/>
      <c r="D5" s="217"/>
      <c r="E5" s="354"/>
      <c r="G5" s="217"/>
      <c r="I5" s="354"/>
      <c r="J5" s="354"/>
      <c r="K5" s="354"/>
      <c r="L5" s="354"/>
    </row>
    <row r="6" spans="1:17" ht="15.75" customHeight="1" thickBot="1" x14ac:dyDescent="0.3">
      <c r="A6" s="354"/>
      <c r="B6" s="14" t="s">
        <v>47</v>
      </c>
      <c r="C6" s="15"/>
      <c r="D6" s="15"/>
      <c r="E6" s="354"/>
      <c r="F6" s="14" t="s">
        <v>48</v>
      </c>
      <c r="G6" s="15"/>
      <c r="I6" s="354"/>
      <c r="J6" s="14" t="s">
        <v>49</v>
      </c>
      <c r="K6" s="15"/>
      <c r="L6" s="354"/>
      <c r="M6" s="14" t="s">
        <v>50</v>
      </c>
      <c r="N6" s="15"/>
      <c r="P6" s="14" t="s">
        <v>51</v>
      </c>
      <c r="Q6" s="357">
        <f>baseData</f>
        <v>44136</v>
      </c>
    </row>
    <row r="7" spans="1:17" x14ac:dyDescent="0.25">
      <c r="A7" s="354"/>
      <c r="B7" s="217" t="s">
        <v>52</v>
      </c>
      <c r="C7" s="355">
        <v>43556</v>
      </c>
      <c r="D7" s="143"/>
      <c r="E7" s="354"/>
      <c r="F7" s="217" t="s">
        <v>53</v>
      </c>
      <c r="G7" s="16">
        <v>0</v>
      </c>
      <c r="I7" s="354"/>
      <c r="J7" s="217" t="s">
        <v>54</v>
      </c>
      <c r="K7" s="355" t="s">
        <v>49</v>
      </c>
      <c r="L7" s="354"/>
      <c r="M7" s="217" t="s">
        <v>55</v>
      </c>
      <c r="N7" s="24">
        <v>2000000</v>
      </c>
      <c r="P7" s="21" t="s">
        <v>56</v>
      </c>
      <c r="Q7" s="22">
        <f ca="1">SUM('Fluxo Projeto'!AT:AT)</f>
        <v>36147020.107833318</v>
      </c>
    </row>
    <row r="8" spans="1:17" x14ac:dyDescent="0.25">
      <c r="A8" s="354"/>
      <c r="B8" s="217" t="s">
        <v>57</v>
      </c>
      <c r="C8" s="355">
        <v>43983</v>
      </c>
      <c r="D8" s="143">
        <f>DATEDIF(compraTerreno,lçto, "m")</f>
        <v>14</v>
      </c>
      <c r="E8" s="354"/>
      <c r="F8" s="217" t="s">
        <v>58</v>
      </c>
      <c r="G8" s="16">
        <v>9</v>
      </c>
      <c r="I8" s="354"/>
      <c r="J8" s="217" t="s">
        <v>59</v>
      </c>
      <c r="K8" s="64">
        <f>SUMIF('M-FLUXO DE CAIXA'!$V:$V, "&gt;"&amp;baseData, 'M-FLUXO DE CAIXA'!$W:$W)</f>
        <v>56312882.584989756</v>
      </c>
      <c r="L8" s="354"/>
      <c r="M8" s="217" t="s">
        <v>60</v>
      </c>
      <c r="N8" s="24">
        <v>500000</v>
      </c>
      <c r="P8" s="21" t="s">
        <v>61</v>
      </c>
      <c r="Q8" s="229">
        <f ca="1">(1+IRR('Fluxo Projeto'!AT:AT))^12-1</f>
        <v>0.18575134512992397</v>
      </c>
    </row>
    <row r="9" spans="1:17" x14ac:dyDescent="0.25">
      <c r="A9" s="354"/>
      <c r="B9" s="217" t="s">
        <v>62</v>
      </c>
      <c r="C9" s="355">
        <v>44166</v>
      </c>
      <c r="D9" s="143">
        <f>DATEDIF(lçto,inicioObra, "m")</f>
        <v>6</v>
      </c>
      <c r="E9" s="354"/>
      <c r="F9" s="217" t="s">
        <v>63</v>
      </c>
      <c r="G9" s="16">
        <v>3</v>
      </c>
      <c r="I9" s="354"/>
      <c r="J9" s="217" t="s">
        <v>53</v>
      </c>
      <c r="K9" s="16">
        <v>3</v>
      </c>
      <c r="L9" s="354"/>
      <c r="M9" s="217" t="s">
        <v>64</v>
      </c>
      <c r="N9" s="24">
        <v>0</v>
      </c>
      <c r="Q9" s="211"/>
    </row>
    <row r="10" spans="1:17" x14ac:dyDescent="0.25">
      <c r="A10" s="354"/>
      <c r="B10" s="217" t="s">
        <v>65</v>
      </c>
      <c r="C10" s="355">
        <f>EDATE(inicioObra, D10)</f>
        <v>45017</v>
      </c>
      <c r="D10" s="143">
        <f>COUNTIF(Obra!$K$2:$K$85, "&lt;&gt;0")-1</f>
        <v>28</v>
      </c>
      <c r="E10" s="354"/>
      <c r="F10" s="217" t="s">
        <v>66</v>
      </c>
      <c r="G10" s="17">
        <v>0.15</v>
      </c>
      <c r="I10" s="354"/>
      <c r="J10" s="217" t="s">
        <v>63</v>
      </c>
      <c r="K10" s="16">
        <v>3</v>
      </c>
      <c r="L10" s="354"/>
      <c r="M10" s="217" t="s">
        <v>67</v>
      </c>
      <c r="N10" s="355">
        <f>EDATE(entrega,1)</f>
        <v>45047</v>
      </c>
      <c r="P10" s="21" t="s">
        <v>68</v>
      </c>
      <c r="Q10" s="22">
        <f ca="1">SUM('Fluxo Projeto'!AQ:AQ)</f>
        <v>37937973.876232795</v>
      </c>
    </row>
    <row r="11" spans="1:17" x14ac:dyDescent="0.25">
      <c r="A11" s="354"/>
      <c r="B11" s="217" t="s">
        <v>69</v>
      </c>
      <c r="C11" s="355">
        <f>EDATE(entrega, D11)</f>
        <v>45383</v>
      </c>
      <c r="D11" s="143">
        <f>prazoVenda+prazoRepasseVendas</f>
        <v>12</v>
      </c>
      <c r="E11" s="354"/>
      <c r="F11" s="217" t="s">
        <v>70</v>
      </c>
      <c r="G11" s="17">
        <v>0.15</v>
      </c>
      <c r="I11" s="354"/>
      <c r="J11" s="217"/>
      <c r="K11" s="211"/>
      <c r="L11" s="354"/>
      <c r="N11" s="211"/>
      <c r="P11" s="21" t="s">
        <v>71</v>
      </c>
      <c r="Q11" s="23">
        <f ca="1">(1+IRR('Fluxo Projeto'!AQ:AQ,0))^12-1</f>
        <v>0.20071590909061543</v>
      </c>
    </row>
    <row r="12" spans="1:17" ht="15.75" customHeight="1" thickBot="1" x14ac:dyDescent="0.3">
      <c r="A12" s="354"/>
      <c r="C12" s="217"/>
      <c r="D12" s="39"/>
      <c r="E12" s="354"/>
      <c r="F12" s="217" t="s">
        <v>72</v>
      </c>
      <c r="G12" s="17">
        <v>0.7</v>
      </c>
      <c r="I12" s="354"/>
      <c r="J12" s="14" t="s">
        <v>73</v>
      </c>
      <c r="K12" s="15"/>
      <c r="L12" s="354"/>
      <c r="M12" s="14" t="s">
        <v>74</v>
      </c>
      <c r="N12" s="15"/>
    </row>
    <row r="13" spans="1:17" ht="15.75" customHeight="1" thickBot="1" x14ac:dyDescent="0.3">
      <c r="A13" s="354"/>
      <c r="B13" s="14" t="s">
        <v>75</v>
      </c>
      <c r="C13" s="15"/>
      <c r="E13" s="354"/>
      <c r="I13" s="354"/>
      <c r="J13" s="217" t="s">
        <v>76</v>
      </c>
      <c r="K13" s="64">
        <f>SUMIF('M-FLUXO DE CAIXA'!$V:$V, "&lt;="&amp;baseData, 'M-FLUXO DE CAIXA'!$W:$W)</f>
        <v>0</v>
      </c>
      <c r="L13" s="354"/>
      <c r="M13" s="217" t="s">
        <v>40</v>
      </c>
      <c r="N13" s="355">
        <v>44105</v>
      </c>
      <c r="P13" s="14" t="s">
        <v>77</v>
      </c>
    </row>
    <row r="14" spans="1:17" ht="15.75" customHeight="1" thickBot="1" x14ac:dyDescent="0.3">
      <c r="A14" s="354"/>
      <c r="B14" s="217" t="s">
        <v>78</v>
      </c>
      <c r="C14" s="358">
        <f>AVERAGE(Macro!H31:K31)</f>
        <v>2.9258913673721312E-2</v>
      </c>
      <c r="E14" s="354"/>
      <c r="F14" s="14" t="s">
        <v>79</v>
      </c>
      <c r="G14" s="15"/>
      <c r="I14" s="354"/>
      <c r="J14" s="217" t="s">
        <v>80</v>
      </c>
      <c r="K14" s="16">
        <v>3</v>
      </c>
      <c r="L14" s="354"/>
      <c r="M14" s="217" t="s">
        <v>81</v>
      </c>
      <c r="N14" s="359">
        <f>13.6054421768707/INDEX(Indicadores!$B:$B, MATCH(EDATE(dataBasePassivos, -2), Indicadores!$A:$A, 0))*inccD2</f>
        <v>13.763313797797167</v>
      </c>
      <c r="P14" s="21" t="s">
        <v>82</v>
      </c>
      <c r="Q14" s="22">
        <f ca="1">SUM('Fluxo Bandeira Co'!AU:AU)</f>
        <v>22354720.220744777</v>
      </c>
    </row>
    <row r="15" spans="1:17" x14ac:dyDescent="0.25">
      <c r="A15" s="354"/>
      <c r="B15" s="217" t="s">
        <v>83</v>
      </c>
      <c r="C15" s="360">
        <f>(1+C14)^(1/12)-1</f>
        <v>2.4061436275153447E-3</v>
      </c>
      <c r="E15" s="354"/>
      <c r="F15" s="217" t="s">
        <v>84</v>
      </c>
      <c r="G15" s="16">
        <v>2</v>
      </c>
      <c r="I15" s="354"/>
      <c r="J15" s="217" t="s">
        <v>85</v>
      </c>
      <c r="K15" s="17">
        <v>0</v>
      </c>
      <c r="L15" s="354"/>
      <c r="M15" s="217" t="s">
        <v>86</v>
      </c>
      <c r="N15" s="359">
        <f>2/INDEX(Indicadores!$B:$B, MATCH(EDATE(dataBasePassivos, -2), Indicadores!$A:$A, 0))*inccD2</f>
        <v>2.0232071282761912</v>
      </c>
      <c r="P15" s="21" t="s">
        <v>87</v>
      </c>
      <c r="Q15" s="361">
        <f ca="1">(1+IRR('Fluxo Bandeira Co'!AU:AU))^12-1</f>
        <v>0.15574727844230507</v>
      </c>
    </row>
    <row r="16" spans="1:17" ht="15.75" customHeight="1" thickBot="1" x14ac:dyDescent="0.25">
      <c r="A16" s="354"/>
      <c r="B16" s="217" t="s">
        <v>88</v>
      </c>
      <c r="C16" s="17">
        <v>0.96</v>
      </c>
      <c r="D16" s="217"/>
      <c r="E16" s="354"/>
      <c r="F16" s="217" t="s">
        <v>89</v>
      </c>
      <c r="G16" s="16">
        <v>4</v>
      </c>
      <c r="H16" s="217"/>
      <c r="I16" s="354"/>
      <c r="J16" s="217" t="s">
        <v>90</v>
      </c>
      <c r="K16" s="17">
        <v>0</v>
      </c>
      <c r="L16" s="354"/>
      <c r="M16" s="217" t="s">
        <v>16</v>
      </c>
      <c r="N16" s="17">
        <v>0.04</v>
      </c>
      <c r="P16" s="14" t="s">
        <v>91</v>
      </c>
    </row>
    <row r="17" spans="1:20" x14ac:dyDescent="0.25">
      <c r="A17" s="354"/>
      <c r="B17" s="217" t="s">
        <v>92</v>
      </c>
      <c r="C17" s="17">
        <v>0.22500000000000001</v>
      </c>
      <c r="E17" s="354"/>
      <c r="F17" s="217" t="s">
        <v>66</v>
      </c>
      <c r="G17" s="17">
        <v>0.05</v>
      </c>
      <c r="I17" s="354"/>
      <c r="J17" s="217" t="s">
        <v>93</v>
      </c>
      <c r="K17" s="19">
        <f>IFERROR((AVERAGEIF('Tabela Vendas'!$E:$E,"Vendido",'Tabela Vendas'!$H:$H)-(SUMPRODUCT('Tabela Vendas'!$R:$R,'Tabela Vendas'!$V:$V)/estoqueInicial))*pctDevolucao*pctDistrato*carteiraInicial/vlrInad,0)</f>
        <v>0</v>
      </c>
      <c r="L17" s="354"/>
      <c r="M17" s="217" t="s">
        <v>11</v>
      </c>
      <c r="N17" s="17">
        <v>0.04</v>
      </c>
      <c r="P17" s="21" t="s">
        <v>82</v>
      </c>
      <c r="Q17" s="22">
        <f ca="1">SUM('Fluxo Bandeira Co'!BC:BC)</f>
        <v>19334364.552964706</v>
      </c>
    </row>
    <row r="18" spans="1:20" x14ac:dyDescent="0.25">
      <c r="A18" s="354"/>
      <c r="B18" s="217" t="s">
        <v>94</v>
      </c>
      <c r="C18" s="360">
        <f>C15*aplicaçaoCDI</f>
        <v>2.3098978824147307E-3</v>
      </c>
      <c r="E18" s="354"/>
      <c r="F18" s="217" t="s">
        <v>70</v>
      </c>
      <c r="G18" s="17">
        <v>0.2</v>
      </c>
      <c r="I18" s="354"/>
      <c r="L18" s="354"/>
      <c r="M18" s="217" t="s">
        <v>15</v>
      </c>
      <c r="N18" s="17">
        <v>0.02</v>
      </c>
      <c r="P18" s="21" t="s">
        <v>87</v>
      </c>
      <c r="Q18" s="361">
        <f ca="1">(1+IRR('Fluxo Bandeira Co'!BC:BC))^12-1</f>
        <v>0.13879342843981712</v>
      </c>
    </row>
    <row r="19" spans="1:20" ht="15.75" customHeight="1" thickBot="1" x14ac:dyDescent="0.3">
      <c r="A19" s="354"/>
      <c r="B19" s="217" t="s">
        <v>95</v>
      </c>
      <c r="C19" s="358">
        <f>AVERAGE(Macro!H23:K23)</f>
        <v>3.1574205136721156E-2</v>
      </c>
      <c r="E19" s="354"/>
      <c r="F19" s="217" t="s">
        <v>72</v>
      </c>
      <c r="G19" s="17">
        <v>0.75</v>
      </c>
      <c r="I19" s="354"/>
      <c r="J19" s="14" t="s">
        <v>96</v>
      </c>
      <c r="K19" s="15"/>
      <c r="L19" s="354"/>
      <c r="M19" s="217" t="s">
        <v>97</v>
      </c>
      <c r="N19" s="17">
        <v>0.03</v>
      </c>
    </row>
    <row r="20" spans="1:20" x14ac:dyDescent="0.25">
      <c r="A20" s="354"/>
      <c r="B20" s="217" t="s">
        <v>98</v>
      </c>
      <c r="C20" s="360">
        <f>(1+IPCAano)^(1/12)-1</f>
        <v>2.5938574086912247E-3</v>
      </c>
      <c r="E20" s="354"/>
      <c r="I20" s="354"/>
      <c r="J20" s="20" t="s">
        <v>49</v>
      </c>
      <c r="K20" s="211">
        <f>COUNTIF('Tabela Vendas'!S:S,"1")</f>
        <v>21</v>
      </c>
      <c r="L20" s="354"/>
      <c r="M20" s="217" t="s">
        <v>20</v>
      </c>
      <c r="N20" s="17">
        <v>5.0000000000000001E-3</v>
      </c>
      <c r="P20" s="21" t="s">
        <v>99</v>
      </c>
      <c r="Q20" s="22">
        <f ca="1">SUM('Fluxo Bandeira Co'!AR:AR)</f>
        <v>23624975.598731585</v>
      </c>
    </row>
    <row r="21" spans="1:20" ht="15" customHeight="1" thickBot="1" x14ac:dyDescent="0.25">
      <c r="A21" s="354"/>
      <c r="B21" s="217" t="s">
        <v>100</v>
      </c>
      <c r="C21" s="360">
        <f>(C18-C20)*(1-C17)</f>
        <v>-2.2006863286428289E-4</v>
      </c>
      <c r="E21" s="354"/>
      <c r="F21" s="14" t="s">
        <v>101</v>
      </c>
      <c r="G21" s="15"/>
      <c r="H21" s="15" t="s">
        <v>102</v>
      </c>
      <c r="I21" s="354"/>
      <c r="J21" s="20" t="s">
        <v>103</v>
      </c>
      <c r="K21" s="211">
        <f>COUNTIF('Tabela Vendas'!T:T,"1")</f>
        <v>2</v>
      </c>
      <c r="L21" s="354"/>
      <c r="P21" s="21" t="s">
        <v>104</v>
      </c>
      <c r="Q21" s="362">
        <f ca="1">(1+IRR('Fluxo Bandeira Co'!AR:AR))^12-1</f>
        <v>0.16907192614553734</v>
      </c>
    </row>
    <row r="22" spans="1:20" ht="15" customHeight="1" thickBot="1" x14ac:dyDescent="0.25">
      <c r="A22" s="354"/>
      <c r="E22" s="354"/>
      <c r="F22" s="217" t="s">
        <v>57</v>
      </c>
      <c r="G22" s="17">
        <v>0.4</v>
      </c>
      <c r="H22" s="242">
        <f>IF(IF(baseData&lt;inicioObra, (vendasLçto*SUM($K$20:$K$22)-COUNTIF('Tabela Vendas'!$J:$J, "&lt;"&amp;inicioObra))/(SUM($K$20:$K$22)-COUNTIF('Tabela Vendas'!$J:$J, "&lt;"&amp;inicioObra)), 0)&lt;0, 0, IF(baseData&lt;inicioObra, (vendasLçto*SUM($K$20:$K$22)-COUNTIF('Tabela Vendas'!$J:$J, "&lt;"&amp;inicioObra))/(SUM($K$20:$K$22)-COUNTIF('Tabela Vendas'!$J:$J, "&lt;"&amp;inicioObra)), 0))</f>
        <v>0</v>
      </c>
      <c r="I22" s="354"/>
      <c r="J22" s="20" t="s">
        <v>105</v>
      </c>
      <c r="K22" s="211">
        <f>COUNTIF('Tabela Vendas'!R:R,"1")</f>
        <v>16</v>
      </c>
      <c r="L22" s="354"/>
      <c r="M22" s="14" t="s">
        <v>106</v>
      </c>
      <c r="N22" s="15"/>
    </row>
    <row r="23" spans="1:20" ht="13.5" customHeight="1" thickBot="1" x14ac:dyDescent="0.25">
      <c r="A23" s="354"/>
      <c r="B23" s="14" t="s">
        <v>107</v>
      </c>
      <c r="C23" s="15"/>
      <c r="E23" s="354"/>
      <c r="F23" s="217" t="s">
        <v>108</v>
      </c>
      <c r="G23" s="17">
        <v>0.4</v>
      </c>
      <c r="H23" s="242">
        <f>IF(baseData&lt;inicioObra, vendasObra-vendasObra/(vendasObra+vendasPosChave)*(ajusteVendasLçto-vendasLçto), IF(baseData&lt;entrega, ((vendasObra-vendasObra/(vendasObra+vendasPosChave)*(ajusteVendasLçto-vendasLçto))*(SUM(K20:K22)-COUNTIF('Tabela Vendas'!$J:$J, "&lt;"&amp;inicioObra))-COUNTIFS('Tabela Vendas'!$J:$J, "&gt;="&amp;inicioObra, 'Tabela Vendas'!$J:$J, "&lt;"&amp;entrega))/estoqueInicial, 0))</f>
        <v>0.66666666666666674</v>
      </c>
      <c r="I23" s="354"/>
      <c r="J23" s="155" t="s">
        <v>109</v>
      </c>
      <c r="K23" s="211">
        <f>COUNTIF('Tabela Vendas'!U:U,"1")</f>
        <v>7</v>
      </c>
      <c r="L23" s="354"/>
      <c r="M23" s="217" t="s">
        <v>55</v>
      </c>
      <c r="N23" s="24">
        <v>1500000</v>
      </c>
      <c r="P23" s="21" t="s">
        <v>110</v>
      </c>
      <c r="Q23" s="363">
        <f>estoqueInicial/(DATEDIF(baseData,terminoProjeto,"m"))</f>
        <v>0.3902439024390244</v>
      </c>
    </row>
    <row r="24" spans="1:20" ht="12.75" customHeight="1" x14ac:dyDescent="0.2">
      <c r="A24" s="354"/>
      <c r="B24" s="217" t="s">
        <v>111</v>
      </c>
      <c r="C24" s="19">
        <v>0.1356442712188706</v>
      </c>
      <c r="E24" s="156"/>
      <c r="F24" s="217" t="s">
        <v>112</v>
      </c>
      <c r="G24" s="17">
        <v>0.2</v>
      </c>
      <c r="H24" s="242">
        <f>IF(baseData&lt;inicioObra,vendasPosChave-vendasPosChave/(vendasObra+vendasPosChave)*(ajusteVendasLçto-vendasLçto),1-ajusteVendasObra)</f>
        <v>0.33333333333333337</v>
      </c>
      <c r="I24" s="156"/>
      <c r="J24" s="20" t="s">
        <v>105</v>
      </c>
      <c r="K24" s="364">
        <f>SUMPRODUCT('Tabela Vendas'!R2:R47,'Tabela Vendas'!D2:D47)</f>
        <v>2423.3299999999995</v>
      </c>
      <c r="L24" s="156"/>
      <c r="M24" s="217" t="s">
        <v>60</v>
      </c>
      <c r="N24" s="24">
        <v>500000</v>
      </c>
      <c r="Q24" s="73"/>
    </row>
    <row r="25" spans="1:20" x14ac:dyDescent="0.25">
      <c r="A25" s="354"/>
      <c r="B25" s="217" t="s">
        <v>113</v>
      </c>
      <c r="C25" s="19">
        <v>0.58609838529502178</v>
      </c>
      <c r="E25" s="354"/>
      <c r="I25" s="354"/>
      <c r="L25" s="354"/>
      <c r="P25" s="124" t="s">
        <v>114</v>
      </c>
      <c r="Q25" s="125">
        <f>K24*G34</f>
        <v>49021371.724945873</v>
      </c>
    </row>
    <row r="26" spans="1:20" ht="15.75" customHeight="1" thickBot="1" x14ac:dyDescent="0.3">
      <c r="A26" s="354"/>
      <c r="B26" s="217" t="s">
        <v>115</v>
      </c>
      <c r="C26" s="19">
        <v>0.13634564484993311</v>
      </c>
      <c r="E26" s="354"/>
      <c r="F26" s="14" t="s">
        <v>116</v>
      </c>
      <c r="G26" s="15"/>
      <c r="I26" s="354"/>
      <c r="J26" s="14" t="s">
        <v>117</v>
      </c>
      <c r="K26" s="15"/>
      <c r="L26" s="354"/>
      <c r="M26" s="14" t="s">
        <v>118</v>
      </c>
      <c r="N26" s="15"/>
    </row>
    <row r="27" spans="1:20" ht="15.75" customHeight="1" thickBot="1" x14ac:dyDescent="0.3">
      <c r="A27" s="354"/>
      <c r="B27" s="217" t="s">
        <v>119</v>
      </c>
      <c r="C27" s="19">
        <v>5.5651282578584559E-3</v>
      </c>
      <c r="E27" s="354"/>
      <c r="F27" s="217" t="s">
        <v>54</v>
      </c>
      <c r="G27" s="355" t="s">
        <v>120</v>
      </c>
      <c r="I27" s="354"/>
      <c r="J27" s="217" t="s">
        <v>40</v>
      </c>
      <c r="K27" s="355">
        <v>43831</v>
      </c>
      <c r="L27" s="354"/>
      <c r="M27" s="217" t="s">
        <v>11</v>
      </c>
      <c r="N27" s="17">
        <v>6.7299999999999999E-2</v>
      </c>
      <c r="P27" s="14" t="s">
        <v>121</v>
      </c>
      <c r="Q27" s="15"/>
      <c r="R27" s="15"/>
      <c r="S27" s="15" t="s">
        <v>122</v>
      </c>
      <c r="T27" s="15" t="s">
        <v>123</v>
      </c>
    </row>
    <row r="28" spans="1:20" x14ac:dyDescent="0.25">
      <c r="A28" s="354"/>
      <c r="B28" s="217" t="s">
        <v>124</v>
      </c>
      <c r="C28" s="19">
        <v>0.13634657037831621</v>
      </c>
      <c r="E28" s="354"/>
      <c r="F28" s="217" t="s">
        <v>125</v>
      </c>
      <c r="G28" s="18">
        <f>IFERROR(AVERAGE('Tabela Vendas'!I:I),"-")</f>
        <v>20092.757206690792</v>
      </c>
      <c r="I28" s="354"/>
      <c r="J28" s="217" t="s">
        <v>126</v>
      </c>
      <c r="K28" s="199">
        <f>INDEX(Indicadores!$B:$B, MATCH(dataBaseObra, Indicadores!$A:$A, 0))</f>
        <v>779.76599999999996</v>
      </c>
      <c r="L28" s="354"/>
      <c r="M28" s="217" t="s">
        <v>127</v>
      </c>
      <c r="N28" s="227">
        <v>60000</v>
      </c>
      <c r="P28" s="217" t="s">
        <v>128</v>
      </c>
      <c r="Q28" s="355">
        <v>43525</v>
      </c>
      <c r="R28" s="365">
        <v>11200000</v>
      </c>
      <c r="S28" s="365">
        <v>9315421.7100000009</v>
      </c>
      <c r="T28" s="17">
        <f t="shared" ref="T28:T35" si="0">IFERROR(S28/R28, "-")</f>
        <v>0.83173408125000003</v>
      </c>
    </row>
    <row r="29" spans="1:20" x14ac:dyDescent="0.25">
      <c r="A29" s="354"/>
      <c r="E29" s="354"/>
      <c r="F29" s="217" t="s">
        <v>120</v>
      </c>
      <c r="G29" s="18">
        <f>SUMPRODUCT('Tabela Vendas'!R2:R47,'Tabela Vendas'!K2:K47)/SUM('Tabela Vendas'!R2:R47)</f>
        <v>21508.696969570119</v>
      </c>
      <c r="I29" s="354"/>
      <c r="J29" s="217" t="s">
        <v>129</v>
      </c>
      <c r="K29" s="366">
        <v>34849736.964615107</v>
      </c>
      <c r="L29" s="354"/>
      <c r="M29" s="217" t="s">
        <v>130</v>
      </c>
      <c r="N29" s="228">
        <v>10000</v>
      </c>
      <c r="P29" s="217" t="s">
        <v>131</v>
      </c>
      <c r="Q29" s="355">
        <v>43678</v>
      </c>
      <c r="R29" s="365">
        <v>6580000</v>
      </c>
      <c r="S29" s="365">
        <v>6480000</v>
      </c>
      <c r="T29" s="17">
        <f t="shared" si="0"/>
        <v>0.98480243161094227</v>
      </c>
    </row>
    <row r="30" spans="1:20" ht="15.75" customHeight="1" thickBot="1" x14ac:dyDescent="0.3">
      <c r="A30" s="354"/>
      <c r="B30" s="14" t="s">
        <v>132</v>
      </c>
      <c r="C30" s="15" t="s">
        <v>133</v>
      </c>
      <c r="E30" s="354"/>
      <c r="F30" s="217" t="s">
        <v>134</v>
      </c>
      <c r="G30" s="17">
        <v>0.01</v>
      </c>
      <c r="I30" s="354"/>
      <c r="J30" s="217" t="s">
        <v>135</v>
      </c>
      <c r="K30" s="366">
        <f>K29/K28</f>
        <v>44692.557721951336</v>
      </c>
      <c r="L30" s="354"/>
      <c r="M30" s="217" t="s">
        <v>136</v>
      </c>
      <c r="N30" s="227">
        <v>20000</v>
      </c>
      <c r="P30" s="217" t="s">
        <v>137</v>
      </c>
      <c r="Q30" s="355">
        <v>43739</v>
      </c>
      <c r="R30" s="365">
        <v>10920000</v>
      </c>
      <c r="S30" s="365">
        <v>10440000</v>
      </c>
      <c r="T30" s="17">
        <f t="shared" si="0"/>
        <v>0.95604395604395609</v>
      </c>
    </row>
    <row r="31" spans="1:20" x14ac:dyDescent="0.25">
      <c r="A31" s="354"/>
      <c r="B31" s="217" t="s">
        <v>138</v>
      </c>
      <c r="C31" s="367">
        <f ca="1">(1+IRR('Fluxo Investidores'!AI:AI))^12-1</f>
        <v>0.13879342126492666</v>
      </c>
      <c r="E31" s="354"/>
      <c r="F31" s="217" t="s">
        <v>139</v>
      </c>
      <c r="G31" s="17">
        <v>0</v>
      </c>
      <c r="I31" s="354"/>
      <c r="J31" s="217" t="s">
        <v>140</v>
      </c>
      <c r="K31" s="19">
        <v>0.09</v>
      </c>
      <c r="L31" s="354"/>
      <c r="M31" s="217" t="s">
        <v>97</v>
      </c>
      <c r="N31" s="17">
        <v>1.4500000000000001E-2</v>
      </c>
      <c r="P31" s="217" t="s">
        <v>141</v>
      </c>
      <c r="Q31" s="355">
        <v>43800</v>
      </c>
      <c r="R31" s="365">
        <v>3586300</v>
      </c>
      <c r="S31" s="365">
        <v>4658567.04</v>
      </c>
      <c r="T31" s="17">
        <f t="shared" si="0"/>
        <v>1.2989897777653849</v>
      </c>
    </row>
    <row r="32" spans="1:20" x14ac:dyDescent="0.25">
      <c r="A32" s="354"/>
      <c r="B32" s="217" t="s">
        <v>142</v>
      </c>
      <c r="C32" s="367">
        <f ca="1">(1+IRR('Fluxo Investidores'!AJ:AJ))^12-1</f>
        <v>0.13879342126492666</v>
      </c>
      <c r="E32" s="354"/>
      <c r="F32" s="217" t="s">
        <v>143</v>
      </c>
      <c r="G32" s="17">
        <v>0.05</v>
      </c>
      <c r="I32" s="354"/>
      <c r="J32" s="217" t="s">
        <v>144</v>
      </c>
      <c r="K32" s="19">
        <v>1.4999999999999999E-2</v>
      </c>
      <c r="L32" s="354"/>
      <c r="M32" s="217" t="s">
        <v>145</v>
      </c>
      <c r="N32" s="228">
        <v>10000</v>
      </c>
      <c r="P32" s="217" t="s">
        <v>146</v>
      </c>
      <c r="Q32" s="368">
        <v>44136</v>
      </c>
      <c r="R32" s="369">
        <f>IFERROR(INDEX('Fluxo Bandeira Co'!$AJ:$AJ, MATCH(quintaChamada, 'Fluxo Bandeira Co'!$A:$A, 0))+INDEX('Fluxo Bandeira Co'!$AK:$AK, MATCH(quintaChamada, 'Fluxo Bandeira Co'!$A:$A, 0)), 0)</f>
        <v>0</v>
      </c>
      <c r="S32" s="369">
        <f>IFERROR(INDEX('Fluxo Bandeira Co'!$L:$L, MATCH(quintaChamada, 'Fluxo Bandeira Co'!$A:$A, 0))+INDEX('Fluxo Bandeira Co'!$M:$M, MATCH(quintaChamada, 'Fluxo Bandeira Co'!$A:$A, 0)), 0)</f>
        <v>3263661.435971756</v>
      </c>
      <c r="T32" s="17" t="str">
        <f t="shared" si="0"/>
        <v>-</v>
      </c>
    </row>
    <row r="33" spans="1:20" x14ac:dyDescent="0.25">
      <c r="A33" s="354"/>
      <c r="B33" s="217" t="s">
        <v>147</v>
      </c>
      <c r="C33" s="367">
        <f ca="1">(1+IRR('Fluxo Investidores'!AK:AK))^12-1</f>
        <v>0.13879342126492666</v>
      </c>
      <c r="E33" s="354"/>
      <c r="F33" s="217" t="s">
        <v>148</v>
      </c>
      <c r="G33" s="17">
        <v>0</v>
      </c>
      <c r="I33" s="354"/>
      <c r="J33" s="217" t="s">
        <v>149</v>
      </c>
      <c r="K33" s="19">
        <v>0.04</v>
      </c>
      <c r="L33" s="354"/>
      <c r="M33" s="217" t="s">
        <v>20</v>
      </c>
      <c r="N33" s="228">
        <v>10000</v>
      </c>
      <c r="P33" s="217" t="s">
        <v>150</v>
      </c>
      <c r="Q33" s="368">
        <v>44562</v>
      </c>
      <c r="R33" s="369">
        <f ca="1">IFERROR(INDEX('Fluxo Bandeira Co'!$AJ:$AJ, MATCH(sextaChamada, 'Fluxo Bandeira Co'!$A:$A, 0))+INDEX('Fluxo Bandeira Co'!$AK:$AK, MATCH(sextaChamada, 'Fluxo Bandeira Co'!$A:$A, 0)), 0)</f>
        <v>3925798.5171840778</v>
      </c>
      <c r="S33" s="369">
        <f ca="1">IFERROR(INDEX('Fluxo Bandeira Co'!$L:$L, MATCH(sextaChamada, 'Fluxo Bandeira Co'!$A:$A, 0))+INDEX('Fluxo Bandeira Co'!$M:$M, MATCH(sextaChamada, 'Fluxo Bandeira Co'!$A:$A, 0)), 0)</f>
        <v>3003946.7367434842</v>
      </c>
      <c r="T33" s="17">
        <f t="shared" ca="1" si="0"/>
        <v>0.76518107681648795</v>
      </c>
    </row>
    <row r="34" spans="1:20" x14ac:dyDescent="0.25">
      <c r="A34" s="354"/>
      <c r="B34" s="217" t="s">
        <v>151</v>
      </c>
      <c r="C34" s="367">
        <f ca="1">(1+IRR('Fluxo Investidores'!AL:AL))^12-1</f>
        <v>0.13879342126492666</v>
      </c>
      <c r="E34" s="354"/>
      <c r="F34" s="156" t="s">
        <v>152</v>
      </c>
      <c r="G34" s="185">
        <f>INDEX($G$28:$G$29,MATCH(tipoPreço,$F$28:$F$29,0))*(1-desconto)*(1-gordura)*(1-comissao)*(1-premio)</f>
        <v>20228.929499880694</v>
      </c>
      <c r="I34" s="354"/>
      <c r="J34" s="217" t="s">
        <v>153</v>
      </c>
      <c r="K34" s="17">
        <v>1</v>
      </c>
      <c r="L34" s="354"/>
      <c r="P34" s="217" t="s">
        <v>154</v>
      </c>
      <c r="Q34" s="368" t="s">
        <v>155</v>
      </c>
      <c r="R34" s="369">
        <f>IFERROR(INDEX('Fluxo Bandeira Co'!$AJ:$AJ, MATCH(setimaChamada, 'Fluxo Bandeira Co'!$A:$A, 0))+INDEX('Fluxo Bandeira Co'!$AK:$AK, MATCH(setimaChamada, 'Fluxo Bandeira Co'!$A:$A, 0)), 0)</f>
        <v>0</v>
      </c>
      <c r="S34" s="369">
        <f>IFERROR(INDEX('Fluxo Bandeira Co'!$L:$L, MATCH(setimaChamada, 'Fluxo Bandeira Co'!$A:$A, 0))+INDEX('Fluxo Bandeira Co'!$M:$M, MATCH(setimaChamada, 'Fluxo Bandeira Co'!$A:$A, 0)), 0)</f>
        <v>0</v>
      </c>
      <c r="T34" s="17" t="str">
        <f t="shared" si="0"/>
        <v>-</v>
      </c>
    </row>
    <row r="35" spans="1:20" ht="15.75" customHeight="1" thickBot="1" x14ac:dyDescent="0.3">
      <c r="A35" s="354"/>
      <c r="B35" s="217" t="s">
        <v>156</v>
      </c>
      <c r="C35" s="367">
        <f ca="1">(1+IRR('Fluxo Investidores'!AM:AM))^12-1</f>
        <v>7.6044024487463169E-2</v>
      </c>
      <c r="E35" s="354"/>
      <c r="I35" s="354"/>
      <c r="J35" s="211"/>
      <c r="K35" s="211"/>
      <c r="L35" s="354"/>
      <c r="M35" s="14" t="s">
        <v>157</v>
      </c>
      <c r="N35" s="15"/>
      <c r="P35" s="217" t="s">
        <v>158</v>
      </c>
      <c r="Q35" s="368" t="s">
        <v>155</v>
      </c>
      <c r="R35" s="369">
        <f>IFERROR(INDEX('Fluxo Bandeira Co'!$AJ:$AJ, MATCH(oitavaChamada, 'Fluxo Bandeira Co'!$A:$A, 0))+INDEX('Fluxo Bandeira Co'!$AK:$AK, MATCH(oitavaChamada, 'Fluxo Bandeira Co'!$A:$A, 0)), 0)</f>
        <v>0</v>
      </c>
      <c r="S35" s="369">
        <f>IFERROR(INDEX('Fluxo Bandeira Co'!$L:$L, MATCH(oitavaChamada, 'Fluxo Bandeira Co'!$A:$A, 0))+INDEX('Fluxo Bandeira Co'!$M:$M, MATCH(oitavaChamada, 'Fluxo Bandeira Co'!$A:$A, 0)), 0)</f>
        <v>0</v>
      </c>
      <c r="T35" s="17" t="str">
        <f t="shared" si="0"/>
        <v>-</v>
      </c>
    </row>
    <row r="36" spans="1:20" ht="15.75" customHeight="1" thickBot="1" x14ac:dyDescent="0.3">
      <c r="A36" s="354"/>
      <c r="B36" s="217" t="s">
        <v>159</v>
      </c>
      <c r="C36" s="367">
        <f ca="1">(1+IRR('Fluxo Investidores'!AN:AN))^12-1</f>
        <v>7.6160154667805902E-2</v>
      </c>
      <c r="E36" s="354"/>
      <c r="I36" s="354"/>
      <c r="J36" s="14" t="s">
        <v>160</v>
      </c>
      <c r="K36" s="15"/>
      <c r="L36" s="354"/>
      <c r="M36" s="217" t="s">
        <v>161</v>
      </c>
      <c r="N36" s="230">
        <v>0.06</v>
      </c>
    </row>
    <row r="37" spans="1:20" x14ac:dyDescent="0.25">
      <c r="A37" s="354"/>
      <c r="B37" s="217" t="s">
        <v>162</v>
      </c>
      <c r="C37" s="367">
        <f ca="1">(1+IRR('Fluxo Investidores'!AO:AO))^12-1</f>
        <v>0.10537057890955048</v>
      </c>
      <c r="J37" s="352" t="s">
        <v>163</v>
      </c>
      <c r="K37" s="17">
        <v>0.05</v>
      </c>
      <c r="M37" s="217" t="s">
        <v>164</v>
      </c>
      <c r="N37" s="17">
        <v>0.2</v>
      </c>
      <c r="Q37" s="211"/>
    </row>
    <row r="38" spans="1:20" x14ac:dyDescent="0.25">
      <c r="A38" s="354"/>
      <c r="B38" s="217" t="s">
        <v>165</v>
      </c>
      <c r="C38" s="367">
        <f ca="1">(1+IRR('Fluxo Investidores'!AP:AP))^12-1</f>
        <v>7.5107766932700049E-2</v>
      </c>
      <c r="J38" s="352" t="s">
        <v>166</v>
      </c>
      <c r="K38" s="17">
        <v>0.04</v>
      </c>
      <c r="M38" s="217" t="s">
        <v>167</v>
      </c>
      <c r="N38" s="370">
        <f ca="1">SUM('Fluxo Bandeira Co'!AY:AY)</f>
        <v>3020355.6677800715</v>
      </c>
    </row>
    <row r="39" spans="1:20" x14ac:dyDescent="0.25">
      <c r="A39" s="354"/>
      <c r="B39" s="217" t="s">
        <v>168</v>
      </c>
      <c r="C39" s="367">
        <f ca="1">(1+IRR('Fluxo Investidores'!AQ:AQ))^12-1</f>
        <v>0.13879342126492666</v>
      </c>
      <c r="E39" s="211"/>
      <c r="I39" s="217"/>
      <c r="J39" s="352" t="s">
        <v>169</v>
      </c>
      <c r="K39" s="17">
        <v>0.15</v>
      </c>
      <c r="L39" s="217"/>
    </row>
    <row r="40" spans="1:20" x14ac:dyDescent="0.25">
      <c r="A40" s="354"/>
      <c r="B40" s="217" t="s">
        <v>170</v>
      </c>
      <c r="C40" s="367">
        <f ca="1">(1+IRR('Fluxo Investidores'!AR:AR))^12-1</f>
        <v>0.13879342203819789</v>
      </c>
    </row>
    <row r="41" spans="1:20" x14ac:dyDescent="0.25">
      <c r="A41" s="354"/>
      <c r="B41" s="217" t="s">
        <v>171</v>
      </c>
      <c r="C41" s="367">
        <f ca="1">(1+IRR('Fluxo Investidores'!AS:AS))^12-1</f>
        <v>0.13879342126492666</v>
      </c>
    </row>
    <row r="42" spans="1:20" x14ac:dyDescent="0.25">
      <c r="A42" s="354"/>
      <c r="B42" s="217" t="s">
        <v>172</v>
      </c>
      <c r="C42" s="367">
        <f ca="1">(1+IRR('Fluxo Investidores'!AT:AT))^12-1</f>
        <v>9.8111609894055984E-2</v>
      </c>
    </row>
    <row r="43" spans="1:20" x14ac:dyDescent="0.25">
      <c r="A43" s="354"/>
      <c r="B43" s="217" t="s">
        <v>173</v>
      </c>
      <c r="C43" s="367">
        <f ca="1">(1+IRR('Fluxo Investidores'!AU:AU))^12-1</f>
        <v>0.13879342126492666</v>
      </c>
      <c r="I43" s="354"/>
      <c r="L43" s="354"/>
    </row>
    <row r="44" spans="1:20" x14ac:dyDescent="0.25">
      <c r="A44" s="354"/>
      <c r="I44" s="354"/>
      <c r="J44" s="354"/>
      <c r="K44" s="354"/>
      <c r="L44" s="354"/>
    </row>
    <row r="45" spans="1:20" x14ac:dyDescent="0.25">
      <c r="A45" s="354"/>
      <c r="B45" s="217" t="s">
        <v>174</v>
      </c>
      <c r="I45" s="354"/>
      <c r="J45" s="354"/>
      <c r="K45" s="354"/>
      <c r="L45" s="354"/>
    </row>
    <row r="46" spans="1:20" x14ac:dyDescent="0.25">
      <c r="A46" s="354"/>
      <c r="B46" s="217" t="s">
        <v>175</v>
      </c>
      <c r="E46" s="354"/>
      <c r="I46" s="354"/>
      <c r="J46" s="354"/>
      <c r="K46" s="354"/>
      <c r="L46" s="354"/>
    </row>
    <row r="47" spans="1:20" x14ac:dyDescent="0.25">
      <c r="A47" s="354"/>
      <c r="E47" s="354"/>
      <c r="I47" s="354"/>
      <c r="J47" s="354"/>
      <c r="K47" s="354"/>
      <c r="L47" s="354"/>
    </row>
    <row r="48" spans="1:20" x14ac:dyDescent="0.25">
      <c r="A48" s="354"/>
      <c r="E48" s="354"/>
      <c r="I48" s="354"/>
      <c r="J48" s="354"/>
      <c r="K48" s="354"/>
      <c r="L48" s="354"/>
    </row>
    <row r="49" spans="1:12" x14ac:dyDescent="0.25">
      <c r="A49" s="354"/>
      <c r="E49" s="354"/>
      <c r="I49" s="354"/>
      <c r="J49" s="354"/>
      <c r="K49" s="354"/>
      <c r="L49" s="354"/>
    </row>
    <row r="50" spans="1:12" x14ac:dyDescent="0.25">
      <c r="A50" s="354"/>
      <c r="E50" s="354"/>
      <c r="I50" s="354"/>
      <c r="J50" s="354"/>
      <c r="K50" s="354"/>
      <c r="L50" s="354"/>
    </row>
    <row r="51" spans="1:12" x14ac:dyDescent="0.25">
      <c r="A51" s="354"/>
      <c r="E51" s="354"/>
      <c r="I51" s="354"/>
      <c r="J51" s="354"/>
      <c r="K51" s="354"/>
      <c r="L51" s="354"/>
    </row>
    <row r="52" spans="1:12" x14ac:dyDescent="0.25">
      <c r="A52" s="354"/>
      <c r="E52" s="354"/>
      <c r="I52" s="354"/>
      <c r="J52" s="354"/>
      <c r="K52" s="354"/>
      <c r="L52" s="354"/>
    </row>
    <row r="53" spans="1:12" x14ac:dyDescent="0.25">
      <c r="A53" s="354"/>
      <c r="E53" s="354"/>
      <c r="I53" s="354"/>
      <c r="J53" s="354"/>
      <c r="K53" s="354"/>
      <c r="L53" s="354"/>
    </row>
    <row r="54" spans="1:12" x14ac:dyDescent="0.25">
      <c r="A54" s="354"/>
      <c r="E54" s="354"/>
      <c r="I54" s="354"/>
      <c r="J54" s="354"/>
      <c r="K54" s="354"/>
      <c r="L54" s="354"/>
    </row>
    <row r="55" spans="1:12" x14ac:dyDescent="0.25">
      <c r="A55" s="354"/>
      <c r="E55" s="354"/>
      <c r="I55" s="354"/>
      <c r="J55" s="354"/>
      <c r="K55" s="354"/>
      <c r="L55" s="354"/>
    </row>
    <row r="56" spans="1:12" x14ac:dyDescent="0.25">
      <c r="A56" s="354"/>
      <c r="E56" s="354"/>
      <c r="I56" s="354"/>
      <c r="J56" s="354"/>
      <c r="K56" s="354"/>
      <c r="L56" s="354"/>
    </row>
    <row r="57" spans="1:12" x14ac:dyDescent="0.25">
      <c r="A57" s="354"/>
      <c r="E57" s="354"/>
      <c r="I57" s="354"/>
      <c r="J57" s="354"/>
      <c r="K57" s="354"/>
      <c r="L57" s="354"/>
    </row>
    <row r="58" spans="1:12" x14ac:dyDescent="0.25">
      <c r="A58" s="354"/>
      <c r="E58" s="354"/>
      <c r="I58" s="354"/>
      <c r="J58" s="354"/>
      <c r="K58" s="354"/>
      <c r="L58" s="354"/>
    </row>
    <row r="59" spans="1:12" x14ac:dyDescent="0.25">
      <c r="A59" s="354"/>
      <c r="E59" s="354"/>
      <c r="I59" s="354"/>
      <c r="J59" s="354"/>
      <c r="K59" s="354"/>
      <c r="L59" s="354"/>
    </row>
    <row r="60" spans="1:12" x14ac:dyDescent="0.25">
      <c r="A60" s="354"/>
      <c r="E60" s="354"/>
      <c r="I60" s="354"/>
      <c r="J60" s="354"/>
      <c r="K60" s="354"/>
      <c r="L60" s="354"/>
    </row>
    <row r="61" spans="1:12" x14ac:dyDescent="0.25">
      <c r="A61" s="354"/>
      <c r="E61" s="354"/>
      <c r="I61" s="354"/>
      <c r="J61" s="354"/>
      <c r="K61" s="354"/>
      <c r="L61" s="354"/>
    </row>
    <row r="62" spans="1:12" x14ac:dyDescent="0.25">
      <c r="A62" s="354"/>
      <c r="E62" s="354"/>
      <c r="I62" s="354"/>
      <c r="J62" s="354"/>
      <c r="K62" s="354"/>
      <c r="L62" s="354"/>
    </row>
    <row r="63" spans="1:12" x14ac:dyDescent="0.25">
      <c r="A63" s="354"/>
      <c r="E63" s="354"/>
      <c r="I63" s="354"/>
      <c r="J63" s="354"/>
      <c r="K63" s="354"/>
      <c r="L63" s="354"/>
    </row>
    <row r="64" spans="1:12" x14ac:dyDescent="0.25">
      <c r="A64" s="354"/>
      <c r="E64" s="354"/>
      <c r="I64" s="354"/>
      <c r="J64" s="354"/>
      <c r="K64" s="354"/>
      <c r="L64" s="354"/>
    </row>
    <row r="65" spans="1:12" x14ac:dyDescent="0.25">
      <c r="A65" s="354"/>
      <c r="E65" s="354"/>
      <c r="I65" s="354"/>
      <c r="J65" s="354"/>
      <c r="K65" s="354"/>
      <c r="L65" s="354"/>
    </row>
    <row r="66" spans="1:12" x14ac:dyDescent="0.25">
      <c r="A66" s="354"/>
      <c r="E66" s="354"/>
      <c r="I66" s="354"/>
      <c r="J66" s="354"/>
      <c r="K66" s="354"/>
      <c r="L66" s="354"/>
    </row>
    <row r="67" spans="1:12" x14ac:dyDescent="0.25">
      <c r="A67" s="354"/>
      <c r="E67" s="354"/>
      <c r="I67" s="354"/>
      <c r="J67" s="354"/>
      <c r="K67" s="354"/>
      <c r="L67" s="354"/>
    </row>
    <row r="68" spans="1:12" x14ac:dyDescent="0.25">
      <c r="A68" s="354"/>
      <c r="E68" s="354"/>
      <c r="I68" s="354"/>
      <c r="J68" s="354"/>
      <c r="K68" s="354"/>
      <c r="L68" s="354"/>
    </row>
    <row r="69" spans="1:12" x14ac:dyDescent="0.25">
      <c r="A69" s="354"/>
      <c r="E69" s="354"/>
      <c r="I69" s="354"/>
      <c r="J69" s="354"/>
      <c r="K69" s="354"/>
      <c r="L69" s="354"/>
    </row>
    <row r="70" spans="1:12" x14ac:dyDescent="0.25">
      <c r="A70" s="354"/>
      <c r="E70" s="354"/>
      <c r="I70" s="354"/>
      <c r="J70" s="354"/>
      <c r="K70" s="354"/>
      <c r="L70" s="354"/>
    </row>
    <row r="71" spans="1:12" x14ac:dyDescent="0.25">
      <c r="A71" s="354"/>
      <c r="E71" s="354"/>
      <c r="I71" s="354"/>
      <c r="J71" s="354"/>
      <c r="K71" s="354"/>
      <c r="L71" s="354"/>
    </row>
    <row r="72" spans="1:12" x14ac:dyDescent="0.25">
      <c r="A72" s="354"/>
      <c r="E72" s="354"/>
      <c r="I72" s="354"/>
      <c r="J72" s="354"/>
      <c r="K72" s="354"/>
      <c r="L72" s="354"/>
    </row>
    <row r="73" spans="1:12" x14ac:dyDescent="0.25">
      <c r="A73" s="354"/>
      <c r="E73" s="354"/>
      <c r="I73" s="354"/>
      <c r="J73" s="354"/>
      <c r="K73" s="354"/>
      <c r="L73" s="354"/>
    </row>
    <row r="74" spans="1:12" x14ac:dyDescent="0.25">
      <c r="A74" s="354"/>
      <c r="E74" s="354"/>
      <c r="I74" s="354"/>
      <c r="J74" s="354"/>
      <c r="K74" s="354"/>
      <c r="L74" s="354"/>
    </row>
    <row r="75" spans="1:12" x14ac:dyDescent="0.25">
      <c r="A75" s="354"/>
      <c r="E75" s="354"/>
      <c r="I75" s="354"/>
      <c r="J75" s="354"/>
      <c r="K75" s="354"/>
      <c r="L75" s="354"/>
    </row>
    <row r="76" spans="1:12" x14ac:dyDescent="0.25">
      <c r="A76" s="354"/>
      <c r="E76" s="354"/>
      <c r="I76" s="354"/>
      <c r="J76" s="354"/>
      <c r="K76" s="354"/>
      <c r="L76" s="354"/>
    </row>
    <row r="77" spans="1:12" x14ac:dyDescent="0.25">
      <c r="A77" s="354"/>
      <c r="E77" s="354"/>
      <c r="I77" s="354"/>
      <c r="J77" s="354"/>
      <c r="K77" s="354"/>
      <c r="L77" s="354"/>
    </row>
    <row r="78" spans="1:12" x14ac:dyDescent="0.25">
      <c r="A78" s="354"/>
      <c r="E78" s="354"/>
      <c r="I78" s="354"/>
      <c r="J78" s="354"/>
      <c r="K78" s="354"/>
      <c r="L78" s="354"/>
    </row>
    <row r="79" spans="1:12" x14ac:dyDescent="0.25">
      <c r="A79" s="354"/>
      <c r="E79" s="354"/>
      <c r="I79" s="354"/>
      <c r="J79" s="354"/>
      <c r="K79" s="354"/>
      <c r="L79" s="354"/>
    </row>
    <row r="80" spans="1:12" x14ac:dyDescent="0.25">
      <c r="A80" s="354"/>
      <c r="E80" s="354"/>
      <c r="I80" s="354"/>
      <c r="J80" s="354"/>
      <c r="K80" s="354"/>
      <c r="L80" s="354"/>
    </row>
    <row r="81" spans="1:12" x14ac:dyDescent="0.25">
      <c r="A81" s="354"/>
      <c r="E81" s="354"/>
      <c r="I81" s="354"/>
      <c r="J81" s="354"/>
      <c r="K81" s="354"/>
      <c r="L81" s="354"/>
    </row>
    <row r="82" spans="1:12" x14ac:dyDescent="0.25">
      <c r="A82" s="354"/>
      <c r="E82" s="354"/>
      <c r="I82" s="354"/>
      <c r="J82" s="354"/>
      <c r="K82" s="354"/>
      <c r="L82" s="354"/>
    </row>
    <row r="83" spans="1:12" x14ac:dyDescent="0.25">
      <c r="A83" s="354"/>
      <c r="E83" s="354"/>
      <c r="I83" s="354"/>
      <c r="J83" s="354"/>
      <c r="K83" s="354"/>
      <c r="L83" s="354"/>
    </row>
  </sheetData>
  <conditionalFormatting sqref="A39 A37">
    <cfRule type="expression" dxfId="23713" priority="127">
      <formula>XEY37="TO"</formula>
    </cfRule>
    <cfRule type="expression" dxfId="23712" priority="128">
      <formula>XEY37="IO"</formula>
    </cfRule>
    <cfRule type="expression" dxfId="23711" priority="129">
      <formula>XEY37="L"</formula>
    </cfRule>
    <cfRule type="expression" dxfId="23710" priority="130">
      <formula>XEZ37="TO"</formula>
    </cfRule>
    <cfRule type="expression" dxfId="23709" priority="131">
      <formula>XEZ37="IO"</formula>
    </cfRule>
    <cfRule type="expression" dxfId="23708" priority="132">
      <formula>XEZ37="L"</formula>
    </cfRule>
  </conditionalFormatting>
  <conditionalFormatting sqref="A40:A84 A38 A26:A36">
    <cfRule type="expression" dxfId="23707" priority="139">
      <formula>XFA26="TO"</formula>
    </cfRule>
    <cfRule type="expression" dxfId="23706" priority="140">
      <formula>XFA26="IO"</formula>
    </cfRule>
    <cfRule type="expression" dxfId="23705" priority="141">
      <formula>XFA26="L"</formula>
    </cfRule>
  </conditionalFormatting>
  <conditionalFormatting sqref="E26">
    <cfRule type="expression" dxfId="23704" priority="169">
      <formula>XFB39="TO"</formula>
    </cfRule>
    <cfRule type="expression" dxfId="23703" priority="170">
      <formula>XFB39="IO"</formula>
    </cfRule>
    <cfRule type="expression" dxfId="23702" priority="171">
      <formula>XFB39="L"</formula>
    </cfRule>
    <cfRule type="expression" dxfId="23701" priority="181">
      <formula>XFC39="TO"</formula>
    </cfRule>
    <cfRule type="expression" dxfId="23700" priority="182">
      <formula>XFC39="IO"</formula>
    </cfRule>
    <cfRule type="expression" dxfId="23699" priority="183">
      <formula>XFC39="L"</formula>
    </cfRule>
  </conditionalFormatting>
  <conditionalFormatting sqref="A40:A83 A38 A26:A36">
    <cfRule type="expression" dxfId="23698" priority="4192">
      <formula>XFB26="TO"</formula>
    </cfRule>
    <cfRule type="expression" dxfId="23697" priority="4193">
      <formula>XFB26="IO"</formula>
    </cfRule>
    <cfRule type="expression" dxfId="23696" priority="4194">
      <formula>XFB26="L"</formula>
    </cfRule>
  </conditionalFormatting>
  <conditionalFormatting sqref="L30:L36 I14:I16 L14:L16 F32:G34 I19:I20 L19:L20 J7:K8 L23 I43:I83 L43:L83 J44:K83 I23:I25 J11:K13 I27:I36 I2:L2 I6:I10 L6:L10 F26:G29 J15:K17 I5:L5 H3:H4">
    <cfRule type="expression" dxfId="23695" priority="4201">
      <formula>#REF!="TO"</formula>
    </cfRule>
    <cfRule type="expression" dxfId="23694" priority="4202">
      <formula>#REF!="IO"</formula>
    </cfRule>
    <cfRule type="expression" dxfId="23693" priority="4203">
      <formula>#REF!="L"</formula>
    </cfRule>
  </conditionalFormatting>
  <conditionalFormatting sqref="L24:L25 L27:L29 I27:I36 I13:I16 F31:G34 I19:I20 J7:K8 I23:I25 J11:K13 I43:I84 J44:K84 I2:K2 I6:I11 F26:G29 J15:K17 I5:K5">
    <cfRule type="expression" dxfId="23692" priority="4225">
      <formula>#REF!="TO"</formula>
    </cfRule>
    <cfRule type="expression" dxfId="23691" priority="4226">
      <formula>#REF!="IO"</formula>
    </cfRule>
    <cfRule type="expression" dxfId="23690" priority="4227">
      <formula>#REF!="L"</formula>
    </cfRule>
  </conditionalFormatting>
  <conditionalFormatting sqref="I21:I22 I12:I13 I17:I18">
    <cfRule type="expression" dxfId="23689" priority="4783">
      <formula>#REF!="TO"</formula>
    </cfRule>
    <cfRule type="expression" dxfId="23688" priority="4784">
      <formula>#REF!="IO"</formula>
    </cfRule>
    <cfRule type="expression" dxfId="23687" priority="4785">
      <formula>#REF!="L"</formula>
    </cfRule>
  </conditionalFormatting>
  <conditionalFormatting sqref="L12:L13 L21:L22 L17:L18">
    <cfRule type="expression" dxfId="23686" priority="4867">
      <formula>#REF!="TO"</formula>
    </cfRule>
    <cfRule type="expression" dxfId="23685" priority="4868">
      <formula>#REF!="IO"</formula>
    </cfRule>
    <cfRule type="expression" dxfId="23684" priority="4869">
      <formula>#REF!="L"</formula>
    </cfRule>
  </conditionalFormatting>
  <conditionalFormatting sqref="L13:L16 L19:L20 L23 L43:L84 L5:L11 L2 A2:A5">
    <cfRule type="expression" dxfId="23683" priority="4885">
      <formula>XET2="TO"</formula>
    </cfRule>
    <cfRule type="expression" dxfId="23682" priority="4886">
      <formula>XET2="IO"</formula>
    </cfRule>
    <cfRule type="expression" dxfId="23681" priority="4887">
      <formula>XET2="L"</formula>
    </cfRule>
  </conditionalFormatting>
  <conditionalFormatting sqref="I26">
    <cfRule type="expression" dxfId="23680" priority="4921">
      <formula>#REF!="TO"</formula>
    </cfRule>
    <cfRule type="expression" dxfId="23679" priority="4922">
      <formula>#REF!="IO"</formula>
    </cfRule>
    <cfRule type="expression" dxfId="23678" priority="4923">
      <formula>#REF!="L"</formula>
    </cfRule>
    <cfRule type="expression" dxfId="23677" priority="6157">
      <formula>#REF!="TO"</formula>
    </cfRule>
    <cfRule type="expression" dxfId="23676" priority="6158">
      <formula>#REF!="IO"</formula>
    </cfRule>
    <cfRule type="expression" dxfId="23675" priority="6159">
      <formula>#REF!="L"</formula>
    </cfRule>
  </conditionalFormatting>
  <conditionalFormatting sqref="L24:L25 L27:L29">
    <cfRule type="expression" dxfId="23674" priority="4939">
      <formula>A37="TO"</formula>
    </cfRule>
    <cfRule type="expression" dxfId="23673" priority="4940">
      <formula>A37="IO"</formula>
    </cfRule>
    <cfRule type="expression" dxfId="23672" priority="4941">
      <formula>A37="L"</formula>
    </cfRule>
  </conditionalFormatting>
  <conditionalFormatting sqref="L26">
    <cfRule type="expression" dxfId="23671" priority="4945">
      <formula>#REF!="TO"</formula>
    </cfRule>
    <cfRule type="expression" dxfId="23670" priority="4946">
      <formula>#REF!="IO"</formula>
    </cfRule>
    <cfRule type="expression" dxfId="23669" priority="4947">
      <formula>#REF!="L"</formula>
    </cfRule>
    <cfRule type="expression" dxfId="23668" priority="5137">
      <formula>#REF!="TO"</formula>
    </cfRule>
    <cfRule type="expression" dxfId="23667" priority="5138">
      <formula>#REF!="IO"</formula>
    </cfRule>
    <cfRule type="expression" dxfId="23666" priority="5139">
      <formula>#REF!="L"</formula>
    </cfRule>
  </conditionalFormatting>
  <conditionalFormatting sqref="L30:L36">
    <cfRule type="expression" dxfId="23665" priority="4975">
      <formula>A30="TO"</formula>
    </cfRule>
    <cfRule type="expression" dxfId="23664" priority="4976">
      <formula>A30="IO"</formula>
    </cfRule>
    <cfRule type="expression" dxfId="23663" priority="4977">
      <formula>A30="L"</formula>
    </cfRule>
  </conditionalFormatting>
  <conditionalFormatting sqref="L11 L21:L22 L17:L18">
    <cfRule type="expression" dxfId="23662" priority="5056">
      <formula>#REF!="TO"</formula>
    </cfRule>
    <cfRule type="expression" dxfId="23661" priority="5057">
      <formula>#REF!="IO"</formula>
    </cfRule>
    <cfRule type="expression" dxfId="23660" priority="5058">
      <formula>#REF!="L"</formula>
    </cfRule>
  </conditionalFormatting>
  <conditionalFormatting sqref="G10:G12">
    <cfRule type="expression" dxfId="23659" priority="79">
      <formula>#REF!="TO"</formula>
    </cfRule>
    <cfRule type="expression" dxfId="23658" priority="80">
      <formula>#REF!="IO"</formula>
    </cfRule>
    <cfRule type="expression" dxfId="23657" priority="81">
      <formula>#REF!="L"</formula>
    </cfRule>
    <cfRule type="expression" dxfId="23656" priority="82">
      <formula>#REF!="TO"</formula>
    </cfRule>
    <cfRule type="expression" dxfId="23655" priority="83">
      <formula>#REF!="IO"</formula>
    </cfRule>
    <cfRule type="expression" dxfId="23654" priority="84">
      <formula>#REF!="L"</formula>
    </cfRule>
  </conditionalFormatting>
  <conditionalFormatting sqref="G17:G19">
    <cfRule type="expression" dxfId="23653" priority="73">
      <formula>#REF!="TO"</formula>
    </cfRule>
    <cfRule type="expression" dxfId="23652" priority="74">
      <formula>#REF!="IO"</formula>
    </cfRule>
    <cfRule type="expression" dxfId="23651" priority="75">
      <formula>#REF!="L"</formula>
    </cfRule>
    <cfRule type="expression" dxfId="23650" priority="76">
      <formula>#REF!="TO"</formula>
    </cfRule>
    <cfRule type="expression" dxfId="23649" priority="77">
      <formula>#REF!="IO"</formula>
    </cfRule>
    <cfRule type="expression" dxfId="23648" priority="78">
      <formula>#REF!="L"</formula>
    </cfRule>
  </conditionalFormatting>
  <conditionalFormatting sqref="C24:C28">
    <cfRule type="expression" dxfId="23647" priority="67">
      <formula>#REF!="TO"</formula>
    </cfRule>
    <cfRule type="expression" dxfId="23646" priority="68">
      <formula>#REF!="IO"</formula>
    </cfRule>
    <cfRule type="expression" dxfId="23645" priority="69">
      <formula>#REF!="L"</formula>
    </cfRule>
    <cfRule type="expression" dxfId="23644" priority="70">
      <formula>#REF!="TO"</formula>
    </cfRule>
    <cfRule type="expression" dxfId="23643" priority="71">
      <formula>#REF!="IO"</formula>
    </cfRule>
    <cfRule type="expression" dxfId="23642" priority="72">
      <formula>#REF!="L"</formula>
    </cfRule>
  </conditionalFormatting>
  <conditionalFormatting sqref="I11 I21:I22 I17:I18">
    <cfRule type="expression" dxfId="23641" priority="6097">
      <formula>#REF!="TO"</formula>
    </cfRule>
    <cfRule type="expression" dxfId="23640" priority="6098">
      <formula>#REF!="IO"</formula>
    </cfRule>
    <cfRule type="expression" dxfId="23639" priority="6099">
      <formula>#REF!="L"</formula>
    </cfRule>
  </conditionalFormatting>
  <conditionalFormatting sqref="E14:E16 E19:E20 E23 E2:E10 E30:E36 E46:E83">
    <cfRule type="expression" dxfId="23638" priority="6133">
      <formula>#REF!="TO"</formula>
    </cfRule>
    <cfRule type="expression" dxfId="23637" priority="6134">
      <formula>#REF!="IO"</formula>
    </cfRule>
    <cfRule type="expression" dxfId="23636" priority="6135">
      <formula>#REF!="L"</formula>
    </cfRule>
  </conditionalFormatting>
  <conditionalFormatting sqref="E24:E25 E27:E29">
    <cfRule type="expression" dxfId="23635" priority="6151">
      <formula>#REF!="TO"</formula>
    </cfRule>
    <cfRule type="expression" dxfId="23634" priority="6152">
      <formula>#REF!="IO"</formula>
    </cfRule>
    <cfRule type="expression" dxfId="23633" priority="6153">
      <formula>#REF!="L"</formula>
    </cfRule>
    <cfRule type="expression" dxfId="23632" priority="6220">
      <formula>#REF!="TO"</formula>
    </cfRule>
    <cfRule type="expression" dxfId="23631" priority="6221">
      <formula>#REF!="IO"</formula>
    </cfRule>
    <cfRule type="expression" dxfId="23630" priority="6222">
      <formula>#REF!="L"</formula>
    </cfRule>
  </conditionalFormatting>
  <conditionalFormatting sqref="L12">
    <cfRule type="expression" dxfId="23629" priority="6172">
      <formula>#REF!="TO"</formula>
    </cfRule>
    <cfRule type="expression" dxfId="23628" priority="6173">
      <formula>#REF!="IO"</formula>
    </cfRule>
    <cfRule type="expression" dxfId="23627" priority="6174">
      <formula>#REF!="L"</formula>
    </cfRule>
  </conditionalFormatting>
  <conditionalFormatting sqref="E13:E16 E19:E20 E23 E2:E11 E30:E36 E46:E84">
    <cfRule type="expression" dxfId="23626" priority="6175">
      <formula>#REF!="TO"</formula>
    </cfRule>
    <cfRule type="expression" dxfId="23625" priority="6176">
      <formula>#REF!="IO"</formula>
    </cfRule>
    <cfRule type="expression" dxfId="23624" priority="6177">
      <formula>#REF!="L"</formula>
    </cfRule>
  </conditionalFormatting>
  <conditionalFormatting sqref="I12">
    <cfRule type="expression" dxfId="23623" priority="6205">
      <formula>#REF!="TO"</formula>
    </cfRule>
    <cfRule type="expression" dxfId="23622" priority="6206">
      <formula>#REF!="IO"</formula>
    </cfRule>
    <cfRule type="expression" dxfId="23621" priority="6207">
      <formula>#REF!="L"</formula>
    </cfRule>
  </conditionalFormatting>
  <conditionalFormatting sqref="T28:T31">
    <cfRule type="expression" dxfId="23620" priority="61">
      <formula>#REF!="TO"</formula>
    </cfRule>
    <cfRule type="expression" dxfId="23619" priority="62">
      <formula>#REF!="IO"</formula>
    </cfRule>
    <cfRule type="expression" dxfId="23618" priority="63">
      <formula>#REF!="L"</formula>
    </cfRule>
    <cfRule type="expression" dxfId="23617" priority="64">
      <formula>#REF!="TO"</formula>
    </cfRule>
    <cfRule type="expression" dxfId="23616" priority="65">
      <formula>#REF!="IO"</formula>
    </cfRule>
    <cfRule type="expression" dxfId="23615" priority="66">
      <formula>#REF!="L"</formula>
    </cfRule>
  </conditionalFormatting>
  <conditionalFormatting sqref="N28">
    <cfRule type="expression" dxfId="23614" priority="55">
      <formula>#REF!="TO"</formula>
    </cfRule>
    <cfRule type="expression" dxfId="23613" priority="56">
      <formula>#REF!="IO"</formula>
    </cfRule>
    <cfRule type="expression" dxfId="23612" priority="57">
      <formula>#REF!="L"</formula>
    </cfRule>
    <cfRule type="expression" dxfId="23611" priority="58">
      <formula>#REF!="TO"</formula>
    </cfRule>
    <cfRule type="expression" dxfId="23610" priority="59">
      <formula>#REF!="IO"</formula>
    </cfRule>
    <cfRule type="expression" dxfId="23609" priority="60">
      <formula>#REF!="L"</formula>
    </cfRule>
  </conditionalFormatting>
  <conditionalFormatting sqref="N32:N33">
    <cfRule type="expression" dxfId="23608" priority="49">
      <formula>#REF!="TO"</formula>
    </cfRule>
    <cfRule type="expression" dxfId="23607" priority="50">
      <formula>#REF!="IO"</formula>
    </cfRule>
    <cfRule type="expression" dxfId="23606" priority="51">
      <formula>#REF!="L"</formula>
    </cfRule>
    <cfRule type="expression" dxfId="23605" priority="52">
      <formula>#REF!="TO"</formula>
    </cfRule>
    <cfRule type="expression" dxfId="23604" priority="53">
      <formula>#REF!="IO"</formula>
    </cfRule>
    <cfRule type="expression" dxfId="23603" priority="54">
      <formula>#REF!="L"</formula>
    </cfRule>
  </conditionalFormatting>
  <conditionalFormatting sqref="N29">
    <cfRule type="expression" dxfId="23602" priority="43">
      <formula>#REF!="TO"</formula>
    </cfRule>
    <cfRule type="expression" dxfId="23601" priority="44">
      <formula>#REF!="IO"</formula>
    </cfRule>
    <cfRule type="expression" dxfId="23600" priority="45">
      <formula>#REF!="L"</formula>
    </cfRule>
    <cfRule type="expression" dxfId="23599" priority="46">
      <formula>#REF!="TO"</formula>
    </cfRule>
    <cfRule type="expression" dxfId="23598" priority="47">
      <formula>#REF!="IO"</formula>
    </cfRule>
    <cfRule type="expression" dxfId="23597" priority="48">
      <formula>#REF!="L"</formula>
    </cfRule>
  </conditionalFormatting>
  <conditionalFormatting sqref="N30">
    <cfRule type="expression" dxfId="23596" priority="37">
      <formula>#REF!="TO"</formula>
    </cfRule>
    <cfRule type="expression" dxfId="23595" priority="38">
      <formula>#REF!="IO"</formula>
    </cfRule>
    <cfRule type="expression" dxfId="23594" priority="39">
      <formula>#REF!="L"</formula>
    </cfRule>
    <cfRule type="expression" dxfId="23593" priority="40">
      <formula>#REF!="TO"</formula>
    </cfRule>
    <cfRule type="expression" dxfId="23592" priority="41">
      <formula>#REF!="IO"</formula>
    </cfRule>
    <cfRule type="expression" dxfId="23591" priority="42">
      <formula>#REF!="L"</formula>
    </cfRule>
  </conditionalFormatting>
  <conditionalFormatting sqref="N38">
    <cfRule type="expression" dxfId="23590" priority="31">
      <formula>#REF!="TO"</formula>
    </cfRule>
    <cfRule type="expression" dxfId="23589" priority="32">
      <formula>#REF!="IO"</formula>
    </cfRule>
    <cfRule type="expression" dxfId="23588" priority="33">
      <formula>#REF!="L"</formula>
    </cfRule>
    <cfRule type="expression" dxfId="23587" priority="34">
      <formula>#REF!="TO"</formula>
    </cfRule>
    <cfRule type="expression" dxfId="23586" priority="35">
      <formula>#REF!="IO"</formula>
    </cfRule>
    <cfRule type="expression" dxfId="23585" priority="36">
      <formula>#REF!="L"</formula>
    </cfRule>
  </conditionalFormatting>
  <conditionalFormatting sqref="T32">
    <cfRule type="expression" dxfId="23584" priority="25">
      <formula>#REF!="TO"</formula>
    </cfRule>
    <cfRule type="expression" dxfId="23583" priority="26">
      <formula>#REF!="IO"</formula>
    </cfRule>
    <cfRule type="expression" dxfId="23582" priority="27">
      <formula>#REF!="L"</formula>
    </cfRule>
    <cfRule type="expression" dxfId="23581" priority="28">
      <formula>#REF!="TO"</formula>
    </cfRule>
    <cfRule type="expression" dxfId="23580" priority="29">
      <formula>#REF!="IO"</formula>
    </cfRule>
    <cfRule type="expression" dxfId="23579" priority="30">
      <formula>#REF!="L"</formula>
    </cfRule>
  </conditionalFormatting>
  <conditionalFormatting sqref="T33">
    <cfRule type="expression" dxfId="23578" priority="19">
      <formula>#REF!="TO"</formula>
    </cfRule>
    <cfRule type="expression" dxfId="23577" priority="20">
      <formula>#REF!="IO"</formula>
    </cfRule>
    <cfRule type="expression" dxfId="23576" priority="21">
      <formula>#REF!="L"</formula>
    </cfRule>
    <cfRule type="expression" dxfId="23575" priority="22">
      <formula>#REF!="TO"</formula>
    </cfRule>
    <cfRule type="expression" dxfId="23574" priority="23">
      <formula>#REF!="IO"</formula>
    </cfRule>
    <cfRule type="expression" dxfId="23573" priority="24">
      <formula>#REF!="L"</formula>
    </cfRule>
  </conditionalFormatting>
  <conditionalFormatting sqref="T34">
    <cfRule type="expression" dxfId="23572" priority="13">
      <formula>#REF!="TO"</formula>
    </cfRule>
    <cfRule type="expression" dxfId="23571" priority="14">
      <formula>#REF!="IO"</formula>
    </cfRule>
    <cfRule type="expression" dxfId="23570" priority="15">
      <formula>#REF!="L"</formula>
    </cfRule>
    <cfRule type="expression" dxfId="23569" priority="16">
      <formula>#REF!="TO"</formula>
    </cfRule>
    <cfRule type="expression" dxfId="23568" priority="17">
      <formula>#REF!="IO"</formula>
    </cfRule>
    <cfRule type="expression" dxfId="23567" priority="18">
      <formula>#REF!="L"</formula>
    </cfRule>
  </conditionalFormatting>
  <conditionalFormatting sqref="T35">
    <cfRule type="expression" dxfId="23566" priority="7">
      <formula>#REF!="TO"</formula>
    </cfRule>
    <cfRule type="expression" dxfId="23565" priority="8">
      <formula>#REF!="IO"</formula>
    </cfRule>
    <cfRule type="expression" dxfId="23564" priority="9">
      <formula>#REF!="L"</formula>
    </cfRule>
    <cfRule type="expression" dxfId="23563" priority="10">
      <formula>#REF!="TO"</formula>
    </cfRule>
    <cfRule type="expression" dxfId="23562" priority="11">
      <formula>#REF!="IO"</formula>
    </cfRule>
    <cfRule type="expression" dxfId="23561" priority="12">
      <formula>#REF!="L"</formula>
    </cfRule>
  </conditionalFormatting>
  <conditionalFormatting sqref="E21:E22 E12:E13 E17:E18">
    <cfRule type="expression" dxfId="23560" priority="8737">
      <formula>#REF!="TO"</formula>
    </cfRule>
    <cfRule type="expression" dxfId="23559" priority="8738">
      <formula>#REF!="IO"</formula>
    </cfRule>
    <cfRule type="expression" dxfId="23558" priority="8739">
      <formula>#REF!="L"</formula>
    </cfRule>
  </conditionalFormatting>
  <conditionalFormatting sqref="H3:H4">
    <cfRule type="expression" dxfId="23557" priority="11599">
      <formula>A3="TO"</formula>
    </cfRule>
    <cfRule type="expression" dxfId="23556" priority="11600">
      <formula>A3="IO"</formula>
    </cfRule>
    <cfRule type="expression" dxfId="23555" priority="11601">
      <formula>A3="L"</formula>
    </cfRule>
  </conditionalFormatting>
  <conditionalFormatting sqref="E11 E17:E18 E21:E22">
    <cfRule type="expression" dxfId="23554" priority="12019">
      <formula>#REF!="TO"</formula>
    </cfRule>
    <cfRule type="expression" dxfId="23553" priority="12020">
      <formula>#REF!="IO"</formula>
    </cfRule>
    <cfRule type="expression" dxfId="23552" priority="12021">
      <formula>#REF!="L"</formula>
    </cfRule>
  </conditionalFormatting>
  <conditionalFormatting sqref="A6:A10 A14:A16 A23:A25 A19:A20">
    <cfRule type="expression" dxfId="23551" priority="12049">
      <formula>#REF!="TO"</formula>
    </cfRule>
    <cfRule type="expression" dxfId="23550" priority="12050">
      <formula>#REF!="IO"</formula>
    </cfRule>
    <cfRule type="expression" dxfId="23549" priority="12051">
      <formula>#REF!="L"</formula>
    </cfRule>
  </conditionalFormatting>
  <conditionalFormatting sqref="E12">
    <cfRule type="expression" dxfId="23548" priority="12787">
      <formula>#REF!="TO"</formula>
    </cfRule>
    <cfRule type="expression" dxfId="23547" priority="12788">
      <formula>#REF!="IO"</formula>
    </cfRule>
    <cfRule type="expression" dxfId="23546" priority="12789">
      <formula>#REF!="L"</formula>
    </cfRule>
  </conditionalFormatting>
  <conditionalFormatting sqref="A6:A11 A23:A25 A13:A16 A19:A20">
    <cfRule type="expression" dxfId="23545" priority="12802">
      <formula>#REF!="TO"</formula>
    </cfRule>
    <cfRule type="expression" dxfId="23544" priority="12803">
      <formula>#REF!="IO"</formula>
    </cfRule>
    <cfRule type="expression" dxfId="23543" priority="12804">
      <formula>#REF!="L"</formula>
    </cfRule>
  </conditionalFormatting>
  <conditionalFormatting sqref="A12">
    <cfRule type="expression" dxfId="23542" priority="13552">
      <formula>XEV12="TO"</formula>
    </cfRule>
    <cfRule type="expression" dxfId="23541" priority="13553">
      <formula>XEV12="IO"</formula>
    </cfRule>
    <cfRule type="expression" dxfId="23540" priority="13554">
      <formula>XEV12="L"</formula>
    </cfRule>
  </conditionalFormatting>
  <conditionalFormatting sqref="A21:A22 A12:A13 A17:A18">
    <cfRule type="expression" dxfId="23539" priority="13555">
      <formula>#REF!="TO"</formula>
    </cfRule>
    <cfRule type="expression" dxfId="23538" priority="13556">
      <formula>#REF!="IO"</formula>
    </cfRule>
    <cfRule type="expression" dxfId="23537" priority="13557">
      <formula>#REF!="L"</formula>
    </cfRule>
  </conditionalFormatting>
  <conditionalFormatting sqref="A2:A5">
    <cfRule type="expression" dxfId="23536" priority="14335">
      <formula>XEU2="TO"</formula>
    </cfRule>
    <cfRule type="expression" dxfId="23535" priority="14336">
      <formula>XEU2="IO"</formula>
    </cfRule>
    <cfRule type="expression" dxfId="23534" priority="14337">
      <formula>XEU2="L"</formula>
    </cfRule>
  </conditionalFormatting>
  <conditionalFormatting sqref="A21:A22 A17:A18 A11">
    <cfRule type="expression" dxfId="23533" priority="14338">
      <formula>XEW11="TO"</formula>
    </cfRule>
    <cfRule type="expression" dxfId="23532" priority="14339">
      <formula>XEW11="IO"</formula>
    </cfRule>
    <cfRule type="expression" dxfId="23531" priority="14340">
      <formula>XEW11="L"</formula>
    </cfRule>
  </conditionalFormatting>
  <dataValidations count="2">
    <dataValidation type="list" showInputMessage="1" showErrorMessage="1" sqref="K7" xr:uid="{00000000-0002-0000-0200-000000000000}">
      <formula1>"Carteira,Projeção"</formula1>
    </dataValidation>
    <dataValidation type="list" showInputMessage="1" showErrorMessage="1" sqref="G27" xr:uid="{00000000-0002-0000-0200-000001000000}">
      <formula1>"Tabela,Histórico"</formula1>
    </dataValidation>
  </dataValidations>
  <pageMargins left="0.7" right="0.7" top="0.75" bottom="0.75" header="0.3" footer="0.3"/>
  <pageSetup paperSize="9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1"/>
  </sheetPr>
  <dimension ref="A1:BS91"/>
  <sheetViews>
    <sheetView showGridLines="0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G42" sqref="G42"/>
    </sheetView>
  </sheetViews>
  <sheetFormatPr defaultRowHeight="15" x14ac:dyDescent="0.25"/>
  <cols>
    <col min="1" max="1" width="9.42578125" style="215" customWidth="1"/>
    <col min="2" max="3" width="12.7109375" style="186" customWidth="1"/>
    <col min="4" max="4" width="1.5703125" style="371" customWidth="1"/>
    <col min="5" max="5" width="12.7109375" style="372" customWidth="1"/>
    <col min="6" max="6" width="1.5703125" style="371" customWidth="1"/>
    <col min="7" max="11" width="12.7109375" style="186" customWidth="1"/>
    <col min="12" max="12" width="1.5703125" style="371" customWidth="1"/>
    <col min="13" max="14" width="12.7109375" style="186" customWidth="1"/>
    <col min="15" max="15" width="15.7109375" style="186" customWidth="1"/>
    <col min="16" max="19" width="12.7109375" style="186" customWidth="1"/>
    <col min="20" max="20" width="15.7109375" style="186" customWidth="1"/>
    <col min="21" max="21" width="13.85546875" style="186" customWidth="1"/>
    <col min="22" max="22" width="12.7109375" style="186" customWidth="1"/>
    <col min="23" max="23" width="1.5703125" style="371" customWidth="1"/>
    <col min="24" max="25" width="12.7109375" style="186" customWidth="1"/>
    <col min="26" max="26" width="1.5703125" style="371" customWidth="1"/>
    <col min="27" max="28" width="12.7109375" style="186" customWidth="1"/>
    <col min="29" max="29" width="1.5703125" style="371" customWidth="1"/>
    <col min="30" max="30" width="14.5703125" style="186" customWidth="1"/>
    <col min="31" max="31" width="1.5703125" style="371" customWidth="1"/>
    <col min="32" max="32" width="14.5703125" style="186" customWidth="1"/>
    <col min="33" max="33" width="1.5703125" style="371" customWidth="1"/>
    <col min="34" max="34" width="12.7109375" style="186" customWidth="1"/>
    <col min="35" max="35" width="1.5703125" style="371" customWidth="1"/>
    <col min="36" max="37" width="12.7109375" style="186" customWidth="1"/>
    <col min="38" max="38" width="1.5703125" style="371" customWidth="1"/>
    <col min="39" max="39" width="12.7109375" style="186" customWidth="1"/>
    <col min="40" max="40" width="1.5703125" style="371" customWidth="1"/>
    <col min="41" max="41" width="12.7109375" style="186" customWidth="1"/>
    <col min="42" max="42" width="1.5703125" style="371" customWidth="1"/>
    <col min="43" max="44" width="12.7109375" style="186" customWidth="1"/>
    <col min="45" max="45" width="1.5703125" style="371" customWidth="1"/>
    <col min="46" max="46" width="12.7109375" style="186" customWidth="1"/>
    <col min="47" max="47" width="12.28515625" style="186" customWidth="1"/>
    <col min="48" max="52" width="12.7109375" style="186" customWidth="1"/>
    <col min="53" max="53" width="1.5703125" style="186" customWidth="1"/>
    <col min="54" max="54" width="12.7109375" style="186" customWidth="1"/>
    <col min="55" max="55" width="14.28515625" style="186" bestFit="1" customWidth="1"/>
    <col min="56" max="56" width="15.7109375" style="186" customWidth="1"/>
    <col min="57" max="60" width="12.7109375" style="186" customWidth="1"/>
    <col min="61" max="61" width="15.7109375" style="186" customWidth="1"/>
    <col min="62" max="62" width="13.85546875" style="186" customWidth="1"/>
    <col min="63" max="63" width="12.7109375" style="186" customWidth="1"/>
    <col min="64" max="64" width="1.5703125" style="186" customWidth="1"/>
    <col min="65" max="66" width="12.7109375" style="186" customWidth="1"/>
    <col min="67" max="67" width="1.5703125" style="186" customWidth="1"/>
    <col min="68" max="69" width="12.7109375" style="186" customWidth="1"/>
    <col min="70" max="70" width="1.5703125" style="186" customWidth="1"/>
    <col min="71" max="71" width="14.5703125" style="186" customWidth="1"/>
  </cols>
  <sheetData>
    <row r="1" spans="1:71" s="40" customFormat="1" ht="24.75" customHeight="1" thickBot="1" x14ac:dyDescent="0.3">
      <c r="A1" s="373" t="s">
        <v>176</v>
      </c>
      <c r="B1" s="374" t="s">
        <v>177</v>
      </c>
      <c r="C1" s="375" t="s">
        <v>178</v>
      </c>
      <c r="D1" s="376"/>
      <c r="E1" s="377" t="s">
        <v>179</v>
      </c>
      <c r="F1" s="376"/>
      <c r="G1" s="378" t="s">
        <v>180</v>
      </c>
      <c r="H1" s="379" t="s">
        <v>181</v>
      </c>
      <c r="I1" s="379" t="s">
        <v>182</v>
      </c>
      <c r="J1" s="379" t="s">
        <v>183</v>
      </c>
      <c r="K1" s="380" t="s">
        <v>184</v>
      </c>
      <c r="L1" s="376"/>
      <c r="M1" s="381" t="s">
        <v>11</v>
      </c>
      <c r="N1" s="382" t="s">
        <v>12</v>
      </c>
      <c r="O1" s="382" t="s">
        <v>13</v>
      </c>
      <c r="P1" s="382" t="s">
        <v>14</v>
      </c>
      <c r="Q1" s="382" t="s">
        <v>15</v>
      </c>
      <c r="R1" s="382" t="s">
        <v>185</v>
      </c>
      <c r="S1" s="382" t="s">
        <v>17</v>
      </c>
      <c r="T1" s="382" t="s">
        <v>20</v>
      </c>
      <c r="U1" s="379" t="s">
        <v>186</v>
      </c>
      <c r="V1" s="383" t="s">
        <v>187</v>
      </c>
      <c r="W1" s="376"/>
      <c r="X1" s="378" t="s">
        <v>188</v>
      </c>
      <c r="Y1" s="384" t="s">
        <v>189</v>
      </c>
      <c r="Z1" s="376"/>
      <c r="AA1" s="385" t="s">
        <v>190</v>
      </c>
      <c r="AB1" s="385" t="s">
        <v>191</v>
      </c>
      <c r="AC1" s="376"/>
      <c r="AD1" s="385" t="s">
        <v>192</v>
      </c>
      <c r="AE1" s="376"/>
      <c r="AF1" s="385" t="s">
        <v>25</v>
      </c>
      <c r="AG1" s="376"/>
      <c r="AH1" s="385" t="s">
        <v>193</v>
      </c>
      <c r="AI1" s="376"/>
      <c r="AJ1" s="378" t="s">
        <v>194</v>
      </c>
      <c r="AK1" s="384" t="s">
        <v>195</v>
      </c>
      <c r="AL1" s="376"/>
      <c r="AM1" s="385" t="s">
        <v>196</v>
      </c>
      <c r="AN1" s="376"/>
      <c r="AO1" s="385" t="s">
        <v>197</v>
      </c>
      <c r="AP1" s="376"/>
      <c r="AQ1" s="386" t="s">
        <v>198</v>
      </c>
      <c r="AR1" s="387" t="s">
        <v>199</v>
      </c>
      <c r="AS1" s="376"/>
      <c r="AT1" s="385" t="s">
        <v>200</v>
      </c>
      <c r="AV1" s="378" t="s">
        <v>180</v>
      </c>
      <c r="AW1" s="379" t="s">
        <v>181</v>
      </c>
      <c r="AX1" s="379" t="s">
        <v>182</v>
      </c>
      <c r="AY1" s="379" t="s">
        <v>183</v>
      </c>
      <c r="AZ1" s="380" t="s">
        <v>184</v>
      </c>
      <c r="BA1" s="376"/>
      <c r="BB1" s="381" t="s">
        <v>11</v>
      </c>
      <c r="BC1" s="382" t="s">
        <v>12</v>
      </c>
      <c r="BD1" s="382" t="s">
        <v>13</v>
      </c>
      <c r="BE1" s="382" t="s">
        <v>14</v>
      </c>
      <c r="BF1" s="382" t="s">
        <v>15</v>
      </c>
      <c r="BG1" s="382" t="s">
        <v>185</v>
      </c>
      <c r="BH1" s="382" t="s">
        <v>17</v>
      </c>
      <c r="BI1" s="382" t="s">
        <v>20</v>
      </c>
      <c r="BJ1" s="379" t="s">
        <v>186</v>
      </c>
      <c r="BK1" s="383" t="s">
        <v>201</v>
      </c>
      <c r="BL1" s="376"/>
      <c r="BM1" s="378" t="s">
        <v>188</v>
      </c>
      <c r="BN1" s="384" t="s">
        <v>189</v>
      </c>
      <c r="BO1" s="376"/>
      <c r="BP1" s="385" t="s">
        <v>202</v>
      </c>
      <c r="BQ1" s="385" t="s">
        <v>203</v>
      </c>
      <c r="BR1" s="376"/>
      <c r="BS1" s="385" t="s">
        <v>204</v>
      </c>
    </row>
    <row r="2" spans="1:71" x14ac:dyDescent="0.25">
      <c r="A2" s="197">
        <v>43070</v>
      </c>
      <c r="B2" s="388">
        <f>IF($A2&lt;=baseData, INDEX(Indicadores!B:B, MATCH($A2,Indicadores!A:A, 0)), INDEX(Indicadores!B:B, MATCH(baseData,Indicadores!A:A, 0)))</f>
        <v>718.27599999999995</v>
      </c>
      <c r="C2" s="389">
        <f>IF($A2&lt;=baseData, INDEX(Indicadores!E:E, MATCH($A2, Indicadores!A:A, 0)), INDEX(Indicadores!E:E, MATCH(baseData, Indicadores!A:A, 0)))</f>
        <v>4916.46</v>
      </c>
      <c r="D2" s="390"/>
      <c r="E2" s="391"/>
      <c r="F2" s="390"/>
      <c r="G2" s="392"/>
      <c r="H2" s="390"/>
      <c r="I2" s="390"/>
      <c r="J2" s="390"/>
      <c r="K2" s="393">
        <f t="shared" ref="K2:K33" si="0">SUM(G2:J2)</f>
        <v>0</v>
      </c>
      <c r="L2" s="390"/>
      <c r="M2" s="394"/>
      <c r="N2" s="395"/>
      <c r="O2" s="395"/>
      <c r="P2" s="395"/>
      <c r="Q2" s="395"/>
      <c r="R2" s="395"/>
      <c r="S2" s="395"/>
      <c r="T2" s="395"/>
      <c r="U2" s="396"/>
      <c r="V2" s="393">
        <f t="shared" ref="V2:V33" si="1">SUM(M2:U2)</f>
        <v>0</v>
      </c>
      <c r="W2" s="390"/>
      <c r="X2" s="397"/>
      <c r="Y2" s="398"/>
      <c r="Z2" s="390"/>
      <c r="AA2" s="397"/>
      <c r="AB2" s="398"/>
      <c r="AC2" s="390"/>
      <c r="AD2" s="393">
        <f t="shared" ref="AD2:AD33" si="2">K2+V2+X2+Y2+AA2+AB2</f>
        <v>0</v>
      </c>
      <c r="AE2" s="390"/>
      <c r="AF2" s="393"/>
      <c r="AG2" s="390"/>
      <c r="AH2" s="393">
        <f t="shared" ref="AH2:AH33" si="3">E2+K2+V2+X2+Y2+AA2+AB2+AF2</f>
        <v>0</v>
      </c>
      <c r="AI2" s="390"/>
      <c r="AJ2" s="397"/>
      <c r="AK2" s="398"/>
      <c r="AL2" s="390"/>
      <c r="AM2" s="393">
        <f t="shared" ref="AM2:AM33" si="4">AH2+AJ2+AK2</f>
        <v>0</v>
      </c>
      <c r="AN2" s="390"/>
      <c r="AO2" s="399">
        <v>0</v>
      </c>
      <c r="AP2" s="390"/>
      <c r="AQ2" s="397">
        <f t="shared" ref="AQ2:AQ33" si="5">-SUM(AJ2:AK2)</f>
        <v>0</v>
      </c>
      <c r="AR2" s="398">
        <v>0</v>
      </c>
      <c r="AS2" s="390"/>
      <c r="AT2" s="393">
        <f t="shared" ref="AT2:AT32" si="6">AQ2*IF(A2&gt;baseData,1,ipcaData/C2)</f>
        <v>0</v>
      </c>
      <c r="AV2" s="397"/>
      <c r="AW2" s="390"/>
      <c r="AX2" s="390"/>
      <c r="AY2" s="390"/>
      <c r="AZ2" s="393"/>
      <c r="BA2" s="390"/>
      <c r="BB2" s="394"/>
      <c r="BC2" s="395"/>
      <c r="BD2" s="395"/>
      <c r="BE2" s="395"/>
      <c r="BF2" s="395"/>
      <c r="BG2" s="395"/>
      <c r="BH2" s="395"/>
      <c r="BI2" s="395"/>
      <c r="BJ2" s="398"/>
      <c r="BK2" s="393"/>
      <c r="BL2" s="390"/>
      <c r="BM2" s="397"/>
      <c r="BN2" s="398"/>
      <c r="BO2" s="390"/>
      <c r="BP2" s="397"/>
      <c r="BQ2" s="398"/>
      <c r="BR2" s="390"/>
      <c r="BS2" s="393"/>
    </row>
    <row r="3" spans="1:71" x14ac:dyDescent="0.25">
      <c r="A3" s="197">
        <f t="shared" ref="A3:A34" si="7">DATE(YEAR(A2),MONTH(A2)+1,1)</f>
        <v>43101</v>
      </c>
      <c r="B3" s="388">
        <f>IF($A3&lt;=baseData, INDEX(Indicadores!B:B, MATCH($A3,Indicadores!A:A, 0)), INDEX(Indicadores!B:B, MATCH(baseData,Indicadores!A:A, 0)))</f>
        <v>720.495</v>
      </c>
      <c r="C3" s="389">
        <f>IF($A3&lt;=baseData, INDEX(Indicadores!E:E, MATCH($A3, Indicadores!A:A, 0)), INDEX(Indicadores!E:E, MATCH(baseData, Indicadores!A:A, 0)))</f>
        <v>4930.72</v>
      </c>
      <c r="D3" s="390"/>
      <c r="E3" s="391"/>
      <c r="F3" s="390"/>
      <c r="G3" s="392"/>
      <c r="H3" s="390"/>
      <c r="I3" s="390"/>
      <c r="J3" s="390"/>
      <c r="K3" s="393">
        <f t="shared" si="0"/>
        <v>0</v>
      </c>
      <c r="L3" s="390"/>
      <c r="M3" s="394"/>
      <c r="N3" s="395"/>
      <c r="O3" s="395"/>
      <c r="P3" s="395"/>
      <c r="Q3" s="395"/>
      <c r="R3" s="395"/>
      <c r="S3" s="395"/>
      <c r="T3" s="395"/>
      <c r="U3" s="396"/>
      <c r="V3" s="393">
        <f t="shared" si="1"/>
        <v>0</v>
      </c>
      <c r="W3" s="390"/>
      <c r="X3" s="397"/>
      <c r="Y3" s="398"/>
      <c r="Z3" s="390"/>
      <c r="AA3" s="397"/>
      <c r="AB3" s="398"/>
      <c r="AC3" s="390"/>
      <c r="AD3" s="393">
        <f t="shared" si="2"/>
        <v>0</v>
      </c>
      <c r="AE3" s="390"/>
      <c r="AF3" s="393"/>
      <c r="AG3" s="390"/>
      <c r="AH3" s="393">
        <f t="shared" si="3"/>
        <v>0</v>
      </c>
      <c r="AI3" s="390"/>
      <c r="AJ3" s="397"/>
      <c r="AK3" s="398"/>
      <c r="AL3" s="390"/>
      <c r="AM3" s="393">
        <f t="shared" si="4"/>
        <v>0</v>
      </c>
      <c r="AN3" s="390"/>
      <c r="AO3" s="399">
        <v>0</v>
      </c>
      <c r="AP3" s="390"/>
      <c r="AQ3" s="397">
        <f t="shared" si="5"/>
        <v>0</v>
      </c>
      <c r="AR3" s="398">
        <f t="shared" ref="AR3:AR34" si="8">+AR2+AQ3</f>
        <v>0</v>
      </c>
      <c r="AS3" s="390"/>
      <c r="AT3" s="393">
        <f t="shared" si="6"/>
        <v>0</v>
      </c>
      <c r="AV3" s="397"/>
      <c r="AW3" s="390"/>
      <c r="AX3" s="390"/>
      <c r="AY3" s="390"/>
      <c r="AZ3" s="393"/>
      <c r="BA3" s="390"/>
      <c r="BB3" s="394"/>
      <c r="BC3" s="395"/>
      <c r="BD3" s="395"/>
      <c r="BE3" s="395"/>
      <c r="BF3" s="395"/>
      <c r="BG3" s="395"/>
      <c r="BH3" s="395"/>
      <c r="BI3" s="395"/>
      <c r="BJ3" s="398"/>
      <c r="BK3" s="393"/>
      <c r="BL3" s="390"/>
      <c r="BM3" s="397"/>
      <c r="BN3" s="398"/>
      <c r="BO3" s="390"/>
      <c r="BP3" s="397"/>
      <c r="BQ3" s="398"/>
      <c r="BR3" s="390"/>
      <c r="BS3" s="393"/>
    </row>
    <row r="4" spans="1:71" x14ac:dyDescent="0.25">
      <c r="A4" s="197">
        <f t="shared" si="7"/>
        <v>43132</v>
      </c>
      <c r="B4" s="388">
        <f>IF($A4&lt;=baseData, INDEX(Indicadores!B:B, MATCH($A4,Indicadores!A:A, 0)), INDEX(Indicadores!B:B, MATCH(baseData,Indicadores!A:A, 0)))</f>
        <v>721.41399999999999</v>
      </c>
      <c r="C4" s="389">
        <f>IF($A4&lt;=baseData, INDEX(Indicadores!E:E, MATCH($A4, Indicadores!A:A, 0)), INDEX(Indicadores!E:E, MATCH(baseData, Indicadores!A:A, 0)))</f>
        <v>4946.5</v>
      </c>
      <c r="D4" s="390"/>
      <c r="E4" s="393">
        <v>225.1</v>
      </c>
      <c r="F4" s="390"/>
      <c r="G4" s="392">
        <v>0</v>
      </c>
      <c r="H4" s="390">
        <f>IF($A4&gt;baseData, SUMPRODUCT('Tabela Vendas'!$R:$R,'Tabela Vendas'!$V:$V)*INDEX(Curvas!$Z:$Z,MATCH($A4,Curvas!$B:$B,0)), 0)</f>
        <v>0</v>
      </c>
      <c r="I4" s="390">
        <f>IFERROR(INDEX(Permutas!AJ:AJ, MATCH('Fluxo Projeto'!A4, Permutas!N:N, 0)), 0)</f>
        <v>0</v>
      </c>
      <c r="J4" s="390">
        <v>0</v>
      </c>
      <c r="K4" s="393">
        <f t="shared" si="0"/>
        <v>0</v>
      </c>
      <c r="L4" s="390"/>
      <c r="M4" s="394">
        <f>IF($A4&lt;=baseData,INDEX('LDI - Fluxo de Caixa'!$BD$18:$BT$374,MATCH('Fluxo Projeto'!$A4,'LDI - Fluxo de Caixa'!$C$18:$C$374,0),MATCH('Fluxo Projeto'!M$1,'LDI - Fluxo de Caixa'!$BD$14:$BT$14,0)),-pctImpostoSPE*K3)</f>
        <v>0</v>
      </c>
      <c r="N4" s="395">
        <f>IF($A4&lt;=baseData,INDEX('LDI - Fluxo de Caixa'!$BD$18:$BT$374,MATCH($A4,'LDI - Fluxo de Caixa'!$C$18:$C$374,0),MATCH('Fluxo Projeto'!N$1,'LDI - Fluxo de Caixa'!$BD$14:$BT$14,0)),INDEX(Obra!AA:AA,MATCH($A4,Obra!F:F,0)))</f>
        <v>0</v>
      </c>
      <c r="O4" s="395">
        <f>IF($A4&lt;=baseData,INDEX('LDI - Fluxo de Caixa'!$BD$18:$BT$374,MATCH($A4,'LDI - Fluxo de Caixa'!$C$18:$C$374,0),MATCH('Fluxo Projeto'!O$1,'LDI - Fluxo de Caixa'!$BD$14:$BT$14,0)),IF($A4=entrega,assistTecnicaObra*SUM($N$2:$N$86),0))</f>
        <v>0</v>
      </c>
      <c r="P4" s="395">
        <f>IF($A4&lt;=baseData, INDEX('LDI - Fluxo de Caixa'!$BD$18:$BT$374, MATCH('Fluxo Projeto'!$A4, 'LDI - Fluxo de Caixa'!$C$18:$C$374, 0), MATCH('Fluxo Projeto'!P$1, 'LDI - Fluxo de Caixa'!$BD$14:$BT$14, 0)), -IF($A4&gt;=entrega, INDEX(Curvas!R:R,MATCH($A4,Curvas!B:B,0))*(IPTU+condominio)*'Tabela Vendas'!$Y$22, 0))</f>
        <v>0</v>
      </c>
      <c r="Q4" s="395">
        <f>IF($A4&lt;=baseData, INDEX('LDI - Fluxo de Caixa'!$BD$18:$BT$374, MATCH('Fluxo Projeto'!$A4, 'LDI - Fluxo de Caixa'!$C$18:$C$374, 0), MATCH('Fluxo Projeto'!Q$1, 'LDI - Fluxo de Caixa'!$BD$14:$BT$14, 0)), (-pctIncorporaçaoSPE*SUM($G$4:$H$86)-SUMIF($A$4:$A$86, "&lt;="&amp;baseData, Q$4:Q$86))*(SUM($G4:$H4)/(SUMIF($A$4:$A$86, "&gt;"&amp;baseData, $G$4:$G$86)+SUMIF($A$4:$A$86, "&gt;"&amp;baseData, $H$4:$H$86))))</f>
        <v>-4246.76</v>
      </c>
      <c r="R4" s="395">
        <f>IF($A4&lt;=baseData, INDEX('LDI - Fluxo de Caixa'!$BD$18:$BT$374, MATCH('Fluxo Projeto'!$A4, 'LDI - Fluxo de Caixa'!$C$18:$C$374, 0), MATCH('Fluxo Projeto'!R$1, 'LDI - Fluxo de Caixa'!$BD$14:$BT$14, 0)), (-pctMarketingSPE*SUM($G$4:$H$86)-SUMIF($A$4:$A$86, "&lt;="&amp;baseData, R$4:R$86))*(SUM($G4:$H4)/(SUMIF($A$4:$A$86, "&gt;"&amp;baseData, $G$4:$G$86)+SUMIF($A$4:$A$86, "&gt;"&amp;baseData, $H$4:$H$86))))</f>
        <v>0</v>
      </c>
      <c r="S4" s="395">
        <f>IF($A4&lt;=baseData,INDEX('LDI - Fluxo de Caixa'!$BD$18:$BT$374,MATCH($A4,'LDI - Fluxo de Caixa'!$C$18:$C$374,0),MATCH(S$1,'LDI - Fluxo de Caixa'!$BD$14:$BT$14,0)),-pctGestaoSPE*K3)</f>
        <v>0</v>
      </c>
      <c r="T4" s="395">
        <f>IF($A4&lt;=baseData, INDEX('LDI - Fluxo de Caixa'!$BD$18:$BT$374, MATCH('Fluxo Projeto'!$A4, 'LDI - Fluxo de Caixa'!$C$18:$C$374, 0), MATCH('Fluxo Projeto'!T$1, 'LDI - Fluxo de Caixa'!$BD$14:$BT$14, 0)), (-pctOutrasSPE*SUM($G$4:$H$86)-SUMIF($A$4:$A$86, "&lt;="&amp;baseData, T$4:T$86))*(SUM($G4:$H4)/(SUMIF($A$4:$A$86, "&gt;"&amp;baseData, $G$4:$G$86)+SUMIF($A$4:$A$86, "&gt;"&amp;baseData, $H$4:$H$86))))</f>
        <v>-1276.52</v>
      </c>
      <c r="U4" s="396">
        <f>IF($A4&lt;=baseData, INDEX('LDI - Fluxo de Caixa'!$BD$18:$BT$374, MATCH('Fluxo Projeto'!$A4, 'LDI - Fluxo de Caixa'!$C$18:$C$374, 0), MATCH('Fluxo Projeto'!U$1, 'LDI - Fluxo de Caixa'!$BD$14:$BT$14, 0)), 0)</f>
        <v>0</v>
      </c>
      <c r="V4" s="393">
        <f t="shared" si="1"/>
        <v>-5523.2800000000007</v>
      </c>
      <c r="W4" s="390"/>
      <c r="X4" s="397">
        <f>INDEX('LDI - Fluxo de Caixa'!$BD$18:$BT$374, MATCH('Fluxo Projeto'!$A4, 'LDI - Fluxo de Caixa'!$C$18:$C$374, 0), MATCH('Fluxo Projeto'!X$1, 'LDI - Fluxo de Caixa'!$BD$14:$BT$14, 0))</f>
        <v>0</v>
      </c>
      <c r="Y4" s="398">
        <f>INDEX('LDI - Fluxo de Caixa'!$BD$18:$BT$374, MATCH('Fluxo Projeto'!$A4, 'LDI - Fluxo de Caixa'!$C$18:$C$374, 0), MATCH('Fluxo Projeto'!Y$1, 'LDI - Fluxo de Caixa'!$BD$14:$BT$14, 0))</f>
        <v>0</v>
      </c>
      <c r="Z4" s="390"/>
      <c r="AA4" s="397">
        <f>INDEX('LDI - Fluxo de Caixa'!$BD$18:$BT$374, MATCH('Fluxo Projeto'!$A4, 'LDI - Fluxo de Caixa'!$C$18:$C$374, 0), MATCH('Fluxo Projeto'!AA$1, 'LDI - Fluxo de Caixa'!$BD$14:$BT$14, 0))</f>
        <v>0</v>
      </c>
      <c r="AB4" s="398">
        <f>INDEX('LDI - Fluxo de Caixa'!$BD$18:$BT$374, MATCH('Fluxo Projeto'!$A4, 'LDI - Fluxo de Caixa'!$C$18:$C$374, 0), MATCH('Fluxo Projeto'!AB$1, 'LDI - Fluxo de Caixa'!$BD$14:$BT$14, 0))</f>
        <v>0</v>
      </c>
      <c r="AC4" s="390"/>
      <c r="AD4" s="393">
        <f t="shared" si="2"/>
        <v>-5523.2800000000007</v>
      </c>
      <c r="AE4" s="390"/>
      <c r="AF4" s="393">
        <f>IF($A4&lt;=baseData, INDEX('LDI - Fluxo de Caixa'!$BD$18:$BT$374, MATCH('Fluxo Projeto'!$A4, 'LDI - Fluxo de Caixa'!$C$18:$C$374, 0), MATCH('Fluxo Projeto'!AF$1, 'LDI - Fluxo de Caixa'!$BD$14:$BT$14, 0)), $E4*CDI)</f>
        <v>-27.5</v>
      </c>
      <c r="AG4" s="390"/>
      <c r="AH4" s="393">
        <f t="shared" si="3"/>
        <v>-5325.68</v>
      </c>
      <c r="AI4" s="390"/>
      <c r="AJ4" s="397">
        <f>IF($A4&lt;=baseData, INDEX('LDI - Fluxo de Caixa'!$BD$18:$BT$374, MATCH($A4, 'LDI - Fluxo de Caixa'!$C$18:$C$374, 0), MATCH(AJ$1, 'LDI - Fluxo de Caixa'!$BD$14:$BT$14, 0))-J4-I4, IF($A4&lt;inicioDistribuicoes,-IF(AH4&lt;cxMinSPEpreObra,IF(SUM($AD5:$AD16)-cxMinSPEpreObra+AH4&lt;0,SUM($AD5:$AD16)-cxMinSPEpreObra+AH4,IF(AH4&lt;0, AH4-cxMinSPEpreObra, 0)),0), 0))</f>
        <v>5775.88</v>
      </c>
      <c r="AK4" s="398">
        <f>INDEX('LDI - Fluxo de Caixa'!$BD$18:$BT$374, MATCH('Fluxo Projeto'!$A4, 'LDI - Fluxo de Caixa'!$C$18:$C$374, 0), MATCH('Fluxo Projeto'!AK$1, 'LDI - Fluxo de Caixa'!$BD$14:$BT$14, 0))</f>
        <v>0</v>
      </c>
      <c r="AL4" s="390"/>
      <c r="AM4" s="393">
        <f t="shared" si="4"/>
        <v>450.19999999999982</v>
      </c>
      <c r="AN4" s="390"/>
      <c r="AO4" s="399">
        <v>450.19999999999982</v>
      </c>
      <c r="AP4" s="390"/>
      <c r="AQ4" s="397">
        <f t="shared" si="5"/>
        <v>-5775.88</v>
      </c>
      <c r="AR4" s="398">
        <f t="shared" si="8"/>
        <v>-5775.88</v>
      </c>
      <c r="AS4" s="390"/>
      <c r="AT4" s="393">
        <f t="shared" si="6"/>
        <v>-6406.4451910643893</v>
      </c>
      <c r="AV4" s="397">
        <f t="shared" ref="AV4:AV35" si="9">IF($A4&lt;baseData, G4/$B4, G4/inccD2)</f>
        <v>0</v>
      </c>
      <c r="AW4" s="390">
        <f t="shared" ref="AW4:AW35" si="10">IF($A4&lt;baseData, H4/$B4, H4/inccD2)</f>
        <v>0</v>
      </c>
      <c r="AX4" s="390">
        <f t="shared" ref="AX4:AX35" si="11">IF($A4&lt;baseData, I4/$B4, I4/inccD2)</f>
        <v>0</v>
      </c>
      <c r="AY4" s="390">
        <f t="shared" ref="AY4:AY35" si="12">IF($A4&lt;baseData, J4/$B4, J4/inccD2)</f>
        <v>0</v>
      </c>
      <c r="AZ4" s="393">
        <f t="shared" ref="AZ4:AZ35" si="13">SUM(AV4:AY4)</f>
        <v>0</v>
      </c>
      <c r="BA4" s="390"/>
      <c r="BB4" s="394">
        <f t="shared" ref="BB4:BB35" si="14">IF($A4&lt;baseData, M4/$B4, M4/inccD2)</f>
        <v>0</v>
      </c>
      <c r="BC4" s="395">
        <f t="shared" ref="BC4:BC35" si="15">IF($A4&lt;baseData, N4/$B4, N4/inccD2)</f>
        <v>0</v>
      </c>
      <c r="BD4" s="395">
        <f t="shared" ref="BD4:BD35" si="16">IF($A4&lt;baseData, O4/$B4, O4/inccD2)</f>
        <v>0</v>
      </c>
      <c r="BE4" s="395">
        <f t="shared" ref="BE4:BE35" si="17">IF($A4&lt;baseData, P4/$B4, P4/inccD2)</f>
        <v>0</v>
      </c>
      <c r="BF4" s="395">
        <f t="shared" ref="BF4:BF35" si="18">IF($A4&lt;baseData, Q4/$B4, Q4/inccD2)</f>
        <v>-5.8867169198268963</v>
      </c>
      <c r="BG4" s="395">
        <f t="shared" ref="BG4:BG35" si="19">IF($A4&lt;baseData, R4/$B4, R4/inccD2)</f>
        <v>0</v>
      </c>
      <c r="BH4" s="395">
        <f t="shared" ref="BH4:BH35" si="20">IF($A4&lt;baseData, S4/$B4, S4/inccD2)</f>
        <v>0</v>
      </c>
      <c r="BI4" s="395">
        <f t="shared" ref="BI4:BI35" si="21">IF($A4&lt;baseData, T4/$B4, T4/inccD2)</f>
        <v>-1.7694694031443803</v>
      </c>
      <c r="BJ4" s="398">
        <f t="shared" ref="BJ4:BJ35" si="22">IF($A4&lt;baseData, U4/$B4, U4/inccD2)</f>
        <v>0</v>
      </c>
      <c r="BK4" s="393">
        <f t="shared" ref="BK4:BK35" si="23">SUM(BB4:BJ4)</f>
        <v>-7.6561863229712763</v>
      </c>
      <c r="BL4" s="390"/>
      <c r="BM4" s="397">
        <f t="shared" ref="BM4:BM35" si="24">IF($A4&lt;baseData, X4/$B4, X4/inccD2)</f>
        <v>0</v>
      </c>
      <c r="BN4" s="398">
        <f t="shared" ref="BN4:BN35" si="25">IF($A4&lt;baseData, Y4/$B4, Y4/inccD2)</f>
        <v>0</v>
      </c>
      <c r="BO4" s="390"/>
      <c r="BP4" s="400">
        <f t="shared" ref="BP4:BP35" si="26">IF($A4&lt;baseData, AA4/$B4, AA4/inccD2)</f>
        <v>0</v>
      </c>
      <c r="BQ4" s="401">
        <f t="shared" ref="BQ4:BQ35" si="27">IF($A4&lt;baseData, AB4/$B4, AB4/inccD2)</f>
        <v>0</v>
      </c>
      <c r="BR4" s="390"/>
      <c r="BS4" s="393">
        <f t="shared" ref="BS4:BS35" si="28">IF($A4&lt;baseData, AF4/$B4, AF4/inccD2)</f>
        <v>-3.811958182125659E-2</v>
      </c>
    </row>
    <row r="5" spans="1:71" x14ac:dyDescent="0.25">
      <c r="A5" s="197">
        <f t="shared" si="7"/>
        <v>43160</v>
      </c>
      <c r="B5" s="388">
        <f>IF($A5&lt;=baseData, INDEX(Indicadores!B:B, MATCH($A5,Indicadores!A:A, 0)), INDEX(Indicadores!B:B, MATCH(baseData,Indicadores!A:A, 0)))</f>
        <v>723.16300000000001</v>
      </c>
      <c r="C5" s="389">
        <f>IF($A5&lt;=baseData, INDEX(Indicadores!E:E, MATCH($A5, Indicadores!A:A, 0)), INDEX(Indicadores!E:E, MATCH(baseData, Indicadores!A:A, 0)))</f>
        <v>4950.95</v>
      </c>
      <c r="D5" s="390"/>
      <c r="E5" s="393">
        <f t="shared" ref="E5:E36" si="29">AO4</f>
        <v>450.19999999999982</v>
      </c>
      <c r="F5" s="390"/>
      <c r="G5" s="392">
        <v>0</v>
      </c>
      <c r="H5" s="390">
        <f>IF($A5&gt;baseData, SUMPRODUCT('Tabela Vendas'!$R:$R,'Tabela Vendas'!$V:$V)*INDEX(Curvas!$Z:$Z,MATCH($A5,Curvas!$B:$B,0)), 0)</f>
        <v>0</v>
      </c>
      <c r="I5" s="390">
        <f>IFERROR(INDEX(Permutas!AJ:AJ, MATCH('Fluxo Projeto'!A5, Permutas!N:N, 0)), 0)</f>
        <v>0</v>
      </c>
      <c r="J5" s="390">
        <v>0</v>
      </c>
      <c r="K5" s="393">
        <f t="shared" si="0"/>
        <v>0</v>
      </c>
      <c r="L5" s="390"/>
      <c r="M5" s="394">
        <f>IF($A5&lt;=baseData,INDEX('LDI - Fluxo de Caixa'!$BD$18:$BT$374,MATCH('Fluxo Projeto'!$A5,'LDI - Fluxo de Caixa'!$C$18:$C$374,0),MATCH('Fluxo Projeto'!M$1,'LDI - Fluxo de Caixa'!$BD$14:$BT$14,0)),-pctImpostoSPE*K4)</f>
        <v>0</v>
      </c>
      <c r="N5" s="395">
        <f>IF($A5&lt;=baseData,INDEX('LDI - Fluxo de Caixa'!$BD$18:$BT$374,MATCH($A5,'LDI - Fluxo de Caixa'!$C$18:$C$374,0),MATCH('Fluxo Projeto'!N$1,'LDI - Fluxo de Caixa'!$BD$14:$BT$14,0)),INDEX(Obra!AA:AA,MATCH($A5,Obra!F:F,0)))</f>
        <v>0</v>
      </c>
      <c r="O5" s="395">
        <f>IF($A5&lt;=baseData,INDEX('LDI - Fluxo de Caixa'!$BD$18:$BT$374,MATCH($A5,'LDI - Fluxo de Caixa'!$C$18:$C$374,0),MATCH('Fluxo Projeto'!O$1,'LDI - Fluxo de Caixa'!$BD$14:$BT$14,0)),IF($A5=entrega,assistTecnicaObra*SUM($N$2:$N$86),0))</f>
        <v>0</v>
      </c>
      <c r="P5" s="395">
        <f>IF($A5&lt;=baseData, INDEX('LDI - Fluxo de Caixa'!$BD$18:$BT$374, MATCH('Fluxo Projeto'!$A5, 'LDI - Fluxo de Caixa'!$C$18:$C$374, 0), MATCH('Fluxo Projeto'!P$1, 'LDI - Fluxo de Caixa'!$BD$14:$BT$14, 0)), -IF($A5&gt;=entrega, INDEX(Curvas!R:R,MATCH($A5,Curvas!B:B,0))*(IPTU+condominio)*'Tabela Vendas'!$Y$22, 0))</f>
        <v>0</v>
      </c>
      <c r="Q5" s="395">
        <f>IF($A5&lt;=baseData, INDEX('LDI - Fluxo de Caixa'!$BD$18:$BT$374, MATCH('Fluxo Projeto'!$A5, 'LDI - Fluxo de Caixa'!$C$18:$C$374, 0), MATCH('Fluxo Projeto'!Q$1, 'LDI - Fluxo de Caixa'!$BD$14:$BT$14, 0)), (-pctIncorporaçaoSPE*SUM($G$4:$H$86)-SUMIF($A$4:$A$86, "&lt;="&amp;baseData, Q$4:Q$86))*(SUM($G5:$H5)/(SUMIF($A$4:$A$86, "&gt;"&amp;baseData, $G$4:$G$86)+SUMIF($A$4:$A$86, "&gt;"&amp;baseData, $H$4:$H$86))))</f>
        <v>0</v>
      </c>
      <c r="R5" s="395">
        <f>IF($A5&lt;=baseData, INDEX('LDI - Fluxo de Caixa'!$BD$18:$BT$374, MATCH('Fluxo Projeto'!$A5, 'LDI - Fluxo de Caixa'!$C$18:$C$374, 0), MATCH('Fluxo Projeto'!R$1, 'LDI - Fluxo de Caixa'!$BD$14:$BT$14, 0)), (-pctMarketingSPE*SUM($G$4:$H$86)-SUMIF($A$4:$A$86, "&lt;="&amp;baseData, R$4:R$86))*(SUM($G5:$H5)/(SUMIF($A$4:$A$86, "&gt;"&amp;baseData, $G$4:$G$86)+SUMIF($A$4:$A$86, "&gt;"&amp;baseData, $H$4:$H$86))))</f>
        <v>-2950</v>
      </c>
      <c r="S5" s="395">
        <f>IF($A5&lt;=baseData,INDEX('LDI - Fluxo de Caixa'!$BD$18:$BT$374,MATCH($A5,'LDI - Fluxo de Caixa'!$C$18:$C$374,0),MATCH(S$1,'LDI - Fluxo de Caixa'!$BD$14:$BT$14,0)),-pctGestaoSPE*K4)</f>
        <v>0</v>
      </c>
      <c r="T5" s="395">
        <f>IF($A5&lt;=baseData, INDEX('LDI - Fluxo de Caixa'!$BD$18:$BT$374, MATCH('Fluxo Projeto'!$A5, 'LDI - Fluxo de Caixa'!$C$18:$C$374, 0), MATCH('Fluxo Projeto'!T$1, 'LDI - Fluxo de Caixa'!$BD$14:$BT$14, 0)), (-pctOutrasSPE*SUM($G$4:$H$86)-SUMIF($A$4:$A$86, "&lt;="&amp;baseData, T$4:T$86))*(SUM($G5:$H5)/(SUMIF($A$4:$A$86, "&gt;"&amp;baseData, $G$4:$G$86)+SUMIF($A$4:$A$86, "&gt;"&amp;baseData, $H$4:$H$86))))</f>
        <v>-81</v>
      </c>
      <c r="U5" s="396">
        <f>IF($A5&lt;=baseData, INDEX('LDI - Fluxo de Caixa'!$BD$18:$BT$374, MATCH('Fluxo Projeto'!$A5, 'LDI - Fluxo de Caixa'!$C$18:$C$374, 0), MATCH('Fluxo Projeto'!U$1, 'LDI - Fluxo de Caixa'!$BD$14:$BT$14, 0)), 0)</f>
        <v>0</v>
      </c>
      <c r="V5" s="393">
        <f t="shared" si="1"/>
        <v>-3031</v>
      </c>
      <c r="W5" s="390"/>
      <c r="X5" s="397">
        <f>INDEX('LDI - Fluxo de Caixa'!$BD$18:$BT$374, MATCH('Fluxo Projeto'!$A5, 'LDI - Fluxo de Caixa'!$C$18:$C$374, 0), MATCH('Fluxo Projeto'!X$1, 'LDI - Fluxo de Caixa'!$BD$14:$BT$14, 0))</f>
        <v>0</v>
      </c>
      <c r="Y5" s="398">
        <f>INDEX('LDI - Fluxo de Caixa'!$BD$18:$BT$374, MATCH('Fluxo Projeto'!$A5, 'LDI - Fluxo de Caixa'!$C$18:$C$374, 0), MATCH('Fluxo Projeto'!Y$1, 'LDI - Fluxo de Caixa'!$BD$14:$BT$14, 0))</f>
        <v>0</v>
      </c>
      <c r="Z5" s="390"/>
      <c r="AA5" s="397">
        <f>INDEX('LDI - Fluxo de Caixa'!$BD$18:$BT$374, MATCH('Fluxo Projeto'!$A5, 'LDI - Fluxo de Caixa'!$C$18:$C$374, 0), MATCH('Fluxo Projeto'!AA$1, 'LDI - Fluxo de Caixa'!$BD$14:$BT$14, 0))</f>
        <v>0</v>
      </c>
      <c r="AB5" s="398">
        <f>INDEX('LDI - Fluxo de Caixa'!$BD$18:$BT$374, MATCH('Fluxo Projeto'!$A5, 'LDI - Fluxo de Caixa'!$C$18:$C$374, 0), MATCH('Fluxo Projeto'!AB$1, 'LDI - Fluxo de Caixa'!$BD$14:$BT$14, 0))</f>
        <v>0</v>
      </c>
      <c r="AC5" s="390"/>
      <c r="AD5" s="393">
        <f t="shared" si="2"/>
        <v>-3031</v>
      </c>
      <c r="AE5" s="390"/>
      <c r="AF5" s="393">
        <f>IF($A5&lt;=baseData, INDEX('LDI - Fluxo de Caixa'!$BD$18:$BT$374, MATCH('Fluxo Projeto'!$A5, 'LDI - Fluxo de Caixa'!$C$18:$C$374, 0), MATCH('Fluxo Projeto'!AF$1, 'LDI - Fluxo de Caixa'!$BD$14:$BT$14, 0)), $E5*CDI)</f>
        <v>0</v>
      </c>
      <c r="AG5" s="390"/>
      <c r="AH5" s="393">
        <f t="shared" si="3"/>
        <v>-2580.8000000000002</v>
      </c>
      <c r="AI5" s="390"/>
      <c r="AJ5" s="397">
        <f>IF($A5&lt;=baseData, INDEX('LDI - Fluxo de Caixa'!$BD$18:$BT$374, MATCH($A5, 'LDI - Fluxo de Caixa'!$C$18:$C$374, 0), MATCH(AJ$1, 'LDI - Fluxo de Caixa'!$BD$14:$BT$14, 0))-J5-I5, IF($A5&lt;inicioDistribuicoes,-IF(AH5&lt;cxMinSPEpreObra,IF(SUM($AD6:$AD17)-cxMinSPEpreObra+AH5&lt;0,SUM($AD6:$AD17)-cxMinSPEpreObra+AH5,IF(AH5&lt;0, AH5-cxMinSPEpreObra, 0)),0), 0))</f>
        <v>3000</v>
      </c>
      <c r="AK5" s="398">
        <f>INDEX('LDI - Fluxo de Caixa'!$BD$18:$BT$374, MATCH('Fluxo Projeto'!$A5, 'LDI - Fluxo de Caixa'!$C$18:$C$374, 0), MATCH('Fluxo Projeto'!AK$1, 'LDI - Fluxo de Caixa'!$BD$14:$BT$14, 0))</f>
        <v>0</v>
      </c>
      <c r="AL5" s="390"/>
      <c r="AM5" s="393">
        <f t="shared" si="4"/>
        <v>419.19999999999982</v>
      </c>
      <c r="AN5" s="390"/>
      <c r="AO5" s="399">
        <v>419.19999999999982</v>
      </c>
      <c r="AP5" s="390"/>
      <c r="AQ5" s="397">
        <f t="shared" si="5"/>
        <v>-3000</v>
      </c>
      <c r="AR5" s="398">
        <f t="shared" si="8"/>
        <v>-8775.880000000001</v>
      </c>
      <c r="AS5" s="390"/>
      <c r="AT5" s="393">
        <f t="shared" si="6"/>
        <v>-3324.5255960977188</v>
      </c>
      <c r="AV5" s="397">
        <f t="shared" si="9"/>
        <v>0</v>
      </c>
      <c r="AW5" s="390">
        <f t="shared" si="10"/>
        <v>0</v>
      </c>
      <c r="AX5" s="390">
        <f t="shared" si="11"/>
        <v>0</v>
      </c>
      <c r="AY5" s="390">
        <f t="shared" si="12"/>
        <v>0</v>
      </c>
      <c r="AZ5" s="393">
        <f t="shared" si="13"/>
        <v>0</v>
      </c>
      <c r="BA5" s="390"/>
      <c r="BB5" s="394">
        <f t="shared" si="14"/>
        <v>0</v>
      </c>
      <c r="BC5" s="395">
        <f t="shared" si="15"/>
        <v>0</v>
      </c>
      <c r="BD5" s="395">
        <f t="shared" si="16"/>
        <v>0</v>
      </c>
      <c r="BE5" s="395">
        <f t="shared" si="17"/>
        <v>0</v>
      </c>
      <c r="BF5" s="395">
        <f t="shared" si="18"/>
        <v>0</v>
      </c>
      <c r="BG5" s="395">
        <f t="shared" si="19"/>
        <v>-4.0793016235620465</v>
      </c>
      <c r="BH5" s="395">
        <f t="shared" si="20"/>
        <v>0</v>
      </c>
      <c r="BI5" s="395">
        <f t="shared" si="21"/>
        <v>-0.11200794288424601</v>
      </c>
      <c r="BJ5" s="398">
        <f t="shared" si="22"/>
        <v>0</v>
      </c>
      <c r="BK5" s="393">
        <f t="shared" si="23"/>
        <v>-4.1913095664462929</v>
      </c>
      <c r="BL5" s="390"/>
      <c r="BM5" s="397">
        <f t="shared" si="24"/>
        <v>0</v>
      </c>
      <c r="BN5" s="398">
        <f t="shared" si="25"/>
        <v>0</v>
      </c>
      <c r="BO5" s="390"/>
      <c r="BP5" s="400">
        <f t="shared" si="26"/>
        <v>0</v>
      </c>
      <c r="BQ5" s="401">
        <f t="shared" si="27"/>
        <v>0</v>
      </c>
      <c r="BR5" s="390"/>
      <c r="BS5" s="393">
        <f t="shared" si="28"/>
        <v>0</v>
      </c>
    </row>
    <row r="6" spans="1:71" x14ac:dyDescent="0.25">
      <c r="A6" s="197">
        <f t="shared" si="7"/>
        <v>43191</v>
      </c>
      <c r="B6" s="388">
        <f>IF($A6&lt;=baseData, INDEX(Indicadores!B:B, MATCH($A6,Indicadores!A:A, 0)), INDEX(Indicadores!B:B, MATCH(baseData,Indicadores!A:A, 0)))</f>
        <v>725.245</v>
      </c>
      <c r="C6" s="389">
        <f>IF($A6&lt;=baseData, INDEX(Indicadores!E:E, MATCH($A6, Indicadores!A:A, 0)), INDEX(Indicadores!E:E, MATCH(baseData, Indicadores!A:A, 0)))</f>
        <v>4961.84</v>
      </c>
      <c r="D6" s="390"/>
      <c r="E6" s="393">
        <f t="shared" si="29"/>
        <v>419.19999999999982</v>
      </c>
      <c r="F6" s="390"/>
      <c r="G6" s="392">
        <v>0</v>
      </c>
      <c r="H6" s="390">
        <f>IF($A6&gt;baseData, SUMPRODUCT('Tabela Vendas'!$R:$R,'Tabela Vendas'!$V:$V)*INDEX(Curvas!$Z:$Z,MATCH($A6,Curvas!$B:$B,0)), 0)</f>
        <v>0</v>
      </c>
      <c r="I6" s="390">
        <f>IFERROR(INDEX(Permutas!AJ:AJ, MATCH('Fluxo Projeto'!A6, Permutas!N:N, 0)), 0)</f>
        <v>0</v>
      </c>
      <c r="J6" s="390">
        <v>0</v>
      </c>
      <c r="K6" s="393">
        <f t="shared" si="0"/>
        <v>0</v>
      </c>
      <c r="L6" s="390"/>
      <c r="M6" s="394">
        <f>IF($A6&lt;=baseData,INDEX('LDI - Fluxo de Caixa'!$BD$18:$BT$374,MATCH('Fluxo Projeto'!$A6,'LDI - Fluxo de Caixa'!$C$18:$C$374,0),MATCH('Fluxo Projeto'!M$1,'LDI - Fluxo de Caixa'!$BD$14:$BT$14,0)),-pctImpostoSPE*K5)</f>
        <v>0</v>
      </c>
      <c r="N6" s="395">
        <f>IF($A6&lt;=baseData,INDEX('LDI - Fluxo de Caixa'!$BD$18:$BT$374,MATCH($A6,'LDI - Fluxo de Caixa'!$C$18:$C$374,0),MATCH('Fluxo Projeto'!N$1,'LDI - Fluxo de Caixa'!$BD$14:$BT$14,0)),INDEX(Obra!AA:AA,MATCH($A6,Obra!F:F,0)))</f>
        <v>0</v>
      </c>
      <c r="O6" s="395">
        <f>IF($A6&lt;=baseData,INDEX('LDI - Fluxo de Caixa'!$BD$18:$BT$374,MATCH($A6,'LDI - Fluxo de Caixa'!$C$18:$C$374,0),MATCH('Fluxo Projeto'!O$1,'LDI - Fluxo de Caixa'!$BD$14:$BT$14,0)),IF($A6=entrega,assistTecnicaObra*SUM($N$2:$N$86),0))</f>
        <v>0</v>
      </c>
      <c r="P6" s="395">
        <f>IF($A6&lt;=baseData, INDEX('LDI - Fluxo de Caixa'!$BD$18:$BT$374, MATCH('Fluxo Projeto'!$A6, 'LDI - Fluxo de Caixa'!$C$18:$C$374, 0), MATCH('Fluxo Projeto'!P$1, 'LDI - Fluxo de Caixa'!$BD$14:$BT$14, 0)), -IF($A6&gt;=entrega, INDEX(Curvas!R:R,MATCH($A6,Curvas!B:B,0))*(IPTU+condominio)*'Tabela Vendas'!$Y$22, 0))</f>
        <v>0</v>
      </c>
      <c r="Q6" s="395">
        <f>IF($A6&lt;=baseData, INDEX('LDI - Fluxo de Caixa'!$BD$18:$BT$374, MATCH('Fluxo Projeto'!$A6, 'LDI - Fluxo de Caixa'!$C$18:$C$374, 0), MATCH('Fluxo Projeto'!Q$1, 'LDI - Fluxo de Caixa'!$BD$14:$BT$14, 0)), (-pctIncorporaçaoSPE*SUM($G$4:$H$86)-SUMIF($A$4:$A$86, "&lt;="&amp;baseData, Q$4:Q$86))*(SUM($G6:$H6)/(SUMIF($A$4:$A$86, "&gt;"&amp;baseData, $G$4:$G$86)+SUMIF($A$4:$A$86, "&gt;"&amp;baseData, $H$4:$H$86))))</f>
        <v>0</v>
      </c>
      <c r="R6" s="395">
        <f>IF($A6&lt;=baseData, INDEX('LDI - Fluxo de Caixa'!$BD$18:$BT$374, MATCH('Fluxo Projeto'!$A6, 'LDI - Fluxo de Caixa'!$C$18:$C$374, 0), MATCH('Fluxo Projeto'!R$1, 'LDI - Fluxo de Caixa'!$BD$14:$BT$14, 0)), (-pctMarketingSPE*SUM($G$4:$H$86)-SUMIF($A$4:$A$86, "&lt;="&amp;baseData, R$4:R$86))*(SUM($G6:$H6)/(SUMIF($A$4:$A$86, "&gt;"&amp;baseData, $G$4:$G$86)+SUMIF($A$4:$A$86, "&gt;"&amp;baseData, $H$4:$H$86))))</f>
        <v>-2250</v>
      </c>
      <c r="S6" s="395">
        <f>IF($A6&lt;=baseData,INDEX('LDI - Fluxo de Caixa'!$BD$18:$BT$374,MATCH($A6,'LDI - Fluxo de Caixa'!$C$18:$C$374,0),MATCH(S$1,'LDI - Fluxo de Caixa'!$BD$14:$BT$14,0)),-pctGestaoSPE*K5)</f>
        <v>0</v>
      </c>
      <c r="T6" s="395">
        <f>IF($A6&lt;=baseData, INDEX('LDI - Fluxo de Caixa'!$BD$18:$BT$374, MATCH('Fluxo Projeto'!$A6, 'LDI - Fluxo de Caixa'!$C$18:$C$374, 0), MATCH('Fluxo Projeto'!T$1, 'LDI - Fluxo de Caixa'!$BD$14:$BT$14, 0)), (-pctOutrasSPE*SUM($G$4:$H$86)-SUMIF($A$4:$A$86, "&lt;="&amp;baseData, T$4:T$86))*(SUM($G6:$H6)/(SUMIF($A$4:$A$86, "&gt;"&amp;baseData, $G$4:$G$86)+SUMIF($A$4:$A$86, "&gt;"&amp;baseData, $H$4:$H$86))))</f>
        <v>-81.099999999999994</v>
      </c>
      <c r="U6" s="396">
        <f>IF($A6&lt;=baseData, INDEX('LDI - Fluxo de Caixa'!$BD$18:$BT$374, MATCH('Fluxo Projeto'!$A6, 'LDI - Fluxo de Caixa'!$C$18:$C$374, 0), MATCH('Fluxo Projeto'!U$1, 'LDI - Fluxo de Caixa'!$BD$14:$BT$14, 0)), 0)</f>
        <v>0</v>
      </c>
      <c r="V6" s="393">
        <f t="shared" si="1"/>
        <v>-2331.1</v>
      </c>
      <c r="W6" s="390"/>
      <c r="X6" s="397">
        <f>INDEX('LDI - Fluxo de Caixa'!$BD$18:$BT$374, MATCH('Fluxo Projeto'!$A6, 'LDI - Fluxo de Caixa'!$C$18:$C$374, 0), MATCH('Fluxo Projeto'!X$1, 'LDI - Fluxo de Caixa'!$BD$14:$BT$14, 0))</f>
        <v>0</v>
      </c>
      <c r="Y6" s="398">
        <f>INDEX('LDI - Fluxo de Caixa'!$BD$18:$BT$374, MATCH('Fluxo Projeto'!$A6, 'LDI - Fluxo de Caixa'!$C$18:$C$374, 0), MATCH('Fluxo Projeto'!Y$1, 'LDI - Fluxo de Caixa'!$BD$14:$BT$14, 0))</f>
        <v>0</v>
      </c>
      <c r="Z6" s="390"/>
      <c r="AA6" s="397">
        <f>INDEX('LDI - Fluxo de Caixa'!$BD$18:$BT$374, MATCH('Fluxo Projeto'!$A6, 'LDI - Fluxo de Caixa'!$C$18:$C$374, 0), MATCH('Fluxo Projeto'!AA$1, 'LDI - Fluxo de Caixa'!$BD$14:$BT$14, 0))</f>
        <v>-12275.59</v>
      </c>
      <c r="AB6" s="398">
        <f>INDEX('LDI - Fluxo de Caixa'!$BD$18:$BT$374, MATCH('Fluxo Projeto'!$A6, 'LDI - Fluxo de Caixa'!$C$18:$C$374, 0), MATCH('Fluxo Projeto'!AB$1, 'LDI - Fluxo de Caixa'!$BD$14:$BT$14, 0))</f>
        <v>0</v>
      </c>
      <c r="AC6" s="390"/>
      <c r="AD6" s="393">
        <f t="shared" si="2"/>
        <v>-14606.69</v>
      </c>
      <c r="AE6" s="390"/>
      <c r="AF6" s="393">
        <f>IF($A6&lt;=baseData, INDEX('LDI - Fluxo de Caixa'!$BD$18:$BT$374, MATCH('Fluxo Projeto'!$A6, 'LDI - Fluxo de Caixa'!$C$18:$C$374, 0), MATCH('Fluxo Projeto'!AF$1, 'LDI - Fluxo de Caixa'!$BD$14:$BT$14, 0)), $E6*CDI)</f>
        <v>0</v>
      </c>
      <c r="AG6" s="390"/>
      <c r="AH6" s="393">
        <f t="shared" si="3"/>
        <v>-14187.49</v>
      </c>
      <c r="AI6" s="390"/>
      <c r="AJ6" s="397">
        <f>IF($A6&lt;=baseData, INDEX('LDI - Fluxo de Caixa'!$BD$18:$BT$374, MATCH($A6, 'LDI - Fluxo de Caixa'!$C$18:$C$374, 0), MATCH(AJ$1, 'LDI - Fluxo de Caixa'!$BD$14:$BT$14, 0))-J6-I6, IF($A6&lt;inicioDistribuicoes,-IF(AH6&lt;cxMinSPEpreObra,IF(SUM($AD7:$AD18)-cxMinSPEpreObra+AH6&lt;0,SUM($AD7:$AD18)-cxMinSPEpreObra+AH6,IF(AH6&lt;0, AH6-cxMinSPEpreObra, 0)),0), 0))</f>
        <v>337887.94</v>
      </c>
      <c r="AK6" s="398">
        <f>INDEX('LDI - Fluxo de Caixa'!$BD$18:$BT$374, MATCH('Fluxo Projeto'!$A6, 'LDI - Fluxo de Caixa'!$C$18:$C$374, 0), MATCH('Fluxo Projeto'!AK$1, 'LDI - Fluxo de Caixa'!$BD$14:$BT$14, 0))</f>
        <v>0</v>
      </c>
      <c r="AL6" s="390"/>
      <c r="AM6" s="393">
        <f t="shared" si="4"/>
        <v>323700.45</v>
      </c>
      <c r="AN6" s="390"/>
      <c r="AO6" s="399">
        <v>323700.45</v>
      </c>
      <c r="AP6" s="390"/>
      <c r="AQ6" s="397">
        <f t="shared" si="5"/>
        <v>-337887.94</v>
      </c>
      <c r="AR6" s="398">
        <f t="shared" si="8"/>
        <v>-346663.82</v>
      </c>
      <c r="AS6" s="390"/>
      <c r="AT6" s="393">
        <f t="shared" si="6"/>
        <v>-373617.23485013621</v>
      </c>
      <c r="AV6" s="397">
        <f t="shared" si="9"/>
        <v>0</v>
      </c>
      <c r="AW6" s="390">
        <f t="shared" si="10"/>
        <v>0</v>
      </c>
      <c r="AX6" s="390">
        <f t="shared" si="11"/>
        <v>0</v>
      </c>
      <c r="AY6" s="390">
        <f t="shared" si="12"/>
        <v>0</v>
      </c>
      <c r="AZ6" s="393">
        <f t="shared" si="13"/>
        <v>0</v>
      </c>
      <c r="BA6" s="390"/>
      <c r="BB6" s="394">
        <f t="shared" si="14"/>
        <v>0</v>
      </c>
      <c r="BC6" s="395">
        <f t="shared" si="15"/>
        <v>0</v>
      </c>
      <c r="BD6" s="395">
        <f t="shared" si="16"/>
        <v>0</v>
      </c>
      <c r="BE6" s="395">
        <f t="shared" si="17"/>
        <v>0</v>
      </c>
      <c r="BF6" s="395">
        <f t="shared" si="18"/>
        <v>0</v>
      </c>
      <c r="BG6" s="395">
        <f t="shared" si="19"/>
        <v>-3.1023998786616938</v>
      </c>
      <c r="BH6" s="395">
        <f t="shared" si="20"/>
        <v>0</v>
      </c>
      <c r="BI6" s="395">
        <f t="shared" si="21"/>
        <v>-0.1118242800708726</v>
      </c>
      <c r="BJ6" s="398">
        <f t="shared" si="22"/>
        <v>0</v>
      </c>
      <c r="BK6" s="393">
        <f t="shared" si="23"/>
        <v>-3.2142241587325664</v>
      </c>
      <c r="BL6" s="390"/>
      <c r="BM6" s="397">
        <f t="shared" si="24"/>
        <v>0</v>
      </c>
      <c r="BN6" s="398">
        <f t="shared" si="25"/>
        <v>0</v>
      </c>
      <c r="BO6" s="390"/>
      <c r="BP6" s="400">
        <f t="shared" si="26"/>
        <v>-16.926128411778087</v>
      </c>
      <c r="BQ6" s="401">
        <f t="shared" si="27"/>
        <v>0</v>
      </c>
      <c r="BR6" s="390"/>
      <c r="BS6" s="393">
        <f t="shared" si="28"/>
        <v>0</v>
      </c>
    </row>
    <row r="7" spans="1:71" x14ac:dyDescent="0.25">
      <c r="A7" s="197">
        <f t="shared" si="7"/>
        <v>43221</v>
      </c>
      <c r="B7" s="388">
        <f>IF($A7&lt;=baseData, INDEX(Indicadores!B:B, MATCH($A7,Indicadores!A:A, 0)), INDEX(Indicadores!B:B, MATCH(baseData,Indicadores!A:A, 0)))</f>
        <v>726.923</v>
      </c>
      <c r="C7" s="389">
        <f>IF($A7&lt;=baseData, INDEX(Indicadores!E:E, MATCH($A7, Indicadores!A:A, 0)), INDEX(Indicadores!E:E, MATCH(baseData, Indicadores!A:A, 0)))</f>
        <v>4981.6899999999996</v>
      </c>
      <c r="D7" s="390"/>
      <c r="E7" s="393">
        <f t="shared" si="29"/>
        <v>323700.45</v>
      </c>
      <c r="F7" s="390"/>
      <c r="G7" s="392">
        <v>0</v>
      </c>
      <c r="H7" s="390">
        <f>IF($A7&gt;baseData, SUMPRODUCT('Tabela Vendas'!$R:$R,'Tabela Vendas'!$V:$V)*INDEX(Curvas!$Z:$Z,MATCH($A7,Curvas!$B:$B,0)), 0)</f>
        <v>0</v>
      </c>
      <c r="I7" s="390">
        <f>IFERROR(INDEX(Permutas!AJ:AJ, MATCH('Fluxo Projeto'!A7, Permutas!N:N, 0)), 0)</f>
        <v>0</v>
      </c>
      <c r="J7" s="390">
        <v>0</v>
      </c>
      <c r="K7" s="393">
        <f t="shared" si="0"/>
        <v>0</v>
      </c>
      <c r="L7" s="390"/>
      <c r="M7" s="394">
        <f>IF($A7&lt;=baseData,INDEX('LDI - Fluxo de Caixa'!$BD$18:$BT$374,MATCH('Fluxo Projeto'!$A7,'LDI - Fluxo de Caixa'!$C$18:$C$374,0),MATCH('Fluxo Projeto'!M$1,'LDI - Fluxo de Caixa'!$BD$14:$BT$14,0)),-pctImpostoSPE*K6)</f>
        <v>0</v>
      </c>
      <c r="N7" s="395">
        <f>IF($A7&lt;=baseData,INDEX('LDI - Fluxo de Caixa'!$BD$18:$BT$374,MATCH($A7,'LDI - Fluxo de Caixa'!$C$18:$C$374,0),MATCH('Fluxo Projeto'!N$1,'LDI - Fluxo de Caixa'!$BD$14:$BT$14,0)),INDEX(Obra!AA:AA,MATCH($A7,Obra!F:F,0)))</f>
        <v>0</v>
      </c>
      <c r="O7" s="395">
        <f>IF($A7&lt;=baseData,INDEX('LDI - Fluxo de Caixa'!$BD$18:$BT$374,MATCH($A7,'LDI - Fluxo de Caixa'!$C$18:$C$374,0),MATCH('Fluxo Projeto'!O$1,'LDI - Fluxo de Caixa'!$BD$14:$BT$14,0)),IF($A7=entrega,assistTecnicaObra*SUM($N$2:$N$86),0))</f>
        <v>0</v>
      </c>
      <c r="P7" s="395">
        <f>IF($A7&lt;=baseData, INDEX('LDI - Fluxo de Caixa'!$BD$18:$BT$374, MATCH('Fluxo Projeto'!$A7, 'LDI - Fluxo de Caixa'!$C$18:$C$374, 0), MATCH('Fluxo Projeto'!P$1, 'LDI - Fluxo de Caixa'!$BD$14:$BT$14, 0)), -IF($A7&gt;=entrega, INDEX(Curvas!R:R,MATCH($A7,Curvas!B:B,0))*(IPTU+condominio)*'Tabela Vendas'!$Y$22, 0))</f>
        <v>0</v>
      </c>
      <c r="Q7" s="395">
        <f>IF($A7&lt;=baseData, INDEX('LDI - Fluxo de Caixa'!$BD$18:$BT$374, MATCH('Fluxo Projeto'!$A7, 'LDI - Fluxo de Caixa'!$C$18:$C$374, 0), MATCH('Fluxo Projeto'!Q$1, 'LDI - Fluxo de Caixa'!$BD$14:$BT$14, 0)), (-pctIncorporaçaoSPE*SUM($G$4:$H$86)-SUMIF($A$4:$A$86, "&lt;="&amp;baseData, Q$4:Q$86))*(SUM($G7:$H7)/(SUMIF($A$4:$A$86, "&gt;"&amp;baseData, $G$4:$G$86)+SUMIF($A$4:$A$86, "&gt;"&amp;baseData, $H$4:$H$86))))</f>
        <v>0</v>
      </c>
      <c r="R7" s="395">
        <f>IF($A7&lt;=baseData, INDEX('LDI - Fluxo de Caixa'!$BD$18:$BT$374, MATCH('Fluxo Projeto'!$A7, 'LDI - Fluxo de Caixa'!$C$18:$C$374, 0), MATCH('Fluxo Projeto'!R$1, 'LDI - Fluxo de Caixa'!$BD$14:$BT$14, 0)), (-pctMarketingSPE*SUM($G$4:$H$86)-SUMIF($A$4:$A$86, "&lt;="&amp;baseData, R$4:R$86))*(SUM($G7:$H7)/(SUMIF($A$4:$A$86, "&gt;"&amp;baseData, $G$4:$G$86)+SUMIF($A$4:$A$86, "&gt;"&amp;baseData, $H$4:$H$86))))</f>
        <v>0</v>
      </c>
      <c r="S7" s="395">
        <f>IF($A7&lt;=baseData,INDEX('LDI - Fluxo de Caixa'!$BD$18:$BT$374,MATCH($A7,'LDI - Fluxo de Caixa'!$C$18:$C$374,0),MATCH(S$1,'LDI - Fluxo de Caixa'!$BD$14:$BT$14,0)),-pctGestaoSPE*K6)</f>
        <v>0</v>
      </c>
      <c r="T7" s="395">
        <f>IF($A7&lt;=baseData, INDEX('LDI - Fluxo de Caixa'!$BD$18:$BT$374, MATCH('Fluxo Projeto'!$A7, 'LDI - Fluxo de Caixa'!$C$18:$C$374, 0), MATCH('Fluxo Projeto'!T$1, 'LDI - Fluxo de Caixa'!$BD$14:$BT$14, 0)), (-pctOutrasSPE*SUM($G$4:$H$86)-SUMIF($A$4:$A$86, "&lt;="&amp;baseData, T$4:T$86))*(SUM($G7:$H7)/(SUMIF($A$4:$A$86, "&gt;"&amp;baseData, $G$4:$G$86)+SUMIF($A$4:$A$86, "&gt;"&amp;baseData, $H$4:$H$86))))</f>
        <v>-376</v>
      </c>
      <c r="U7" s="396">
        <f>IF($A7&lt;=baseData, INDEX('LDI - Fluxo de Caixa'!$BD$18:$BT$374, MATCH('Fluxo Projeto'!$A7, 'LDI - Fluxo de Caixa'!$C$18:$C$374, 0), MATCH('Fluxo Projeto'!U$1, 'LDI - Fluxo de Caixa'!$BD$14:$BT$14, 0)), 0)</f>
        <v>0</v>
      </c>
      <c r="V7" s="393">
        <f t="shared" si="1"/>
        <v>-376</v>
      </c>
      <c r="W7" s="390"/>
      <c r="X7" s="397">
        <f>INDEX('LDI - Fluxo de Caixa'!$BD$18:$BT$374, MATCH('Fluxo Projeto'!$A7, 'LDI - Fluxo de Caixa'!$C$18:$C$374, 0), MATCH('Fluxo Projeto'!X$1, 'LDI - Fluxo de Caixa'!$BD$14:$BT$14, 0))</f>
        <v>0</v>
      </c>
      <c r="Y7" s="398">
        <f>INDEX('LDI - Fluxo de Caixa'!$BD$18:$BT$374, MATCH('Fluxo Projeto'!$A7, 'LDI - Fluxo de Caixa'!$C$18:$C$374, 0), MATCH('Fluxo Projeto'!Y$1, 'LDI - Fluxo de Caixa'!$BD$14:$BT$14, 0))</f>
        <v>0</v>
      </c>
      <c r="Z7" s="390"/>
      <c r="AA7" s="397">
        <f>INDEX('LDI - Fluxo de Caixa'!$BD$18:$BT$374, MATCH('Fluxo Projeto'!$A7, 'LDI - Fluxo de Caixa'!$C$18:$C$374, 0), MATCH('Fluxo Projeto'!AA$1, 'LDI - Fluxo de Caixa'!$BD$14:$BT$14, 0))</f>
        <v>-830571.67</v>
      </c>
      <c r="AB7" s="398">
        <f>INDEX('LDI - Fluxo de Caixa'!$BD$18:$BT$374, MATCH('Fluxo Projeto'!$A7, 'LDI - Fluxo de Caixa'!$C$18:$C$374, 0), MATCH('Fluxo Projeto'!AB$1, 'LDI - Fluxo de Caixa'!$BD$14:$BT$14, 0))</f>
        <v>0</v>
      </c>
      <c r="AC7" s="390"/>
      <c r="AD7" s="393">
        <f t="shared" si="2"/>
        <v>-830947.67</v>
      </c>
      <c r="AE7" s="390"/>
      <c r="AF7" s="393">
        <f>IF($A7&lt;=baseData, INDEX('LDI - Fluxo de Caixa'!$BD$18:$BT$374, MATCH('Fluxo Projeto'!$A7, 'LDI - Fluxo de Caixa'!$C$18:$C$374, 0), MATCH('Fluxo Projeto'!AF$1, 'LDI - Fluxo de Caixa'!$BD$14:$BT$14, 0)), $E7*CDI)</f>
        <v>0</v>
      </c>
      <c r="AG7" s="390"/>
      <c r="AH7" s="393">
        <f t="shared" si="3"/>
        <v>-507247.22000000003</v>
      </c>
      <c r="AI7" s="390"/>
      <c r="AJ7" s="397">
        <f>IF($A7&lt;=baseData, INDEX('LDI - Fluxo de Caixa'!$BD$18:$BT$374, MATCH($A7, 'LDI - Fluxo de Caixa'!$C$18:$C$374, 0), MATCH(AJ$1, 'LDI - Fluxo de Caixa'!$BD$14:$BT$14, 0))-J7-I7, IF($A7&lt;inicioDistribuicoes,-IF(AH7&lt;cxMinSPEpreObra,IF(SUM($AD8:$AD19)-cxMinSPEpreObra+AH7&lt;0,SUM($AD8:$AD19)-cxMinSPEpreObra+AH7,IF(AH7&lt;0, AH7-cxMinSPEpreObra, 0)),0), 0))</f>
        <v>538500</v>
      </c>
      <c r="AK7" s="398">
        <f>INDEX('LDI - Fluxo de Caixa'!$BD$18:$BT$374, MATCH('Fluxo Projeto'!$A7, 'LDI - Fluxo de Caixa'!$C$18:$C$374, 0), MATCH('Fluxo Projeto'!AK$1, 'LDI - Fluxo de Caixa'!$BD$14:$BT$14, 0))</f>
        <v>0</v>
      </c>
      <c r="AL7" s="390"/>
      <c r="AM7" s="393">
        <f t="shared" si="4"/>
        <v>31252.77999999997</v>
      </c>
      <c r="AN7" s="390"/>
      <c r="AO7" s="399">
        <v>31252.77999999997</v>
      </c>
      <c r="AP7" s="390"/>
      <c r="AQ7" s="397">
        <f t="shared" si="5"/>
        <v>-538500</v>
      </c>
      <c r="AR7" s="398">
        <f t="shared" si="8"/>
        <v>-885163.82000000007</v>
      </c>
      <c r="AS7" s="390"/>
      <c r="AT7" s="393">
        <f t="shared" si="6"/>
        <v>-593070.02643681166</v>
      </c>
      <c r="AV7" s="397">
        <f t="shared" si="9"/>
        <v>0</v>
      </c>
      <c r="AW7" s="390">
        <f t="shared" si="10"/>
        <v>0</v>
      </c>
      <c r="AX7" s="390">
        <f t="shared" si="11"/>
        <v>0</v>
      </c>
      <c r="AY7" s="390">
        <f t="shared" si="12"/>
        <v>0</v>
      </c>
      <c r="AZ7" s="393">
        <f t="shared" si="13"/>
        <v>0</v>
      </c>
      <c r="BA7" s="390"/>
      <c r="BB7" s="394">
        <f t="shared" si="14"/>
        <v>0</v>
      </c>
      <c r="BC7" s="395">
        <f t="shared" si="15"/>
        <v>0</v>
      </c>
      <c r="BD7" s="395">
        <f t="shared" si="16"/>
        <v>0</v>
      </c>
      <c r="BE7" s="395">
        <f t="shared" si="17"/>
        <v>0</v>
      </c>
      <c r="BF7" s="395">
        <f t="shared" si="18"/>
        <v>0</v>
      </c>
      <c r="BG7" s="395">
        <f t="shared" si="19"/>
        <v>0</v>
      </c>
      <c r="BH7" s="395">
        <f t="shared" si="20"/>
        <v>0</v>
      </c>
      <c r="BI7" s="395">
        <f t="shared" si="21"/>
        <v>-0.51724873198399279</v>
      </c>
      <c r="BJ7" s="398">
        <f t="shared" si="22"/>
        <v>0</v>
      </c>
      <c r="BK7" s="393">
        <f t="shared" si="23"/>
        <v>-0.51724873198399279</v>
      </c>
      <c r="BL7" s="390"/>
      <c r="BM7" s="397">
        <f t="shared" si="24"/>
        <v>0</v>
      </c>
      <c r="BN7" s="398">
        <f t="shared" si="25"/>
        <v>0</v>
      </c>
      <c r="BO7" s="390"/>
      <c r="BP7" s="400">
        <f t="shared" si="26"/>
        <v>-1142.5854870460832</v>
      </c>
      <c r="BQ7" s="401">
        <f t="shared" si="27"/>
        <v>0</v>
      </c>
      <c r="BR7" s="390"/>
      <c r="BS7" s="393">
        <f t="shared" si="28"/>
        <v>0</v>
      </c>
    </row>
    <row r="8" spans="1:71" x14ac:dyDescent="0.25">
      <c r="A8" s="197">
        <f t="shared" si="7"/>
        <v>43252</v>
      </c>
      <c r="B8" s="388">
        <f>IF($A8&lt;=baseData, INDEX(Indicadores!B:B, MATCH($A8,Indicadores!A:A, 0)), INDEX(Indicadores!B:B, MATCH(baseData,Indicadores!A:A, 0)))</f>
        <v>733.98400000000004</v>
      </c>
      <c r="C8" s="389">
        <f>IF($A8&lt;=baseData, INDEX(Indicadores!E:E, MATCH($A8, Indicadores!A:A, 0)), INDEX(Indicadores!E:E, MATCH(baseData, Indicadores!A:A, 0)))</f>
        <v>5044.46</v>
      </c>
      <c r="D8" s="390"/>
      <c r="E8" s="393">
        <f t="shared" si="29"/>
        <v>31252.77999999997</v>
      </c>
      <c r="F8" s="390"/>
      <c r="G8" s="392">
        <v>0</v>
      </c>
      <c r="H8" s="390">
        <f>IF($A8&gt;baseData, SUMPRODUCT('Tabela Vendas'!$R:$R,'Tabela Vendas'!$V:$V)*INDEX(Curvas!$Z:$Z,MATCH($A8,Curvas!$B:$B,0)), 0)</f>
        <v>0</v>
      </c>
      <c r="I8" s="390">
        <f>IFERROR(INDEX(Permutas!AJ:AJ, MATCH('Fluxo Projeto'!A8, Permutas!N:N, 0)), 0)</f>
        <v>0</v>
      </c>
      <c r="J8" s="390">
        <v>0</v>
      </c>
      <c r="K8" s="393">
        <f t="shared" si="0"/>
        <v>0</v>
      </c>
      <c r="L8" s="390"/>
      <c r="M8" s="394">
        <f>IF($A8&lt;=baseData,INDEX('LDI - Fluxo de Caixa'!$BD$18:$BT$374,MATCH('Fluxo Projeto'!$A8,'LDI - Fluxo de Caixa'!$C$18:$C$374,0),MATCH('Fluxo Projeto'!M$1,'LDI - Fluxo de Caixa'!$BD$14:$BT$14,0)),-pctImpostoSPE*K7)</f>
        <v>0</v>
      </c>
      <c r="N8" s="395">
        <f>IF($A8&lt;=baseData,INDEX('LDI - Fluxo de Caixa'!$BD$18:$BT$374,MATCH($A8,'LDI - Fluxo de Caixa'!$C$18:$C$374,0),MATCH('Fluxo Projeto'!N$1,'LDI - Fluxo de Caixa'!$BD$14:$BT$14,0)),INDEX(Obra!AA:AA,MATCH($A8,Obra!F:F,0)))</f>
        <v>0</v>
      </c>
      <c r="O8" s="395">
        <f>IF($A8&lt;=baseData,INDEX('LDI - Fluxo de Caixa'!$BD$18:$BT$374,MATCH($A8,'LDI - Fluxo de Caixa'!$C$18:$C$374,0),MATCH('Fluxo Projeto'!O$1,'LDI - Fluxo de Caixa'!$BD$14:$BT$14,0)),IF($A8=entrega,assistTecnicaObra*SUM($N$2:$N$86),0))</f>
        <v>0</v>
      </c>
      <c r="P8" s="395">
        <f>IF($A8&lt;=baseData, INDEX('LDI - Fluxo de Caixa'!$BD$18:$BT$374, MATCH('Fluxo Projeto'!$A8, 'LDI - Fluxo de Caixa'!$C$18:$C$374, 0), MATCH('Fluxo Projeto'!P$1, 'LDI - Fluxo de Caixa'!$BD$14:$BT$14, 0)), -IF($A8&gt;=entrega, INDEX(Curvas!R:R,MATCH($A8,Curvas!B:B,0))*(IPTU+condominio)*'Tabela Vendas'!$Y$22, 0))</f>
        <v>0</v>
      </c>
      <c r="Q8" s="395">
        <f>IF($A8&lt;=baseData, INDEX('LDI - Fluxo de Caixa'!$BD$18:$BT$374, MATCH('Fluxo Projeto'!$A8, 'LDI - Fluxo de Caixa'!$C$18:$C$374, 0), MATCH('Fluxo Projeto'!Q$1, 'LDI - Fluxo de Caixa'!$BD$14:$BT$14, 0)), (-pctIncorporaçaoSPE*SUM($G$4:$H$86)-SUMIF($A$4:$A$86, "&lt;="&amp;baseData, Q$4:Q$86))*(SUM($G8:$H8)/(SUMIF($A$4:$A$86, "&gt;"&amp;baseData, $G$4:$G$86)+SUMIF($A$4:$A$86, "&gt;"&amp;baseData, $H$4:$H$86))))</f>
        <v>-5818.7</v>
      </c>
      <c r="R8" s="395">
        <f>IF($A8&lt;=baseData, INDEX('LDI - Fluxo de Caixa'!$BD$18:$BT$374, MATCH('Fluxo Projeto'!$A8, 'LDI - Fluxo de Caixa'!$C$18:$C$374, 0), MATCH('Fluxo Projeto'!R$1, 'LDI - Fluxo de Caixa'!$BD$14:$BT$14, 0)), (-pctMarketingSPE*SUM($G$4:$H$86)-SUMIF($A$4:$A$86, "&lt;="&amp;baseData, R$4:R$86))*(SUM($G8:$H8)/(SUMIF($A$4:$A$86, "&gt;"&amp;baseData, $G$4:$G$86)+SUMIF($A$4:$A$86, "&gt;"&amp;baseData, $H$4:$H$86))))</f>
        <v>0</v>
      </c>
      <c r="S8" s="395">
        <f>IF($A8&lt;=baseData,INDEX('LDI - Fluxo de Caixa'!$BD$18:$BT$374,MATCH($A8,'LDI - Fluxo de Caixa'!$C$18:$C$374,0),MATCH(S$1,'LDI - Fluxo de Caixa'!$BD$14:$BT$14,0)),-pctGestaoSPE*K7)</f>
        <v>0</v>
      </c>
      <c r="T8" s="395">
        <f>IF($A8&lt;=baseData, INDEX('LDI - Fluxo de Caixa'!$BD$18:$BT$374, MATCH('Fluxo Projeto'!$A8, 'LDI - Fluxo de Caixa'!$C$18:$C$374, 0), MATCH('Fluxo Projeto'!T$1, 'LDI - Fluxo de Caixa'!$BD$14:$BT$14, 0)), (-pctOutrasSPE*SUM($G$4:$H$86)-SUMIF($A$4:$A$86, "&lt;="&amp;baseData, T$4:T$86))*(SUM($G8:$H8)/(SUMIF($A$4:$A$86, "&gt;"&amp;baseData, $G$4:$G$86)+SUMIF($A$4:$A$86, "&gt;"&amp;baseData, $H$4:$H$86))))</f>
        <v>-692.85</v>
      </c>
      <c r="U8" s="396">
        <f>IF($A8&lt;=baseData, INDEX('LDI - Fluxo de Caixa'!$BD$18:$BT$374, MATCH('Fluxo Projeto'!$A8, 'LDI - Fluxo de Caixa'!$C$18:$C$374, 0), MATCH('Fluxo Projeto'!U$1, 'LDI - Fluxo de Caixa'!$BD$14:$BT$14, 0)), 0)</f>
        <v>0</v>
      </c>
      <c r="V8" s="393">
        <f t="shared" si="1"/>
        <v>-6511.55</v>
      </c>
      <c r="W8" s="390"/>
      <c r="X8" s="397">
        <f>INDEX('LDI - Fluxo de Caixa'!$BD$18:$BT$374, MATCH('Fluxo Projeto'!$A8, 'LDI - Fluxo de Caixa'!$C$18:$C$374, 0), MATCH('Fluxo Projeto'!X$1, 'LDI - Fluxo de Caixa'!$BD$14:$BT$14, 0))</f>
        <v>0</v>
      </c>
      <c r="Y8" s="398">
        <f>INDEX('LDI - Fluxo de Caixa'!$BD$18:$BT$374, MATCH('Fluxo Projeto'!$A8, 'LDI - Fluxo de Caixa'!$C$18:$C$374, 0), MATCH('Fluxo Projeto'!Y$1, 'LDI - Fluxo de Caixa'!$BD$14:$BT$14, 0))</f>
        <v>0</v>
      </c>
      <c r="Z8" s="390"/>
      <c r="AA8" s="397">
        <f>INDEX('LDI - Fluxo de Caixa'!$BD$18:$BT$374, MATCH('Fluxo Projeto'!$A8, 'LDI - Fluxo de Caixa'!$C$18:$C$374, 0), MATCH('Fluxo Projeto'!AA$1, 'LDI - Fluxo de Caixa'!$BD$14:$BT$14, 0))</f>
        <v>-26873.019999999899</v>
      </c>
      <c r="AB8" s="398">
        <f>INDEX('LDI - Fluxo de Caixa'!$BD$18:$BT$374, MATCH('Fluxo Projeto'!$A8, 'LDI - Fluxo de Caixa'!$C$18:$C$374, 0), MATCH('Fluxo Projeto'!AB$1, 'LDI - Fluxo de Caixa'!$BD$14:$BT$14, 0))</f>
        <v>0</v>
      </c>
      <c r="AC8" s="390"/>
      <c r="AD8" s="393">
        <f t="shared" si="2"/>
        <v>-33384.569999999898</v>
      </c>
      <c r="AE8" s="390"/>
      <c r="AF8" s="393">
        <f>IF($A8&lt;=baseData, INDEX('LDI - Fluxo de Caixa'!$BD$18:$BT$374, MATCH('Fluxo Projeto'!$A8, 'LDI - Fluxo de Caixa'!$C$18:$C$374, 0), MATCH('Fluxo Projeto'!AF$1, 'LDI - Fluxo de Caixa'!$BD$14:$BT$14, 0)), $E8*CDI)</f>
        <v>0</v>
      </c>
      <c r="AG8" s="390"/>
      <c r="AH8" s="393">
        <f t="shared" si="3"/>
        <v>-2131.7899999999281</v>
      </c>
      <c r="AI8" s="390"/>
      <c r="AJ8" s="397">
        <f>IF($A8&lt;=baseData, INDEX('LDI - Fluxo de Caixa'!$BD$18:$BT$374, MATCH($A8, 'LDI - Fluxo de Caixa'!$C$18:$C$374, 0), MATCH(AJ$1, 'LDI - Fluxo de Caixa'!$BD$14:$BT$14, 0))-J8-I8, IF($A8&lt;inicioDistribuicoes,-IF(AH8&lt;cxMinSPEpreObra,IF(SUM($AD9:$AD20)-cxMinSPEpreObra+AH8&lt;0,SUM($AD9:$AD20)-cxMinSPEpreObra+AH8,IF(AH8&lt;0, AH8-cxMinSPEpreObra, 0)),0), 0))</f>
        <v>69500</v>
      </c>
      <c r="AK8" s="398">
        <f>INDEX('LDI - Fluxo de Caixa'!$BD$18:$BT$374, MATCH('Fluxo Projeto'!$A8, 'LDI - Fluxo de Caixa'!$C$18:$C$374, 0), MATCH('Fluxo Projeto'!AK$1, 'LDI - Fluxo de Caixa'!$BD$14:$BT$14, 0))</f>
        <v>0</v>
      </c>
      <c r="AL8" s="390"/>
      <c r="AM8" s="393">
        <f t="shared" si="4"/>
        <v>67368.210000000079</v>
      </c>
      <c r="AN8" s="390"/>
      <c r="AO8" s="399">
        <v>67368.209999999977</v>
      </c>
      <c r="AP8" s="390"/>
      <c r="AQ8" s="397">
        <f t="shared" si="5"/>
        <v>-69500</v>
      </c>
      <c r="AR8" s="398">
        <f t="shared" si="8"/>
        <v>-954663.82000000007</v>
      </c>
      <c r="AS8" s="390"/>
      <c r="AT8" s="393">
        <f t="shared" si="6"/>
        <v>-75590.477474298546</v>
      </c>
      <c r="AV8" s="397">
        <f t="shared" si="9"/>
        <v>0</v>
      </c>
      <c r="AW8" s="390">
        <f t="shared" si="10"/>
        <v>0</v>
      </c>
      <c r="AX8" s="390">
        <f t="shared" si="11"/>
        <v>0</v>
      </c>
      <c r="AY8" s="390">
        <f t="shared" si="12"/>
        <v>0</v>
      </c>
      <c r="AZ8" s="393">
        <f t="shared" si="13"/>
        <v>0</v>
      </c>
      <c r="BA8" s="390"/>
      <c r="BB8" s="394">
        <f t="shared" si="14"/>
        <v>0</v>
      </c>
      <c r="BC8" s="395">
        <f t="shared" si="15"/>
        <v>0</v>
      </c>
      <c r="BD8" s="395">
        <f t="shared" si="16"/>
        <v>0</v>
      </c>
      <c r="BE8" s="395">
        <f t="shared" si="17"/>
        <v>0</v>
      </c>
      <c r="BF8" s="395">
        <f t="shared" si="18"/>
        <v>-7.9275570039673884</v>
      </c>
      <c r="BG8" s="395">
        <f t="shared" si="19"/>
        <v>0</v>
      </c>
      <c r="BH8" s="395">
        <f t="shared" si="20"/>
        <v>0</v>
      </c>
      <c r="BI8" s="395">
        <f t="shared" si="21"/>
        <v>-0.94395790643937738</v>
      </c>
      <c r="BJ8" s="398">
        <f t="shared" si="22"/>
        <v>0</v>
      </c>
      <c r="BK8" s="393">
        <f t="shared" si="23"/>
        <v>-8.8715149104067663</v>
      </c>
      <c r="BL8" s="390"/>
      <c r="BM8" s="397">
        <f t="shared" si="24"/>
        <v>0</v>
      </c>
      <c r="BN8" s="398">
        <f t="shared" si="25"/>
        <v>0</v>
      </c>
      <c r="BO8" s="390"/>
      <c r="BP8" s="400">
        <f t="shared" si="26"/>
        <v>-36.612541962767438</v>
      </c>
      <c r="BQ8" s="401">
        <f t="shared" si="27"/>
        <v>0</v>
      </c>
      <c r="BR8" s="390"/>
      <c r="BS8" s="393">
        <f t="shared" si="28"/>
        <v>0</v>
      </c>
    </row>
    <row r="9" spans="1:71" x14ac:dyDescent="0.25">
      <c r="A9" s="197">
        <f t="shared" si="7"/>
        <v>43282</v>
      </c>
      <c r="B9" s="388">
        <f>IF($A9&lt;=baseData, INDEX(Indicadores!B:B, MATCH($A9,Indicadores!A:A, 0)), INDEX(Indicadores!B:B, MATCH(baseData,Indicadores!A:A, 0)))</f>
        <v>738.48699999999997</v>
      </c>
      <c r="C9" s="389">
        <f>IF($A9&lt;=baseData, INDEX(Indicadores!E:E, MATCH($A9, Indicadores!A:A, 0)), INDEX(Indicadores!E:E, MATCH(baseData, Indicadores!A:A, 0)))</f>
        <v>5061.1099999999997</v>
      </c>
      <c r="D9" s="390"/>
      <c r="E9" s="393">
        <f t="shared" si="29"/>
        <v>67368.209999999977</v>
      </c>
      <c r="F9" s="390"/>
      <c r="G9" s="392">
        <v>0</v>
      </c>
      <c r="H9" s="390">
        <f>IF($A9&gt;baseData, SUMPRODUCT('Tabela Vendas'!$R:$R,'Tabela Vendas'!$V:$V)*INDEX(Curvas!$Z:$Z,MATCH($A9,Curvas!$B:$B,0)), 0)</f>
        <v>0</v>
      </c>
      <c r="I9" s="390">
        <f>IFERROR(INDEX(Permutas!AJ:AJ, MATCH('Fluxo Projeto'!A9, Permutas!N:N, 0)), 0)</f>
        <v>0</v>
      </c>
      <c r="J9" s="390">
        <v>0</v>
      </c>
      <c r="K9" s="393">
        <f t="shared" si="0"/>
        <v>0</v>
      </c>
      <c r="L9" s="390"/>
      <c r="M9" s="394">
        <f>IF($A9&lt;=baseData,INDEX('LDI - Fluxo de Caixa'!$BD$18:$BT$374,MATCH('Fluxo Projeto'!$A9,'LDI - Fluxo de Caixa'!$C$18:$C$374,0),MATCH('Fluxo Projeto'!M$1,'LDI - Fluxo de Caixa'!$BD$14:$BT$14,0)),-pctImpostoSPE*K8)</f>
        <v>0</v>
      </c>
      <c r="N9" s="395">
        <f>IF($A9&lt;=baseData,INDEX('LDI - Fluxo de Caixa'!$BD$18:$BT$374,MATCH($A9,'LDI - Fluxo de Caixa'!$C$18:$C$374,0),MATCH('Fluxo Projeto'!N$1,'LDI - Fluxo de Caixa'!$BD$14:$BT$14,0)),INDEX(Obra!AA:AA,MATCH($A9,Obra!F:F,0)))</f>
        <v>0</v>
      </c>
      <c r="O9" s="395">
        <f>IF($A9&lt;=baseData,INDEX('LDI - Fluxo de Caixa'!$BD$18:$BT$374,MATCH($A9,'LDI - Fluxo de Caixa'!$C$18:$C$374,0),MATCH('Fluxo Projeto'!O$1,'LDI - Fluxo de Caixa'!$BD$14:$BT$14,0)),IF($A9=entrega,assistTecnicaObra*SUM($N$2:$N$86),0))</f>
        <v>0</v>
      </c>
      <c r="P9" s="395">
        <f>IF($A9&lt;=baseData, INDEX('LDI - Fluxo de Caixa'!$BD$18:$BT$374, MATCH('Fluxo Projeto'!$A9, 'LDI - Fluxo de Caixa'!$C$18:$C$374, 0), MATCH('Fluxo Projeto'!P$1, 'LDI - Fluxo de Caixa'!$BD$14:$BT$14, 0)), -IF($A9&gt;=entrega, INDEX(Curvas!R:R,MATCH($A9,Curvas!B:B,0))*(IPTU+condominio)*'Tabela Vendas'!$Y$22, 0))</f>
        <v>0</v>
      </c>
      <c r="Q9" s="395">
        <f>IF($A9&lt;=baseData, INDEX('LDI - Fluxo de Caixa'!$BD$18:$BT$374, MATCH('Fluxo Projeto'!$A9, 'LDI - Fluxo de Caixa'!$C$18:$C$374, 0), MATCH('Fluxo Projeto'!Q$1, 'LDI - Fluxo de Caixa'!$BD$14:$BT$14, 0)), (-pctIncorporaçaoSPE*SUM($G$4:$H$86)-SUMIF($A$4:$A$86, "&lt;="&amp;baseData, Q$4:Q$86))*(SUM($G9:$H9)/(SUMIF($A$4:$A$86, "&gt;"&amp;baseData, $G$4:$G$86)+SUMIF($A$4:$A$86, "&gt;"&amp;baseData, $H$4:$H$86))))</f>
        <v>-1381.3</v>
      </c>
      <c r="R9" s="395">
        <f>IF($A9&lt;=baseData, INDEX('LDI - Fluxo de Caixa'!$BD$18:$BT$374, MATCH('Fluxo Projeto'!$A9, 'LDI - Fluxo de Caixa'!$C$18:$C$374, 0), MATCH('Fluxo Projeto'!R$1, 'LDI - Fluxo de Caixa'!$BD$14:$BT$14, 0)), (-pctMarketingSPE*SUM($G$4:$H$86)-SUMIF($A$4:$A$86, "&lt;="&amp;baseData, R$4:R$86))*(SUM($G9:$H9)/(SUMIF($A$4:$A$86, "&gt;"&amp;baseData, $G$4:$G$86)+SUMIF($A$4:$A$86, "&gt;"&amp;baseData, $H$4:$H$86))))</f>
        <v>-1500</v>
      </c>
      <c r="S9" s="395">
        <f>IF($A9&lt;=baseData,INDEX('LDI - Fluxo de Caixa'!$BD$18:$BT$374,MATCH($A9,'LDI - Fluxo de Caixa'!$C$18:$C$374,0),MATCH(S$1,'LDI - Fluxo de Caixa'!$BD$14:$BT$14,0)),-pctGestaoSPE*K8)</f>
        <v>0</v>
      </c>
      <c r="T9" s="395">
        <f>IF($A9&lt;=baseData, INDEX('LDI - Fluxo de Caixa'!$BD$18:$BT$374, MATCH('Fluxo Projeto'!$A9, 'LDI - Fluxo de Caixa'!$C$18:$C$374, 0), MATCH('Fluxo Projeto'!T$1, 'LDI - Fluxo de Caixa'!$BD$14:$BT$14, 0)), (-pctOutrasSPE*SUM($G$4:$H$86)-SUMIF($A$4:$A$86, "&lt;="&amp;baseData, T$4:T$86))*(SUM($G9:$H9)/(SUMIF($A$4:$A$86, "&gt;"&amp;baseData, $G$4:$G$86)+SUMIF($A$4:$A$86, "&gt;"&amp;baseData, $H$4:$H$86))))</f>
        <v>-189.95</v>
      </c>
      <c r="U9" s="395">
        <f>IF($A9&lt;=baseData, INDEX('LDI - Fluxo de Caixa'!$BD$18:$BT$374, MATCH('Fluxo Projeto'!$A9, 'LDI - Fluxo de Caixa'!$C$18:$C$374, 0), MATCH('Fluxo Projeto'!U$1, 'LDI - Fluxo de Caixa'!$BD$14:$BT$14, 0)), 0)</f>
        <v>0</v>
      </c>
      <c r="V9" s="393">
        <f t="shared" si="1"/>
        <v>-3071.25</v>
      </c>
      <c r="W9" s="390"/>
      <c r="X9" s="397">
        <f>INDEX('LDI - Fluxo de Caixa'!$BD$18:$BT$374, MATCH('Fluxo Projeto'!$A9, 'LDI - Fluxo de Caixa'!$C$18:$C$374, 0), MATCH('Fluxo Projeto'!X$1, 'LDI - Fluxo de Caixa'!$BD$14:$BT$14, 0))</f>
        <v>0</v>
      </c>
      <c r="Y9" s="398">
        <f>INDEX('LDI - Fluxo de Caixa'!$BD$18:$BT$374, MATCH('Fluxo Projeto'!$A9, 'LDI - Fluxo de Caixa'!$C$18:$C$374, 0), MATCH('Fluxo Projeto'!Y$1, 'LDI - Fluxo de Caixa'!$BD$14:$BT$14, 0))</f>
        <v>0</v>
      </c>
      <c r="Z9" s="390"/>
      <c r="AA9" s="397">
        <f>INDEX('LDI - Fluxo de Caixa'!$BD$18:$BT$374, MATCH('Fluxo Projeto'!$A9, 'LDI - Fluxo de Caixa'!$C$18:$C$374, 0), MATCH('Fluxo Projeto'!AA$1, 'LDI - Fluxo de Caixa'!$BD$14:$BT$14, 0))</f>
        <v>-26925.68</v>
      </c>
      <c r="AB9" s="398">
        <f>INDEX('LDI - Fluxo de Caixa'!$BD$18:$BT$374, MATCH('Fluxo Projeto'!$A9, 'LDI - Fluxo de Caixa'!$C$18:$C$374, 0), MATCH('Fluxo Projeto'!AB$1, 'LDI - Fluxo de Caixa'!$BD$14:$BT$14, 0))</f>
        <v>0</v>
      </c>
      <c r="AC9" s="390"/>
      <c r="AD9" s="393">
        <f t="shared" si="2"/>
        <v>-29996.93</v>
      </c>
      <c r="AE9" s="390"/>
      <c r="AF9" s="393">
        <f>IF($A9&lt;=baseData, INDEX('LDI - Fluxo de Caixa'!$BD$18:$BT$374, MATCH('Fluxo Projeto'!$A9, 'LDI - Fluxo de Caixa'!$C$18:$C$374, 0), MATCH('Fluxo Projeto'!AF$1, 'LDI - Fluxo de Caixa'!$BD$14:$BT$14, 0)), $E9*CDI)</f>
        <v>0.16000000000000009</v>
      </c>
      <c r="AG9" s="390"/>
      <c r="AH9" s="393">
        <f t="shared" si="3"/>
        <v>37371.439999999981</v>
      </c>
      <c r="AI9" s="390"/>
      <c r="AJ9" s="397">
        <f>IF($A9&lt;=baseData, INDEX('LDI - Fluxo de Caixa'!$BD$18:$BT$374, MATCH($A9, 'LDI - Fluxo de Caixa'!$C$18:$C$374, 0), MATCH(AJ$1, 'LDI - Fluxo de Caixa'!$BD$14:$BT$14, 0))-J9-I9, IF($A9&lt;inicioDistribuicoes,-IF(AH9&lt;cxMinSPEpreObra,IF(SUM($AD10:$AD21)-cxMinSPEpreObra+AH9&lt;0,SUM($AD10:$AD21)-cxMinSPEpreObra+AH9,IF(AH9&lt;0, AH9-cxMinSPEpreObra, 0)),0), 0))</f>
        <v>0</v>
      </c>
      <c r="AK9" s="398">
        <f>INDEX('LDI - Fluxo de Caixa'!$BD$18:$BT$374, MATCH('Fluxo Projeto'!$A9, 'LDI - Fluxo de Caixa'!$C$18:$C$374, 0), MATCH('Fluxo Projeto'!AK$1, 'LDI - Fluxo de Caixa'!$BD$14:$BT$14, 0))</f>
        <v>0</v>
      </c>
      <c r="AL9" s="390"/>
      <c r="AM9" s="393">
        <f t="shared" si="4"/>
        <v>37371.439999999981</v>
      </c>
      <c r="AN9" s="390"/>
      <c r="AO9" s="399">
        <v>37371.439999999981</v>
      </c>
      <c r="AP9" s="390"/>
      <c r="AQ9" s="397">
        <f t="shared" si="5"/>
        <v>0</v>
      </c>
      <c r="AR9" s="398">
        <f t="shared" si="8"/>
        <v>-954663.82000000007</v>
      </c>
      <c r="AS9" s="390"/>
      <c r="AT9" s="393">
        <f t="shared" si="6"/>
        <v>0</v>
      </c>
      <c r="AV9" s="397">
        <f t="shared" si="9"/>
        <v>0</v>
      </c>
      <c r="AW9" s="390">
        <f t="shared" si="10"/>
        <v>0</v>
      </c>
      <c r="AX9" s="390">
        <f t="shared" si="11"/>
        <v>0</v>
      </c>
      <c r="AY9" s="390">
        <f t="shared" si="12"/>
        <v>0</v>
      </c>
      <c r="AZ9" s="393">
        <f t="shared" si="13"/>
        <v>0</v>
      </c>
      <c r="BA9" s="390"/>
      <c r="BB9" s="394">
        <f t="shared" si="14"/>
        <v>0</v>
      </c>
      <c r="BC9" s="395">
        <f t="shared" si="15"/>
        <v>0</v>
      </c>
      <c r="BD9" s="395">
        <f t="shared" si="16"/>
        <v>0</v>
      </c>
      <c r="BE9" s="395">
        <f t="shared" si="17"/>
        <v>0</v>
      </c>
      <c r="BF9" s="395">
        <f t="shared" si="18"/>
        <v>-1.8704459252498691</v>
      </c>
      <c r="BG9" s="395">
        <f t="shared" si="19"/>
        <v>-2.0311799666074015</v>
      </c>
      <c r="BH9" s="395">
        <f t="shared" si="20"/>
        <v>0</v>
      </c>
      <c r="BI9" s="395">
        <f t="shared" si="21"/>
        <v>-0.25721508977138391</v>
      </c>
      <c r="BJ9" s="390">
        <f t="shared" si="22"/>
        <v>0</v>
      </c>
      <c r="BK9" s="393">
        <f t="shared" si="23"/>
        <v>-4.1588409816286545</v>
      </c>
      <c r="BL9" s="390"/>
      <c r="BM9" s="397">
        <f t="shared" si="24"/>
        <v>0</v>
      </c>
      <c r="BN9" s="398">
        <f t="shared" si="25"/>
        <v>0</v>
      </c>
      <c r="BO9" s="390"/>
      <c r="BP9" s="400">
        <f t="shared" si="26"/>
        <v>-36.460601202187718</v>
      </c>
      <c r="BQ9" s="401">
        <f t="shared" si="27"/>
        <v>0</v>
      </c>
      <c r="BR9" s="390"/>
      <c r="BS9" s="393">
        <f t="shared" si="28"/>
        <v>2.1665919643812294E-4</v>
      </c>
    </row>
    <row r="10" spans="1:71" x14ac:dyDescent="0.25">
      <c r="A10" s="197">
        <f t="shared" si="7"/>
        <v>43313</v>
      </c>
      <c r="B10" s="388">
        <f>IF($A10&lt;=baseData, INDEX(Indicadores!B:B, MATCH($A10,Indicadores!A:A, 0)), INDEX(Indicadores!B:B, MATCH(baseData,Indicadores!A:A, 0)))</f>
        <v>739.58299999999997</v>
      </c>
      <c r="C10" s="389">
        <f>IF($A10&lt;=baseData, INDEX(Indicadores!E:E, MATCH($A10, Indicadores!A:A, 0)), INDEX(Indicadores!E:E, MATCH(baseData, Indicadores!A:A, 0)))</f>
        <v>5056.5600000000004</v>
      </c>
      <c r="D10" s="390"/>
      <c r="E10" s="393">
        <f t="shared" si="29"/>
        <v>37371.439999999981</v>
      </c>
      <c r="F10" s="390"/>
      <c r="G10" s="392">
        <v>0</v>
      </c>
      <c r="H10" s="390">
        <f>IF($A10&gt;baseData, SUMPRODUCT('Tabela Vendas'!$R:$R,'Tabela Vendas'!$V:$V)*INDEX(Curvas!$Z:$Z,MATCH($A10,Curvas!$B:$B,0)), 0)</f>
        <v>0</v>
      </c>
      <c r="I10" s="390">
        <f>IFERROR(INDEX(Permutas!AJ:AJ, MATCH('Fluxo Projeto'!A10, Permutas!N:N, 0)), 0)</f>
        <v>0</v>
      </c>
      <c r="J10" s="390">
        <v>0</v>
      </c>
      <c r="K10" s="393">
        <f t="shared" si="0"/>
        <v>0</v>
      </c>
      <c r="L10" s="390"/>
      <c r="M10" s="394">
        <f>IF($A10&lt;=baseData,INDEX('LDI - Fluxo de Caixa'!$BD$18:$BT$374,MATCH('Fluxo Projeto'!$A10,'LDI - Fluxo de Caixa'!$C$18:$C$374,0),MATCH('Fluxo Projeto'!M$1,'LDI - Fluxo de Caixa'!$BD$14:$BT$14,0)),-pctImpostoSPE*K9)</f>
        <v>0</v>
      </c>
      <c r="N10" s="395">
        <f>IF($A10&lt;=baseData,INDEX('LDI - Fluxo de Caixa'!$BD$18:$BT$374,MATCH($A10,'LDI - Fluxo de Caixa'!$C$18:$C$374,0),MATCH('Fluxo Projeto'!N$1,'LDI - Fluxo de Caixa'!$BD$14:$BT$14,0)),INDEX(Obra!AA:AA,MATCH($A10,Obra!F:F,0)))</f>
        <v>0</v>
      </c>
      <c r="O10" s="395">
        <f>IF($A10&lt;=baseData,INDEX('LDI - Fluxo de Caixa'!$BD$18:$BT$374,MATCH($A10,'LDI - Fluxo de Caixa'!$C$18:$C$374,0),MATCH('Fluxo Projeto'!O$1,'LDI - Fluxo de Caixa'!$BD$14:$BT$14,0)),IF($A10=entrega,assistTecnicaObra*SUM($N$2:$N$86),0))</f>
        <v>0</v>
      </c>
      <c r="P10" s="395">
        <f>IF($A10&lt;=baseData, INDEX('LDI - Fluxo de Caixa'!$BD$18:$BT$374, MATCH('Fluxo Projeto'!$A10, 'LDI - Fluxo de Caixa'!$C$18:$C$374, 0), MATCH('Fluxo Projeto'!P$1, 'LDI - Fluxo de Caixa'!$BD$14:$BT$14, 0)), -IF($A10&gt;=entrega, INDEX(Curvas!R:R,MATCH($A10,Curvas!B:B,0))*(IPTU+condominio)*'Tabela Vendas'!$Y$22, 0))</f>
        <v>0</v>
      </c>
      <c r="Q10" s="395">
        <f>IF($A10&lt;=baseData, INDEX('LDI - Fluxo de Caixa'!$BD$18:$BT$374, MATCH('Fluxo Projeto'!$A10, 'LDI - Fluxo de Caixa'!$C$18:$C$374, 0), MATCH('Fluxo Projeto'!Q$1, 'LDI - Fluxo de Caixa'!$BD$14:$BT$14, 0)), (-pctIncorporaçaoSPE*SUM($G$4:$H$86)-SUMIF($A$4:$A$86, "&lt;="&amp;baseData, Q$4:Q$86))*(SUM($G10:$H10)/(SUMIF($A$4:$A$86, "&gt;"&amp;baseData, $G$4:$G$86)+SUMIF($A$4:$A$86, "&gt;"&amp;baseData, $H$4:$H$86))))</f>
        <v>-110.86</v>
      </c>
      <c r="R10" s="395">
        <f>IF($A10&lt;=baseData, INDEX('LDI - Fluxo de Caixa'!$BD$18:$BT$374, MATCH('Fluxo Projeto'!$A10, 'LDI - Fluxo de Caixa'!$C$18:$C$374, 0), MATCH('Fluxo Projeto'!R$1, 'LDI - Fluxo de Caixa'!$BD$14:$BT$14, 0)), (-pctMarketingSPE*SUM($G$4:$H$86)-SUMIF($A$4:$A$86, "&lt;="&amp;baseData, R$4:R$86))*(SUM($G10:$H10)/(SUMIF($A$4:$A$86, "&gt;"&amp;baseData, $G$4:$G$86)+SUMIF($A$4:$A$86, "&gt;"&amp;baseData, $H$4:$H$86))))</f>
        <v>-1500</v>
      </c>
      <c r="S10" s="395">
        <f>IF($A10&lt;=baseData,INDEX('LDI - Fluxo de Caixa'!$BD$18:$BT$374,MATCH($A10,'LDI - Fluxo de Caixa'!$C$18:$C$374,0),MATCH(S$1,'LDI - Fluxo de Caixa'!$BD$14:$BT$14,0)),-pctGestaoSPE*K9)</f>
        <v>0</v>
      </c>
      <c r="T10" s="395">
        <f>IF($A10&lt;=baseData, INDEX('LDI - Fluxo de Caixa'!$BD$18:$BT$374, MATCH('Fluxo Projeto'!$A10, 'LDI - Fluxo de Caixa'!$C$18:$C$374, 0), MATCH('Fluxo Projeto'!T$1, 'LDI - Fluxo de Caixa'!$BD$14:$BT$14, 0)), (-pctOutrasSPE*SUM($G$4:$H$86)-SUMIF($A$4:$A$86, "&lt;="&amp;baseData, T$4:T$86))*(SUM($G10:$H10)/(SUMIF($A$4:$A$86, "&gt;"&amp;baseData, $G$4:$G$86)+SUMIF($A$4:$A$86, "&gt;"&amp;baseData, $H$4:$H$86))))</f>
        <v>-429.8</v>
      </c>
      <c r="U10" s="395">
        <f>IF($A10&lt;=baseData, INDEX('LDI - Fluxo de Caixa'!$BD$18:$BT$374, MATCH('Fluxo Projeto'!$A10, 'LDI - Fluxo de Caixa'!$C$18:$C$374, 0), MATCH('Fluxo Projeto'!U$1, 'LDI - Fluxo de Caixa'!$BD$14:$BT$14, 0)), 0)</f>
        <v>0</v>
      </c>
      <c r="V10" s="393">
        <f t="shared" si="1"/>
        <v>-2040.6599999999999</v>
      </c>
      <c r="W10" s="390"/>
      <c r="X10" s="397">
        <f>INDEX('LDI - Fluxo de Caixa'!$BD$18:$BT$374, MATCH('Fluxo Projeto'!$A10, 'LDI - Fluxo de Caixa'!$C$18:$C$374, 0), MATCH('Fluxo Projeto'!X$1, 'LDI - Fluxo de Caixa'!$BD$14:$BT$14, 0))</f>
        <v>0</v>
      </c>
      <c r="Y10" s="398">
        <f>INDEX('LDI - Fluxo de Caixa'!$BD$18:$BT$374, MATCH('Fluxo Projeto'!$A10, 'LDI - Fluxo de Caixa'!$C$18:$C$374, 0), MATCH('Fluxo Projeto'!Y$1, 'LDI - Fluxo de Caixa'!$BD$14:$BT$14, 0))</f>
        <v>0</v>
      </c>
      <c r="Z10" s="390"/>
      <c r="AA10" s="397">
        <f>INDEX('LDI - Fluxo de Caixa'!$BD$18:$BT$374, MATCH('Fluxo Projeto'!$A10, 'LDI - Fluxo de Caixa'!$C$18:$C$374, 0), MATCH('Fluxo Projeto'!AA$1, 'LDI - Fluxo de Caixa'!$BD$14:$BT$14, 0))</f>
        <v>-43720.32</v>
      </c>
      <c r="AB10" s="398">
        <f>INDEX('LDI - Fluxo de Caixa'!$BD$18:$BT$374, MATCH('Fluxo Projeto'!$A10, 'LDI - Fluxo de Caixa'!$C$18:$C$374, 0), MATCH('Fluxo Projeto'!AB$1, 'LDI - Fluxo de Caixa'!$BD$14:$BT$14, 0))</f>
        <v>0</v>
      </c>
      <c r="AC10" s="390"/>
      <c r="AD10" s="393">
        <f t="shared" si="2"/>
        <v>-45760.979999999996</v>
      </c>
      <c r="AE10" s="390"/>
      <c r="AF10" s="393">
        <f>IF($A10&lt;=baseData, INDEX('LDI - Fluxo de Caixa'!$BD$18:$BT$374, MATCH('Fluxo Projeto'!$A10, 'LDI - Fluxo de Caixa'!$C$18:$C$374, 0), MATCH('Fluxo Projeto'!AF$1, 'LDI - Fluxo de Caixa'!$BD$14:$BT$14, 0)), $E10*CDI)</f>
        <v>75.3</v>
      </c>
      <c r="AG10" s="390"/>
      <c r="AH10" s="393">
        <f t="shared" si="3"/>
        <v>-8314.2400000000162</v>
      </c>
      <c r="AI10" s="390"/>
      <c r="AJ10" s="397">
        <f>IF($A10&lt;=baseData, INDEX('LDI - Fluxo de Caixa'!$BD$18:$BT$374, MATCH($A10, 'LDI - Fluxo de Caixa'!$C$18:$C$374, 0), MATCH(AJ$1, 'LDI - Fluxo de Caixa'!$BD$14:$BT$14, 0))-J10-I10, IF($A10&lt;inicioDistribuicoes,-IF(AH10&lt;cxMinSPEpreObra,IF(SUM($AD11:$AD22)-cxMinSPEpreObra+AH10&lt;0,SUM($AD11:$AD22)-cxMinSPEpreObra+AH10,IF(AH10&lt;0, AH10-cxMinSPEpreObra, 0)),0), 0))</f>
        <v>28000</v>
      </c>
      <c r="AK10" s="398">
        <f>INDEX('LDI - Fluxo de Caixa'!$BD$18:$BT$374, MATCH('Fluxo Projeto'!$A10, 'LDI - Fluxo de Caixa'!$C$18:$C$374, 0), MATCH('Fluxo Projeto'!AK$1, 'LDI - Fluxo de Caixa'!$BD$14:$BT$14, 0))</f>
        <v>0</v>
      </c>
      <c r="AL10" s="390"/>
      <c r="AM10" s="393">
        <f t="shared" si="4"/>
        <v>19685.759999999984</v>
      </c>
      <c r="AN10" s="390"/>
      <c r="AO10" s="399">
        <v>19685.75999999998</v>
      </c>
      <c r="AP10" s="390"/>
      <c r="AQ10" s="397">
        <f t="shared" si="5"/>
        <v>-28000</v>
      </c>
      <c r="AR10" s="398">
        <f t="shared" si="8"/>
        <v>-982663.82000000007</v>
      </c>
      <c r="AS10" s="390"/>
      <c r="AT10" s="393">
        <f t="shared" si="6"/>
        <v>-30380.843893872516</v>
      </c>
      <c r="AV10" s="397">
        <f t="shared" si="9"/>
        <v>0</v>
      </c>
      <c r="AW10" s="390">
        <f t="shared" si="10"/>
        <v>0</v>
      </c>
      <c r="AX10" s="390">
        <f t="shared" si="11"/>
        <v>0</v>
      </c>
      <c r="AY10" s="390">
        <f t="shared" si="12"/>
        <v>0</v>
      </c>
      <c r="AZ10" s="393">
        <f t="shared" si="13"/>
        <v>0</v>
      </c>
      <c r="BA10" s="390"/>
      <c r="BB10" s="394">
        <f t="shared" si="14"/>
        <v>0</v>
      </c>
      <c r="BC10" s="395">
        <f t="shared" si="15"/>
        <v>0</v>
      </c>
      <c r="BD10" s="395">
        <f t="shared" si="16"/>
        <v>0</v>
      </c>
      <c r="BE10" s="395">
        <f t="shared" si="17"/>
        <v>0</v>
      </c>
      <c r="BF10" s="395">
        <f t="shared" si="18"/>
        <v>-0.14989527882604117</v>
      </c>
      <c r="BG10" s="395">
        <f t="shared" si="19"/>
        <v>-2.0281699281892633</v>
      </c>
      <c r="BH10" s="395">
        <f t="shared" si="20"/>
        <v>0</v>
      </c>
      <c r="BI10" s="395">
        <f t="shared" si="21"/>
        <v>-0.581138290090497</v>
      </c>
      <c r="BJ10" s="390">
        <f t="shared" si="22"/>
        <v>0</v>
      </c>
      <c r="BK10" s="393">
        <f t="shared" si="23"/>
        <v>-2.7592034971058017</v>
      </c>
      <c r="BL10" s="390"/>
      <c r="BM10" s="397">
        <f t="shared" si="24"/>
        <v>0</v>
      </c>
      <c r="BN10" s="398">
        <f t="shared" si="25"/>
        <v>0</v>
      </c>
      <c r="BO10" s="390"/>
      <c r="BP10" s="400">
        <f t="shared" si="26"/>
        <v>-59.114825516541082</v>
      </c>
      <c r="BQ10" s="401">
        <f t="shared" si="27"/>
        <v>0</v>
      </c>
      <c r="BR10" s="390"/>
      <c r="BS10" s="393">
        <f t="shared" si="28"/>
        <v>0.10181413039510102</v>
      </c>
    </row>
    <row r="11" spans="1:71" x14ac:dyDescent="0.25">
      <c r="A11" s="197">
        <f t="shared" si="7"/>
        <v>43344</v>
      </c>
      <c r="B11" s="388">
        <f>IF($A11&lt;=baseData, INDEX(Indicadores!B:B, MATCH($A11,Indicadores!A:A, 0)), INDEX(Indicadores!B:B, MATCH(baseData,Indicadores!A:A, 0)))</f>
        <v>741.30499999999995</v>
      </c>
      <c r="C11" s="389">
        <f>IF($A11&lt;=baseData, INDEX(Indicadores!E:E, MATCH($A11, Indicadores!A:A, 0)), INDEX(Indicadores!E:E, MATCH(baseData, Indicadores!A:A, 0)))</f>
        <v>5080.83</v>
      </c>
      <c r="D11" s="390"/>
      <c r="E11" s="393">
        <f t="shared" si="29"/>
        <v>19685.75999999998</v>
      </c>
      <c r="F11" s="390"/>
      <c r="G11" s="392">
        <v>0</v>
      </c>
      <c r="H11" s="390">
        <f>IF($A11&gt;baseData, SUMPRODUCT('Tabela Vendas'!$R:$R,'Tabela Vendas'!$V:$V)*INDEX(Curvas!$Z:$Z,MATCH($A11,Curvas!$B:$B,0)), 0)</f>
        <v>0</v>
      </c>
      <c r="I11" s="390">
        <f>IFERROR(INDEX(Permutas!AJ:AJ, MATCH('Fluxo Projeto'!A11, Permutas!N:N, 0)), 0)</f>
        <v>0</v>
      </c>
      <c r="J11" s="390">
        <v>0</v>
      </c>
      <c r="K11" s="393">
        <f t="shared" si="0"/>
        <v>0</v>
      </c>
      <c r="L11" s="390"/>
      <c r="M11" s="394">
        <f>IF($A11&lt;=baseData,INDEX('LDI - Fluxo de Caixa'!$BD$18:$BT$374,MATCH('Fluxo Projeto'!$A11,'LDI - Fluxo de Caixa'!$C$18:$C$374,0),MATCH('Fluxo Projeto'!M$1,'LDI - Fluxo de Caixa'!$BD$14:$BT$14,0)),-pctImpostoSPE*K10)</f>
        <v>0</v>
      </c>
      <c r="N11" s="395">
        <f>IF($A11&lt;=baseData,INDEX('LDI - Fluxo de Caixa'!$BD$18:$BT$374,MATCH($A11,'LDI - Fluxo de Caixa'!$C$18:$C$374,0),MATCH('Fluxo Projeto'!N$1,'LDI - Fluxo de Caixa'!$BD$14:$BT$14,0)),INDEX(Obra!AA:AA,MATCH($A11,Obra!F:F,0)))</f>
        <v>0</v>
      </c>
      <c r="O11" s="395">
        <f>IF($A11&lt;=baseData,INDEX('LDI - Fluxo de Caixa'!$BD$18:$BT$374,MATCH($A11,'LDI - Fluxo de Caixa'!$C$18:$C$374,0),MATCH('Fluxo Projeto'!O$1,'LDI - Fluxo de Caixa'!$BD$14:$BT$14,0)),IF($A11=entrega,assistTecnicaObra*SUM($N$2:$N$86),0))</f>
        <v>0</v>
      </c>
      <c r="P11" s="395">
        <f>IF($A11&lt;=baseData, INDEX('LDI - Fluxo de Caixa'!$BD$18:$BT$374, MATCH('Fluxo Projeto'!$A11, 'LDI - Fluxo de Caixa'!$C$18:$C$374, 0), MATCH('Fluxo Projeto'!P$1, 'LDI - Fluxo de Caixa'!$BD$14:$BT$14, 0)), -IF($A11&gt;=entrega, INDEX(Curvas!R:R,MATCH($A11,Curvas!B:B,0))*(IPTU+condominio)*'Tabela Vendas'!$Y$22, 0))</f>
        <v>0</v>
      </c>
      <c r="Q11" s="395">
        <f>IF($A11&lt;=baseData, INDEX('LDI - Fluxo de Caixa'!$BD$18:$BT$374, MATCH('Fluxo Projeto'!$A11, 'LDI - Fluxo de Caixa'!$C$18:$C$374, 0), MATCH('Fluxo Projeto'!Q$1, 'LDI - Fluxo de Caixa'!$BD$14:$BT$14, 0)), (-pctIncorporaçaoSPE*SUM($G$4:$H$86)-SUMIF($A$4:$A$86, "&lt;="&amp;baseData, Q$4:Q$86))*(SUM($G11:$H11)/(SUMIF($A$4:$A$86, "&gt;"&amp;baseData, $G$4:$G$86)+SUMIF($A$4:$A$86, "&gt;"&amp;baseData, $H$4:$H$86))))</f>
        <v>0</v>
      </c>
      <c r="R11" s="395">
        <f>IF($A11&lt;=baseData, INDEX('LDI - Fluxo de Caixa'!$BD$18:$BT$374, MATCH('Fluxo Projeto'!$A11, 'LDI - Fluxo de Caixa'!$C$18:$C$374, 0), MATCH('Fluxo Projeto'!R$1, 'LDI - Fluxo de Caixa'!$BD$14:$BT$14, 0)), (-pctMarketingSPE*SUM($G$4:$H$86)-SUMIF($A$4:$A$86, "&lt;="&amp;baseData, R$4:R$86))*(SUM($G11:$H11)/(SUMIF($A$4:$A$86, "&gt;"&amp;baseData, $G$4:$G$86)+SUMIF($A$4:$A$86, "&gt;"&amp;baseData, $H$4:$H$86))))</f>
        <v>0</v>
      </c>
      <c r="S11" s="395">
        <f>IF($A11&lt;=baseData,INDEX('LDI - Fluxo de Caixa'!$BD$18:$BT$374,MATCH($A11,'LDI - Fluxo de Caixa'!$C$18:$C$374,0),MATCH(S$1,'LDI - Fluxo de Caixa'!$BD$14:$BT$14,0)),-pctGestaoSPE*K10)</f>
        <v>0</v>
      </c>
      <c r="T11" s="395">
        <f>IF($A11&lt;=baseData, INDEX('LDI - Fluxo de Caixa'!$BD$18:$BT$374, MATCH('Fluxo Projeto'!$A11, 'LDI - Fluxo de Caixa'!$C$18:$C$374, 0), MATCH('Fluxo Projeto'!T$1, 'LDI - Fluxo de Caixa'!$BD$14:$BT$14, 0)), (-pctOutrasSPE*SUM($G$4:$H$86)-SUMIF($A$4:$A$86, "&lt;="&amp;baseData, T$4:T$86))*(SUM($G11:$H11)/(SUMIF($A$4:$A$86, "&gt;"&amp;baseData, $G$4:$G$86)+SUMIF($A$4:$A$86, "&gt;"&amp;baseData, $H$4:$H$86))))</f>
        <v>-247.4</v>
      </c>
      <c r="U11" s="395">
        <f>IF($A11&lt;=baseData, INDEX('LDI - Fluxo de Caixa'!$BD$18:$BT$374, MATCH('Fluxo Projeto'!$A11, 'LDI - Fluxo de Caixa'!$C$18:$C$374, 0), MATCH('Fluxo Projeto'!U$1, 'LDI - Fluxo de Caixa'!$BD$14:$BT$14, 0)), 0)</f>
        <v>0</v>
      </c>
      <c r="V11" s="393">
        <f t="shared" si="1"/>
        <v>-247.4</v>
      </c>
      <c r="W11" s="390"/>
      <c r="X11" s="397">
        <f>INDEX('LDI - Fluxo de Caixa'!$BD$18:$BT$374, MATCH('Fluxo Projeto'!$A11, 'LDI - Fluxo de Caixa'!$C$18:$C$374, 0), MATCH('Fluxo Projeto'!X$1, 'LDI - Fluxo de Caixa'!$BD$14:$BT$14, 0))</f>
        <v>0</v>
      </c>
      <c r="Y11" s="398">
        <f>INDEX('LDI - Fluxo de Caixa'!$BD$18:$BT$374, MATCH('Fluxo Projeto'!$A11, 'LDI - Fluxo de Caixa'!$C$18:$C$374, 0), MATCH('Fluxo Projeto'!Y$1, 'LDI - Fluxo de Caixa'!$BD$14:$BT$14, 0))</f>
        <v>0</v>
      </c>
      <c r="Z11" s="390"/>
      <c r="AA11" s="397">
        <f>INDEX('LDI - Fluxo de Caixa'!$BD$18:$BT$374, MATCH('Fluxo Projeto'!$A11, 'LDI - Fluxo de Caixa'!$C$18:$C$374, 0), MATCH('Fluxo Projeto'!AA$1, 'LDI - Fluxo de Caixa'!$BD$14:$BT$14, 0))</f>
        <v>-27953.17</v>
      </c>
      <c r="AB11" s="398">
        <f>INDEX('LDI - Fluxo de Caixa'!$BD$18:$BT$374, MATCH('Fluxo Projeto'!$A11, 'LDI - Fluxo de Caixa'!$C$18:$C$374, 0), MATCH('Fluxo Projeto'!AB$1, 'LDI - Fluxo de Caixa'!$BD$14:$BT$14, 0))</f>
        <v>0</v>
      </c>
      <c r="AC11" s="390"/>
      <c r="AD11" s="393">
        <f t="shared" si="2"/>
        <v>-28200.57</v>
      </c>
      <c r="AE11" s="390"/>
      <c r="AF11" s="393">
        <f>IF($A11&lt;=baseData, INDEX('LDI - Fluxo de Caixa'!$BD$18:$BT$374, MATCH('Fluxo Projeto'!$A11, 'LDI - Fluxo de Caixa'!$C$18:$C$374, 0), MATCH('Fluxo Projeto'!AF$1, 'LDI - Fluxo de Caixa'!$BD$14:$BT$14, 0)), $E11*CDI)</f>
        <v>78.3</v>
      </c>
      <c r="AG11" s="390"/>
      <c r="AH11" s="393">
        <f t="shared" si="3"/>
        <v>-8436.5100000000202</v>
      </c>
      <c r="AI11" s="390"/>
      <c r="AJ11" s="397">
        <f>IF($A11&lt;=baseData, INDEX('LDI - Fluxo de Caixa'!$BD$18:$BT$374, MATCH($A11, 'LDI - Fluxo de Caixa'!$C$18:$C$374, 0), MATCH(AJ$1, 'LDI - Fluxo de Caixa'!$BD$14:$BT$14, 0))-J11-I11, IF($A11&lt;inicioDistribuicoes,-IF(AH11&lt;cxMinSPEpreObra,IF(SUM($AD12:$AD23)-cxMinSPEpreObra+AH11&lt;0,SUM($AD12:$AD23)-cxMinSPEpreObra+AH11,IF(AH11&lt;0, AH11-cxMinSPEpreObra, 0)),0), 0))</f>
        <v>36112.06</v>
      </c>
      <c r="AK11" s="398">
        <f>INDEX('LDI - Fluxo de Caixa'!$BD$18:$BT$374, MATCH('Fluxo Projeto'!$A11, 'LDI - Fluxo de Caixa'!$C$18:$C$374, 0), MATCH('Fluxo Projeto'!AK$1, 'LDI - Fluxo de Caixa'!$BD$14:$BT$14, 0))</f>
        <v>0</v>
      </c>
      <c r="AL11" s="390"/>
      <c r="AM11" s="393">
        <f t="shared" si="4"/>
        <v>27675.549999999977</v>
      </c>
      <c r="AN11" s="390"/>
      <c r="AO11" s="399">
        <v>27675.549999999981</v>
      </c>
      <c r="AP11" s="390"/>
      <c r="AQ11" s="397">
        <f t="shared" si="5"/>
        <v>-36112.06</v>
      </c>
      <c r="AR11" s="398">
        <f t="shared" si="8"/>
        <v>-1018775.8800000001</v>
      </c>
      <c r="AS11" s="390"/>
      <c r="AT11" s="393">
        <f t="shared" si="6"/>
        <v>-38995.506527712991</v>
      </c>
      <c r="AV11" s="397">
        <f t="shared" si="9"/>
        <v>0</v>
      </c>
      <c r="AW11" s="390">
        <f t="shared" si="10"/>
        <v>0</v>
      </c>
      <c r="AX11" s="390">
        <f t="shared" si="11"/>
        <v>0</v>
      </c>
      <c r="AY11" s="390">
        <f t="shared" si="12"/>
        <v>0</v>
      </c>
      <c r="AZ11" s="393">
        <f t="shared" si="13"/>
        <v>0</v>
      </c>
      <c r="BA11" s="390"/>
      <c r="BB11" s="394">
        <f t="shared" si="14"/>
        <v>0</v>
      </c>
      <c r="BC11" s="395">
        <f t="shared" si="15"/>
        <v>0</v>
      </c>
      <c r="BD11" s="395">
        <f t="shared" si="16"/>
        <v>0</v>
      </c>
      <c r="BE11" s="395">
        <f t="shared" si="17"/>
        <v>0</v>
      </c>
      <c r="BF11" s="395">
        <f t="shared" si="18"/>
        <v>0</v>
      </c>
      <c r="BG11" s="395">
        <f t="shared" si="19"/>
        <v>0</v>
      </c>
      <c r="BH11" s="395">
        <f t="shared" si="20"/>
        <v>0</v>
      </c>
      <c r="BI11" s="395">
        <f t="shared" si="21"/>
        <v>-0.33373577677204391</v>
      </c>
      <c r="BJ11" s="390">
        <f t="shared" si="22"/>
        <v>0</v>
      </c>
      <c r="BK11" s="393">
        <f t="shared" si="23"/>
        <v>-0.33373577677204391</v>
      </c>
      <c r="BL11" s="390"/>
      <c r="BM11" s="397">
        <f t="shared" si="24"/>
        <v>0</v>
      </c>
      <c r="BN11" s="398">
        <f t="shared" si="25"/>
        <v>0</v>
      </c>
      <c r="BO11" s="390"/>
      <c r="BP11" s="400">
        <f t="shared" si="26"/>
        <v>-37.708055388807573</v>
      </c>
      <c r="BQ11" s="401">
        <f t="shared" si="27"/>
        <v>0</v>
      </c>
      <c r="BR11" s="390"/>
      <c r="BS11" s="393">
        <f t="shared" si="28"/>
        <v>0.10562454050626935</v>
      </c>
    </row>
    <row r="12" spans="1:71" x14ac:dyDescent="0.25">
      <c r="A12" s="197">
        <f t="shared" si="7"/>
        <v>43374</v>
      </c>
      <c r="B12" s="388">
        <f>IF($A12&lt;=baseData, INDEX(Indicadores!B:B, MATCH($A12,Indicadores!A:A, 0)), INDEX(Indicadores!B:B, MATCH(baseData,Indicadores!A:A, 0)))</f>
        <v>743.86599999999999</v>
      </c>
      <c r="C12" s="389">
        <f>IF($A12&lt;=baseData, INDEX(Indicadores!E:E, MATCH($A12, Indicadores!A:A, 0)), INDEX(Indicadores!E:E, MATCH(baseData, Indicadores!A:A, 0)))</f>
        <v>5103.6899999999996</v>
      </c>
      <c r="D12" s="390"/>
      <c r="E12" s="393">
        <f t="shared" si="29"/>
        <v>27675.549999999981</v>
      </c>
      <c r="F12" s="390"/>
      <c r="G12" s="392">
        <v>0</v>
      </c>
      <c r="H12" s="390">
        <f>IF($A12&gt;baseData, SUMPRODUCT('Tabela Vendas'!$R:$R,'Tabela Vendas'!$V:$V)*INDEX(Curvas!$Z:$Z,MATCH($A12,Curvas!$B:$B,0)), 0)</f>
        <v>0</v>
      </c>
      <c r="I12" s="390">
        <f>IFERROR(INDEX(Permutas!AJ:AJ, MATCH('Fluxo Projeto'!A12, Permutas!N:N, 0)), 0)</f>
        <v>0</v>
      </c>
      <c r="J12" s="390">
        <v>0</v>
      </c>
      <c r="K12" s="393">
        <f t="shared" si="0"/>
        <v>0</v>
      </c>
      <c r="L12" s="390"/>
      <c r="M12" s="394">
        <f>IF($A12&lt;=baseData,INDEX('LDI - Fluxo de Caixa'!$BD$18:$BT$374,MATCH('Fluxo Projeto'!$A12,'LDI - Fluxo de Caixa'!$C$18:$C$374,0),MATCH('Fluxo Projeto'!M$1,'LDI - Fluxo de Caixa'!$BD$14:$BT$14,0)),-pctImpostoSPE*K11)</f>
        <v>-18.89</v>
      </c>
      <c r="N12" s="395">
        <f>IF($A12&lt;=baseData,INDEX('LDI - Fluxo de Caixa'!$BD$18:$BT$374,MATCH($A12,'LDI - Fluxo de Caixa'!$C$18:$C$374,0),MATCH('Fluxo Projeto'!N$1,'LDI - Fluxo de Caixa'!$BD$14:$BT$14,0)),INDEX(Obra!AA:AA,MATCH($A12,Obra!F:F,0)))</f>
        <v>0</v>
      </c>
      <c r="O12" s="395">
        <f>IF($A12&lt;=baseData,INDEX('LDI - Fluxo de Caixa'!$BD$18:$BT$374,MATCH($A12,'LDI - Fluxo de Caixa'!$C$18:$C$374,0),MATCH('Fluxo Projeto'!O$1,'LDI - Fluxo de Caixa'!$BD$14:$BT$14,0)),IF($A12=entrega,assistTecnicaObra*SUM($N$2:$N$86),0))</f>
        <v>0</v>
      </c>
      <c r="P12" s="395">
        <f>IF($A12&lt;=baseData, INDEX('LDI - Fluxo de Caixa'!$BD$18:$BT$374, MATCH('Fluxo Projeto'!$A12, 'LDI - Fluxo de Caixa'!$C$18:$C$374, 0), MATCH('Fluxo Projeto'!P$1, 'LDI - Fluxo de Caixa'!$BD$14:$BT$14, 0)), -IF($A12&gt;=entrega, INDEX(Curvas!R:R,MATCH($A12,Curvas!B:B,0))*(IPTU+condominio)*'Tabela Vendas'!$Y$22, 0))</f>
        <v>0</v>
      </c>
      <c r="Q12" s="395">
        <f>IF($A12&lt;=baseData, INDEX('LDI - Fluxo de Caixa'!$BD$18:$BT$374, MATCH('Fluxo Projeto'!$A12, 'LDI - Fluxo de Caixa'!$C$18:$C$374, 0), MATCH('Fluxo Projeto'!Q$1, 'LDI - Fluxo de Caixa'!$BD$14:$BT$14, 0)), (-pctIncorporaçaoSPE*SUM($G$4:$H$86)-SUMIF($A$4:$A$86, "&lt;="&amp;baseData, Q$4:Q$86))*(SUM($G12:$H12)/(SUMIF($A$4:$A$86, "&gt;"&amp;baseData, $G$4:$G$86)+SUMIF($A$4:$A$86, "&gt;"&amp;baseData, $H$4:$H$86))))</f>
        <v>0</v>
      </c>
      <c r="R12" s="395">
        <f>IF($A12&lt;=baseData, INDEX('LDI - Fluxo de Caixa'!$BD$18:$BT$374, MATCH('Fluxo Projeto'!$A12, 'LDI - Fluxo de Caixa'!$C$18:$C$374, 0), MATCH('Fluxo Projeto'!R$1, 'LDI - Fluxo de Caixa'!$BD$14:$BT$14, 0)), (-pctMarketingSPE*SUM($G$4:$H$86)-SUMIF($A$4:$A$86, "&lt;="&amp;baseData, R$4:R$86))*(SUM($G12:$H12)/(SUMIF($A$4:$A$86, "&gt;"&amp;baseData, $G$4:$G$86)+SUMIF($A$4:$A$86, "&gt;"&amp;baseData, $H$4:$H$86))))</f>
        <v>0</v>
      </c>
      <c r="S12" s="395">
        <f>IF($A12&lt;=baseData,INDEX('LDI - Fluxo de Caixa'!$BD$18:$BT$374,MATCH($A12,'LDI - Fluxo de Caixa'!$C$18:$C$374,0),MATCH(S$1,'LDI - Fluxo de Caixa'!$BD$14:$BT$14,0)),-pctGestaoSPE*K11)</f>
        <v>0</v>
      </c>
      <c r="T12" s="395">
        <f>IF($A12&lt;=baseData, INDEX('LDI - Fluxo de Caixa'!$BD$18:$BT$374, MATCH('Fluxo Projeto'!$A12, 'LDI - Fluxo de Caixa'!$C$18:$C$374, 0), MATCH('Fluxo Projeto'!T$1, 'LDI - Fluxo de Caixa'!$BD$14:$BT$14, 0)), (-pctOutrasSPE*SUM($G$4:$H$86)-SUMIF($A$4:$A$86, "&lt;="&amp;baseData, T$4:T$86))*(SUM($G12:$H12)/(SUMIF($A$4:$A$86, "&gt;"&amp;baseData, $G$4:$G$86)+SUMIF($A$4:$A$86, "&gt;"&amp;baseData, $H$4:$H$86))))</f>
        <v>-256.25</v>
      </c>
      <c r="U12" s="395">
        <f>IF($A12&lt;=baseData, INDEX('LDI - Fluxo de Caixa'!$BD$18:$BT$374, MATCH('Fluxo Projeto'!$A12, 'LDI - Fluxo de Caixa'!$C$18:$C$374, 0), MATCH('Fluxo Projeto'!U$1, 'LDI - Fluxo de Caixa'!$BD$14:$BT$14, 0)), 0)</f>
        <v>0</v>
      </c>
      <c r="V12" s="393">
        <f t="shared" si="1"/>
        <v>-275.14</v>
      </c>
      <c r="W12" s="390"/>
      <c r="X12" s="397">
        <f>INDEX('LDI - Fluxo de Caixa'!$BD$18:$BT$374, MATCH('Fluxo Projeto'!$A12, 'LDI - Fluxo de Caixa'!$C$18:$C$374, 0), MATCH('Fluxo Projeto'!X$1, 'LDI - Fluxo de Caixa'!$BD$14:$BT$14, 0))</f>
        <v>0</v>
      </c>
      <c r="Y12" s="398">
        <f>INDEX('LDI - Fluxo de Caixa'!$BD$18:$BT$374, MATCH('Fluxo Projeto'!$A12, 'LDI - Fluxo de Caixa'!$C$18:$C$374, 0), MATCH('Fluxo Projeto'!Y$1, 'LDI - Fluxo de Caixa'!$BD$14:$BT$14, 0))</f>
        <v>0</v>
      </c>
      <c r="Z12" s="390"/>
      <c r="AA12" s="397">
        <f>INDEX('LDI - Fluxo de Caixa'!$BD$18:$BT$374, MATCH('Fluxo Projeto'!$A12, 'LDI - Fluxo de Caixa'!$C$18:$C$374, 0), MATCH('Fluxo Projeto'!AA$1, 'LDI - Fluxo de Caixa'!$BD$14:$BT$14, 0))</f>
        <v>-25157.52</v>
      </c>
      <c r="AB12" s="398">
        <f>INDEX('LDI - Fluxo de Caixa'!$BD$18:$BT$374, MATCH('Fluxo Projeto'!$A12, 'LDI - Fluxo de Caixa'!$C$18:$C$374, 0), MATCH('Fluxo Projeto'!AB$1, 'LDI - Fluxo de Caixa'!$BD$14:$BT$14, 0))</f>
        <v>0</v>
      </c>
      <c r="AC12" s="390"/>
      <c r="AD12" s="393">
        <f t="shared" si="2"/>
        <v>-25432.66</v>
      </c>
      <c r="AE12" s="390"/>
      <c r="AF12" s="393">
        <f>IF($A12&lt;=baseData, INDEX('LDI - Fluxo de Caixa'!$BD$18:$BT$374, MATCH('Fluxo Projeto'!$A12, 'LDI - Fluxo de Caixa'!$C$18:$C$374, 0), MATCH('Fluxo Projeto'!AF$1, 'LDI - Fluxo de Caixa'!$BD$14:$BT$14, 0)), $E12*CDI)</f>
        <v>205.05</v>
      </c>
      <c r="AG12" s="390"/>
      <c r="AH12" s="393">
        <f t="shared" si="3"/>
        <v>2447.9399999999814</v>
      </c>
      <c r="AI12" s="390"/>
      <c r="AJ12" s="397">
        <f>IF($A12&lt;=baseData, INDEX('LDI - Fluxo de Caixa'!$BD$18:$BT$374, MATCH($A12, 'LDI - Fluxo de Caixa'!$C$18:$C$374, 0), MATCH(AJ$1, 'LDI - Fluxo de Caixa'!$BD$14:$BT$14, 0))-J12-I12, IF($A12&lt;inicioDistribuicoes,-IF(AH12&lt;cxMinSPEpreObra,IF(SUM($AD13:$AD24)-cxMinSPEpreObra+AH12&lt;0,SUM($AD13:$AD24)-cxMinSPEpreObra+AH12,IF(AH12&lt;0, AH12-cxMinSPEpreObra, 0)),0), 0))</f>
        <v>52000</v>
      </c>
      <c r="AK12" s="398">
        <f>INDEX('LDI - Fluxo de Caixa'!$BD$18:$BT$374, MATCH('Fluxo Projeto'!$A12, 'LDI - Fluxo de Caixa'!$C$18:$C$374, 0), MATCH('Fluxo Projeto'!AK$1, 'LDI - Fluxo de Caixa'!$BD$14:$BT$14, 0))</f>
        <v>0</v>
      </c>
      <c r="AL12" s="390"/>
      <c r="AM12" s="393">
        <f t="shared" si="4"/>
        <v>54447.939999999981</v>
      </c>
      <c r="AN12" s="390"/>
      <c r="AO12" s="399">
        <v>54447.939999999981</v>
      </c>
      <c r="AP12" s="390"/>
      <c r="AQ12" s="397">
        <f t="shared" si="5"/>
        <v>-52000</v>
      </c>
      <c r="AR12" s="398">
        <f t="shared" si="8"/>
        <v>-1070775.8800000001</v>
      </c>
      <c r="AS12" s="390"/>
      <c r="AT12" s="393">
        <f t="shared" si="6"/>
        <v>-55900.542548626589</v>
      </c>
      <c r="AV12" s="397">
        <f t="shared" si="9"/>
        <v>0</v>
      </c>
      <c r="AW12" s="390">
        <f t="shared" si="10"/>
        <v>0</v>
      </c>
      <c r="AX12" s="390">
        <f t="shared" si="11"/>
        <v>0</v>
      </c>
      <c r="AY12" s="390">
        <f t="shared" si="12"/>
        <v>0</v>
      </c>
      <c r="AZ12" s="393">
        <f t="shared" si="13"/>
        <v>0</v>
      </c>
      <c r="BA12" s="390"/>
      <c r="BB12" s="394">
        <f t="shared" si="14"/>
        <v>-2.5394358661371807E-2</v>
      </c>
      <c r="BC12" s="395">
        <f t="shared" si="15"/>
        <v>0</v>
      </c>
      <c r="BD12" s="395">
        <f t="shared" si="16"/>
        <v>0</v>
      </c>
      <c r="BE12" s="395">
        <f t="shared" si="17"/>
        <v>0</v>
      </c>
      <c r="BF12" s="395">
        <f t="shared" si="18"/>
        <v>0</v>
      </c>
      <c r="BG12" s="395">
        <f t="shared" si="19"/>
        <v>0</v>
      </c>
      <c r="BH12" s="395">
        <f t="shared" si="20"/>
        <v>0</v>
      </c>
      <c r="BI12" s="395">
        <f t="shared" si="21"/>
        <v>-0.3444840871877462</v>
      </c>
      <c r="BJ12" s="390">
        <f t="shared" si="22"/>
        <v>0</v>
      </c>
      <c r="BK12" s="393">
        <f t="shared" si="23"/>
        <v>-0.369878445849118</v>
      </c>
      <c r="BL12" s="390"/>
      <c r="BM12" s="397">
        <f t="shared" si="24"/>
        <v>0</v>
      </c>
      <c r="BN12" s="398">
        <f t="shared" si="25"/>
        <v>0</v>
      </c>
      <c r="BO12" s="390"/>
      <c r="BP12" s="400">
        <f t="shared" si="26"/>
        <v>-33.819962197492558</v>
      </c>
      <c r="BQ12" s="401">
        <f t="shared" si="27"/>
        <v>0</v>
      </c>
      <c r="BR12" s="390"/>
      <c r="BS12" s="393">
        <f t="shared" si="28"/>
        <v>0.27565448615745314</v>
      </c>
    </row>
    <row r="13" spans="1:71" x14ac:dyDescent="0.25">
      <c r="A13" s="197">
        <f t="shared" si="7"/>
        <v>43405</v>
      </c>
      <c r="B13" s="388">
        <f>IF($A13&lt;=baseData, INDEX(Indicadores!B:B, MATCH($A13,Indicadores!A:A, 0)), INDEX(Indicadores!B:B, MATCH(baseData,Indicadores!A:A, 0)))</f>
        <v>744.86500000000001</v>
      </c>
      <c r="C13" s="389">
        <f>IF($A13&lt;=baseData, INDEX(Indicadores!E:E, MATCH($A13, Indicadores!A:A, 0)), INDEX(Indicadores!E:E, MATCH(baseData, Indicadores!A:A, 0)))</f>
        <v>5092.97</v>
      </c>
      <c r="D13" s="390"/>
      <c r="E13" s="393">
        <f t="shared" si="29"/>
        <v>54447.939999999981</v>
      </c>
      <c r="F13" s="390"/>
      <c r="G13" s="392">
        <v>0</v>
      </c>
      <c r="H13" s="390">
        <f>IF($A13&gt;baseData, SUMPRODUCT('Tabela Vendas'!$R:$R,'Tabela Vendas'!$V:$V)*INDEX(Curvas!$Z:$Z,MATCH($A13,Curvas!$B:$B,0)), 0)</f>
        <v>0</v>
      </c>
      <c r="I13" s="390">
        <f>IFERROR(INDEX(Permutas!AJ:AJ, MATCH('Fluxo Projeto'!A13, Permutas!N:N, 0)), 0)</f>
        <v>0</v>
      </c>
      <c r="J13" s="390">
        <v>0</v>
      </c>
      <c r="K13" s="393">
        <f t="shared" si="0"/>
        <v>0</v>
      </c>
      <c r="L13" s="390"/>
      <c r="M13" s="394">
        <f>IF($A13&lt;=baseData,INDEX('LDI - Fluxo de Caixa'!$BD$18:$BT$374,MATCH('Fluxo Projeto'!$A13,'LDI - Fluxo de Caixa'!$C$18:$C$374,0),MATCH('Fluxo Projeto'!M$1,'LDI - Fluxo de Caixa'!$BD$14:$BT$14,0)),-pctImpostoSPE*K12)</f>
        <v>0</v>
      </c>
      <c r="N13" s="395">
        <f>IF($A13&lt;=baseData,INDEX('LDI - Fluxo de Caixa'!$BD$18:$BT$374,MATCH($A13,'LDI - Fluxo de Caixa'!$C$18:$C$374,0),MATCH('Fluxo Projeto'!N$1,'LDI - Fluxo de Caixa'!$BD$14:$BT$14,0)),INDEX(Obra!AA:AA,MATCH($A13,Obra!F:F,0)))</f>
        <v>0</v>
      </c>
      <c r="O13" s="395">
        <f>IF($A13&lt;=baseData,INDEX('LDI - Fluxo de Caixa'!$BD$18:$BT$374,MATCH($A13,'LDI - Fluxo de Caixa'!$C$18:$C$374,0),MATCH('Fluxo Projeto'!O$1,'LDI - Fluxo de Caixa'!$BD$14:$BT$14,0)),IF($A13=entrega,assistTecnicaObra*SUM($N$2:$N$86),0))</f>
        <v>0</v>
      </c>
      <c r="P13" s="395">
        <f>IF($A13&lt;=baseData, INDEX('LDI - Fluxo de Caixa'!$BD$18:$BT$374, MATCH('Fluxo Projeto'!$A13, 'LDI - Fluxo de Caixa'!$C$18:$C$374, 0), MATCH('Fluxo Projeto'!P$1, 'LDI - Fluxo de Caixa'!$BD$14:$BT$14, 0)), -IF($A13&gt;=entrega, INDEX(Curvas!R:R,MATCH($A13,Curvas!B:B,0))*(IPTU+condominio)*'Tabela Vendas'!$Y$22, 0))</f>
        <v>0</v>
      </c>
      <c r="Q13" s="395">
        <f>IF($A13&lt;=baseData, INDEX('LDI - Fluxo de Caixa'!$BD$18:$BT$374, MATCH('Fluxo Projeto'!$A13, 'LDI - Fluxo de Caixa'!$C$18:$C$374, 0), MATCH('Fluxo Projeto'!Q$1, 'LDI - Fluxo de Caixa'!$BD$14:$BT$14, 0)), (-pctIncorporaçaoSPE*SUM($G$4:$H$86)-SUMIF($A$4:$A$86, "&lt;="&amp;baseData, Q$4:Q$86))*(SUM($G13:$H13)/(SUMIF($A$4:$A$86, "&gt;"&amp;baseData, $G$4:$G$86)+SUMIF($A$4:$A$86, "&gt;"&amp;baseData, $H$4:$H$86))))</f>
        <v>-32569.85</v>
      </c>
      <c r="R13" s="395">
        <f>IF($A13&lt;=baseData, INDEX('LDI - Fluxo de Caixa'!$BD$18:$BT$374, MATCH('Fluxo Projeto'!$A13, 'LDI - Fluxo de Caixa'!$C$18:$C$374, 0), MATCH('Fluxo Projeto'!R$1, 'LDI - Fluxo de Caixa'!$BD$14:$BT$14, 0)), (-pctMarketingSPE*SUM($G$4:$H$86)-SUMIF($A$4:$A$86, "&lt;="&amp;baseData, R$4:R$86))*(SUM($G13:$H13)/(SUMIF($A$4:$A$86, "&gt;"&amp;baseData, $G$4:$G$86)+SUMIF($A$4:$A$86, "&gt;"&amp;baseData, $H$4:$H$86))))</f>
        <v>0</v>
      </c>
      <c r="S13" s="395">
        <f>IF($A13&lt;=baseData,INDEX('LDI - Fluxo de Caixa'!$BD$18:$BT$374,MATCH($A13,'LDI - Fluxo de Caixa'!$C$18:$C$374,0),MATCH(S$1,'LDI - Fluxo de Caixa'!$BD$14:$BT$14,0)),-pctGestaoSPE*K12)</f>
        <v>0</v>
      </c>
      <c r="T13" s="395">
        <f>IF($A13&lt;=baseData, INDEX('LDI - Fluxo de Caixa'!$BD$18:$BT$374, MATCH('Fluxo Projeto'!$A13, 'LDI - Fluxo de Caixa'!$C$18:$C$374, 0), MATCH('Fluxo Projeto'!T$1, 'LDI - Fluxo de Caixa'!$BD$14:$BT$14, 0)), (-pctOutrasSPE*SUM($G$4:$H$86)-SUMIF($A$4:$A$86, "&lt;="&amp;baseData, T$4:T$86))*(SUM($G13:$H13)/(SUMIF($A$4:$A$86, "&gt;"&amp;baseData, $G$4:$G$86)+SUMIF($A$4:$A$86, "&gt;"&amp;baseData, $H$4:$H$86))))</f>
        <v>-590.85</v>
      </c>
      <c r="U13" s="395">
        <f>IF($A13&lt;=baseData, INDEX('LDI - Fluxo de Caixa'!$BD$18:$BT$374, MATCH('Fluxo Projeto'!$A13, 'LDI - Fluxo de Caixa'!$C$18:$C$374, 0), MATCH('Fluxo Projeto'!U$1, 'LDI - Fluxo de Caixa'!$BD$14:$BT$14, 0)), 0)</f>
        <v>0</v>
      </c>
      <c r="V13" s="393">
        <f t="shared" si="1"/>
        <v>-33160.699999999997</v>
      </c>
      <c r="W13" s="390"/>
      <c r="X13" s="397">
        <f>INDEX('LDI - Fluxo de Caixa'!$BD$18:$BT$374, MATCH('Fluxo Projeto'!$A13, 'LDI - Fluxo de Caixa'!$C$18:$C$374, 0), MATCH('Fluxo Projeto'!X$1, 'LDI - Fluxo de Caixa'!$BD$14:$BT$14, 0))</f>
        <v>0</v>
      </c>
      <c r="Y13" s="398">
        <f>INDEX('LDI - Fluxo de Caixa'!$BD$18:$BT$374, MATCH('Fluxo Projeto'!$A13, 'LDI - Fluxo de Caixa'!$C$18:$C$374, 0), MATCH('Fluxo Projeto'!Y$1, 'LDI - Fluxo de Caixa'!$BD$14:$BT$14, 0))</f>
        <v>0</v>
      </c>
      <c r="Z13" s="390"/>
      <c r="AA13" s="397">
        <f>INDEX('LDI - Fluxo de Caixa'!$BD$18:$BT$374, MATCH('Fluxo Projeto'!$A13, 'LDI - Fluxo de Caixa'!$C$18:$C$374, 0), MATCH('Fluxo Projeto'!AA$1, 'LDI - Fluxo de Caixa'!$BD$14:$BT$14, 0))</f>
        <v>-71843.12</v>
      </c>
      <c r="AB13" s="398">
        <f>INDEX('LDI - Fluxo de Caixa'!$BD$18:$BT$374, MATCH('Fluxo Projeto'!$A13, 'LDI - Fluxo de Caixa'!$C$18:$C$374, 0), MATCH('Fluxo Projeto'!AB$1, 'LDI - Fluxo de Caixa'!$BD$14:$BT$14, 0))</f>
        <v>0</v>
      </c>
      <c r="AC13" s="390"/>
      <c r="AD13" s="393">
        <f t="shared" si="2"/>
        <v>-105003.81999999999</v>
      </c>
      <c r="AE13" s="390"/>
      <c r="AF13" s="393">
        <f>IF($A13&lt;=baseData, INDEX('LDI - Fluxo de Caixa'!$BD$18:$BT$374, MATCH('Fluxo Projeto'!$A13, 'LDI - Fluxo de Caixa'!$C$18:$C$374, 0), MATCH('Fluxo Projeto'!AF$1, 'LDI - Fluxo de Caixa'!$BD$14:$BT$14, 0)), $E13*CDI)</f>
        <v>136.18</v>
      </c>
      <c r="AG13" s="390"/>
      <c r="AH13" s="393">
        <f t="shared" si="3"/>
        <v>-50419.700000000012</v>
      </c>
      <c r="AI13" s="390"/>
      <c r="AJ13" s="397">
        <f>IF($A13&lt;=baseData, INDEX('LDI - Fluxo de Caixa'!$BD$18:$BT$374, MATCH($A13, 'LDI - Fluxo de Caixa'!$C$18:$C$374, 0), MATCH(AJ$1, 'LDI - Fluxo de Caixa'!$BD$14:$BT$14, 0))-J13-I13, IF($A13&lt;inicioDistribuicoes,-IF(AH13&lt;cxMinSPEpreObra,IF(SUM($AD14:$AD25)-cxMinSPEpreObra+AH13&lt;0,SUM($AD14:$AD25)-cxMinSPEpreObra+AH13,IF(AH13&lt;0, AH13-cxMinSPEpreObra, 0)),0), 0))</f>
        <v>69000</v>
      </c>
      <c r="AK13" s="398">
        <f>INDEX('LDI - Fluxo de Caixa'!$BD$18:$BT$374, MATCH('Fluxo Projeto'!$A13, 'LDI - Fluxo de Caixa'!$C$18:$C$374, 0), MATCH('Fluxo Projeto'!AK$1, 'LDI - Fluxo de Caixa'!$BD$14:$BT$14, 0))</f>
        <v>0</v>
      </c>
      <c r="AL13" s="390"/>
      <c r="AM13" s="393">
        <f t="shared" si="4"/>
        <v>18580.299999999988</v>
      </c>
      <c r="AN13" s="390"/>
      <c r="AO13" s="399">
        <v>18580.299999999988</v>
      </c>
      <c r="AP13" s="390"/>
      <c r="AQ13" s="397">
        <f t="shared" si="5"/>
        <v>-69000</v>
      </c>
      <c r="AR13" s="398">
        <f t="shared" si="8"/>
        <v>-1139775.8800000001</v>
      </c>
      <c r="AS13" s="390"/>
      <c r="AT13" s="393">
        <f t="shared" si="6"/>
        <v>-74331.849588746831</v>
      </c>
      <c r="AV13" s="397">
        <f t="shared" si="9"/>
        <v>0</v>
      </c>
      <c r="AW13" s="390">
        <f t="shared" si="10"/>
        <v>0</v>
      </c>
      <c r="AX13" s="390">
        <f t="shared" si="11"/>
        <v>0</v>
      </c>
      <c r="AY13" s="390">
        <f t="shared" si="12"/>
        <v>0</v>
      </c>
      <c r="AZ13" s="393">
        <f t="shared" si="13"/>
        <v>0</v>
      </c>
      <c r="BA13" s="390"/>
      <c r="BB13" s="394">
        <f t="shared" si="14"/>
        <v>0</v>
      </c>
      <c r="BC13" s="395">
        <f t="shared" si="15"/>
        <v>0</v>
      </c>
      <c r="BD13" s="395">
        <f t="shared" si="16"/>
        <v>0</v>
      </c>
      <c r="BE13" s="395">
        <f t="shared" si="17"/>
        <v>0</v>
      </c>
      <c r="BF13" s="395">
        <f t="shared" si="18"/>
        <v>-43.725842937982051</v>
      </c>
      <c r="BG13" s="395">
        <f t="shared" si="19"/>
        <v>0</v>
      </c>
      <c r="BH13" s="395">
        <f t="shared" si="20"/>
        <v>0</v>
      </c>
      <c r="BI13" s="395">
        <f t="shared" si="21"/>
        <v>-0.79323098816564075</v>
      </c>
      <c r="BJ13" s="390">
        <f t="shared" si="22"/>
        <v>0</v>
      </c>
      <c r="BK13" s="393">
        <f t="shared" si="23"/>
        <v>-44.519073926147691</v>
      </c>
      <c r="BL13" s="390"/>
      <c r="BM13" s="397">
        <f t="shared" si="24"/>
        <v>0</v>
      </c>
      <c r="BN13" s="398">
        <f t="shared" si="25"/>
        <v>0</v>
      </c>
      <c r="BO13" s="390"/>
      <c r="BP13" s="400">
        <f t="shared" si="26"/>
        <v>-96.451195854282318</v>
      </c>
      <c r="BQ13" s="401">
        <f t="shared" si="27"/>
        <v>0</v>
      </c>
      <c r="BR13" s="390"/>
      <c r="BS13" s="393">
        <f t="shared" si="28"/>
        <v>0.18282507568485565</v>
      </c>
    </row>
    <row r="14" spans="1:71" x14ac:dyDescent="0.25">
      <c r="A14" s="197">
        <f t="shared" si="7"/>
        <v>43435</v>
      </c>
      <c r="B14" s="388">
        <f>IF($A14&lt;=baseData, INDEX(Indicadores!B:B, MATCH($A14,Indicadores!A:A, 0)), INDEX(Indicadores!B:B, MATCH(baseData,Indicadores!A:A, 0)))</f>
        <v>745.85599999999999</v>
      </c>
      <c r="C14" s="389">
        <f>IF($A14&lt;=baseData, INDEX(Indicadores!E:E, MATCH($A14, Indicadores!A:A, 0)), INDEX(Indicadores!E:E, MATCH(baseData, Indicadores!A:A, 0)))</f>
        <v>5100.6099999999997</v>
      </c>
      <c r="D14" s="390"/>
      <c r="E14" s="393">
        <f t="shared" si="29"/>
        <v>18580.299999999988</v>
      </c>
      <c r="F14" s="390"/>
      <c r="G14" s="392">
        <v>0</v>
      </c>
      <c r="H14" s="390">
        <f>IF($A14&gt;baseData, SUMPRODUCT('Tabela Vendas'!$R:$R,'Tabela Vendas'!$V:$V)*INDEX(Curvas!$Z:$Z,MATCH($A14,Curvas!$B:$B,0)), 0)</f>
        <v>0</v>
      </c>
      <c r="I14" s="390">
        <f>IFERROR(INDEX(Permutas!AJ:AJ, MATCH('Fluxo Projeto'!A14, Permutas!N:N, 0)), 0)</f>
        <v>0</v>
      </c>
      <c r="J14" s="390">
        <v>0</v>
      </c>
      <c r="K14" s="393">
        <f t="shared" si="0"/>
        <v>0</v>
      </c>
      <c r="L14" s="390"/>
      <c r="M14" s="394">
        <f>IF($A14&lt;=baseData,INDEX('LDI - Fluxo de Caixa'!$BD$18:$BT$374,MATCH('Fluxo Projeto'!$A14,'LDI - Fluxo de Caixa'!$C$18:$C$374,0),MATCH('Fluxo Projeto'!M$1,'LDI - Fluxo de Caixa'!$BD$14:$BT$14,0)),-pctImpostoSPE*K13)</f>
        <v>0</v>
      </c>
      <c r="N14" s="395">
        <f>IF($A14&lt;=baseData,INDEX('LDI - Fluxo de Caixa'!$BD$18:$BT$374,MATCH($A14,'LDI - Fluxo de Caixa'!$C$18:$C$374,0),MATCH('Fluxo Projeto'!N$1,'LDI - Fluxo de Caixa'!$BD$14:$BT$14,0)),INDEX(Obra!AA:AA,MATCH($A14,Obra!F:F,0)))</f>
        <v>0</v>
      </c>
      <c r="O14" s="395">
        <f>IF($A14&lt;=baseData,INDEX('LDI - Fluxo de Caixa'!$BD$18:$BT$374,MATCH($A14,'LDI - Fluxo de Caixa'!$C$18:$C$374,0),MATCH('Fluxo Projeto'!O$1,'LDI - Fluxo de Caixa'!$BD$14:$BT$14,0)),IF($A14=entrega,assistTecnicaObra*SUM($N$2:$N$86),0))</f>
        <v>0</v>
      </c>
      <c r="P14" s="395">
        <f>IF($A14&lt;=baseData, INDEX('LDI - Fluxo de Caixa'!$BD$18:$BT$374, MATCH('Fluxo Projeto'!$A14, 'LDI - Fluxo de Caixa'!$C$18:$C$374, 0), MATCH('Fluxo Projeto'!P$1, 'LDI - Fluxo de Caixa'!$BD$14:$BT$14, 0)), -IF($A14&gt;=entrega, INDEX(Curvas!R:R,MATCH($A14,Curvas!B:B,0))*(IPTU+condominio)*'Tabela Vendas'!$Y$22, 0))</f>
        <v>0</v>
      </c>
      <c r="Q14" s="395">
        <f>IF($A14&lt;=baseData, INDEX('LDI - Fluxo de Caixa'!$BD$18:$BT$374, MATCH('Fluxo Projeto'!$A14, 'LDI - Fluxo de Caixa'!$C$18:$C$374, 0), MATCH('Fluxo Projeto'!Q$1, 'LDI - Fluxo de Caixa'!$BD$14:$BT$14, 0)), (-pctIncorporaçaoSPE*SUM($G$4:$H$86)-SUMIF($A$4:$A$86, "&lt;="&amp;baseData, Q$4:Q$86))*(SUM($G14:$H14)/(SUMIF($A$4:$A$86, "&gt;"&amp;baseData, $G$4:$G$86)+SUMIF($A$4:$A$86, "&gt;"&amp;baseData, $H$4:$H$86))))</f>
        <v>-7842.42</v>
      </c>
      <c r="R14" s="395">
        <f>IF($A14&lt;=baseData, INDEX('LDI - Fluxo de Caixa'!$BD$18:$BT$374, MATCH('Fluxo Projeto'!$A14, 'LDI - Fluxo de Caixa'!$C$18:$C$374, 0), MATCH('Fluxo Projeto'!R$1, 'LDI - Fluxo de Caixa'!$BD$14:$BT$14, 0)), (-pctMarketingSPE*SUM($G$4:$H$86)-SUMIF($A$4:$A$86, "&lt;="&amp;baseData, R$4:R$86))*(SUM($G14:$H14)/(SUMIF($A$4:$A$86, "&gt;"&amp;baseData, $G$4:$G$86)+SUMIF($A$4:$A$86, "&gt;"&amp;baseData, $H$4:$H$86))))</f>
        <v>0</v>
      </c>
      <c r="S14" s="395">
        <f>IF($A14&lt;=baseData,INDEX('LDI - Fluxo de Caixa'!$BD$18:$BT$374,MATCH($A14,'LDI - Fluxo de Caixa'!$C$18:$C$374,0),MATCH(S$1,'LDI - Fluxo de Caixa'!$BD$14:$BT$14,0)),-pctGestaoSPE*K13)</f>
        <v>0</v>
      </c>
      <c r="T14" s="395">
        <f>IF($A14&lt;=baseData, INDEX('LDI - Fluxo de Caixa'!$BD$18:$BT$374, MATCH('Fluxo Projeto'!$A14, 'LDI - Fluxo de Caixa'!$C$18:$C$374, 0), MATCH('Fluxo Projeto'!T$1, 'LDI - Fluxo de Caixa'!$BD$14:$BT$14, 0)), (-pctOutrasSPE*SUM($G$4:$H$86)-SUMIF($A$4:$A$86, "&lt;="&amp;baseData, T$4:T$86))*(SUM($G14:$H14)/(SUMIF($A$4:$A$86, "&gt;"&amp;baseData, $G$4:$G$86)+SUMIF($A$4:$A$86, "&gt;"&amp;baseData, $H$4:$H$86))))</f>
        <v>-16581.3</v>
      </c>
      <c r="U14" s="395">
        <f>IF($A14&lt;=baseData, INDEX('LDI - Fluxo de Caixa'!$BD$18:$BT$374, MATCH('Fluxo Projeto'!$A14, 'LDI - Fluxo de Caixa'!$C$18:$C$374, 0), MATCH('Fluxo Projeto'!U$1, 'LDI - Fluxo de Caixa'!$BD$14:$BT$14, 0)), 0)</f>
        <v>0</v>
      </c>
      <c r="V14" s="393">
        <f t="shared" si="1"/>
        <v>-24423.72</v>
      </c>
      <c r="W14" s="390"/>
      <c r="X14" s="397">
        <f>INDEX('LDI - Fluxo de Caixa'!$BD$18:$BT$374, MATCH('Fluxo Projeto'!$A14, 'LDI - Fluxo de Caixa'!$C$18:$C$374, 0), MATCH('Fluxo Projeto'!X$1, 'LDI - Fluxo de Caixa'!$BD$14:$BT$14, 0))</f>
        <v>0</v>
      </c>
      <c r="Y14" s="398">
        <f>INDEX('LDI - Fluxo de Caixa'!$BD$18:$BT$374, MATCH('Fluxo Projeto'!$A14, 'LDI - Fluxo de Caixa'!$C$18:$C$374, 0), MATCH('Fluxo Projeto'!Y$1, 'LDI - Fluxo de Caixa'!$BD$14:$BT$14, 0))</f>
        <v>0</v>
      </c>
      <c r="Z14" s="390"/>
      <c r="AA14" s="397">
        <f>INDEX('LDI - Fluxo de Caixa'!$BD$18:$BT$374, MATCH('Fluxo Projeto'!$A14, 'LDI - Fluxo de Caixa'!$C$18:$C$374, 0), MATCH('Fluxo Projeto'!AA$1, 'LDI - Fluxo de Caixa'!$BD$14:$BT$14, 0))</f>
        <v>-29991.41</v>
      </c>
      <c r="AB14" s="398">
        <f>INDEX('LDI - Fluxo de Caixa'!$BD$18:$BT$374, MATCH('Fluxo Projeto'!$A14, 'LDI - Fluxo de Caixa'!$C$18:$C$374, 0), MATCH('Fluxo Projeto'!AB$1, 'LDI - Fluxo de Caixa'!$BD$14:$BT$14, 0))</f>
        <v>0</v>
      </c>
      <c r="AC14" s="390"/>
      <c r="AD14" s="393">
        <f t="shared" si="2"/>
        <v>-54415.130000000005</v>
      </c>
      <c r="AE14" s="390"/>
      <c r="AF14" s="393">
        <f>IF($A14&lt;=baseData, INDEX('LDI - Fluxo de Caixa'!$BD$18:$BT$374, MATCH('Fluxo Projeto'!$A14, 'LDI - Fluxo de Caixa'!$C$18:$C$374, 0), MATCH('Fluxo Projeto'!AF$1, 'LDI - Fluxo de Caixa'!$BD$14:$BT$14, 0)), $E14*CDI)</f>
        <v>144.13</v>
      </c>
      <c r="AG14" s="390"/>
      <c r="AH14" s="393">
        <f t="shared" si="3"/>
        <v>-35690.700000000019</v>
      </c>
      <c r="AI14" s="390"/>
      <c r="AJ14" s="397">
        <f>IF($A14&lt;=baseData, INDEX('LDI - Fluxo de Caixa'!$BD$18:$BT$374, MATCH($A14, 'LDI - Fluxo de Caixa'!$C$18:$C$374, 0), MATCH(AJ$1, 'LDI - Fluxo de Caixa'!$BD$14:$BT$14, 0))-J14-I14, IF($A14&lt;inicioDistribuicoes,-IF(AH14&lt;cxMinSPEpreObra,IF(SUM($AD15:$AD26)-cxMinSPEpreObra+AH14&lt;0,SUM($AD15:$AD26)-cxMinSPEpreObra+AH14,IF(AH14&lt;0, AH14-cxMinSPEpreObra, 0)),0), 0))</f>
        <v>113000</v>
      </c>
      <c r="AK14" s="398">
        <f>INDEX('LDI - Fluxo de Caixa'!$BD$18:$BT$374, MATCH('Fluxo Projeto'!$A14, 'LDI - Fluxo de Caixa'!$C$18:$C$374, 0), MATCH('Fluxo Projeto'!AK$1, 'LDI - Fluxo de Caixa'!$BD$14:$BT$14, 0))</f>
        <v>0</v>
      </c>
      <c r="AL14" s="390"/>
      <c r="AM14" s="393">
        <f t="shared" si="4"/>
        <v>77309.299999999988</v>
      </c>
      <c r="AN14" s="390"/>
      <c r="AO14" s="399">
        <v>77309.299999999988</v>
      </c>
      <c r="AP14" s="390"/>
      <c r="AQ14" s="397">
        <f t="shared" si="5"/>
        <v>-113000</v>
      </c>
      <c r="AR14" s="398">
        <f t="shared" si="8"/>
        <v>-1252775.8800000001</v>
      </c>
      <c r="AS14" s="390"/>
      <c r="AT14" s="393">
        <f t="shared" si="6"/>
        <v>-121549.53231084127</v>
      </c>
      <c r="AV14" s="397">
        <f t="shared" si="9"/>
        <v>0</v>
      </c>
      <c r="AW14" s="390">
        <f t="shared" si="10"/>
        <v>0</v>
      </c>
      <c r="AX14" s="390">
        <f t="shared" si="11"/>
        <v>0</v>
      </c>
      <c r="AY14" s="390">
        <f t="shared" si="12"/>
        <v>0</v>
      </c>
      <c r="AZ14" s="393">
        <f t="shared" si="13"/>
        <v>0</v>
      </c>
      <c r="BA14" s="390"/>
      <c r="BB14" s="394">
        <f t="shared" si="14"/>
        <v>0</v>
      </c>
      <c r="BC14" s="395">
        <f t="shared" si="15"/>
        <v>0</v>
      </c>
      <c r="BD14" s="395">
        <f t="shared" si="16"/>
        <v>0</v>
      </c>
      <c r="BE14" s="395">
        <f t="shared" si="17"/>
        <v>0</v>
      </c>
      <c r="BF14" s="395">
        <f t="shared" si="18"/>
        <v>-10.514656984726274</v>
      </c>
      <c r="BG14" s="395">
        <f t="shared" si="19"/>
        <v>0</v>
      </c>
      <c r="BH14" s="395">
        <f t="shared" si="20"/>
        <v>0</v>
      </c>
      <c r="BI14" s="395">
        <f t="shared" si="21"/>
        <v>-22.231234983696584</v>
      </c>
      <c r="BJ14" s="390">
        <f t="shared" si="22"/>
        <v>0</v>
      </c>
      <c r="BK14" s="393">
        <f t="shared" si="23"/>
        <v>-32.74589196842286</v>
      </c>
      <c r="BL14" s="390"/>
      <c r="BM14" s="397">
        <f t="shared" si="24"/>
        <v>0</v>
      </c>
      <c r="BN14" s="398">
        <f t="shared" si="25"/>
        <v>0</v>
      </c>
      <c r="BO14" s="390"/>
      <c r="BP14" s="400">
        <f t="shared" si="26"/>
        <v>-40.210724322121159</v>
      </c>
      <c r="BQ14" s="401">
        <f t="shared" si="27"/>
        <v>0</v>
      </c>
      <c r="BR14" s="390"/>
      <c r="BS14" s="393">
        <f t="shared" si="28"/>
        <v>0.19324105457353699</v>
      </c>
    </row>
    <row r="15" spans="1:71" x14ac:dyDescent="0.25">
      <c r="A15" s="197">
        <f t="shared" si="7"/>
        <v>43466</v>
      </c>
      <c r="B15" s="388">
        <f>IF($A15&lt;=baseData, INDEX(Indicadores!B:B, MATCH($A15,Indicadores!A:A, 0)), INDEX(Indicadores!B:B, MATCH(baseData,Indicadores!A:A, 0)))</f>
        <v>749.51700000000005</v>
      </c>
      <c r="C15" s="389">
        <f>IF($A15&lt;=baseData, INDEX(Indicadores!E:E, MATCH($A15, Indicadores!A:A, 0)), INDEX(Indicadores!E:E, MATCH(baseData, Indicadores!A:A, 0)))</f>
        <v>5116.93</v>
      </c>
      <c r="D15" s="390"/>
      <c r="E15" s="393">
        <f t="shared" si="29"/>
        <v>77309.299999999988</v>
      </c>
      <c r="F15" s="390"/>
      <c r="G15" s="392">
        <v>0</v>
      </c>
      <c r="H15" s="390">
        <f>IF($A15&gt;baseData, SUMPRODUCT('Tabela Vendas'!$R:$R,'Tabela Vendas'!$V:$V)*INDEX(Curvas!$Z:$Z,MATCH($A15,Curvas!$B:$B,0)), 0)</f>
        <v>0</v>
      </c>
      <c r="I15" s="390">
        <f>IFERROR(INDEX(Permutas!AJ:AJ, MATCH('Fluxo Projeto'!A15, Permutas!N:N, 0)), 0)</f>
        <v>0</v>
      </c>
      <c r="J15" s="390">
        <v>0</v>
      </c>
      <c r="K15" s="393">
        <f t="shared" si="0"/>
        <v>0</v>
      </c>
      <c r="L15" s="390"/>
      <c r="M15" s="394">
        <f>IF($A15&lt;=baseData,INDEX('LDI - Fluxo de Caixa'!$BD$18:$BT$374,MATCH('Fluxo Projeto'!$A15,'LDI - Fluxo de Caixa'!$C$18:$C$374,0),MATCH('Fluxo Projeto'!M$1,'LDI - Fluxo de Caixa'!$BD$14:$BT$14,0)),-pctImpostoSPE*K14)</f>
        <v>-57.62</v>
      </c>
      <c r="N15" s="395">
        <f>IF($A15&lt;=baseData,INDEX('LDI - Fluxo de Caixa'!$BD$18:$BT$374,MATCH($A15,'LDI - Fluxo de Caixa'!$C$18:$C$374,0),MATCH('Fluxo Projeto'!N$1,'LDI - Fluxo de Caixa'!$BD$14:$BT$14,0)),INDEX(Obra!AA:AA,MATCH($A15,Obra!F:F,0)))</f>
        <v>0</v>
      </c>
      <c r="O15" s="395">
        <f>IF($A15&lt;=baseData,INDEX('LDI - Fluxo de Caixa'!$BD$18:$BT$374,MATCH($A15,'LDI - Fluxo de Caixa'!$C$18:$C$374,0),MATCH('Fluxo Projeto'!O$1,'LDI - Fluxo de Caixa'!$BD$14:$BT$14,0)),IF($A15=entrega,assistTecnicaObra*SUM($N$2:$N$86),0))</f>
        <v>0</v>
      </c>
      <c r="P15" s="395">
        <f>IF($A15&lt;=baseData, INDEX('LDI - Fluxo de Caixa'!$BD$18:$BT$374, MATCH('Fluxo Projeto'!$A15, 'LDI - Fluxo de Caixa'!$C$18:$C$374, 0), MATCH('Fluxo Projeto'!P$1, 'LDI - Fluxo de Caixa'!$BD$14:$BT$14, 0)), -IF($A15&gt;=entrega, INDEX(Curvas!R:R,MATCH($A15,Curvas!B:B,0))*(IPTU+condominio)*'Tabela Vendas'!$Y$22, 0))</f>
        <v>0</v>
      </c>
      <c r="Q15" s="395">
        <f>IF($A15&lt;=baseData, INDEX('LDI - Fluxo de Caixa'!$BD$18:$BT$374, MATCH('Fluxo Projeto'!$A15, 'LDI - Fluxo de Caixa'!$C$18:$C$374, 0), MATCH('Fluxo Projeto'!Q$1, 'LDI - Fluxo de Caixa'!$BD$14:$BT$14, 0)), (-pctIncorporaçaoSPE*SUM($G$4:$H$86)-SUMIF($A$4:$A$86, "&lt;="&amp;baseData, Q$4:Q$86))*(SUM($G15:$H15)/(SUMIF($A$4:$A$86, "&gt;"&amp;baseData, $G$4:$G$86)+SUMIF($A$4:$A$86, "&gt;"&amp;baseData, $H$4:$H$86))))</f>
        <v>-282.72000000000003</v>
      </c>
      <c r="R15" s="395">
        <f>IF($A15&lt;=baseData, INDEX('LDI - Fluxo de Caixa'!$BD$18:$BT$374, MATCH('Fluxo Projeto'!$A15, 'LDI - Fluxo de Caixa'!$C$18:$C$374, 0), MATCH('Fluxo Projeto'!R$1, 'LDI - Fluxo de Caixa'!$BD$14:$BT$14, 0)), (-pctMarketingSPE*SUM($G$4:$H$86)-SUMIF($A$4:$A$86, "&lt;="&amp;baseData, R$4:R$86))*(SUM($G15:$H15)/(SUMIF($A$4:$A$86, "&gt;"&amp;baseData, $G$4:$G$86)+SUMIF($A$4:$A$86, "&gt;"&amp;baseData, $H$4:$H$86))))</f>
        <v>0</v>
      </c>
      <c r="S15" s="395">
        <f>IF($A15&lt;=baseData,INDEX('LDI - Fluxo de Caixa'!$BD$18:$BT$374,MATCH($A15,'LDI - Fluxo de Caixa'!$C$18:$C$374,0),MATCH(S$1,'LDI - Fluxo de Caixa'!$BD$14:$BT$14,0)),-pctGestaoSPE*K14)</f>
        <v>0</v>
      </c>
      <c r="T15" s="395">
        <f>IF($A15&lt;=baseData, INDEX('LDI - Fluxo de Caixa'!$BD$18:$BT$374, MATCH('Fluxo Projeto'!$A15, 'LDI - Fluxo de Caixa'!$C$18:$C$374, 0), MATCH('Fluxo Projeto'!T$1, 'LDI - Fluxo de Caixa'!$BD$14:$BT$14, 0)), (-pctOutrasSPE*SUM($G$4:$H$86)-SUMIF($A$4:$A$86, "&lt;="&amp;baseData, T$4:T$86))*(SUM($G15:$H15)/(SUMIF($A$4:$A$86, "&gt;"&amp;baseData, $G$4:$G$86)+SUMIF($A$4:$A$86, "&gt;"&amp;baseData, $H$4:$H$86))))</f>
        <v>-847.62</v>
      </c>
      <c r="U15" s="395">
        <f>IF($A15&lt;=baseData, INDEX('LDI - Fluxo de Caixa'!$BD$18:$BT$374, MATCH('Fluxo Projeto'!$A15, 'LDI - Fluxo de Caixa'!$C$18:$C$374, 0), MATCH('Fluxo Projeto'!U$1, 'LDI - Fluxo de Caixa'!$BD$14:$BT$14, 0)), 0)</f>
        <v>0</v>
      </c>
      <c r="V15" s="393">
        <f t="shared" si="1"/>
        <v>-1187.96</v>
      </c>
      <c r="W15" s="390"/>
      <c r="X15" s="397">
        <f>INDEX('LDI - Fluxo de Caixa'!$BD$18:$BT$374, MATCH('Fluxo Projeto'!$A15, 'LDI - Fluxo de Caixa'!$C$18:$C$374, 0), MATCH('Fluxo Projeto'!X$1, 'LDI - Fluxo de Caixa'!$BD$14:$BT$14, 0))</f>
        <v>0</v>
      </c>
      <c r="Y15" s="398">
        <f>INDEX('LDI - Fluxo de Caixa'!$BD$18:$BT$374, MATCH('Fluxo Projeto'!$A15, 'LDI - Fluxo de Caixa'!$C$18:$C$374, 0), MATCH('Fluxo Projeto'!Y$1, 'LDI - Fluxo de Caixa'!$BD$14:$BT$14, 0))</f>
        <v>0</v>
      </c>
      <c r="Z15" s="390"/>
      <c r="AA15" s="397">
        <f>INDEX('LDI - Fluxo de Caixa'!$BD$18:$BT$374, MATCH('Fluxo Projeto'!$A15, 'LDI - Fluxo de Caixa'!$C$18:$C$374, 0), MATCH('Fluxo Projeto'!AA$1, 'LDI - Fluxo de Caixa'!$BD$14:$BT$14, 0))</f>
        <v>-1236942.77</v>
      </c>
      <c r="AB15" s="398">
        <f>INDEX('LDI - Fluxo de Caixa'!$BD$18:$BT$374, MATCH('Fluxo Projeto'!$A15, 'LDI - Fluxo de Caixa'!$C$18:$C$374, 0), MATCH('Fluxo Projeto'!AB$1, 'LDI - Fluxo de Caixa'!$BD$14:$BT$14, 0))</f>
        <v>0</v>
      </c>
      <c r="AC15" s="390"/>
      <c r="AD15" s="393">
        <f t="shared" si="2"/>
        <v>-1238130.73</v>
      </c>
      <c r="AE15" s="390"/>
      <c r="AF15" s="393">
        <f>IF($A15&lt;=baseData, INDEX('LDI - Fluxo de Caixa'!$BD$18:$BT$374, MATCH('Fluxo Projeto'!$A15, 'LDI - Fluxo de Caixa'!$C$18:$C$374, 0), MATCH('Fluxo Projeto'!AF$1, 'LDI - Fluxo de Caixa'!$BD$14:$BT$14, 0)), $E15*CDI)</f>
        <v>193.5</v>
      </c>
      <c r="AG15" s="390"/>
      <c r="AH15" s="393">
        <f t="shared" si="3"/>
        <v>-1160627.93</v>
      </c>
      <c r="AI15" s="390"/>
      <c r="AJ15" s="397">
        <f>IF($A15&lt;=baseData, INDEX('LDI - Fluxo de Caixa'!$BD$18:$BT$374, MATCH($A15, 'LDI - Fluxo de Caixa'!$C$18:$C$374, 0), MATCH(AJ$1, 'LDI - Fluxo de Caixa'!$BD$14:$BT$14, 0))-J15-I15, IF($A15&lt;inicioDistribuicoes,-IF(AH15&lt;cxMinSPEpreObra,IF(SUM($AD16:$AD27)-cxMinSPEpreObra+AH15&lt;0,SUM($AD16:$AD27)-cxMinSPEpreObra+AH15,IF(AH15&lt;0, AH15-cxMinSPEpreObra, 0)),0), 0))</f>
        <v>1200000</v>
      </c>
      <c r="AK15" s="398">
        <f>INDEX('LDI - Fluxo de Caixa'!$BD$18:$BT$374, MATCH('Fluxo Projeto'!$A15, 'LDI - Fluxo de Caixa'!$C$18:$C$374, 0), MATCH('Fluxo Projeto'!AK$1, 'LDI - Fluxo de Caixa'!$BD$14:$BT$14, 0))</f>
        <v>0</v>
      </c>
      <c r="AL15" s="390"/>
      <c r="AM15" s="393">
        <f t="shared" si="4"/>
        <v>39372.070000000065</v>
      </c>
      <c r="AN15" s="390"/>
      <c r="AO15" s="399">
        <v>39372.070000000072</v>
      </c>
      <c r="AP15" s="390"/>
      <c r="AQ15" s="397">
        <f t="shared" si="5"/>
        <v>-1200000</v>
      </c>
      <c r="AR15" s="398">
        <f t="shared" si="8"/>
        <v>-2452775.88</v>
      </c>
      <c r="AS15" s="390"/>
      <c r="AT15" s="393">
        <f t="shared" si="6"/>
        <v>-1286674.6271690254</v>
      </c>
      <c r="AV15" s="397">
        <f t="shared" si="9"/>
        <v>0</v>
      </c>
      <c r="AW15" s="390">
        <f t="shared" si="10"/>
        <v>0</v>
      </c>
      <c r="AX15" s="390">
        <f t="shared" si="11"/>
        <v>0</v>
      </c>
      <c r="AY15" s="390">
        <f t="shared" si="12"/>
        <v>0</v>
      </c>
      <c r="AZ15" s="393">
        <f t="shared" si="13"/>
        <v>0</v>
      </c>
      <c r="BA15" s="390"/>
      <c r="BB15" s="394">
        <f t="shared" si="14"/>
        <v>-7.6876174923317275E-2</v>
      </c>
      <c r="BC15" s="395">
        <f t="shared" si="15"/>
        <v>0</v>
      </c>
      <c r="BD15" s="395">
        <f t="shared" si="16"/>
        <v>0</v>
      </c>
      <c r="BE15" s="395">
        <f t="shared" si="17"/>
        <v>0</v>
      </c>
      <c r="BF15" s="395">
        <f t="shared" si="18"/>
        <v>-0.37720291867962968</v>
      </c>
      <c r="BG15" s="395">
        <f t="shared" si="19"/>
        <v>0</v>
      </c>
      <c r="BH15" s="395">
        <f t="shared" si="20"/>
        <v>0</v>
      </c>
      <c r="BI15" s="395">
        <f t="shared" si="21"/>
        <v>-1.1308882920600867</v>
      </c>
      <c r="BJ15" s="390">
        <f t="shared" si="22"/>
        <v>0</v>
      </c>
      <c r="BK15" s="393">
        <f t="shared" si="23"/>
        <v>-1.5849673856630337</v>
      </c>
      <c r="BL15" s="390"/>
      <c r="BM15" s="397">
        <f t="shared" si="24"/>
        <v>0</v>
      </c>
      <c r="BN15" s="398">
        <f t="shared" si="25"/>
        <v>0</v>
      </c>
      <c r="BO15" s="390"/>
      <c r="BP15" s="400">
        <f t="shared" si="26"/>
        <v>-1650.3198326388861</v>
      </c>
      <c r="BQ15" s="401">
        <f t="shared" si="27"/>
        <v>0</v>
      </c>
      <c r="BR15" s="390"/>
      <c r="BS15" s="393">
        <f t="shared" si="28"/>
        <v>0.25816625907084162</v>
      </c>
    </row>
    <row r="16" spans="1:71" x14ac:dyDescent="0.25">
      <c r="A16" s="197">
        <f t="shared" si="7"/>
        <v>43497</v>
      </c>
      <c r="B16" s="388">
        <f>IF($A16&lt;=baseData, INDEX(Indicadores!B:B, MATCH($A16,Indicadores!A:A, 0)), INDEX(Indicadores!B:B, MATCH(baseData,Indicadores!A:A, 0)))</f>
        <v>750.18</v>
      </c>
      <c r="C16" s="389">
        <f>IF($A16&lt;=baseData, INDEX(Indicadores!E:E, MATCH($A16, Indicadores!A:A, 0)), INDEX(Indicadores!E:E, MATCH(baseData, Indicadores!A:A, 0)))</f>
        <v>5138.93</v>
      </c>
      <c r="D16" s="390"/>
      <c r="E16" s="393">
        <f t="shared" si="29"/>
        <v>39372.070000000072</v>
      </c>
      <c r="F16" s="390"/>
      <c r="G16" s="392">
        <v>0</v>
      </c>
      <c r="H16" s="390">
        <f>IF($A16&gt;baseData, SUMPRODUCT('Tabela Vendas'!$R:$R,'Tabela Vendas'!$V:$V)*INDEX(Curvas!$Z:$Z,MATCH($A16,Curvas!$B:$B,0)), 0)</f>
        <v>0</v>
      </c>
      <c r="I16" s="390">
        <f>IFERROR(INDEX(Permutas!AJ:AJ, MATCH('Fluxo Projeto'!A16, Permutas!N:N, 0)), 0)</f>
        <v>0</v>
      </c>
      <c r="J16" s="390">
        <v>0</v>
      </c>
      <c r="K16" s="393">
        <f t="shared" si="0"/>
        <v>0</v>
      </c>
      <c r="L16" s="390"/>
      <c r="M16" s="394">
        <f>IF($A16&lt;=baseData,INDEX('LDI - Fluxo de Caixa'!$BD$18:$BT$374,MATCH('Fluxo Projeto'!$A16,'LDI - Fluxo de Caixa'!$C$18:$C$374,0),MATCH('Fluxo Projeto'!M$1,'LDI - Fluxo de Caixa'!$BD$14:$BT$14,0)),-pctImpostoSPE*K15)</f>
        <v>0</v>
      </c>
      <c r="N16" s="395">
        <f>IF($A16&lt;=baseData,INDEX('LDI - Fluxo de Caixa'!$BD$18:$BT$374,MATCH($A16,'LDI - Fluxo de Caixa'!$C$18:$C$374,0),MATCH('Fluxo Projeto'!N$1,'LDI - Fluxo de Caixa'!$BD$14:$BT$14,0)),INDEX(Obra!AA:AA,MATCH($A16,Obra!F:F,0)))</f>
        <v>0</v>
      </c>
      <c r="O16" s="395">
        <f>IF($A16&lt;=baseData,INDEX('LDI - Fluxo de Caixa'!$BD$18:$BT$374,MATCH($A16,'LDI - Fluxo de Caixa'!$C$18:$C$374,0),MATCH('Fluxo Projeto'!O$1,'LDI - Fluxo de Caixa'!$BD$14:$BT$14,0)),IF($A16=entrega,assistTecnicaObra*SUM($N$2:$N$86),0))</f>
        <v>0</v>
      </c>
      <c r="P16" s="395">
        <f>IF($A16&lt;=baseData, INDEX('LDI - Fluxo de Caixa'!$BD$18:$BT$374, MATCH('Fluxo Projeto'!$A16, 'LDI - Fluxo de Caixa'!$C$18:$C$374, 0), MATCH('Fluxo Projeto'!P$1, 'LDI - Fluxo de Caixa'!$BD$14:$BT$14, 0)), -IF($A16&gt;=entrega, INDEX(Curvas!R:R,MATCH($A16,Curvas!B:B,0))*(IPTU+condominio)*'Tabela Vendas'!$Y$22, 0))</f>
        <v>0</v>
      </c>
      <c r="Q16" s="395">
        <f>IF($A16&lt;=baseData, INDEX('LDI - Fluxo de Caixa'!$BD$18:$BT$374, MATCH('Fluxo Projeto'!$A16, 'LDI - Fluxo de Caixa'!$C$18:$C$374, 0), MATCH('Fluxo Projeto'!Q$1, 'LDI - Fluxo de Caixa'!$BD$14:$BT$14, 0)), (-pctIncorporaçaoSPE*SUM($G$4:$H$86)-SUMIF($A$4:$A$86, "&lt;="&amp;baseData, Q$4:Q$86))*(SUM($G16:$H16)/(SUMIF($A$4:$A$86, "&gt;"&amp;baseData, $G$4:$G$86)+SUMIF($A$4:$A$86, "&gt;"&amp;baseData, $H$4:$H$86))))</f>
        <v>-717</v>
      </c>
      <c r="R16" s="395">
        <f>IF($A16&lt;=baseData, INDEX('LDI - Fluxo de Caixa'!$BD$18:$BT$374, MATCH('Fluxo Projeto'!$A16, 'LDI - Fluxo de Caixa'!$C$18:$C$374, 0), MATCH('Fluxo Projeto'!R$1, 'LDI - Fluxo de Caixa'!$BD$14:$BT$14, 0)), (-pctMarketingSPE*SUM($G$4:$H$86)-SUMIF($A$4:$A$86, "&lt;="&amp;baseData, R$4:R$86))*(SUM($G16:$H16)/(SUMIF($A$4:$A$86, "&gt;"&amp;baseData, $G$4:$G$86)+SUMIF($A$4:$A$86, "&gt;"&amp;baseData, $H$4:$H$86))))</f>
        <v>0</v>
      </c>
      <c r="S16" s="395">
        <f>IF($A16&lt;=baseData,INDEX('LDI - Fluxo de Caixa'!$BD$18:$BT$374,MATCH($A16,'LDI - Fluxo de Caixa'!$C$18:$C$374,0),MATCH(S$1,'LDI - Fluxo de Caixa'!$BD$14:$BT$14,0)),-pctGestaoSPE*K15)</f>
        <v>0</v>
      </c>
      <c r="T16" s="395">
        <f>IF($A16&lt;=baseData, INDEX('LDI - Fluxo de Caixa'!$BD$18:$BT$374, MATCH('Fluxo Projeto'!$A16, 'LDI - Fluxo de Caixa'!$C$18:$C$374, 0), MATCH('Fluxo Projeto'!T$1, 'LDI - Fluxo de Caixa'!$BD$14:$BT$14, 0)), (-pctOutrasSPE*SUM($G$4:$H$86)-SUMIF($A$4:$A$86, "&lt;="&amp;baseData, T$4:T$86))*(SUM($G16:$H16)/(SUMIF($A$4:$A$86, "&gt;"&amp;baseData, $G$4:$G$86)+SUMIF($A$4:$A$86, "&gt;"&amp;baseData, $H$4:$H$86))))</f>
        <v>-326.74000000000518</v>
      </c>
      <c r="U16" s="395">
        <f>IF($A16&lt;=baseData, INDEX('LDI - Fluxo de Caixa'!$BD$18:$BT$374, MATCH('Fluxo Projeto'!$A16, 'LDI - Fluxo de Caixa'!$C$18:$C$374, 0), MATCH('Fluxo Projeto'!U$1, 'LDI - Fluxo de Caixa'!$BD$14:$BT$14, 0)), 0)</f>
        <v>0</v>
      </c>
      <c r="V16" s="393">
        <f t="shared" si="1"/>
        <v>-1043.7400000000052</v>
      </c>
      <c r="W16" s="390"/>
      <c r="X16" s="397">
        <f>INDEX('LDI - Fluxo de Caixa'!$BD$18:$BT$374, MATCH('Fluxo Projeto'!$A16, 'LDI - Fluxo de Caixa'!$C$18:$C$374, 0), MATCH('Fluxo Projeto'!X$1, 'LDI - Fluxo de Caixa'!$BD$14:$BT$14, 0))</f>
        <v>0</v>
      </c>
      <c r="Y16" s="398">
        <f>INDEX('LDI - Fluxo de Caixa'!$BD$18:$BT$374, MATCH('Fluxo Projeto'!$A16, 'LDI - Fluxo de Caixa'!$C$18:$C$374, 0), MATCH('Fluxo Projeto'!Y$1, 'LDI - Fluxo de Caixa'!$BD$14:$BT$14, 0))</f>
        <v>0</v>
      </c>
      <c r="Z16" s="390"/>
      <c r="AA16" s="397">
        <f>INDEX('LDI - Fluxo de Caixa'!$BD$18:$BT$374, MATCH('Fluxo Projeto'!$A16, 'LDI - Fluxo de Caixa'!$C$18:$C$374, 0), MATCH('Fluxo Projeto'!AA$1, 'LDI - Fluxo de Caixa'!$BD$14:$BT$14, 0))</f>
        <v>-1206192.8399999901</v>
      </c>
      <c r="AB16" s="398">
        <f>INDEX('LDI - Fluxo de Caixa'!$BD$18:$BT$374, MATCH('Fluxo Projeto'!$A16, 'LDI - Fluxo de Caixa'!$C$18:$C$374, 0), MATCH('Fluxo Projeto'!AB$1, 'LDI - Fluxo de Caixa'!$BD$14:$BT$14, 0))</f>
        <v>0</v>
      </c>
      <c r="AC16" s="390"/>
      <c r="AD16" s="393">
        <f t="shared" si="2"/>
        <v>-1207236.5799999901</v>
      </c>
      <c r="AE16" s="390"/>
      <c r="AF16" s="393">
        <f>IF($A16&lt;=baseData, INDEX('LDI - Fluxo de Caixa'!$BD$18:$BT$374, MATCH('Fluxo Projeto'!$A16, 'LDI - Fluxo de Caixa'!$C$18:$C$374, 0), MATCH('Fluxo Projeto'!AF$1, 'LDI - Fluxo de Caixa'!$BD$14:$BT$14, 0)), $E16*CDI)</f>
        <v>-23.2</v>
      </c>
      <c r="AG16" s="390"/>
      <c r="AH16" s="393">
        <f t="shared" si="3"/>
        <v>-1167887.70999999</v>
      </c>
      <c r="AI16" s="390"/>
      <c r="AJ16" s="397">
        <f>IF($A16&lt;=baseData, INDEX('LDI - Fluxo de Caixa'!$BD$18:$BT$374, MATCH($A16, 'LDI - Fluxo de Caixa'!$C$18:$C$374, 0), MATCH(AJ$1, 'LDI - Fluxo de Caixa'!$BD$14:$BT$14, 0))-J16-I16, IF($A16&lt;inicioDistribuicoes,-IF(AH16&lt;cxMinSPEpreObra,IF(SUM($AD17:$AD28)-cxMinSPEpreObra+AH16&lt;0,SUM($AD17:$AD28)-cxMinSPEpreObra+AH16,IF(AH16&lt;0, AH16-cxMinSPEpreObra, 0)),0), 0))</f>
        <v>1170000</v>
      </c>
      <c r="AK16" s="398">
        <f>INDEX('LDI - Fluxo de Caixa'!$BD$18:$BT$374, MATCH('Fluxo Projeto'!$A16, 'LDI - Fluxo de Caixa'!$C$18:$C$374, 0), MATCH('Fluxo Projeto'!AK$1, 'LDI - Fluxo de Caixa'!$BD$14:$BT$14, 0))</f>
        <v>0</v>
      </c>
      <c r="AL16" s="390"/>
      <c r="AM16" s="393">
        <f t="shared" si="4"/>
        <v>2112.290000010049</v>
      </c>
      <c r="AN16" s="390"/>
      <c r="AO16" s="399">
        <v>2112.2900000002701</v>
      </c>
      <c r="AP16" s="390"/>
      <c r="AQ16" s="397">
        <f t="shared" si="5"/>
        <v>-1170000</v>
      </c>
      <c r="AR16" s="398">
        <f t="shared" si="8"/>
        <v>-3622775.88</v>
      </c>
      <c r="AS16" s="390"/>
      <c r="AT16" s="393">
        <f t="shared" si="6"/>
        <v>-1249137.1550108681</v>
      </c>
      <c r="AV16" s="397">
        <f t="shared" si="9"/>
        <v>0</v>
      </c>
      <c r="AW16" s="390">
        <f t="shared" si="10"/>
        <v>0</v>
      </c>
      <c r="AX16" s="390">
        <f t="shared" si="11"/>
        <v>0</v>
      </c>
      <c r="AY16" s="390">
        <f t="shared" si="12"/>
        <v>0</v>
      </c>
      <c r="AZ16" s="393">
        <f t="shared" si="13"/>
        <v>0</v>
      </c>
      <c r="BA16" s="390"/>
      <c r="BB16" s="394">
        <f t="shared" si="14"/>
        <v>0</v>
      </c>
      <c r="BC16" s="395">
        <f t="shared" si="15"/>
        <v>0</v>
      </c>
      <c r="BD16" s="395">
        <f t="shared" si="16"/>
        <v>0</v>
      </c>
      <c r="BE16" s="395">
        <f t="shared" si="17"/>
        <v>0</v>
      </c>
      <c r="BF16" s="395">
        <f t="shared" si="18"/>
        <v>-0.95577061505238747</v>
      </c>
      <c r="BG16" s="395">
        <f t="shared" si="19"/>
        <v>0</v>
      </c>
      <c r="BH16" s="395">
        <f t="shared" si="20"/>
        <v>0</v>
      </c>
      <c r="BI16" s="395">
        <f t="shared" si="21"/>
        <v>-0.43554880162095122</v>
      </c>
      <c r="BJ16" s="390">
        <f t="shared" si="22"/>
        <v>0</v>
      </c>
      <c r="BK16" s="393">
        <f t="shared" si="23"/>
        <v>-1.3913194166733387</v>
      </c>
      <c r="BL16" s="390"/>
      <c r="BM16" s="397">
        <f t="shared" si="24"/>
        <v>0</v>
      </c>
      <c r="BN16" s="398">
        <f t="shared" si="25"/>
        <v>0</v>
      </c>
      <c r="BO16" s="390"/>
      <c r="BP16" s="400">
        <f t="shared" si="26"/>
        <v>-1607.8712309045698</v>
      </c>
      <c r="BQ16" s="401">
        <f t="shared" si="27"/>
        <v>0</v>
      </c>
      <c r="BR16" s="390"/>
      <c r="BS16" s="393">
        <f t="shared" si="28"/>
        <v>-3.0925911114665815E-2</v>
      </c>
    </row>
    <row r="17" spans="1:71" x14ac:dyDescent="0.25">
      <c r="A17" s="197">
        <f t="shared" si="7"/>
        <v>43525</v>
      </c>
      <c r="B17" s="388">
        <f>IF($A17&lt;=baseData, INDEX(Indicadores!B:B, MATCH($A17,Indicadores!A:A, 0)), INDEX(Indicadores!B:B, MATCH(baseData,Indicadores!A:A, 0)))</f>
        <v>752.524</v>
      </c>
      <c r="C17" s="389">
        <f>IF($A17&lt;=baseData, INDEX(Indicadores!E:E, MATCH($A17, Indicadores!A:A, 0)), INDEX(Indicadores!E:E, MATCH(baseData, Indicadores!A:A, 0)))</f>
        <v>5177.47</v>
      </c>
      <c r="D17" s="390"/>
      <c r="E17" s="393">
        <f t="shared" si="29"/>
        <v>2112.2900000002701</v>
      </c>
      <c r="F17" s="390"/>
      <c r="G17" s="392">
        <v>0</v>
      </c>
      <c r="H17" s="390">
        <f>IF($A17&gt;baseData, SUMPRODUCT('Tabela Vendas'!$R:$R,'Tabela Vendas'!$V:$V)*INDEX(Curvas!$Z:$Z,MATCH($A17,Curvas!$B:$B,0)), 0)</f>
        <v>0</v>
      </c>
      <c r="I17" s="390">
        <f>IFERROR(INDEX(Permutas!AJ:AJ, MATCH('Fluxo Projeto'!A17, Permutas!N:N, 0)), 0)</f>
        <v>0</v>
      </c>
      <c r="J17" s="390">
        <v>0</v>
      </c>
      <c r="K17" s="393">
        <f t="shared" si="0"/>
        <v>0</v>
      </c>
      <c r="L17" s="390"/>
      <c r="M17" s="394">
        <f>IF($A17&lt;=baseData,INDEX('LDI - Fluxo de Caixa'!$BD$18:$BT$374,MATCH('Fluxo Projeto'!$A17,'LDI - Fluxo de Caixa'!$C$18:$C$374,0),MATCH('Fluxo Projeto'!M$1,'LDI - Fluxo de Caixa'!$BD$14:$BT$14,0)),-pctImpostoSPE*K16)</f>
        <v>0</v>
      </c>
      <c r="N17" s="395">
        <f>IF($A17&lt;=baseData,INDEX('LDI - Fluxo de Caixa'!$BD$18:$BT$374,MATCH($A17,'LDI - Fluxo de Caixa'!$C$18:$C$374,0),MATCH('Fluxo Projeto'!N$1,'LDI - Fluxo de Caixa'!$BD$14:$BT$14,0)),INDEX(Obra!AA:AA,MATCH($A17,Obra!F:F,0)))</f>
        <v>0</v>
      </c>
      <c r="O17" s="395">
        <f>IF($A17&lt;=baseData,INDEX('LDI - Fluxo de Caixa'!$BD$18:$BT$374,MATCH($A17,'LDI - Fluxo de Caixa'!$C$18:$C$374,0),MATCH('Fluxo Projeto'!O$1,'LDI - Fluxo de Caixa'!$BD$14:$BT$14,0)),IF($A17=entrega,assistTecnicaObra*SUM($N$2:$N$86),0))</f>
        <v>0</v>
      </c>
      <c r="P17" s="395">
        <f>IF($A17&lt;=baseData, INDEX('LDI - Fluxo de Caixa'!$BD$18:$BT$374, MATCH('Fluxo Projeto'!$A17, 'LDI - Fluxo de Caixa'!$C$18:$C$374, 0), MATCH('Fluxo Projeto'!P$1, 'LDI - Fluxo de Caixa'!$BD$14:$BT$14, 0)), -IF($A17&gt;=entrega, INDEX(Curvas!R:R,MATCH($A17,Curvas!B:B,0))*(IPTU+condominio)*'Tabela Vendas'!$Y$22, 0))</f>
        <v>0</v>
      </c>
      <c r="Q17" s="395">
        <f>IF($A17&lt;=baseData, INDEX('LDI - Fluxo de Caixa'!$BD$18:$BT$374, MATCH('Fluxo Projeto'!$A17, 'LDI - Fluxo de Caixa'!$C$18:$C$374, 0), MATCH('Fluxo Projeto'!Q$1, 'LDI - Fluxo de Caixa'!$BD$14:$BT$14, 0)), (-pctIncorporaçaoSPE*SUM($G$4:$H$86)-SUMIF($A$4:$A$86, "&lt;="&amp;baseData, Q$4:Q$86))*(SUM($G17:$H17)/(SUMIF($A$4:$A$86, "&gt;"&amp;baseData, $G$4:$G$86)+SUMIF($A$4:$A$86, "&gt;"&amp;baseData, $H$4:$H$86))))</f>
        <v>-5000</v>
      </c>
      <c r="R17" s="395">
        <f>IF($A17&lt;=baseData, INDEX('LDI - Fluxo de Caixa'!$BD$18:$BT$374, MATCH('Fluxo Projeto'!$A17, 'LDI - Fluxo de Caixa'!$C$18:$C$374, 0), MATCH('Fluxo Projeto'!R$1, 'LDI - Fluxo de Caixa'!$BD$14:$BT$14, 0)), (-pctMarketingSPE*SUM($G$4:$H$86)-SUMIF($A$4:$A$86, "&lt;="&amp;baseData, R$4:R$86))*(SUM($G17:$H17)/(SUMIF($A$4:$A$86, "&gt;"&amp;baseData, $G$4:$G$86)+SUMIF($A$4:$A$86, "&gt;"&amp;baseData, $H$4:$H$86))))</f>
        <v>0</v>
      </c>
      <c r="S17" s="395">
        <f>IF($A17&lt;=baseData,INDEX('LDI - Fluxo de Caixa'!$BD$18:$BT$374,MATCH($A17,'LDI - Fluxo de Caixa'!$C$18:$C$374,0),MATCH(S$1,'LDI - Fluxo de Caixa'!$BD$14:$BT$14,0)),-pctGestaoSPE*K16)</f>
        <v>0</v>
      </c>
      <c r="T17" s="395">
        <f>IF($A17&lt;=baseData, INDEX('LDI - Fluxo de Caixa'!$BD$18:$BT$374, MATCH('Fluxo Projeto'!$A17, 'LDI - Fluxo de Caixa'!$C$18:$C$374, 0), MATCH('Fluxo Projeto'!T$1, 'LDI - Fluxo de Caixa'!$BD$14:$BT$14, 0)), (-pctOutrasSPE*SUM($G$4:$H$86)-SUMIF($A$4:$A$86, "&lt;="&amp;baseData, T$4:T$86))*(SUM($G17:$H17)/(SUMIF($A$4:$A$86, "&gt;"&amp;baseData, $G$4:$G$86)+SUMIF($A$4:$A$86, "&gt;"&amp;baseData, $H$4:$H$86))))</f>
        <v>-792.41</v>
      </c>
      <c r="U17" s="395">
        <f>IF($A17&lt;=baseData, INDEX('LDI - Fluxo de Caixa'!$BD$18:$BT$374, MATCH('Fluxo Projeto'!$A17, 'LDI - Fluxo de Caixa'!$C$18:$C$374, 0), MATCH('Fluxo Projeto'!U$1, 'LDI - Fluxo de Caixa'!$BD$14:$BT$14, 0)), 0)</f>
        <v>0</v>
      </c>
      <c r="V17" s="393">
        <f t="shared" si="1"/>
        <v>-5792.41</v>
      </c>
      <c r="W17" s="390"/>
      <c r="X17" s="397">
        <f>INDEX('LDI - Fluxo de Caixa'!$BD$18:$BT$374, MATCH('Fluxo Projeto'!$A17, 'LDI - Fluxo de Caixa'!$C$18:$C$374, 0), MATCH('Fluxo Projeto'!X$1, 'LDI - Fluxo de Caixa'!$BD$14:$BT$14, 0))</f>
        <v>0</v>
      </c>
      <c r="Y17" s="398">
        <f>INDEX('LDI - Fluxo de Caixa'!$BD$18:$BT$374, MATCH('Fluxo Projeto'!$A17, 'LDI - Fluxo de Caixa'!$C$18:$C$374, 0), MATCH('Fluxo Projeto'!Y$1, 'LDI - Fluxo de Caixa'!$BD$14:$BT$14, 0))</f>
        <v>0</v>
      </c>
      <c r="Z17" s="390"/>
      <c r="AA17" s="397">
        <f>INDEX('LDI - Fluxo de Caixa'!$BD$18:$BT$374, MATCH('Fluxo Projeto'!$A17, 'LDI - Fluxo de Caixa'!$C$18:$C$374, 0), MATCH('Fluxo Projeto'!AA$1, 'LDI - Fluxo de Caixa'!$BD$14:$BT$14, 0))</f>
        <v>-100874.07</v>
      </c>
      <c r="AB17" s="398">
        <f>INDEX('LDI - Fluxo de Caixa'!$BD$18:$BT$374, MATCH('Fluxo Projeto'!$A17, 'LDI - Fluxo de Caixa'!$C$18:$C$374, 0), MATCH('Fluxo Projeto'!AB$1, 'LDI - Fluxo de Caixa'!$BD$14:$BT$14, 0))</f>
        <v>0</v>
      </c>
      <c r="AC17" s="390"/>
      <c r="AD17" s="393">
        <f t="shared" si="2"/>
        <v>-106666.48000000001</v>
      </c>
      <c r="AE17" s="390"/>
      <c r="AF17" s="393">
        <f>IF($A17&lt;=baseData, INDEX('LDI - Fluxo de Caixa'!$BD$18:$BT$374, MATCH('Fluxo Projeto'!$A17, 'LDI - Fluxo de Caixa'!$C$18:$C$374, 0), MATCH('Fluxo Projeto'!AF$1, 'LDI - Fluxo de Caixa'!$BD$14:$BT$14, 0)), $E17*CDI)</f>
        <v>-7.5</v>
      </c>
      <c r="AG17" s="390"/>
      <c r="AH17" s="393">
        <f t="shared" si="3"/>
        <v>-104561.68999999974</v>
      </c>
      <c r="AI17" s="390"/>
      <c r="AJ17" s="397">
        <f>IF($A17&lt;=baseData, INDEX('LDI - Fluxo de Caixa'!$BD$18:$BT$374, MATCH($A17, 'LDI - Fluxo de Caixa'!$C$18:$C$374, 0), MATCH(AJ$1, 'LDI - Fluxo de Caixa'!$BD$14:$BT$14, 0))-J17-I17, IF($A17&lt;inicioDistribuicoes,-IF(AH17&lt;cxMinSPEpreObra,IF(SUM($AD18:$AD29)-cxMinSPEpreObra+AH17&lt;0,SUM($AD18:$AD29)-cxMinSPEpreObra+AH17,IF(AH17&lt;0, AH17-cxMinSPEpreObra, 0)),0), 0))</f>
        <v>110000.0000000001</v>
      </c>
      <c r="AK17" s="398">
        <f>INDEX('LDI - Fluxo de Caixa'!$BD$18:$BT$374, MATCH('Fluxo Projeto'!$A17, 'LDI - Fluxo de Caixa'!$C$18:$C$374, 0), MATCH('Fluxo Projeto'!AK$1, 'LDI - Fluxo de Caixa'!$BD$14:$BT$14, 0))</f>
        <v>0</v>
      </c>
      <c r="AL17" s="390"/>
      <c r="AM17" s="393">
        <f t="shared" si="4"/>
        <v>5438.3100000003615</v>
      </c>
      <c r="AN17" s="390"/>
      <c r="AO17" s="399">
        <v>5438.3100000003606</v>
      </c>
      <c r="AP17" s="390"/>
      <c r="AQ17" s="397">
        <f t="shared" si="5"/>
        <v>-110000.0000000001</v>
      </c>
      <c r="AR17" s="398">
        <f t="shared" si="8"/>
        <v>-3732775.88</v>
      </c>
      <c r="AS17" s="390"/>
      <c r="AT17" s="393">
        <f t="shared" si="6"/>
        <v>-116566.04480566773</v>
      </c>
      <c r="AV17" s="397">
        <f t="shared" si="9"/>
        <v>0</v>
      </c>
      <c r="AW17" s="390">
        <f t="shared" si="10"/>
        <v>0</v>
      </c>
      <c r="AX17" s="390">
        <f t="shared" si="11"/>
        <v>0</v>
      </c>
      <c r="AY17" s="390">
        <f t="shared" si="12"/>
        <v>0</v>
      </c>
      <c r="AZ17" s="393">
        <f t="shared" si="13"/>
        <v>0</v>
      </c>
      <c r="BA17" s="390"/>
      <c r="BB17" s="394">
        <f t="shared" si="14"/>
        <v>0</v>
      </c>
      <c r="BC17" s="395">
        <f t="shared" si="15"/>
        <v>0</v>
      </c>
      <c r="BD17" s="395">
        <f t="shared" si="16"/>
        <v>0</v>
      </c>
      <c r="BE17" s="395">
        <f t="shared" si="17"/>
        <v>0</v>
      </c>
      <c r="BF17" s="395">
        <f t="shared" si="18"/>
        <v>-6.6443063609931379</v>
      </c>
      <c r="BG17" s="395">
        <f t="shared" si="19"/>
        <v>0</v>
      </c>
      <c r="BH17" s="395">
        <f t="shared" si="20"/>
        <v>0</v>
      </c>
      <c r="BI17" s="395">
        <f t="shared" si="21"/>
        <v>-1.0530029607029143</v>
      </c>
      <c r="BJ17" s="390">
        <f t="shared" si="22"/>
        <v>0</v>
      </c>
      <c r="BK17" s="393">
        <f t="shared" si="23"/>
        <v>-7.6973093216960518</v>
      </c>
      <c r="BL17" s="390"/>
      <c r="BM17" s="397">
        <f t="shared" si="24"/>
        <v>0</v>
      </c>
      <c r="BN17" s="398">
        <f t="shared" si="25"/>
        <v>0</v>
      </c>
      <c r="BO17" s="390"/>
      <c r="BP17" s="400">
        <f t="shared" si="26"/>
        <v>-134.04764499205342</v>
      </c>
      <c r="BQ17" s="401">
        <f t="shared" si="27"/>
        <v>0</v>
      </c>
      <c r="BR17" s="390"/>
      <c r="BS17" s="393">
        <f t="shared" si="28"/>
        <v>-9.9664595414897059E-3</v>
      </c>
    </row>
    <row r="18" spans="1:71" x14ac:dyDescent="0.25">
      <c r="A18" s="197">
        <f t="shared" si="7"/>
        <v>43556</v>
      </c>
      <c r="B18" s="388">
        <f>IF($A18&lt;=baseData, INDEX(Indicadores!B:B, MATCH($A18,Indicadores!A:A, 0)), INDEX(Indicadores!B:B, MATCH(baseData,Indicadores!A:A, 0)))</f>
        <v>755.37300000000005</v>
      </c>
      <c r="C18" s="389">
        <f>IF($A18&lt;=baseData, INDEX(Indicadores!E:E, MATCH($A18, Indicadores!A:A, 0)), INDEX(Indicadores!E:E, MATCH(baseData, Indicadores!A:A, 0)))</f>
        <v>5206.9799999999996</v>
      </c>
      <c r="D18" s="390"/>
      <c r="E18" s="393">
        <f t="shared" si="29"/>
        <v>5438.3100000003606</v>
      </c>
      <c r="F18" s="390"/>
      <c r="G18" s="392">
        <v>0</v>
      </c>
      <c r="H18" s="390">
        <f>IF($A18&gt;baseData, SUMPRODUCT('Tabela Vendas'!$R:$R,'Tabela Vendas'!$V:$V)*INDEX(Curvas!$Z:$Z,MATCH($A18,Curvas!$B:$B,0)), 0)</f>
        <v>0</v>
      </c>
      <c r="I18" s="390">
        <f>IFERROR(INDEX(Permutas!AJ:AJ, MATCH('Fluxo Projeto'!A18, Permutas!N:N, 0)), 0)</f>
        <v>1754739.4449918512</v>
      </c>
      <c r="J18" s="390">
        <v>0</v>
      </c>
      <c r="K18" s="393">
        <f t="shared" si="0"/>
        <v>1754739.4449918512</v>
      </c>
      <c r="L18" s="390"/>
      <c r="M18" s="394">
        <f>IF($A18&lt;=baseData,INDEX('LDI - Fluxo de Caixa'!$BD$18:$BT$374,MATCH('Fluxo Projeto'!$A18,'LDI - Fluxo de Caixa'!$C$18:$C$374,0),MATCH('Fluxo Projeto'!M$1,'LDI - Fluxo de Caixa'!$BD$14:$BT$14,0)),-pctImpostoSPE*K17)</f>
        <v>-24</v>
      </c>
      <c r="N18" s="395">
        <f>IF($A18&lt;=baseData,INDEX('LDI - Fluxo de Caixa'!$BD$18:$BT$374,MATCH($A18,'LDI - Fluxo de Caixa'!$C$18:$C$374,0),MATCH('Fluxo Projeto'!N$1,'LDI - Fluxo de Caixa'!$BD$14:$BT$14,0)),INDEX(Obra!AA:AA,MATCH($A18,Obra!F:F,0)))</f>
        <v>0</v>
      </c>
      <c r="O18" s="395">
        <f>IF($A18&lt;=baseData,INDEX('LDI - Fluxo de Caixa'!$BD$18:$BT$374,MATCH($A18,'LDI - Fluxo de Caixa'!$C$18:$C$374,0),MATCH('Fluxo Projeto'!O$1,'LDI - Fluxo de Caixa'!$BD$14:$BT$14,0)),IF($A18=entrega,assistTecnicaObra*SUM($N$2:$N$86),0))</f>
        <v>0</v>
      </c>
      <c r="P18" s="395">
        <f>IF($A18&lt;=baseData, INDEX('LDI - Fluxo de Caixa'!$BD$18:$BT$374, MATCH('Fluxo Projeto'!$A18, 'LDI - Fluxo de Caixa'!$C$18:$C$374, 0), MATCH('Fluxo Projeto'!P$1, 'LDI - Fluxo de Caixa'!$BD$14:$BT$14, 0)), -IF($A18&gt;=entrega, INDEX(Curvas!R:R,MATCH($A18,Curvas!B:B,0))*(IPTU+condominio)*'Tabela Vendas'!$Y$22, 0))</f>
        <v>0</v>
      </c>
      <c r="Q18" s="395">
        <f>IF($A18&lt;=baseData, INDEX('LDI - Fluxo de Caixa'!$BD$18:$BT$374, MATCH('Fluxo Projeto'!$A18, 'LDI - Fluxo de Caixa'!$C$18:$C$374, 0), MATCH('Fluxo Projeto'!Q$1, 'LDI - Fluxo de Caixa'!$BD$14:$BT$14, 0)), (-pctIncorporaçaoSPE*SUM($G$4:$H$86)-SUMIF($A$4:$A$86, "&lt;="&amp;baseData, Q$4:Q$86))*(SUM($G18:$H18)/(SUMIF($A$4:$A$86, "&gt;"&amp;baseData, $G$4:$G$86)+SUMIF($A$4:$A$86, "&gt;"&amp;baseData, $H$4:$H$86))))</f>
        <v>-95501.62</v>
      </c>
      <c r="R18" s="395">
        <f>IF($A18&lt;=baseData, INDEX('LDI - Fluxo de Caixa'!$BD$18:$BT$374, MATCH('Fluxo Projeto'!$A18, 'LDI - Fluxo de Caixa'!$C$18:$C$374, 0), MATCH('Fluxo Projeto'!R$1, 'LDI - Fluxo de Caixa'!$BD$14:$BT$14, 0)), (-pctMarketingSPE*SUM($G$4:$H$86)-SUMIF($A$4:$A$86, "&lt;="&amp;baseData, R$4:R$86))*(SUM($G18:$H18)/(SUMIF($A$4:$A$86, "&gt;"&amp;baseData, $G$4:$G$86)+SUMIF($A$4:$A$86, "&gt;"&amp;baseData, $H$4:$H$86))))</f>
        <v>-1200</v>
      </c>
      <c r="S18" s="395">
        <f>IF($A18&lt;=baseData,INDEX('LDI - Fluxo de Caixa'!$BD$18:$BT$374,MATCH($A18,'LDI - Fluxo de Caixa'!$C$18:$C$374,0),MATCH(S$1,'LDI - Fluxo de Caixa'!$BD$14:$BT$14,0)),-pctGestaoSPE*K17)</f>
        <v>0</v>
      </c>
      <c r="T18" s="395">
        <f>IF($A18&lt;=baseData, INDEX('LDI - Fluxo de Caixa'!$BD$18:$BT$374, MATCH('Fluxo Projeto'!$A18, 'LDI - Fluxo de Caixa'!$C$18:$C$374, 0), MATCH('Fluxo Projeto'!T$1, 'LDI - Fluxo de Caixa'!$BD$14:$BT$14, 0)), (-pctOutrasSPE*SUM($G$4:$H$86)-SUMIF($A$4:$A$86, "&lt;="&amp;baseData, T$4:T$86))*(SUM($G18:$H18)/(SUMIF($A$4:$A$86, "&gt;"&amp;baseData, $G$4:$G$86)+SUMIF($A$4:$A$86, "&gt;"&amp;baseData, $H$4:$H$86))))</f>
        <v>-3958.6800000000003</v>
      </c>
      <c r="U18" s="395">
        <f>IF($A18&lt;=baseData, INDEX('LDI - Fluxo de Caixa'!$BD$18:$BT$374, MATCH('Fluxo Projeto'!$A18, 'LDI - Fluxo de Caixa'!$C$18:$C$374, 0), MATCH('Fluxo Projeto'!U$1, 'LDI - Fluxo de Caixa'!$BD$14:$BT$14, 0)), 0)</f>
        <v>1769410.63</v>
      </c>
      <c r="V18" s="393">
        <f t="shared" si="1"/>
        <v>1668726.3299999998</v>
      </c>
      <c r="W18" s="390"/>
      <c r="X18" s="397">
        <f>INDEX('LDI - Fluxo de Caixa'!$BD$18:$BT$374, MATCH('Fluxo Projeto'!$A18, 'LDI - Fluxo de Caixa'!$C$18:$C$374, 0), MATCH('Fluxo Projeto'!X$1, 'LDI - Fluxo de Caixa'!$BD$14:$BT$14, 0))</f>
        <v>0</v>
      </c>
      <c r="Y18" s="398">
        <f>INDEX('LDI - Fluxo de Caixa'!$BD$18:$BT$374, MATCH('Fluxo Projeto'!$A18, 'LDI - Fluxo de Caixa'!$C$18:$C$374, 0), MATCH('Fluxo Projeto'!Y$1, 'LDI - Fluxo de Caixa'!$BD$14:$BT$14, 0))</f>
        <v>0</v>
      </c>
      <c r="Z18" s="390"/>
      <c r="AA18" s="397">
        <f>INDEX('LDI - Fluxo de Caixa'!$BD$18:$BT$374, MATCH('Fluxo Projeto'!$A18, 'LDI - Fluxo de Caixa'!$C$18:$C$374, 0), MATCH('Fluxo Projeto'!AA$1, 'LDI - Fluxo de Caixa'!$BD$14:$BT$14, 0))</f>
        <v>-1290386.4400000002</v>
      </c>
      <c r="AB18" s="398">
        <f>INDEX('LDI - Fluxo de Caixa'!$BD$18:$BT$374, MATCH('Fluxo Projeto'!$A18, 'LDI - Fluxo de Caixa'!$C$18:$C$374, 0), MATCH('Fluxo Projeto'!AB$1, 'LDI - Fluxo de Caixa'!$BD$14:$BT$14, 0))</f>
        <v>-60345.9</v>
      </c>
      <c r="AC18" s="390"/>
      <c r="AD18" s="393">
        <f t="shared" si="2"/>
        <v>2072733.434991851</v>
      </c>
      <c r="AE18" s="390"/>
      <c r="AF18" s="393">
        <f>IF($A18&lt;=baseData, INDEX('LDI - Fluxo de Caixa'!$BD$18:$BT$374, MATCH('Fluxo Projeto'!$A18, 'LDI - Fluxo de Caixa'!$C$18:$C$374, 0), MATCH('Fluxo Projeto'!AF$1, 'LDI - Fluxo de Caixa'!$BD$14:$BT$14, 0)), $E18*CDI)</f>
        <v>35357.54</v>
      </c>
      <c r="AG18" s="390"/>
      <c r="AH18" s="393">
        <f t="shared" si="3"/>
        <v>2113529.2849918515</v>
      </c>
      <c r="AI18" s="390"/>
      <c r="AJ18" s="397">
        <f>IF($A18&lt;=baseData, INDEX('LDI - Fluxo de Caixa'!$BD$18:$BT$374, MATCH($A18, 'LDI - Fluxo de Caixa'!$C$18:$C$374, 0), MATCH(AJ$1, 'LDI - Fluxo de Caixa'!$BD$14:$BT$14, 0))-J18-I18, IF($A18&lt;inicioDistribuicoes,-IF(AH18&lt;cxMinSPEpreObra,IF(SUM($AD19:$AD30)-cxMinSPEpreObra+AH18&lt;0,SUM($AD19:$AD30)-cxMinSPEpreObra+AH18,IF(AH18&lt;0, AH18-cxMinSPEpreObra, 0)),0), 0))</f>
        <v>7450682.2650081497</v>
      </c>
      <c r="AK18" s="398">
        <f>INDEX('LDI - Fluxo de Caixa'!$BD$18:$BT$374, MATCH('Fluxo Projeto'!$A18, 'LDI - Fluxo de Caixa'!$C$18:$C$374, 0), MATCH('Fluxo Projeto'!AK$1, 'LDI - Fluxo de Caixa'!$BD$14:$BT$14, 0))</f>
        <v>0</v>
      </c>
      <c r="AL18" s="390"/>
      <c r="AM18" s="393">
        <f t="shared" si="4"/>
        <v>9564211.5500000007</v>
      </c>
      <c r="AN18" s="390"/>
      <c r="AO18" s="399">
        <v>7809472.120000001</v>
      </c>
      <c r="AP18" s="390"/>
      <c r="AQ18" s="397">
        <f t="shared" si="5"/>
        <v>-7450682.2650081497</v>
      </c>
      <c r="AR18" s="398">
        <f t="shared" si="8"/>
        <v>-11183458.14500815</v>
      </c>
      <c r="AS18" s="390"/>
      <c r="AT18" s="393">
        <f t="shared" si="6"/>
        <v>-7850676.8339061262</v>
      </c>
      <c r="AV18" s="397">
        <f t="shared" si="9"/>
        <v>0</v>
      </c>
      <c r="AW18" s="390">
        <f t="shared" si="10"/>
        <v>0</v>
      </c>
      <c r="AX18" s="390">
        <f t="shared" si="11"/>
        <v>2323.0105457725535</v>
      </c>
      <c r="AY18" s="390">
        <f t="shared" si="12"/>
        <v>0</v>
      </c>
      <c r="AZ18" s="393">
        <f t="shared" si="13"/>
        <v>2323.0105457725535</v>
      </c>
      <c r="BA18" s="390"/>
      <c r="BB18" s="394">
        <f t="shared" si="14"/>
        <v>-3.1772382650690455E-2</v>
      </c>
      <c r="BC18" s="395">
        <f t="shared" si="15"/>
        <v>0</v>
      </c>
      <c r="BD18" s="395">
        <f t="shared" si="16"/>
        <v>0</v>
      </c>
      <c r="BE18" s="395">
        <f t="shared" si="17"/>
        <v>0</v>
      </c>
      <c r="BF18" s="395">
        <f t="shared" si="18"/>
        <v>-126.42975060003467</v>
      </c>
      <c r="BG18" s="395">
        <f t="shared" si="19"/>
        <v>-1.5886191325345225</v>
      </c>
      <c r="BH18" s="395">
        <f t="shared" si="20"/>
        <v>0</v>
      </c>
      <c r="BI18" s="395">
        <f t="shared" si="21"/>
        <v>-5.2406956563181373</v>
      </c>
      <c r="BJ18" s="390">
        <f t="shared" si="22"/>
        <v>2342.4329834399691</v>
      </c>
      <c r="BK18" s="393">
        <f t="shared" si="23"/>
        <v>2209.1421456684311</v>
      </c>
      <c r="BL18" s="390"/>
      <c r="BM18" s="397">
        <f t="shared" si="24"/>
        <v>0</v>
      </c>
      <c r="BN18" s="398">
        <f t="shared" si="25"/>
        <v>0</v>
      </c>
      <c r="BO18" s="390"/>
      <c r="BP18" s="400">
        <f t="shared" si="26"/>
        <v>-1708.2771557892593</v>
      </c>
      <c r="BQ18" s="401">
        <f t="shared" si="27"/>
        <v>-79.888876091679208</v>
      </c>
      <c r="BR18" s="390"/>
      <c r="BS18" s="393">
        <f t="shared" si="28"/>
        <v>46.808053769462241</v>
      </c>
    </row>
    <row r="19" spans="1:71" x14ac:dyDescent="0.25">
      <c r="A19" s="197">
        <f t="shared" si="7"/>
        <v>43586</v>
      </c>
      <c r="B19" s="388">
        <f>IF($A19&lt;=baseData, INDEX(Indicadores!B:B, MATCH($A19,Indicadores!A:A, 0)), INDEX(Indicadores!B:B, MATCH(baseData,Indicadores!A:A, 0)))</f>
        <v>755.625</v>
      </c>
      <c r="C19" s="389">
        <f>IF($A19&lt;=baseData, INDEX(Indicadores!E:E, MATCH($A19, Indicadores!A:A, 0)), INDEX(Indicadores!E:E, MATCH(baseData, Indicadores!A:A, 0)))</f>
        <v>5213.75</v>
      </c>
      <c r="D19" s="390"/>
      <c r="E19" s="393">
        <f t="shared" si="29"/>
        <v>7809472.120000001</v>
      </c>
      <c r="F19" s="390"/>
      <c r="G19" s="392">
        <v>0</v>
      </c>
      <c r="H19" s="390">
        <f>IF($A19&gt;baseData, SUMPRODUCT('Tabela Vendas'!$R:$R,'Tabela Vendas'!$V:$V)*INDEX(Curvas!$Z:$Z,MATCH($A19,Curvas!$B:$B,0)), 0)</f>
        <v>0</v>
      </c>
      <c r="I19" s="390">
        <f>IFERROR(INDEX(Permutas!AJ:AJ, MATCH('Fluxo Projeto'!A19, Permutas!N:N, 0)), 0)</f>
        <v>0</v>
      </c>
      <c r="J19" s="390">
        <v>0</v>
      </c>
      <c r="K19" s="393">
        <f t="shared" si="0"/>
        <v>0</v>
      </c>
      <c r="L19" s="390"/>
      <c r="M19" s="394">
        <f>IF($A19&lt;=baseData,INDEX('LDI - Fluxo de Caixa'!$BD$18:$BT$374,MATCH('Fluxo Projeto'!$A19,'LDI - Fluxo de Caixa'!$C$18:$C$374,0),MATCH('Fluxo Projeto'!M$1,'LDI - Fluxo de Caixa'!$BD$14:$BT$14,0)),-pctImpostoSPE*K18)</f>
        <v>-535.5</v>
      </c>
      <c r="N19" s="395">
        <f>IF($A19&lt;=baseData,INDEX('LDI - Fluxo de Caixa'!$BD$18:$BT$374,MATCH($A19,'LDI - Fluxo de Caixa'!$C$18:$C$374,0),MATCH('Fluxo Projeto'!N$1,'LDI - Fluxo de Caixa'!$BD$14:$BT$14,0)),INDEX(Obra!AA:AA,MATCH($A19,Obra!F:F,0)))</f>
        <v>0</v>
      </c>
      <c r="O19" s="395">
        <f>IF($A19&lt;=baseData,INDEX('LDI - Fluxo de Caixa'!$BD$18:$BT$374,MATCH($A19,'LDI - Fluxo de Caixa'!$C$18:$C$374,0),MATCH('Fluxo Projeto'!O$1,'LDI - Fluxo de Caixa'!$BD$14:$BT$14,0)),IF($A19=entrega,assistTecnicaObra*SUM($N$2:$N$86),0))</f>
        <v>0</v>
      </c>
      <c r="P19" s="395">
        <f>IF($A19&lt;=baseData, INDEX('LDI - Fluxo de Caixa'!$BD$18:$BT$374, MATCH('Fluxo Projeto'!$A19, 'LDI - Fluxo de Caixa'!$C$18:$C$374, 0), MATCH('Fluxo Projeto'!P$1, 'LDI - Fluxo de Caixa'!$BD$14:$BT$14, 0)), -IF($A19&gt;=entrega, INDEX(Curvas!R:R,MATCH($A19,Curvas!B:B,0))*(IPTU+condominio)*'Tabela Vendas'!$Y$22, 0))</f>
        <v>0</v>
      </c>
      <c r="Q19" s="395">
        <f>IF($A19&lt;=baseData, INDEX('LDI - Fluxo de Caixa'!$BD$18:$BT$374, MATCH('Fluxo Projeto'!$A19, 'LDI - Fluxo de Caixa'!$C$18:$C$374, 0), MATCH('Fluxo Projeto'!Q$1, 'LDI - Fluxo de Caixa'!$BD$14:$BT$14, 0)), (-pctIncorporaçaoSPE*SUM($G$4:$H$86)-SUMIF($A$4:$A$86, "&lt;="&amp;baseData, Q$4:Q$86))*(SUM($G19:$H19)/(SUMIF($A$4:$A$86, "&gt;"&amp;baseData, $G$4:$G$86)+SUMIF($A$4:$A$86, "&gt;"&amp;baseData, $H$4:$H$86))))</f>
        <v>-81419.06</v>
      </c>
      <c r="R19" s="395">
        <f>IF($A19&lt;=baseData, INDEX('LDI - Fluxo de Caixa'!$BD$18:$BT$374, MATCH('Fluxo Projeto'!$A19, 'LDI - Fluxo de Caixa'!$C$18:$C$374, 0), MATCH('Fluxo Projeto'!R$1, 'LDI - Fluxo de Caixa'!$BD$14:$BT$14, 0)), (-pctMarketingSPE*SUM($G$4:$H$86)-SUMIF($A$4:$A$86, "&lt;="&amp;baseData, R$4:R$86))*(SUM($G19:$H19)/(SUMIF($A$4:$A$86, "&gt;"&amp;baseData, $G$4:$G$86)+SUMIF($A$4:$A$86, "&gt;"&amp;baseData, $H$4:$H$86))))</f>
        <v>-18119.990000000002</v>
      </c>
      <c r="S19" s="395">
        <f>IF($A19&lt;=baseData,INDEX('LDI - Fluxo de Caixa'!$BD$18:$BT$374,MATCH($A19,'LDI - Fluxo de Caixa'!$C$18:$C$374,0),MATCH(S$1,'LDI - Fluxo de Caixa'!$BD$14:$BT$14,0)),-pctGestaoSPE*K18)</f>
        <v>0</v>
      </c>
      <c r="T19" s="395">
        <f>IF($A19&lt;=baseData, INDEX('LDI - Fluxo de Caixa'!$BD$18:$BT$374, MATCH('Fluxo Projeto'!$A19, 'LDI - Fluxo de Caixa'!$C$18:$C$374, 0), MATCH('Fluxo Projeto'!T$1, 'LDI - Fluxo de Caixa'!$BD$14:$BT$14, 0)), (-pctOutrasSPE*SUM($G$4:$H$86)-SUMIF($A$4:$A$86, "&lt;="&amp;baseData, T$4:T$86))*(SUM($G19:$H19)/(SUMIF($A$4:$A$86, "&gt;"&amp;baseData, $G$4:$G$86)+SUMIF($A$4:$A$86, "&gt;"&amp;baseData, $H$4:$H$86))))</f>
        <v>-3551.05</v>
      </c>
      <c r="U19" s="395">
        <f>IF($A19&lt;=baseData, INDEX('LDI - Fluxo de Caixa'!$BD$18:$BT$374, MATCH('Fluxo Projeto'!$A19, 'LDI - Fluxo de Caixa'!$C$18:$C$374, 0), MATCH('Fluxo Projeto'!U$1, 'LDI - Fluxo de Caixa'!$BD$14:$BT$14, 0)), 0)</f>
        <v>706.2</v>
      </c>
      <c r="V19" s="393">
        <f t="shared" si="1"/>
        <v>-102919.40000000001</v>
      </c>
      <c r="W19" s="390"/>
      <c r="X19" s="397">
        <f>INDEX('LDI - Fluxo de Caixa'!$BD$18:$BT$374, MATCH('Fluxo Projeto'!$A19, 'LDI - Fluxo de Caixa'!$C$18:$C$374, 0), MATCH('Fluxo Projeto'!X$1, 'LDI - Fluxo de Caixa'!$BD$14:$BT$14, 0))</f>
        <v>0</v>
      </c>
      <c r="Y19" s="398">
        <f>INDEX('LDI - Fluxo de Caixa'!$BD$18:$BT$374, MATCH('Fluxo Projeto'!$A19, 'LDI - Fluxo de Caixa'!$C$18:$C$374, 0), MATCH('Fluxo Projeto'!Y$1, 'LDI - Fluxo de Caixa'!$BD$14:$BT$14, 0))</f>
        <v>0</v>
      </c>
      <c r="Z19" s="390"/>
      <c r="AA19" s="397">
        <f>INDEX('LDI - Fluxo de Caixa'!$BD$18:$BT$374, MATCH('Fluxo Projeto'!$A19, 'LDI - Fluxo de Caixa'!$C$18:$C$374, 0), MATCH('Fluxo Projeto'!AA$1, 'LDI - Fluxo de Caixa'!$BD$14:$BT$14, 0))</f>
        <v>-1099830.8899999999</v>
      </c>
      <c r="AB19" s="398">
        <f>INDEX('LDI - Fluxo de Caixa'!$BD$18:$BT$374, MATCH('Fluxo Projeto'!$A19, 'LDI - Fluxo de Caixa'!$C$18:$C$374, 0), MATCH('Fluxo Projeto'!AB$1, 'LDI - Fluxo de Caixa'!$BD$14:$BT$14, 0))</f>
        <v>0</v>
      </c>
      <c r="AC19" s="390"/>
      <c r="AD19" s="393">
        <f t="shared" si="2"/>
        <v>-1202750.2899999998</v>
      </c>
      <c r="AE19" s="390"/>
      <c r="AF19" s="393">
        <f>IF($A19&lt;=baseData, INDEX('LDI - Fluxo de Caixa'!$BD$18:$BT$374, MATCH('Fluxo Projeto'!$A19, 'LDI - Fluxo de Caixa'!$C$18:$C$374, 0), MATCH('Fluxo Projeto'!AF$1, 'LDI - Fluxo de Caixa'!$BD$14:$BT$14, 0)), $E19*CDI)</f>
        <v>38620.300000000003</v>
      </c>
      <c r="AG19" s="390"/>
      <c r="AH19" s="393">
        <f t="shared" si="3"/>
        <v>6645342.1300000008</v>
      </c>
      <c r="AI19" s="390"/>
      <c r="AJ19" s="397">
        <f>IF($A19&lt;=baseData, INDEX('LDI - Fluxo de Caixa'!$BD$18:$BT$374, MATCH($A19, 'LDI - Fluxo de Caixa'!$C$18:$C$374, 0), MATCH(AJ$1, 'LDI - Fluxo de Caixa'!$BD$14:$BT$14, 0))-J19-I19, IF($A19&lt;inicioDistribuicoes,-IF(AH19&lt;cxMinSPEpreObra,IF(SUM($AD20:$AD31)-cxMinSPEpreObra+AH19&lt;0,SUM($AD20:$AD31)-cxMinSPEpreObra+AH19,IF(AH19&lt;0, AH19-cxMinSPEpreObra, 0)),0), 0))</f>
        <v>0</v>
      </c>
      <c r="AK19" s="398">
        <f>INDEX('LDI - Fluxo de Caixa'!$BD$18:$BT$374, MATCH('Fluxo Projeto'!$A19, 'LDI - Fluxo de Caixa'!$C$18:$C$374, 0), MATCH('Fluxo Projeto'!AK$1, 'LDI - Fluxo de Caixa'!$BD$14:$BT$14, 0))</f>
        <v>0</v>
      </c>
      <c r="AL19" s="390"/>
      <c r="AM19" s="393">
        <f t="shared" si="4"/>
        <v>6645342.1300000008</v>
      </c>
      <c r="AN19" s="390"/>
      <c r="AO19" s="399">
        <v>6645342.1300000008</v>
      </c>
      <c r="AP19" s="390"/>
      <c r="AQ19" s="397">
        <f t="shared" si="5"/>
        <v>0</v>
      </c>
      <c r="AR19" s="398">
        <f t="shared" si="8"/>
        <v>-11183458.14500815</v>
      </c>
      <c r="AS19" s="390"/>
      <c r="AT19" s="393">
        <f t="shared" si="6"/>
        <v>0</v>
      </c>
      <c r="AV19" s="397">
        <f t="shared" si="9"/>
        <v>0</v>
      </c>
      <c r="AW19" s="390">
        <f t="shared" si="10"/>
        <v>0</v>
      </c>
      <c r="AX19" s="390">
        <f t="shared" si="11"/>
        <v>0</v>
      </c>
      <c r="AY19" s="390">
        <f t="shared" si="12"/>
        <v>0</v>
      </c>
      <c r="AZ19" s="393">
        <f t="shared" si="13"/>
        <v>0</v>
      </c>
      <c r="BA19" s="390"/>
      <c r="BB19" s="394">
        <f t="shared" si="14"/>
        <v>-0.70868486352357318</v>
      </c>
      <c r="BC19" s="395">
        <f t="shared" si="15"/>
        <v>0</v>
      </c>
      <c r="BD19" s="395">
        <f t="shared" si="16"/>
        <v>0</v>
      </c>
      <c r="BE19" s="395">
        <f t="shared" si="17"/>
        <v>0</v>
      </c>
      <c r="BF19" s="395">
        <f t="shared" si="18"/>
        <v>-107.75061703887511</v>
      </c>
      <c r="BG19" s="395">
        <f t="shared" si="19"/>
        <v>-23.98013564929694</v>
      </c>
      <c r="BH19" s="395">
        <f t="shared" si="20"/>
        <v>0</v>
      </c>
      <c r="BI19" s="395">
        <f t="shared" si="21"/>
        <v>-4.6994871794871793</v>
      </c>
      <c r="BJ19" s="390">
        <f t="shared" si="22"/>
        <v>0.93459057071960305</v>
      </c>
      <c r="BK19" s="393">
        <f t="shared" si="23"/>
        <v>-136.20433416046322</v>
      </c>
      <c r="BL19" s="390"/>
      <c r="BM19" s="397">
        <f t="shared" si="24"/>
        <v>0</v>
      </c>
      <c r="BN19" s="398">
        <f t="shared" si="25"/>
        <v>0</v>
      </c>
      <c r="BO19" s="390"/>
      <c r="BP19" s="400">
        <f t="shared" si="26"/>
        <v>-1455.5247510339123</v>
      </c>
      <c r="BQ19" s="401">
        <f t="shared" si="27"/>
        <v>0</v>
      </c>
      <c r="BR19" s="390"/>
      <c r="BS19" s="393">
        <f t="shared" si="28"/>
        <v>51.110405293631104</v>
      </c>
    </row>
    <row r="20" spans="1:71" x14ac:dyDescent="0.25">
      <c r="A20" s="197">
        <f t="shared" si="7"/>
        <v>43617</v>
      </c>
      <c r="B20" s="388">
        <f>IF($A20&lt;=baseData, INDEX(Indicadores!B:B, MATCH($A20,Indicadores!A:A, 0)), INDEX(Indicadores!B:B, MATCH(baseData,Indicadores!A:A, 0)))</f>
        <v>762.30399999999997</v>
      </c>
      <c r="C20" s="389">
        <f>IF($A20&lt;=baseData, INDEX(Indicadores!E:E, MATCH($A20, Indicadores!A:A, 0)), INDEX(Indicadores!E:E, MATCH(baseData, Indicadores!A:A, 0)))</f>
        <v>5214.2700000000004</v>
      </c>
      <c r="D20" s="390"/>
      <c r="E20" s="393">
        <f t="shared" si="29"/>
        <v>6645342.1300000008</v>
      </c>
      <c r="F20" s="390"/>
      <c r="G20" s="392">
        <v>0</v>
      </c>
      <c r="H20" s="390">
        <f>IF($A20&gt;baseData, SUMPRODUCT('Tabela Vendas'!$R:$R,'Tabela Vendas'!$V:$V)*INDEX(Curvas!$Z:$Z,MATCH($A20,Curvas!$B:$B,0)), 0)</f>
        <v>0</v>
      </c>
      <c r="I20" s="390">
        <f>IFERROR(INDEX(Permutas!AJ:AJ, MATCH('Fluxo Projeto'!A20, Permutas!N:N, 0)), 0)</f>
        <v>0</v>
      </c>
      <c r="J20" s="390">
        <v>0</v>
      </c>
      <c r="K20" s="393">
        <f t="shared" si="0"/>
        <v>0</v>
      </c>
      <c r="L20" s="390"/>
      <c r="M20" s="394">
        <f>IF($A20&lt;=baseData,INDEX('LDI - Fluxo de Caixa'!$BD$18:$BT$374,MATCH('Fluxo Projeto'!$A20,'LDI - Fluxo de Caixa'!$C$18:$C$374,0),MATCH('Fluxo Projeto'!M$1,'LDI - Fluxo de Caixa'!$BD$14:$BT$14,0)),-pctImpostoSPE*K19)</f>
        <v>-21.19</v>
      </c>
      <c r="N20" s="395">
        <f>IF($A20&lt;=baseData,INDEX('LDI - Fluxo de Caixa'!$BD$18:$BT$374,MATCH($A20,'LDI - Fluxo de Caixa'!$C$18:$C$374,0),MATCH('Fluxo Projeto'!N$1,'LDI - Fluxo de Caixa'!$BD$14:$BT$14,0)),INDEX(Obra!AA:AA,MATCH($A20,Obra!F:F,0)))</f>
        <v>0</v>
      </c>
      <c r="O20" s="395">
        <f>IF($A20&lt;=baseData,INDEX('LDI - Fluxo de Caixa'!$BD$18:$BT$374,MATCH($A20,'LDI - Fluxo de Caixa'!$C$18:$C$374,0),MATCH('Fluxo Projeto'!O$1,'LDI - Fluxo de Caixa'!$BD$14:$BT$14,0)),IF($A20=entrega,assistTecnicaObra*SUM($N$2:$N$86),0))</f>
        <v>0</v>
      </c>
      <c r="P20" s="395">
        <f>IF($A20&lt;=baseData, INDEX('LDI - Fluxo de Caixa'!$BD$18:$BT$374, MATCH('Fluxo Projeto'!$A20, 'LDI - Fluxo de Caixa'!$C$18:$C$374, 0), MATCH('Fluxo Projeto'!P$1, 'LDI - Fluxo de Caixa'!$BD$14:$BT$14, 0)), -IF($A20&gt;=entrega, INDEX(Curvas!R:R,MATCH($A20,Curvas!B:B,0))*(IPTU+condominio)*'Tabela Vendas'!$Y$22, 0))</f>
        <v>0</v>
      </c>
      <c r="Q20" s="395">
        <f>IF($A20&lt;=baseData, INDEX('LDI - Fluxo de Caixa'!$BD$18:$BT$374, MATCH('Fluxo Projeto'!$A20, 'LDI - Fluxo de Caixa'!$C$18:$C$374, 0), MATCH('Fluxo Projeto'!Q$1, 'LDI - Fluxo de Caixa'!$BD$14:$BT$14, 0)), (-pctIncorporaçaoSPE*SUM($G$4:$H$86)-SUMIF($A$4:$A$86, "&lt;="&amp;baseData, Q$4:Q$86))*(SUM($G20:$H20)/(SUMIF($A$4:$A$86, "&gt;"&amp;baseData, $G$4:$G$86)+SUMIF($A$4:$A$86, "&gt;"&amp;baseData, $H$4:$H$86))))</f>
        <v>-143886.87</v>
      </c>
      <c r="R20" s="395">
        <f>IF($A20&lt;=baseData, INDEX('LDI - Fluxo de Caixa'!$BD$18:$BT$374, MATCH('Fluxo Projeto'!$A20, 'LDI - Fluxo de Caixa'!$C$18:$C$374, 0), MATCH('Fluxo Projeto'!R$1, 'LDI - Fluxo de Caixa'!$BD$14:$BT$14, 0)), (-pctMarketingSPE*SUM($G$4:$H$86)-SUMIF($A$4:$A$86, "&lt;="&amp;baseData, R$4:R$86))*(SUM($G20:$H20)/(SUMIF($A$4:$A$86, "&gt;"&amp;baseData, $G$4:$G$86)+SUMIF($A$4:$A$86, "&gt;"&amp;baseData, $H$4:$H$86))))</f>
        <v>-13519.55</v>
      </c>
      <c r="S20" s="395">
        <f>IF($A20&lt;=baseData,INDEX('LDI - Fluxo de Caixa'!$BD$18:$BT$374,MATCH($A20,'LDI - Fluxo de Caixa'!$C$18:$C$374,0),MATCH(S$1,'LDI - Fluxo de Caixa'!$BD$14:$BT$14,0)),-pctGestaoSPE*K19)</f>
        <v>0</v>
      </c>
      <c r="T20" s="395">
        <f>IF($A20&lt;=baseData, INDEX('LDI - Fluxo de Caixa'!$BD$18:$BT$374, MATCH('Fluxo Projeto'!$A20, 'LDI - Fluxo de Caixa'!$C$18:$C$374, 0), MATCH('Fluxo Projeto'!T$1, 'LDI - Fluxo de Caixa'!$BD$14:$BT$14, 0)), (-pctOutrasSPE*SUM($G$4:$H$86)-SUMIF($A$4:$A$86, "&lt;="&amp;baseData, T$4:T$86))*(SUM($G20:$H20)/(SUMIF($A$4:$A$86, "&gt;"&amp;baseData, $G$4:$G$86)+SUMIF($A$4:$A$86, "&gt;"&amp;baseData, $H$4:$H$86))))</f>
        <v>-2336.94</v>
      </c>
      <c r="U20" s="395">
        <f>IF($A20&lt;=baseData, INDEX('LDI - Fluxo de Caixa'!$BD$18:$BT$374, MATCH('Fluxo Projeto'!$A20, 'LDI - Fluxo de Caixa'!$C$18:$C$374, 0), MATCH('Fluxo Projeto'!U$1, 'LDI - Fluxo de Caixa'!$BD$14:$BT$14, 0)), 0)</f>
        <v>9530.7000000000007</v>
      </c>
      <c r="V20" s="393">
        <f t="shared" si="1"/>
        <v>-150233.84999999998</v>
      </c>
      <c r="W20" s="390"/>
      <c r="X20" s="397">
        <f>INDEX('LDI - Fluxo de Caixa'!$BD$18:$BT$374, MATCH('Fluxo Projeto'!$A20, 'LDI - Fluxo de Caixa'!$C$18:$C$374, 0), MATCH('Fluxo Projeto'!X$1, 'LDI - Fluxo de Caixa'!$BD$14:$BT$14, 0))</f>
        <v>0</v>
      </c>
      <c r="Y20" s="398">
        <f>INDEX('LDI - Fluxo de Caixa'!$BD$18:$BT$374, MATCH('Fluxo Projeto'!$A20, 'LDI - Fluxo de Caixa'!$C$18:$C$374, 0), MATCH('Fluxo Projeto'!Y$1, 'LDI - Fluxo de Caixa'!$BD$14:$BT$14, 0))</f>
        <v>0</v>
      </c>
      <c r="Z20" s="390"/>
      <c r="AA20" s="397">
        <f>INDEX('LDI - Fluxo de Caixa'!$BD$18:$BT$374, MATCH('Fluxo Projeto'!$A20, 'LDI - Fluxo de Caixa'!$C$18:$C$374, 0), MATCH('Fluxo Projeto'!AA$1, 'LDI - Fluxo de Caixa'!$BD$14:$BT$14, 0))</f>
        <v>-89767.569999999905</v>
      </c>
      <c r="AB20" s="398">
        <f>INDEX('LDI - Fluxo de Caixa'!$BD$18:$BT$374, MATCH('Fluxo Projeto'!$A20, 'LDI - Fluxo de Caixa'!$C$18:$C$374, 0), MATCH('Fluxo Projeto'!AB$1, 'LDI - Fluxo de Caixa'!$BD$14:$BT$14, 0))</f>
        <v>0</v>
      </c>
      <c r="AC20" s="390"/>
      <c r="AD20" s="393">
        <f t="shared" si="2"/>
        <v>-240001.41999999987</v>
      </c>
      <c r="AE20" s="390"/>
      <c r="AF20" s="393">
        <f>IF($A20&lt;=baseData, INDEX('LDI - Fluxo de Caixa'!$BD$18:$BT$374, MATCH('Fluxo Projeto'!$A20, 'LDI - Fluxo de Caixa'!$C$18:$C$374, 0), MATCH('Fluxo Projeto'!AF$1, 'LDI - Fluxo de Caixa'!$BD$14:$BT$14, 0)), $E20*CDI)</f>
        <v>29239.94</v>
      </c>
      <c r="AG20" s="390"/>
      <c r="AH20" s="393">
        <f t="shared" si="3"/>
        <v>6434580.6500000013</v>
      </c>
      <c r="AI20" s="390"/>
      <c r="AJ20" s="397">
        <f>IF($A20&lt;=baseData, INDEX('LDI - Fluxo de Caixa'!$BD$18:$BT$374, MATCH($A20, 'LDI - Fluxo de Caixa'!$C$18:$C$374, 0), MATCH(AJ$1, 'LDI - Fluxo de Caixa'!$BD$14:$BT$14, 0))-J20-I20, IF($A20&lt;inicioDistribuicoes,-IF(AH20&lt;cxMinSPEpreObra,IF(SUM($AD21:$AD32)-cxMinSPEpreObra+AH20&lt;0,SUM($AD21:$AD32)-cxMinSPEpreObra+AH20,IF(AH20&lt;0, AH20-cxMinSPEpreObra, 0)),0), 0))</f>
        <v>0</v>
      </c>
      <c r="AK20" s="398">
        <f>INDEX('LDI - Fluxo de Caixa'!$BD$18:$BT$374, MATCH('Fluxo Projeto'!$A20, 'LDI - Fluxo de Caixa'!$C$18:$C$374, 0), MATCH('Fluxo Projeto'!AK$1, 'LDI - Fluxo de Caixa'!$BD$14:$BT$14, 0))</f>
        <v>0</v>
      </c>
      <c r="AL20" s="390"/>
      <c r="AM20" s="393">
        <f t="shared" si="4"/>
        <v>6434580.6500000013</v>
      </c>
      <c r="AN20" s="390"/>
      <c r="AO20" s="399">
        <v>6434580.6500000013</v>
      </c>
      <c r="AP20" s="390"/>
      <c r="AQ20" s="397">
        <f t="shared" si="5"/>
        <v>0</v>
      </c>
      <c r="AR20" s="398">
        <f t="shared" si="8"/>
        <v>-11183458.14500815</v>
      </c>
      <c r="AS20" s="390"/>
      <c r="AT20" s="393">
        <f t="shared" si="6"/>
        <v>0</v>
      </c>
      <c r="AV20" s="397">
        <f t="shared" si="9"/>
        <v>0</v>
      </c>
      <c r="AW20" s="390">
        <f t="shared" si="10"/>
        <v>0</v>
      </c>
      <c r="AX20" s="390">
        <f t="shared" si="11"/>
        <v>0</v>
      </c>
      <c r="AY20" s="390">
        <f t="shared" si="12"/>
        <v>0</v>
      </c>
      <c r="AZ20" s="393">
        <f t="shared" si="13"/>
        <v>0</v>
      </c>
      <c r="BA20" s="390"/>
      <c r="BB20" s="394">
        <f t="shared" si="14"/>
        <v>-2.7797309209973975E-2</v>
      </c>
      <c r="BC20" s="395">
        <f t="shared" si="15"/>
        <v>0</v>
      </c>
      <c r="BD20" s="395">
        <f t="shared" si="16"/>
        <v>0</v>
      </c>
      <c r="BE20" s="395">
        <f t="shared" si="17"/>
        <v>0</v>
      </c>
      <c r="BF20" s="395">
        <f t="shared" si="18"/>
        <v>-188.75261050709429</v>
      </c>
      <c r="BG20" s="395">
        <f t="shared" si="19"/>
        <v>-17.735116174124759</v>
      </c>
      <c r="BH20" s="395">
        <f t="shared" si="20"/>
        <v>0</v>
      </c>
      <c r="BI20" s="395">
        <f t="shared" si="21"/>
        <v>-3.0656273612626985</v>
      </c>
      <c r="BJ20" s="390">
        <f t="shared" si="22"/>
        <v>12.502492443959367</v>
      </c>
      <c r="BK20" s="393">
        <f t="shared" si="23"/>
        <v>-197.07865890773235</v>
      </c>
      <c r="BL20" s="390"/>
      <c r="BM20" s="397">
        <f t="shared" si="24"/>
        <v>0</v>
      </c>
      <c r="BN20" s="398">
        <f t="shared" si="25"/>
        <v>0</v>
      </c>
      <c r="BO20" s="390"/>
      <c r="BP20" s="400">
        <f t="shared" si="26"/>
        <v>-117.75823031231623</v>
      </c>
      <c r="BQ20" s="401">
        <f t="shared" si="27"/>
        <v>0</v>
      </c>
      <c r="BR20" s="390"/>
      <c r="BS20" s="393">
        <f t="shared" si="28"/>
        <v>38.357322013265048</v>
      </c>
    </row>
    <row r="21" spans="1:71" x14ac:dyDescent="0.25">
      <c r="A21" s="197">
        <f t="shared" si="7"/>
        <v>43647</v>
      </c>
      <c r="B21" s="388">
        <f>IF($A21&lt;=baseData, INDEX(Indicadores!B:B, MATCH($A21,Indicadores!A:A, 0)), INDEX(Indicadores!B:B, MATCH(baseData,Indicadores!A:A, 0)))</f>
        <v>766.69899999999996</v>
      </c>
      <c r="C21" s="389">
        <f>IF($A21&lt;=baseData, INDEX(Indicadores!E:E, MATCH($A21, Indicadores!A:A, 0)), INDEX(Indicadores!E:E, MATCH(baseData, Indicadores!A:A, 0)))</f>
        <v>5224.18</v>
      </c>
      <c r="D21" s="390"/>
      <c r="E21" s="393">
        <f t="shared" si="29"/>
        <v>6434580.6500000013</v>
      </c>
      <c r="F21" s="390"/>
      <c r="G21" s="392">
        <v>0</v>
      </c>
      <c r="H21" s="390">
        <f>IF($A21&gt;baseData, SUMPRODUCT('Tabela Vendas'!$R:$R,'Tabela Vendas'!$V:$V)*INDEX(Curvas!$Z:$Z,MATCH($A21,Curvas!$B:$B,0)), 0)</f>
        <v>0</v>
      </c>
      <c r="I21" s="390">
        <f>IFERROR(INDEX(Permutas!AJ:AJ, MATCH('Fluxo Projeto'!A21, Permutas!N:N, 0)), 0)</f>
        <v>0</v>
      </c>
      <c r="J21" s="390">
        <v>0</v>
      </c>
      <c r="K21" s="393">
        <f t="shared" si="0"/>
        <v>0</v>
      </c>
      <c r="L21" s="390"/>
      <c r="M21" s="394">
        <f>IF($A21&lt;=baseData,INDEX('LDI - Fluxo de Caixa'!$BD$18:$BT$374,MATCH('Fluxo Projeto'!$A21,'LDI - Fluxo de Caixa'!$C$18:$C$374,0),MATCH('Fluxo Projeto'!M$1,'LDI - Fluxo de Caixa'!$BD$14:$BT$14,0)),-pctImpostoSPE*K20)</f>
        <v>-29683.680000000004</v>
      </c>
      <c r="N21" s="395">
        <f>IF($A21&lt;=baseData,INDEX('LDI - Fluxo de Caixa'!$BD$18:$BT$374,MATCH($A21,'LDI - Fluxo de Caixa'!$C$18:$C$374,0),MATCH('Fluxo Projeto'!N$1,'LDI - Fluxo de Caixa'!$BD$14:$BT$14,0)),INDEX(Obra!AA:AA,MATCH($A21,Obra!F:F,0)))</f>
        <v>0</v>
      </c>
      <c r="O21" s="395">
        <f>IF($A21&lt;=baseData,INDEX('LDI - Fluxo de Caixa'!$BD$18:$BT$374,MATCH($A21,'LDI - Fluxo de Caixa'!$C$18:$C$374,0),MATCH('Fluxo Projeto'!O$1,'LDI - Fluxo de Caixa'!$BD$14:$BT$14,0)),IF($A21=entrega,assistTecnicaObra*SUM($N$2:$N$86),0))</f>
        <v>0</v>
      </c>
      <c r="P21" s="395">
        <f>IF($A21&lt;=baseData, INDEX('LDI - Fluxo de Caixa'!$BD$18:$BT$374, MATCH('Fluxo Projeto'!$A21, 'LDI - Fluxo de Caixa'!$C$18:$C$374, 0), MATCH('Fluxo Projeto'!P$1, 'LDI - Fluxo de Caixa'!$BD$14:$BT$14, 0)), -IF($A21&gt;=entrega, INDEX(Curvas!R:R,MATCH($A21,Curvas!B:B,0))*(IPTU+condominio)*'Tabela Vendas'!$Y$22, 0))</f>
        <v>0</v>
      </c>
      <c r="Q21" s="395">
        <f>IF($A21&lt;=baseData, INDEX('LDI - Fluxo de Caixa'!$BD$18:$BT$374, MATCH('Fluxo Projeto'!$A21, 'LDI - Fluxo de Caixa'!$C$18:$C$374, 0), MATCH('Fluxo Projeto'!Q$1, 'LDI - Fluxo de Caixa'!$BD$14:$BT$14, 0)), (-pctIncorporaçaoSPE*SUM($G$4:$H$86)-SUMIF($A$4:$A$86, "&lt;="&amp;baseData, Q$4:Q$86))*(SUM($G21:$H21)/(SUMIF($A$4:$A$86, "&gt;"&amp;baseData, $G$4:$G$86)+SUMIF($A$4:$A$86, "&gt;"&amp;baseData, $H$4:$H$86))))</f>
        <v>-96359.94</v>
      </c>
      <c r="R21" s="395">
        <f>IF($A21&lt;=baseData, INDEX('LDI - Fluxo de Caixa'!$BD$18:$BT$374, MATCH('Fluxo Projeto'!$A21, 'LDI - Fluxo de Caixa'!$C$18:$C$374, 0), MATCH('Fluxo Projeto'!R$1, 'LDI - Fluxo de Caixa'!$BD$14:$BT$14, 0)), (-pctMarketingSPE*SUM($G$4:$H$86)-SUMIF($A$4:$A$86, "&lt;="&amp;baseData, R$4:R$86))*(SUM($G21:$H21)/(SUMIF($A$4:$A$86, "&gt;"&amp;baseData, $G$4:$G$86)+SUMIF($A$4:$A$86, "&gt;"&amp;baseData, $H$4:$H$86))))</f>
        <v>-2277.1400000000003</v>
      </c>
      <c r="S21" s="395">
        <f>IF($A21&lt;=baseData,INDEX('LDI - Fluxo de Caixa'!$BD$18:$BT$374,MATCH($A21,'LDI - Fluxo de Caixa'!$C$18:$C$374,0),MATCH(S$1,'LDI - Fluxo de Caixa'!$BD$14:$BT$14,0)),-pctGestaoSPE*K20)</f>
        <v>0</v>
      </c>
      <c r="T21" s="395">
        <f>IF($A21&lt;=baseData, INDEX('LDI - Fluxo de Caixa'!$BD$18:$BT$374, MATCH('Fluxo Projeto'!$A21, 'LDI - Fluxo de Caixa'!$C$18:$C$374, 0), MATCH('Fluxo Projeto'!T$1, 'LDI - Fluxo de Caixa'!$BD$14:$BT$14, 0)), (-pctOutrasSPE*SUM($G$4:$H$86)-SUMIF($A$4:$A$86, "&lt;="&amp;baseData, T$4:T$86))*(SUM($G21:$H21)/(SUMIF($A$4:$A$86, "&gt;"&amp;baseData, $G$4:$G$86)+SUMIF($A$4:$A$86, "&gt;"&amp;baseData, $H$4:$H$86))))</f>
        <v>-1280.3499999999999</v>
      </c>
      <c r="U21" s="395">
        <f>IF($A21&lt;=baseData, INDEX('LDI - Fluxo de Caixa'!$BD$18:$BT$374, MATCH('Fluxo Projeto'!$A21, 'LDI - Fluxo de Caixa'!$C$18:$C$374, 0), MATCH('Fluxo Projeto'!U$1, 'LDI - Fluxo de Caixa'!$BD$14:$BT$14, 0)), 0)</f>
        <v>8610</v>
      </c>
      <c r="V21" s="393">
        <f t="shared" si="1"/>
        <v>-120991.11000000002</v>
      </c>
      <c r="W21" s="390"/>
      <c r="X21" s="397">
        <f>INDEX('LDI - Fluxo de Caixa'!$BD$18:$BT$374, MATCH('Fluxo Projeto'!$A21, 'LDI - Fluxo de Caixa'!$C$18:$C$374, 0), MATCH('Fluxo Projeto'!X$1, 'LDI - Fluxo de Caixa'!$BD$14:$BT$14, 0))</f>
        <v>0</v>
      </c>
      <c r="Y21" s="398">
        <f>INDEX('LDI - Fluxo de Caixa'!$BD$18:$BT$374, MATCH('Fluxo Projeto'!$A21, 'LDI - Fluxo de Caixa'!$C$18:$C$374, 0), MATCH('Fluxo Projeto'!Y$1, 'LDI - Fluxo de Caixa'!$BD$14:$BT$14, 0))</f>
        <v>0</v>
      </c>
      <c r="Z21" s="390"/>
      <c r="AA21" s="397">
        <f>INDEX('LDI - Fluxo de Caixa'!$BD$18:$BT$374, MATCH('Fluxo Projeto'!$A21, 'LDI - Fluxo de Caixa'!$C$18:$C$374, 0), MATCH('Fluxo Projeto'!AA$1, 'LDI - Fluxo de Caixa'!$BD$14:$BT$14, 0))</f>
        <v>-3313710.61</v>
      </c>
      <c r="AB21" s="398">
        <f>INDEX('LDI - Fluxo de Caixa'!$BD$18:$BT$374, MATCH('Fluxo Projeto'!$A21, 'LDI - Fluxo de Caixa'!$C$18:$C$374, 0), MATCH('Fluxo Projeto'!AB$1, 'LDI - Fluxo de Caixa'!$BD$14:$BT$14, 0))</f>
        <v>0</v>
      </c>
      <c r="AC21" s="390"/>
      <c r="AD21" s="393">
        <f t="shared" si="2"/>
        <v>-3434701.7199999997</v>
      </c>
      <c r="AE21" s="390"/>
      <c r="AF21" s="393">
        <f>IF($A21&lt;=baseData, INDEX('LDI - Fluxo de Caixa'!$BD$18:$BT$374, MATCH('Fluxo Projeto'!$A21, 'LDI - Fluxo de Caixa'!$C$18:$C$374, 0), MATCH('Fluxo Projeto'!AF$1, 'LDI - Fluxo de Caixa'!$BD$14:$BT$14, 0)), $E21*CDI)</f>
        <v>5723.1100000000006</v>
      </c>
      <c r="AG21" s="390"/>
      <c r="AH21" s="393">
        <f t="shared" si="3"/>
        <v>3005602.040000001</v>
      </c>
      <c r="AI21" s="390"/>
      <c r="AJ21" s="397">
        <f>IF($A21&lt;=baseData, INDEX('LDI - Fluxo de Caixa'!$BD$18:$BT$374, MATCH($A21, 'LDI - Fluxo de Caixa'!$C$18:$C$374, 0), MATCH(AJ$1, 'LDI - Fluxo de Caixa'!$BD$14:$BT$14, 0))-J21-I21, IF($A21&lt;inicioDistribuicoes,-IF(AH21&lt;cxMinSPEpreObra,IF(SUM($AD22:$AD33)-cxMinSPEpreObra+AH21&lt;0,SUM($AD22:$AD33)-cxMinSPEpreObra+AH21,IF(AH21&lt;0, AH21-cxMinSPEpreObra, 0)),0), 0))</f>
        <v>0</v>
      </c>
      <c r="AK21" s="398">
        <f>INDEX('LDI - Fluxo de Caixa'!$BD$18:$BT$374, MATCH('Fluxo Projeto'!$A21, 'LDI - Fluxo de Caixa'!$C$18:$C$374, 0), MATCH('Fluxo Projeto'!AK$1, 'LDI - Fluxo de Caixa'!$BD$14:$BT$14, 0))</f>
        <v>0</v>
      </c>
      <c r="AL21" s="390"/>
      <c r="AM21" s="393">
        <f t="shared" si="4"/>
        <v>3005602.040000001</v>
      </c>
      <c r="AN21" s="390"/>
      <c r="AO21" s="399">
        <v>3005602.040000001</v>
      </c>
      <c r="AP21" s="390"/>
      <c r="AQ21" s="397">
        <f t="shared" si="5"/>
        <v>0</v>
      </c>
      <c r="AR21" s="398">
        <f t="shared" si="8"/>
        <v>-11183458.14500815</v>
      </c>
      <c r="AS21" s="390"/>
      <c r="AT21" s="393">
        <f t="shared" si="6"/>
        <v>0</v>
      </c>
      <c r="AV21" s="397">
        <f t="shared" si="9"/>
        <v>0</v>
      </c>
      <c r="AW21" s="390">
        <f t="shared" si="10"/>
        <v>0</v>
      </c>
      <c r="AX21" s="390">
        <f t="shared" si="11"/>
        <v>0</v>
      </c>
      <c r="AY21" s="390">
        <f t="shared" si="12"/>
        <v>0</v>
      </c>
      <c r="AZ21" s="393">
        <f t="shared" si="13"/>
        <v>0</v>
      </c>
      <c r="BA21" s="390"/>
      <c r="BB21" s="394">
        <f t="shared" si="14"/>
        <v>-38.71621066415895</v>
      </c>
      <c r="BC21" s="395">
        <f t="shared" si="15"/>
        <v>0</v>
      </c>
      <c r="BD21" s="395">
        <f t="shared" si="16"/>
        <v>0</v>
      </c>
      <c r="BE21" s="395">
        <f t="shared" si="17"/>
        <v>0</v>
      </c>
      <c r="BF21" s="395">
        <f t="shared" si="18"/>
        <v>-125.68157777693725</v>
      </c>
      <c r="BG21" s="395">
        <f t="shared" si="19"/>
        <v>-2.9700573497552503</v>
      </c>
      <c r="BH21" s="395">
        <f t="shared" si="20"/>
        <v>0</v>
      </c>
      <c r="BI21" s="395">
        <f t="shared" si="21"/>
        <v>-1.6699513107490684</v>
      </c>
      <c r="BJ21" s="390">
        <f t="shared" si="22"/>
        <v>11.229961171202781</v>
      </c>
      <c r="BK21" s="393">
        <f t="shared" si="23"/>
        <v>-157.80783593039774</v>
      </c>
      <c r="BL21" s="390"/>
      <c r="BM21" s="397">
        <f t="shared" si="24"/>
        <v>0</v>
      </c>
      <c r="BN21" s="398">
        <f t="shared" si="25"/>
        <v>0</v>
      </c>
      <c r="BO21" s="390"/>
      <c r="BP21" s="400">
        <f t="shared" si="26"/>
        <v>-4322.0489527180807</v>
      </c>
      <c r="BQ21" s="401">
        <f t="shared" si="27"/>
        <v>0</v>
      </c>
      <c r="BR21" s="390"/>
      <c r="BS21" s="393">
        <f t="shared" si="28"/>
        <v>7.4646112750897036</v>
      </c>
    </row>
    <row r="22" spans="1:71" x14ac:dyDescent="0.25">
      <c r="A22" s="197">
        <f t="shared" si="7"/>
        <v>43678</v>
      </c>
      <c r="B22" s="388">
        <f>IF($A22&lt;=baseData, INDEX(Indicadores!B:B, MATCH($A22,Indicadores!A:A, 0)), INDEX(Indicadores!B:B, MATCH(baseData,Indicadores!A:A, 0)))</f>
        <v>769.95100000000002</v>
      </c>
      <c r="C22" s="389">
        <f>IF($A22&lt;=baseData, INDEX(Indicadores!E:E, MATCH($A22, Indicadores!A:A, 0)), INDEX(Indicadores!E:E, MATCH(baseData, Indicadores!A:A, 0)))</f>
        <v>5229.93</v>
      </c>
      <c r="D22" s="390"/>
      <c r="E22" s="393">
        <f t="shared" si="29"/>
        <v>3005602.040000001</v>
      </c>
      <c r="F22" s="390"/>
      <c r="G22" s="392">
        <v>0</v>
      </c>
      <c r="H22" s="390">
        <f>IF($A22&gt;baseData, SUMPRODUCT('Tabela Vendas'!$R:$R,'Tabela Vendas'!$V:$V)*INDEX(Curvas!$Z:$Z,MATCH($A22,Curvas!$B:$B,0)), 0)</f>
        <v>0</v>
      </c>
      <c r="I22" s="390">
        <f>IFERROR(INDEX(Permutas!AJ:AJ, MATCH('Fluxo Projeto'!A22, Permutas!N:N, 0)), 0)</f>
        <v>1220633.0488871871</v>
      </c>
      <c r="J22" s="390">
        <v>0</v>
      </c>
      <c r="K22" s="393">
        <f t="shared" si="0"/>
        <v>1220633.0488871871</v>
      </c>
      <c r="L22" s="390"/>
      <c r="M22" s="394">
        <f>IF($A22&lt;=baseData,INDEX('LDI - Fluxo de Caixa'!$BD$18:$BT$374,MATCH('Fluxo Projeto'!$A22,'LDI - Fluxo de Caixa'!$C$18:$C$374,0),MATCH('Fluxo Projeto'!M$1,'LDI - Fluxo de Caixa'!$BD$14:$BT$14,0)),-pctImpostoSPE*K21)</f>
        <v>-314.27</v>
      </c>
      <c r="N22" s="395">
        <f>IF($A22&lt;=baseData,INDEX('LDI - Fluxo de Caixa'!$BD$18:$BT$374,MATCH($A22,'LDI - Fluxo de Caixa'!$C$18:$C$374,0),MATCH('Fluxo Projeto'!N$1,'LDI - Fluxo de Caixa'!$BD$14:$BT$14,0)),INDEX(Obra!AA:AA,MATCH($A22,Obra!F:F,0)))</f>
        <v>0</v>
      </c>
      <c r="O22" s="395">
        <f>IF($A22&lt;=baseData,INDEX('LDI - Fluxo de Caixa'!$BD$18:$BT$374,MATCH($A22,'LDI - Fluxo de Caixa'!$C$18:$C$374,0),MATCH('Fluxo Projeto'!O$1,'LDI - Fluxo de Caixa'!$BD$14:$BT$14,0)),IF($A22=entrega,assistTecnicaObra*SUM($N$2:$N$86),0))</f>
        <v>0</v>
      </c>
      <c r="P22" s="395">
        <f>IF($A22&lt;=baseData, INDEX('LDI - Fluxo de Caixa'!$BD$18:$BT$374, MATCH('Fluxo Projeto'!$A22, 'LDI - Fluxo de Caixa'!$C$18:$C$374, 0), MATCH('Fluxo Projeto'!P$1, 'LDI - Fluxo de Caixa'!$BD$14:$BT$14, 0)), -IF($A22&gt;=entrega, INDEX(Curvas!R:R,MATCH($A22,Curvas!B:B,0))*(IPTU+condominio)*'Tabela Vendas'!$Y$22, 0))</f>
        <v>0</v>
      </c>
      <c r="Q22" s="395">
        <f>IF($A22&lt;=baseData, INDEX('LDI - Fluxo de Caixa'!$BD$18:$BT$374, MATCH('Fluxo Projeto'!$A22, 'LDI - Fluxo de Caixa'!$C$18:$C$374, 0), MATCH('Fluxo Projeto'!Q$1, 'LDI - Fluxo de Caixa'!$BD$14:$BT$14, 0)), (-pctIncorporaçaoSPE*SUM($G$4:$H$86)-SUMIF($A$4:$A$86, "&lt;="&amp;baseData, Q$4:Q$86))*(SUM($G22:$H22)/(SUMIF($A$4:$A$86, "&gt;"&amp;baseData, $G$4:$G$86)+SUMIF($A$4:$A$86, "&gt;"&amp;baseData, $H$4:$H$86))))</f>
        <v>-85552.47</v>
      </c>
      <c r="R22" s="395">
        <f>IF($A22&lt;=baseData, INDEX('LDI - Fluxo de Caixa'!$BD$18:$BT$374, MATCH('Fluxo Projeto'!$A22, 'LDI - Fluxo de Caixa'!$C$18:$C$374, 0), MATCH('Fluxo Projeto'!R$1, 'LDI - Fluxo de Caixa'!$BD$14:$BT$14, 0)), (-pctMarketingSPE*SUM($G$4:$H$86)-SUMIF($A$4:$A$86, "&lt;="&amp;baseData, R$4:R$86))*(SUM($G22:$H22)/(SUMIF($A$4:$A$86, "&gt;"&amp;baseData, $G$4:$G$86)+SUMIF($A$4:$A$86, "&gt;"&amp;baseData, $H$4:$H$86))))</f>
        <v>0</v>
      </c>
      <c r="S22" s="395">
        <f>IF($A22&lt;=baseData,INDEX('LDI - Fluxo de Caixa'!$BD$18:$BT$374,MATCH($A22,'LDI - Fluxo de Caixa'!$C$18:$C$374,0),MATCH(S$1,'LDI - Fluxo de Caixa'!$BD$14:$BT$14,0)),-pctGestaoSPE*K21)</f>
        <v>0</v>
      </c>
      <c r="T22" s="395">
        <f>IF($A22&lt;=baseData, INDEX('LDI - Fluxo de Caixa'!$BD$18:$BT$374, MATCH('Fluxo Projeto'!$A22, 'LDI - Fluxo de Caixa'!$C$18:$C$374, 0), MATCH('Fluxo Projeto'!T$1, 'LDI - Fluxo de Caixa'!$BD$14:$BT$14, 0)), (-pctOutrasSPE*SUM($G$4:$H$86)-SUMIF($A$4:$A$86, "&lt;="&amp;baseData, T$4:T$86))*(SUM($G22:$H22)/(SUMIF($A$4:$A$86, "&gt;"&amp;baseData, $G$4:$G$86)+SUMIF($A$4:$A$86, "&gt;"&amp;baseData, $H$4:$H$86))))</f>
        <v>-6012.35</v>
      </c>
      <c r="U22" s="395">
        <f>IF($A22&lt;=baseData, INDEX('LDI - Fluxo de Caixa'!$BD$18:$BT$374, MATCH('Fluxo Projeto'!$A22, 'LDI - Fluxo de Caixa'!$C$18:$C$374, 0), MATCH('Fluxo Projeto'!U$1, 'LDI - Fluxo de Caixa'!$BD$14:$BT$14, 0)), 0)</f>
        <v>1229436.04</v>
      </c>
      <c r="V22" s="393">
        <f t="shared" si="1"/>
        <v>1137556.95</v>
      </c>
      <c r="W22" s="390"/>
      <c r="X22" s="397">
        <f>INDEX('LDI - Fluxo de Caixa'!$BD$18:$BT$374, MATCH('Fluxo Projeto'!$A22, 'LDI - Fluxo de Caixa'!$C$18:$C$374, 0), MATCH('Fluxo Projeto'!X$1, 'LDI - Fluxo de Caixa'!$BD$14:$BT$14, 0))</f>
        <v>0</v>
      </c>
      <c r="Y22" s="398">
        <f>INDEX('LDI - Fluxo de Caixa'!$BD$18:$BT$374, MATCH('Fluxo Projeto'!$A22, 'LDI - Fluxo de Caixa'!$C$18:$C$374, 0), MATCH('Fluxo Projeto'!Y$1, 'LDI - Fluxo de Caixa'!$BD$14:$BT$14, 0))</f>
        <v>0</v>
      </c>
      <c r="Z22" s="390"/>
      <c r="AA22" s="397">
        <f>INDEX('LDI - Fluxo de Caixa'!$BD$18:$BT$374, MATCH('Fluxo Projeto'!$A22, 'LDI - Fluxo de Caixa'!$C$18:$C$374, 0), MATCH('Fluxo Projeto'!AA$1, 'LDI - Fluxo de Caixa'!$BD$14:$BT$14, 0))</f>
        <v>-1867076.1799999997</v>
      </c>
      <c r="AB22" s="398">
        <f>INDEX('LDI - Fluxo de Caixa'!$BD$18:$BT$374, MATCH('Fluxo Projeto'!$A22, 'LDI - Fluxo de Caixa'!$C$18:$C$374, 0), MATCH('Fluxo Projeto'!AB$1, 'LDI - Fluxo de Caixa'!$BD$14:$BT$14, 0))</f>
        <v>-6218099.9700000007</v>
      </c>
      <c r="AC22" s="390"/>
      <c r="AD22" s="393">
        <f t="shared" si="2"/>
        <v>-5726986.1511128135</v>
      </c>
      <c r="AE22" s="390"/>
      <c r="AF22" s="393">
        <f>IF($A22&lt;=baseData, INDEX('LDI - Fluxo de Caixa'!$BD$18:$BT$374, MATCH('Fluxo Projeto'!$A22, 'LDI - Fluxo de Caixa'!$C$18:$C$374, 0), MATCH('Fluxo Projeto'!AF$1, 'LDI - Fluxo de Caixa'!$BD$14:$BT$14, 0)), $E22*CDI)</f>
        <v>-2830.59</v>
      </c>
      <c r="AG22" s="390"/>
      <c r="AH22" s="393">
        <f t="shared" si="3"/>
        <v>-2724214.7011128115</v>
      </c>
      <c r="AI22" s="390"/>
      <c r="AJ22" s="397">
        <f>IF($A22&lt;=baseData, INDEX('LDI - Fluxo de Caixa'!$BD$18:$BT$374, MATCH($A22, 'LDI - Fluxo de Caixa'!$C$18:$C$374, 0), MATCH(AJ$1, 'LDI - Fluxo de Caixa'!$BD$14:$BT$14, 0))-J22-I22, IF($A22&lt;inicioDistribuicoes,-IF(AH22&lt;cxMinSPEpreObra,IF(SUM($AD23:$AD34)-cxMinSPEpreObra+AH22&lt;0,SUM($AD23:$AD34)-cxMinSPEpreObra+AH22,IF(AH22&lt;0, AH22-cxMinSPEpreObra, 0)),0), 0))</f>
        <v>6544566.9511128124</v>
      </c>
      <c r="AK22" s="398">
        <f>INDEX('LDI - Fluxo de Caixa'!$BD$18:$BT$374, MATCH('Fluxo Projeto'!$A22, 'LDI - Fluxo de Caixa'!$C$18:$C$374, 0), MATCH('Fluxo Projeto'!AK$1, 'LDI - Fluxo de Caixa'!$BD$14:$BT$14, 0))</f>
        <v>0</v>
      </c>
      <c r="AL22" s="390"/>
      <c r="AM22" s="393">
        <f t="shared" si="4"/>
        <v>3820352.2500000009</v>
      </c>
      <c r="AN22" s="390"/>
      <c r="AO22" s="399">
        <v>2599719.21</v>
      </c>
      <c r="AP22" s="390"/>
      <c r="AQ22" s="397">
        <f t="shared" si="5"/>
        <v>-6544566.9511128124</v>
      </c>
      <c r="AR22" s="398">
        <f t="shared" si="8"/>
        <v>-17728025.096120961</v>
      </c>
      <c r="AS22" s="390"/>
      <c r="AT22" s="393">
        <f t="shared" si="6"/>
        <v>-6865655.4616638208</v>
      </c>
      <c r="AV22" s="397">
        <f t="shared" si="9"/>
        <v>0</v>
      </c>
      <c r="AW22" s="390">
        <f t="shared" si="10"/>
        <v>0</v>
      </c>
      <c r="AX22" s="390">
        <f t="shared" si="11"/>
        <v>1585.3386110118529</v>
      </c>
      <c r="AY22" s="390">
        <f t="shared" si="12"/>
        <v>0</v>
      </c>
      <c r="AZ22" s="393">
        <f t="shared" si="13"/>
        <v>1585.3386110118529</v>
      </c>
      <c r="BA22" s="390"/>
      <c r="BB22" s="394">
        <f t="shared" si="14"/>
        <v>-0.40816883152304495</v>
      </c>
      <c r="BC22" s="395">
        <f t="shared" si="15"/>
        <v>0</v>
      </c>
      <c r="BD22" s="395">
        <f t="shared" si="16"/>
        <v>0</v>
      </c>
      <c r="BE22" s="395">
        <f t="shared" si="17"/>
        <v>0</v>
      </c>
      <c r="BF22" s="395">
        <f t="shared" si="18"/>
        <v>-111.1141747981365</v>
      </c>
      <c r="BG22" s="395">
        <f t="shared" si="19"/>
        <v>0</v>
      </c>
      <c r="BH22" s="395">
        <f t="shared" si="20"/>
        <v>0</v>
      </c>
      <c r="BI22" s="395">
        <f t="shared" si="21"/>
        <v>-7.8087436732986903</v>
      </c>
      <c r="BJ22" s="390">
        <f t="shared" si="22"/>
        <v>1596.7717945687452</v>
      </c>
      <c r="BK22" s="393">
        <f t="shared" si="23"/>
        <v>1477.4407072657871</v>
      </c>
      <c r="BL22" s="390"/>
      <c r="BM22" s="397">
        <f t="shared" si="24"/>
        <v>0</v>
      </c>
      <c r="BN22" s="398">
        <f t="shared" si="25"/>
        <v>0</v>
      </c>
      <c r="BO22" s="390"/>
      <c r="BP22" s="400">
        <f t="shared" si="26"/>
        <v>-2424.928573376747</v>
      </c>
      <c r="BQ22" s="401">
        <f t="shared" si="27"/>
        <v>-8075.9684317573465</v>
      </c>
      <c r="BR22" s="390"/>
      <c r="BS22" s="393">
        <f t="shared" si="28"/>
        <v>-3.6763248570363571</v>
      </c>
    </row>
    <row r="23" spans="1:71" x14ac:dyDescent="0.25">
      <c r="A23" s="197">
        <f t="shared" si="7"/>
        <v>43709</v>
      </c>
      <c r="B23" s="388">
        <f>IF($A23&lt;=baseData, INDEX(Indicadores!B:B, MATCH($A23,Indicadores!A:A, 0)), INDEX(Indicadores!B:B, MATCH(baseData,Indicadores!A:A, 0)))</f>
        <v>773.52</v>
      </c>
      <c r="C23" s="389">
        <f>IF($A23&lt;=baseData, INDEX(Indicadores!E:E, MATCH($A23, Indicadores!A:A, 0)), INDEX(Indicadores!E:E, MATCH(baseData, Indicadores!A:A, 0)))</f>
        <v>5227.84</v>
      </c>
      <c r="E23" s="393">
        <f t="shared" si="29"/>
        <v>2599719.21</v>
      </c>
      <c r="G23" s="392">
        <v>0</v>
      </c>
      <c r="H23" s="390">
        <f>IF($A23&gt;baseData, SUMPRODUCT('Tabela Vendas'!$R:$R,'Tabela Vendas'!$V:$V)*INDEX(Curvas!$Z:$Z,MATCH($A23,Curvas!$B:$B,0)), 0)</f>
        <v>0</v>
      </c>
      <c r="I23" s="390">
        <f>IFERROR(INDEX(Permutas!AJ:AJ, MATCH('Fluxo Projeto'!A23, Permutas!N:N, 0)), 0)</f>
        <v>0</v>
      </c>
      <c r="J23" s="390">
        <v>0</v>
      </c>
      <c r="K23" s="393">
        <f t="shared" si="0"/>
        <v>0</v>
      </c>
      <c r="M23" s="394">
        <f>IF($A23&lt;=baseData,INDEX('LDI - Fluxo de Caixa'!$BD$18:$BT$374,MATCH('Fluxo Projeto'!$A23,'LDI - Fluxo de Caixa'!$C$18:$C$374,0),MATCH('Fluxo Projeto'!M$1,'LDI - Fluxo de Caixa'!$BD$14:$BT$14,0)),-pctImpostoSPE*K22)</f>
        <v>-321.30999999999989</v>
      </c>
      <c r="N23" s="395">
        <f>IF($A23&lt;=baseData,INDEX('LDI - Fluxo de Caixa'!$BD$18:$BT$374,MATCH($A23,'LDI - Fluxo de Caixa'!$C$18:$C$374,0),MATCH('Fluxo Projeto'!N$1,'LDI - Fluxo de Caixa'!$BD$14:$BT$14,0)),INDEX(Obra!AA:AA,MATCH($A23,Obra!F:F,0)))</f>
        <v>0</v>
      </c>
      <c r="O23" s="395">
        <f>IF($A23&lt;=baseData,INDEX('LDI - Fluxo de Caixa'!$BD$18:$BT$374,MATCH($A23,'LDI - Fluxo de Caixa'!$C$18:$C$374,0),MATCH('Fluxo Projeto'!O$1,'LDI - Fluxo de Caixa'!$BD$14:$BT$14,0)),IF($A23=entrega,assistTecnicaObra*SUM($N$2:$N$86),0))</f>
        <v>0</v>
      </c>
      <c r="P23" s="395">
        <f>IF($A23&lt;=baseData, INDEX('LDI - Fluxo de Caixa'!$BD$18:$BT$374, MATCH('Fluxo Projeto'!$A23, 'LDI - Fluxo de Caixa'!$C$18:$C$374, 0), MATCH('Fluxo Projeto'!P$1, 'LDI - Fluxo de Caixa'!$BD$14:$BT$14, 0)), -IF($A23&gt;=entrega, INDEX(Curvas!R:R,MATCH($A23,Curvas!B:B,0))*(IPTU+condominio)*'Tabela Vendas'!$Y$22, 0))</f>
        <v>0</v>
      </c>
      <c r="Q23" s="395">
        <f>IF($A23&lt;=baseData, INDEX('LDI - Fluxo de Caixa'!$BD$18:$BT$374, MATCH('Fluxo Projeto'!$A23, 'LDI - Fluxo de Caixa'!$C$18:$C$374, 0), MATCH('Fluxo Projeto'!Q$1, 'LDI - Fluxo de Caixa'!$BD$14:$BT$14, 0)), (-pctIncorporaçaoSPE*SUM($G$4:$H$86)-SUMIF($A$4:$A$86, "&lt;="&amp;baseData, Q$4:Q$86))*(SUM($G23:$H23)/(SUMIF($A$4:$A$86, "&gt;"&amp;baseData, $G$4:$G$86)+SUMIF($A$4:$A$86, "&gt;"&amp;baseData, $H$4:$H$86))))</f>
        <v>-108824.65000000001</v>
      </c>
      <c r="R23" s="395">
        <f>IF($A23&lt;=baseData, INDEX('LDI - Fluxo de Caixa'!$BD$18:$BT$374, MATCH('Fluxo Projeto'!$A23, 'LDI - Fluxo de Caixa'!$C$18:$C$374, 0), MATCH('Fluxo Projeto'!R$1, 'LDI - Fluxo de Caixa'!$BD$14:$BT$14, 0)), (-pctMarketingSPE*SUM($G$4:$H$86)-SUMIF($A$4:$A$86, "&lt;="&amp;baseData, R$4:R$86))*(SUM($G23:$H23)/(SUMIF($A$4:$A$86, "&gt;"&amp;baseData, $G$4:$G$86)+SUMIF($A$4:$A$86, "&gt;"&amp;baseData, $H$4:$H$86))))</f>
        <v>-7584.5</v>
      </c>
      <c r="S23" s="395">
        <f>IF($A23&lt;=baseData,INDEX('LDI - Fluxo de Caixa'!$BD$18:$BT$374,MATCH($A23,'LDI - Fluxo de Caixa'!$C$18:$C$374,0),MATCH(S$1,'LDI - Fluxo de Caixa'!$BD$14:$BT$14,0)),-pctGestaoSPE*K22)</f>
        <v>0</v>
      </c>
      <c r="T23" s="395">
        <f>IF($A23&lt;=baseData, INDEX('LDI - Fluxo de Caixa'!$BD$18:$BT$374, MATCH('Fluxo Projeto'!$A23, 'LDI - Fluxo de Caixa'!$C$18:$C$374, 0), MATCH('Fluxo Projeto'!T$1, 'LDI - Fluxo de Caixa'!$BD$14:$BT$14, 0)), (-pctOutrasSPE*SUM($G$4:$H$86)-SUMIF($A$4:$A$86, "&lt;="&amp;baseData, T$4:T$86))*(SUM($G23:$H23)/(SUMIF($A$4:$A$86, "&gt;"&amp;baseData, $G$4:$G$86)+SUMIF($A$4:$A$86, "&gt;"&amp;baseData, $H$4:$H$86))))</f>
        <v>-1734.64</v>
      </c>
      <c r="U23" s="395">
        <f>IF($A23&lt;=baseData, INDEX('LDI - Fluxo de Caixa'!$BD$18:$BT$374, MATCH('Fluxo Projeto'!$A23, 'LDI - Fluxo de Caixa'!$C$18:$C$374, 0), MATCH('Fluxo Projeto'!U$1, 'LDI - Fluxo de Caixa'!$BD$14:$BT$14, 0)), 0)</f>
        <v>8003.1</v>
      </c>
      <c r="V23" s="393">
        <f t="shared" si="1"/>
        <v>-110462</v>
      </c>
      <c r="X23" s="397">
        <f>INDEX('LDI - Fluxo de Caixa'!$BD$18:$BT$374, MATCH('Fluxo Projeto'!$A23, 'LDI - Fluxo de Caixa'!$C$18:$C$374, 0), MATCH('Fluxo Projeto'!X$1, 'LDI - Fluxo de Caixa'!$BD$14:$BT$14, 0))</f>
        <v>0</v>
      </c>
      <c r="Y23" s="398">
        <f>INDEX('LDI - Fluxo de Caixa'!$BD$18:$BT$374, MATCH('Fluxo Projeto'!$A23, 'LDI - Fluxo de Caixa'!$C$18:$C$374, 0), MATCH('Fluxo Projeto'!Y$1, 'LDI - Fluxo de Caixa'!$BD$14:$BT$14, 0))</f>
        <v>0</v>
      </c>
      <c r="Z23" s="390"/>
      <c r="AA23" s="397">
        <f>INDEX('LDI - Fluxo de Caixa'!$BD$18:$BT$374, MATCH('Fluxo Projeto'!$A23, 'LDI - Fluxo de Caixa'!$C$18:$C$374, 0), MATCH('Fluxo Projeto'!AA$1, 'LDI - Fluxo de Caixa'!$BD$14:$BT$14, 0))</f>
        <v>-538067.25999999978</v>
      </c>
      <c r="AB23" s="398">
        <f>INDEX('LDI - Fluxo de Caixa'!$BD$18:$BT$374, MATCH('Fluxo Projeto'!$A23, 'LDI - Fluxo de Caixa'!$C$18:$C$374, 0), MATCH('Fluxo Projeto'!AB$1, 'LDI - Fluxo de Caixa'!$BD$14:$BT$14, 0))</f>
        <v>-450000.02999999927</v>
      </c>
      <c r="AD23" s="393">
        <f t="shared" si="2"/>
        <v>-1098529.2899999991</v>
      </c>
      <c r="AE23" s="390"/>
      <c r="AF23" s="393">
        <f>IF($A23&lt;=baseData, INDEX('LDI - Fluxo de Caixa'!$BD$18:$BT$374, MATCH('Fluxo Projeto'!$A23, 'LDI - Fluxo de Caixa'!$C$18:$C$374, 0), MATCH('Fluxo Projeto'!AF$1, 'LDI - Fluxo de Caixa'!$BD$14:$BT$14, 0)), $E23*CDI)</f>
        <v>13282.53</v>
      </c>
      <c r="AH23" s="393">
        <f t="shared" si="3"/>
        <v>1514472.4500000009</v>
      </c>
      <c r="AJ23" s="397">
        <f>IF($A23&lt;=baseData, INDEX('LDI - Fluxo de Caixa'!$BD$18:$BT$374, MATCH($A23, 'LDI - Fluxo de Caixa'!$C$18:$C$374, 0), MATCH(AJ$1, 'LDI - Fluxo de Caixa'!$BD$14:$BT$14, 0))-J23-I23, IF($A23&lt;inicioDistribuicoes,-IF(AH23&lt;cxMinSPEpreObra,IF(SUM($AD24:$AD35)-cxMinSPEpreObra+AH23&lt;0,SUM($AD24:$AD35)-cxMinSPEpreObra+AH23,IF(AH23&lt;0, AH23-cxMinSPEpreObra, 0)),0), 0))</f>
        <v>1234800</v>
      </c>
      <c r="AK23" s="398">
        <f>INDEX('LDI - Fluxo de Caixa'!$BD$18:$BT$374, MATCH('Fluxo Projeto'!$A23, 'LDI - Fluxo de Caixa'!$C$18:$C$374, 0), MATCH('Fluxo Projeto'!AK$1, 'LDI - Fluxo de Caixa'!$BD$14:$BT$14, 0))</f>
        <v>0</v>
      </c>
      <c r="AM23" s="393">
        <f t="shared" si="4"/>
        <v>2749272.4500000011</v>
      </c>
      <c r="AO23" s="399">
        <v>2749272.4500000011</v>
      </c>
      <c r="AQ23" s="397">
        <f t="shared" si="5"/>
        <v>-1234800</v>
      </c>
      <c r="AR23" s="398">
        <f t="shared" si="8"/>
        <v>-18962825.096120961</v>
      </c>
      <c r="AT23" s="393">
        <f t="shared" si="6"/>
        <v>-1295899.4338005756</v>
      </c>
      <c r="AV23" s="397">
        <f t="shared" si="9"/>
        <v>0</v>
      </c>
      <c r="AW23" s="390">
        <f t="shared" si="10"/>
        <v>0</v>
      </c>
      <c r="AX23" s="390">
        <f t="shared" si="11"/>
        <v>0</v>
      </c>
      <c r="AY23" s="390">
        <f t="shared" si="12"/>
        <v>0</v>
      </c>
      <c r="AZ23" s="393">
        <f t="shared" si="13"/>
        <v>0</v>
      </c>
      <c r="BA23" s="371"/>
      <c r="BB23" s="394">
        <f t="shared" si="14"/>
        <v>-0.41538680318543786</v>
      </c>
      <c r="BC23" s="395">
        <f t="shared" si="15"/>
        <v>0</v>
      </c>
      <c r="BD23" s="395">
        <f t="shared" si="16"/>
        <v>0</v>
      </c>
      <c r="BE23" s="395">
        <f t="shared" si="17"/>
        <v>0</v>
      </c>
      <c r="BF23" s="395">
        <f t="shared" si="18"/>
        <v>-140.68757110352675</v>
      </c>
      <c r="BG23" s="395">
        <f t="shared" si="19"/>
        <v>-9.8051763367463032</v>
      </c>
      <c r="BH23" s="395">
        <f t="shared" si="20"/>
        <v>0</v>
      </c>
      <c r="BI23" s="395">
        <f t="shared" si="21"/>
        <v>-2.242527665735857</v>
      </c>
      <c r="BJ23" s="390">
        <f t="shared" si="22"/>
        <v>10.346338814768849</v>
      </c>
      <c r="BK23" s="393">
        <f t="shared" si="23"/>
        <v>-142.80432309442551</v>
      </c>
      <c r="BL23" s="371"/>
      <c r="BM23" s="397">
        <f t="shared" si="24"/>
        <v>0</v>
      </c>
      <c r="BN23" s="398">
        <f t="shared" si="25"/>
        <v>0</v>
      </c>
      <c r="BO23" s="390"/>
      <c r="BP23" s="400">
        <f t="shared" si="26"/>
        <v>-695.60872375633437</v>
      </c>
      <c r="BQ23" s="401">
        <f t="shared" si="27"/>
        <v>-581.75616661495405</v>
      </c>
      <c r="BR23" s="371"/>
      <c r="BS23" s="393">
        <f t="shared" si="28"/>
        <v>17.171540490226498</v>
      </c>
    </row>
    <row r="24" spans="1:71" x14ac:dyDescent="0.25">
      <c r="A24" s="197">
        <f t="shared" si="7"/>
        <v>43739</v>
      </c>
      <c r="B24" s="388">
        <f>IF($A24&lt;=baseData, INDEX(Indicadores!B:B, MATCH($A24,Indicadores!A:A, 0)), INDEX(Indicadores!B:B, MATCH(baseData,Indicadores!A:A, 0)))</f>
        <v>774.93899999999996</v>
      </c>
      <c r="C24" s="389">
        <f>IF($A24&lt;=baseData, INDEX(Indicadores!E:E, MATCH($A24, Indicadores!A:A, 0)), INDEX(Indicadores!E:E, MATCH(baseData, Indicadores!A:A, 0)))</f>
        <v>5233.07</v>
      </c>
      <c r="E24" s="393">
        <f t="shared" si="29"/>
        <v>2749272.4500000011</v>
      </c>
      <c r="G24" s="392">
        <v>0</v>
      </c>
      <c r="H24" s="390">
        <f>IF($A24&gt;baseData, SUMPRODUCT('Tabela Vendas'!$R:$R,'Tabela Vendas'!$V:$V)*INDEX(Curvas!$Z:$Z,MATCH($A24,Curvas!$B:$B,0)), 0)</f>
        <v>0</v>
      </c>
      <c r="I24" s="390">
        <f>IFERROR(INDEX(Permutas!AJ:AJ, MATCH('Fluxo Projeto'!A24, Permutas!N:N, 0)), 0)</f>
        <v>1966575.4676515795</v>
      </c>
      <c r="J24" s="390">
        <v>0</v>
      </c>
      <c r="K24" s="393">
        <f t="shared" si="0"/>
        <v>1966575.4676515795</v>
      </c>
      <c r="M24" s="394">
        <f>IF($A24&lt;=baseData,INDEX('LDI - Fluxo de Caixa'!$BD$18:$BT$374,MATCH('Fluxo Projeto'!$A24,'LDI - Fluxo de Caixa'!$C$18:$C$374,0),MATCH('Fluxo Projeto'!M$1,'LDI - Fluxo de Caixa'!$BD$14:$BT$14,0)),-pctImpostoSPE*K23)</f>
        <v>-5004.7500000000009</v>
      </c>
      <c r="N24" s="395">
        <f>IF($A24&lt;=baseData,INDEX('LDI - Fluxo de Caixa'!$BD$18:$BT$374,MATCH($A24,'LDI - Fluxo de Caixa'!$C$18:$C$374,0),MATCH('Fluxo Projeto'!N$1,'LDI - Fluxo de Caixa'!$BD$14:$BT$14,0)),INDEX(Obra!AA:AA,MATCH($A24,Obra!F:F,0)))</f>
        <v>0</v>
      </c>
      <c r="O24" s="395">
        <f>IF($A24&lt;=baseData,INDEX('LDI - Fluxo de Caixa'!$BD$18:$BT$374,MATCH($A24,'LDI - Fluxo de Caixa'!$C$18:$C$374,0),MATCH('Fluxo Projeto'!O$1,'LDI - Fluxo de Caixa'!$BD$14:$BT$14,0)),IF($A24=entrega,assistTecnicaObra*SUM($N$2:$N$86),0))</f>
        <v>0</v>
      </c>
      <c r="P24" s="395">
        <f>IF($A24&lt;=baseData, INDEX('LDI - Fluxo de Caixa'!$BD$18:$BT$374, MATCH('Fluxo Projeto'!$A24, 'LDI - Fluxo de Caixa'!$C$18:$C$374, 0), MATCH('Fluxo Projeto'!P$1, 'LDI - Fluxo de Caixa'!$BD$14:$BT$14, 0)), -IF($A24&gt;=entrega, INDEX(Curvas!R:R,MATCH($A24,Curvas!B:B,0))*(IPTU+condominio)*'Tabela Vendas'!$Y$22, 0))</f>
        <v>0</v>
      </c>
      <c r="Q24" s="395">
        <f>IF($A24&lt;=baseData, INDEX('LDI - Fluxo de Caixa'!$BD$18:$BT$374, MATCH('Fluxo Projeto'!$A24, 'LDI - Fluxo de Caixa'!$C$18:$C$374, 0), MATCH('Fluxo Projeto'!Q$1, 'LDI - Fluxo de Caixa'!$BD$14:$BT$14, 0)), (-pctIncorporaçaoSPE*SUM($G$4:$H$86)-SUMIF($A$4:$A$86, "&lt;="&amp;baseData, Q$4:Q$86))*(SUM($G24:$H24)/(SUMIF($A$4:$A$86, "&gt;"&amp;baseData, $G$4:$G$86)+SUMIF($A$4:$A$86, "&gt;"&amp;baseData, $H$4:$H$86))))</f>
        <v>-211383.65000000002</v>
      </c>
      <c r="R24" s="395">
        <f>IF($A24&lt;=baseData, INDEX('LDI - Fluxo de Caixa'!$BD$18:$BT$374, MATCH('Fluxo Projeto'!$A24, 'LDI - Fluxo de Caixa'!$C$18:$C$374, 0), MATCH('Fluxo Projeto'!R$1, 'LDI - Fluxo de Caixa'!$BD$14:$BT$14, 0)), (-pctMarketingSPE*SUM($G$4:$H$86)-SUMIF($A$4:$A$86, "&lt;="&amp;baseData, R$4:R$86))*(SUM($G24:$H24)/(SUMIF($A$4:$A$86, "&gt;"&amp;baseData, $G$4:$G$86)+SUMIF($A$4:$A$86, "&gt;"&amp;baseData, $H$4:$H$86))))</f>
        <v>-201526.86000000002</v>
      </c>
      <c r="S24" s="395">
        <f>IF($A24&lt;=baseData,INDEX('LDI - Fluxo de Caixa'!$BD$18:$BT$374,MATCH($A24,'LDI - Fluxo de Caixa'!$C$18:$C$374,0),MATCH(S$1,'LDI - Fluxo de Caixa'!$BD$14:$BT$14,0)),-pctGestaoSPE*K23)</f>
        <v>0</v>
      </c>
      <c r="T24" s="395">
        <f>IF($A24&lt;=baseData, INDEX('LDI - Fluxo de Caixa'!$BD$18:$BT$374, MATCH('Fluxo Projeto'!$A24, 'LDI - Fluxo de Caixa'!$C$18:$C$374, 0), MATCH('Fluxo Projeto'!T$1, 'LDI - Fluxo de Caixa'!$BD$14:$BT$14, 0)), (-pctOutrasSPE*SUM($G$4:$H$86)-SUMIF($A$4:$A$86, "&lt;="&amp;baseData, T$4:T$86))*(SUM($G24:$H24)/(SUMIF($A$4:$A$86, "&gt;"&amp;baseData, $G$4:$G$86)+SUMIF($A$4:$A$86, "&gt;"&amp;baseData, $H$4:$H$86))))</f>
        <v>-3126.21</v>
      </c>
      <c r="U24" s="395">
        <f>IF($A24&lt;=baseData, INDEX('LDI - Fluxo de Caixa'!$BD$18:$BT$374, MATCH('Fluxo Projeto'!$A24, 'LDI - Fluxo de Caixa'!$C$18:$C$374, 0), MATCH('Fluxo Projeto'!U$1, 'LDI - Fluxo de Caixa'!$BD$14:$BT$14, 0)), 0)</f>
        <v>1973232.76</v>
      </c>
      <c r="V24" s="393">
        <f t="shared" si="1"/>
        <v>1552191.29</v>
      </c>
      <c r="X24" s="397">
        <f>INDEX('LDI - Fluxo de Caixa'!$BD$18:$BT$374, MATCH('Fluxo Projeto'!$A24, 'LDI - Fluxo de Caixa'!$C$18:$C$374, 0), MATCH('Fluxo Projeto'!X$1, 'LDI - Fluxo de Caixa'!$BD$14:$BT$14, 0))</f>
        <v>0</v>
      </c>
      <c r="Y24" s="398">
        <f>INDEX('LDI - Fluxo de Caixa'!$BD$18:$BT$374, MATCH('Fluxo Projeto'!$A24, 'LDI - Fluxo de Caixa'!$C$18:$C$374, 0), MATCH('Fluxo Projeto'!Y$1, 'LDI - Fluxo de Caixa'!$BD$14:$BT$14, 0))</f>
        <v>0</v>
      </c>
      <c r="Z24" s="390"/>
      <c r="AA24" s="397">
        <f>INDEX('LDI - Fluxo de Caixa'!$BD$18:$BT$374, MATCH('Fluxo Projeto'!$A24, 'LDI - Fluxo de Caixa'!$C$18:$C$374, 0), MATCH('Fluxo Projeto'!AA$1, 'LDI - Fluxo de Caixa'!$BD$14:$BT$14, 0))</f>
        <v>-599276.69999999995</v>
      </c>
      <c r="AB24" s="398">
        <f>INDEX('LDI - Fluxo de Caixa'!$BD$18:$BT$374, MATCH('Fluxo Projeto'!$A24, 'LDI - Fluxo de Caixa'!$C$18:$C$374, 0), MATCH('Fluxo Projeto'!AB$1, 'LDI - Fluxo de Caixa'!$BD$14:$BT$14, 0))</f>
        <v>0</v>
      </c>
      <c r="AD24" s="393">
        <f t="shared" si="2"/>
        <v>2919490.0576515794</v>
      </c>
      <c r="AE24" s="390"/>
      <c r="AF24" s="393">
        <f>IF($A24&lt;=baseData, INDEX('LDI - Fluxo de Caixa'!$BD$18:$BT$374, MATCH('Fluxo Projeto'!$A24, 'LDI - Fluxo de Caixa'!$C$18:$C$374, 0), MATCH('Fluxo Projeto'!AF$1, 'LDI - Fluxo de Caixa'!$BD$14:$BT$14, 0)), $E24*CDI)</f>
        <v>14823.13</v>
      </c>
      <c r="AH24" s="393">
        <f t="shared" si="3"/>
        <v>5683585.6376515804</v>
      </c>
      <c r="AJ24" s="397">
        <f>IF($A24&lt;=baseData, INDEX('LDI - Fluxo de Caixa'!$BD$18:$BT$374, MATCH($A24, 'LDI - Fluxo de Caixa'!$C$18:$C$374, 0), MATCH(AJ$1, 'LDI - Fluxo de Caixa'!$BD$14:$BT$14, 0))-J24-I24, IF($A24&lt;inicioDistribuicoes,-IF(AH24&lt;cxMinSPEpreObra,IF(SUM($AD25:$AD36)-cxMinSPEpreObra+AH24&lt;0,SUM($AD25:$AD36)-cxMinSPEpreObra+AH24,IF(AH24&lt;0, AH24-cxMinSPEpreObra, 0)),0), 0))</f>
        <v>10544024.53234842</v>
      </c>
      <c r="AK24" s="398">
        <f>INDEX('LDI - Fluxo de Caixa'!$BD$18:$BT$374, MATCH('Fluxo Projeto'!$A24, 'LDI - Fluxo de Caixa'!$C$18:$C$374, 0), MATCH('Fluxo Projeto'!AK$1, 'LDI - Fluxo de Caixa'!$BD$14:$BT$14, 0))</f>
        <v>0</v>
      </c>
      <c r="AM24" s="393">
        <f t="shared" si="4"/>
        <v>16227610.170000002</v>
      </c>
      <c r="AO24" s="399">
        <v>14261034.710000001</v>
      </c>
      <c r="AQ24" s="397">
        <f t="shared" si="5"/>
        <v>-10544024.53234842</v>
      </c>
      <c r="AR24" s="398">
        <f t="shared" si="8"/>
        <v>-29506849.628469381</v>
      </c>
      <c r="AT24" s="393">
        <f t="shared" si="6"/>
        <v>-11054696.665097212</v>
      </c>
      <c r="AV24" s="397">
        <f t="shared" si="9"/>
        <v>0</v>
      </c>
      <c r="AW24" s="390">
        <f t="shared" si="10"/>
        <v>0</v>
      </c>
      <c r="AX24" s="390">
        <f t="shared" si="11"/>
        <v>2537.7164752988037</v>
      </c>
      <c r="AY24" s="390">
        <f t="shared" si="12"/>
        <v>0</v>
      </c>
      <c r="AZ24" s="393">
        <f t="shared" si="13"/>
        <v>2537.7164752988037</v>
      </c>
      <c r="BA24" s="371"/>
      <c r="BB24" s="394">
        <f t="shared" si="14"/>
        <v>-6.4582502622787095</v>
      </c>
      <c r="BC24" s="395">
        <f t="shared" si="15"/>
        <v>0</v>
      </c>
      <c r="BD24" s="395">
        <f t="shared" si="16"/>
        <v>0</v>
      </c>
      <c r="BE24" s="395">
        <f t="shared" si="17"/>
        <v>0</v>
      </c>
      <c r="BF24" s="395">
        <f t="shared" si="18"/>
        <v>-272.77456677235244</v>
      </c>
      <c r="BG24" s="395">
        <f t="shared" si="19"/>
        <v>-260.05512691966726</v>
      </c>
      <c r="BH24" s="395">
        <f t="shared" si="20"/>
        <v>0</v>
      </c>
      <c r="BI24" s="395">
        <f t="shared" si="21"/>
        <v>-4.0341368804512356</v>
      </c>
      <c r="BJ24" s="390">
        <f t="shared" si="22"/>
        <v>2546.3072061155781</v>
      </c>
      <c r="BK24" s="393">
        <f t="shared" si="23"/>
        <v>2002.9851252808285</v>
      </c>
      <c r="BL24" s="371"/>
      <c r="BM24" s="397">
        <f t="shared" si="24"/>
        <v>0</v>
      </c>
      <c r="BN24" s="398">
        <f t="shared" si="25"/>
        <v>0</v>
      </c>
      <c r="BO24" s="390"/>
      <c r="BP24" s="400">
        <f t="shared" si="26"/>
        <v>-773.3211259208789</v>
      </c>
      <c r="BQ24" s="401">
        <f t="shared" si="27"/>
        <v>0</v>
      </c>
      <c r="BR24" s="371"/>
      <c r="BS24" s="393">
        <f t="shared" si="28"/>
        <v>19.128124923381066</v>
      </c>
    </row>
    <row r="25" spans="1:71" x14ac:dyDescent="0.25">
      <c r="A25" s="197">
        <f t="shared" si="7"/>
        <v>43770</v>
      </c>
      <c r="B25" s="388">
        <f>IF($A25&lt;=baseData, INDEX(Indicadores!B:B, MATCH($A25,Indicadores!A:A, 0)), INDEX(Indicadores!B:B, MATCH(baseData,Indicadores!A:A, 0)))</f>
        <v>775.22500000000002</v>
      </c>
      <c r="C25" s="389">
        <f>IF($A25&lt;=baseData, INDEX(Indicadores!E:E, MATCH($A25, Indicadores!A:A, 0)), INDEX(Indicadores!E:E, MATCH(baseData, Indicadores!A:A, 0)))</f>
        <v>5259.76</v>
      </c>
      <c r="E25" s="393">
        <f t="shared" si="29"/>
        <v>14261034.710000001</v>
      </c>
      <c r="G25" s="392">
        <v>0</v>
      </c>
      <c r="H25" s="390">
        <f>IF($A25&gt;baseData, SUMPRODUCT('Tabela Vendas'!$R:$R,'Tabela Vendas'!$V:$V)*INDEX(Curvas!$Z:$Z,MATCH($A25,Curvas!$B:$B,0)), 0)</f>
        <v>0</v>
      </c>
      <c r="I25" s="390">
        <f>IFERROR(INDEX(Permutas!AJ:AJ, MATCH('Fluxo Projeto'!A25, Permutas!N:N, 0)), 0)</f>
        <v>0</v>
      </c>
      <c r="J25" s="390">
        <v>0</v>
      </c>
      <c r="K25" s="393">
        <f t="shared" si="0"/>
        <v>0</v>
      </c>
      <c r="M25" s="394">
        <f>IF($A25&lt;=baseData,INDEX('LDI - Fluxo de Caixa'!$BD$18:$BT$374,MATCH('Fluxo Projeto'!$A25,'LDI - Fluxo de Caixa'!$C$18:$C$374,0),MATCH('Fluxo Projeto'!M$1,'LDI - Fluxo de Caixa'!$BD$14:$BT$14,0)),-pctImpostoSPE*K24)</f>
        <v>-242.99</v>
      </c>
      <c r="N25" s="395">
        <f>IF($A25&lt;=baseData,INDEX('LDI - Fluxo de Caixa'!$BD$18:$BT$374,MATCH($A25,'LDI - Fluxo de Caixa'!$C$18:$C$374,0),MATCH('Fluxo Projeto'!N$1,'LDI - Fluxo de Caixa'!$BD$14:$BT$14,0)),INDEX(Obra!AA:AA,MATCH($A25,Obra!F:F,0)))</f>
        <v>0</v>
      </c>
      <c r="O25" s="395">
        <f>IF($A25&lt;=baseData,INDEX('LDI - Fluxo de Caixa'!$BD$18:$BT$374,MATCH($A25,'LDI - Fluxo de Caixa'!$C$18:$C$374,0),MATCH('Fluxo Projeto'!O$1,'LDI - Fluxo de Caixa'!$BD$14:$BT$14,0)),IF($A25=entrega,assistTecnicaObra*SUM($N$2:$N$86),0))</f>
        <v>0</v>
      </c>
      <c r="P25" s="395">
        <f>IF($A25&lt;=baseData, INDEX('LDI - Fluxo de Caixa'!$BD$18:$BT$374, MATCH('Fluxo Projeto'!$A25, 'LDI - Fluxo de Caixa'!$C$18:$C$374, 0), MATCH('Fluxo Projeto'!P$1, 'LDI - Fluxo de Caixa'!$BD$14:$BT$14, 0)), -IF($A25&gt;=entrega, INDEX(Curvas!R:R,MATCH($A25,Curvas!B:B,0))*(IPTU+condominio)*'Tabela Vendas'!$Y$22, 0))</f>
        <v>0</v>
      </c>
      <c r="Q25" s="395">
        <f>IF($A25&lt;=baseData, INDEX('LDI - Fluxo de Caixa'!$BD$18:$BT$374, MATCH('Fluxo Projeto'!$A25, 'LDI - Fluxo de Caixa'!$C$18:$C$374, 0), MATCH('Fluxo Projeto'!Q$1, 'LDI - Fluxo de Caixa'!$BD$14:$BT$14, 0)), (-pctIncorporaçaoSPE*SUM($G$4:$H$86)-SUMIF($A$4:$A$86, "&lt;="&amp;baseData, Q$4:Q$86))*(SUM($G25:$H25)/(SUMIF($A$4:$A$86, "&gt;"&amp;baseData, $G$4:$G$86)+SUMIF($A$4:$A$86, "&gt;"&amp;baseData, $H$4:$H$86))))</f>
        <v>-72896.25</v>
      </c>
      <c r="R25" s="395">
        <f>IF($A25&lt;=baseData, INDEX('LDI - Fluxo de Caixa'!$BD$18:$BT$374, MATCH('Fluxo Projeto'!$A25, 'LDI - Fluxo de Caixa'!$C$18:$C$374, 0), MATCH('Fluxo Projeto'!R$1, 'LDI - Fluxo de Caixa'!$BD$14:$BT$14, 0)), (-pctMarketingSPE*SUM($G$4:$H$86)-SUMIF($A$4:$A$86, "&lt;="&amp;baseData, R$4:R$86))*(SUM($G25:$H25)/(SUMIF($A$4:$A$86, "&gt;"&amp;baseData, $G$4:$G$86)+SUMIF($A$4:$A$86, "&gt;"&amp;baseData, $H$4:$H$86))))</f>
        <v>-141199.44999999998</v>
      </c>
      <c r="S25" s="395">
        <f>IF($A25&lt;=baseData,INDEX('LDI - Fluxo de Caixa'!$BD$18:$BT$374,MATCH($A25,'LDI - Fluxo de Caixa'!$C$18:$C$374,0),MATCH(S$1,'LDI - Fluxo de Caixa'!$BD$14:$BT$14,0)),-pctGestaoSPE*K24)</f>
        <v>0</v>
      </c>
      <c r="T25" s="395">
        <f>IF($A25&lt;=baseData, INDEX('LDI - Fluxo de Caixa'!$BD$18:$BT$374, MATCH('Fluxo Projeto'!$A25, 'LDI - Fluxo de Caixa'!$C$18:$C$374, 0), MATCH('Fluxo Projeto'!T$1, 'LDI - Fluxo de Caixa'!$BD$14:$BT$14, 0)), (-pctOutrasSPE*SUM($G$4:$H$86)-SUMIF($A$4:$A$86, "&lt;="&amp;baseData, T$4:T$86))*(SUM($G25:$H25)/(SUMIF($A$4:$A$86, "&gt;"&amp;baseData, $G$4:$G$86)+SUMIF($A$4:$A$86, "&gt;"&amp;baseData, $H$4:$H$86))))</f>
        <v>-3856</v>
      </c>
      <c r="U25" s="395">
        <f>IF($A25&lt;=baseData, INDEX('LDI - Fluxo de Caixa'!$BD$18:$BT$374, MATCH('Fluxo Projeto'!$A25, 'LDI - Fluxo de Caixa'!$C$18:$C$374, 0), MATCH('Fluxo Projeto'!U$1, 'LDI - Fluxo de Caixa'!$BD$14:$BT$14, 0)), 0)</f>
        <v>2060468.1</v>
      </c>
      <c r="V25" s="393">
        <f t="shared" si="1"/>
        <v>1842273.4100000001</v>
      </c>
      <c r="X25" s="397">
        <f>INDEX('LDI - Fluxo de Caixa'!$BD$18:$BT$374, MATCH('Fluxo Projeto'!$A25, 'LDI - Fluxo de Caixa'!$C$18:$C$374, 0), MATCH('Fluxo Projeto'!X$1, 'LDI - Fluxo de Caixa'!$BD$14:$BT$14, 0))</f>
        <v>0</v>
      </c>
      <c r="Y25" s="398">
        <f>INDEX('LDI - Fluxo de Caixa'!$BD$18:$BT$374, MATCH('Fluxo Projeto'!$A25, 'LDI - Fluxo de Caixa'!$C$18:$C$374, 0), MATCH('Fluxo Projeto'!Y$1, 'LDI - Fluxo de Caixa'!$BD$14:$BT$14, 0))</f>
        <v>0</v>
      </c>
      <c r="Z25" s="390"/>
      <c r="AA25" s="397">
        <f>INDEX('LDI - Fluxo de Caixa'!$BD$18:$BT$374, MATCH('Fluxo Projeto'!$A25, 'LDI - Fluxo de Caixa'!$C$18:$C$374, 0), MATCH('Fluxo Projeto'!AA$1, 'LDI - Fluxo de Caixa'!$BD$14:$BT$14, 0))</f>
        <v>-548969.13999999897</v>
      </c>
      <c r="AB25" s="398">
        <f>INDEX('LDI - Fluxo de Caixa'!$BD$18:$BT$374, MATCH('Fluxo Projeto'!$A25, 'LDI - Fluxo de Caixa'!$C$18:$C$374, 0), MATCH('Fluxo Projeto'!AB$1, 'LDI - Fluxo de Caixa'!$BD$14:$BT$14, 0))</f>
        <v>0</v>
      </c>
      <c r="AD25" s="393">
        <f t="shared" si="2"/>
        <v>1293304.2700000012</v>
      </c>
      <c r="AE25" s="390"/>
      <c r="AF25" s="393">
        <f>IF($A25&lt;=baseData, INDEX('LDI - Fluxo de Caixa'!$BD$18:$BT$374, MATCH('Fluxo Projeto'!$A25, 'LDI - Fluxo de Caixa'!$C$18:$C$374, 0), MATCH('Fluxo Projeto'!AF$1, 'LDI - Fluxo de Caixa'!$BD$14:$BT$14, 0)), $E25*CDI)</f>
        <v>36547.43</v>
      </c>
      <c r="AH25" s="393">
        <f t="shared" si="3"/>
        <v>15590886.410000002</v>
      </c>
      <c r="AJ25" s="397">
        <f>IF($A25&lt;=baseData, INDEX('LDI - Fluxo de Caixa'!$BD$18:$BT$374, MATCH($A25, 'LDI - Fluxo de Caixa'!$C$18:$C$374, 0), MATCH(AJ$1, 'LDI - Fluxo de Caixa'!$BD$14:$BT$14, 0))-J25-I25, IF($A25&lt;inicioDistribuicoes,-IF(AH25&lt;cxMinSPEpreObra,IF(SUM($AD26:$AD37)-cxMinSPEpreObra+AH25&lt;0,SUM($AD26:$AD37)-cxMinSPEpreObra+AH25,IF(AH25&lt;0, AH25-cxMinSPEpreObra, 0)),0), 0))</f>
        <v>1989400</v>
      </c>
      <c r="AK25" s="398">
        <f>INDEX('LDI - Fluxo de Caixa'!$BD$18:$BT$374, MATCH('Fluxo Projeto'!$A25, 'LDI - Fluxo de Caixa'!$C$18:$C$374, 0), MATCH('Fluxo Projeto'!AK$1, 'LDI - Fluxo de Caixa'!$BD$14:$BT$14, 0))</f>
        <v>0</v>
      </c>
      <c r="AM25" s="393">
        <f t="shared" si="4"/>
        <v>17580286.410000004</v>
      </c>
      <c r="AO25" s="399">
        <v>15525286.41</v>
      </c>
      <c r="AQ25" s="397">
        <f t="shared" si="5"/>
        <v>-1989400</v>
      </c>
      <c r="AR25" s="398">
        <f t="shared" si="8"/>
        <v>-31496249.628469381</v>
      </c>
      <c r="AT25" s="393">
        <f t="shared" si="6"/>
        <v>-2075167.4768430502</v>
      </c>
      <c r="AV25" s="397">
        <f t="shared" si="9"/>
        <v>0</v>
      </c>
      <c r="AW25" s="390">
        <f t="shared" si="10"/>
        <v>0</v>
      </c>
      <c r="AX25" s="390">
        <f t="shared" si="11"/>
        <v>0</v>
      </c>
      <c r="AY25" s="390">
        <f t="shared" si="12"/>
        <v>0</v>
      </c>
      <c r="AZ25" s="393">
        <f t="shared" si="13"/>
        <v>0</v>
      </c>
      <c r="BA25" s="371"/>
      <c r="BB25" s="394">
        <f t="shared" si="14"/>
        <v>-0.31344448385952467</v>
      </c>
      <c r="BC25" s="395">
        <f t="shared" si="15"/>
        <v>0</v>
      </c>
      <c r="BD25" s="395">
        <f t="shared" si="16"/>
        <v>0</v>
      </c>
      <c r="BE25" s="395">
        <f t="shared" si="17"/>
        <v>0</v>
      </c>
      <c r="BF25" s="395">
        <f t="shared" si="18"/>
        <v>-94.032377696797695</v>
      </c>
      <c r="BG25" s="395">
        <f t="shared" si="19"/>
        <v>-182.13995936663545</v>
      </c>
      <c r="BH25" s="395">
        <f t="shared" si="20"/>
        <v>0</v>
      </c>
      <c r="BI25" s="395">
        <f t="shared" si="21"/>
        <v>-4.9740397948982551</v>
      </c>
      <c r="BJ25" s="390">
        <f t="shared" si="22"/>
        <v>2657.896868651037</v>
      </c>
      <c r="BK25" s="393">
        <f t="shared" si="23"/>
        <v>2376.4370473088461</v>
      </c>
      <c r="BL25" s="371"/>
      <c r="BM25" s="397">
        <f t="shared" si="24"/>
        <v>0</v>
      </c>
      <c r="BN25" s="398">
        <f t="shared" si="25"/>
        <v>0</v>
      </c>
      <c r="BO25" s="390"/>
      <c r="BP25" s="400">
        <f t="shared" si="26"/>
        <v>-708.14168789706082</v>
      </c>
      <c r="BQ25" s="401">
        <f t="shared" si="27"/>
        <v>0</v>
      </c>
      <c r="BR25" s="371"/>
      <c r="BS25" s="393">
        <f t="shared" si="28"/>
        <v>47.144287142442515</v>
      </c>
    </row>
    <row r="26" spans="1:71" x14ac:dyDescent="0.25">
      <c r="A26" s="197">
        <f t="shared" si="7"/>
        <v>43800</v>
      </c>
      <c r="B26" s="388">
        <f>IF($A26&lt;=baseData, INDEX(Indicadores!B:B, MATCH($A26,Indicadores!A:A, 0)), INDEX(Indicadores!B:B, MATCH(baseData,Indicadores!A:A, 0)))</f>
        <v>776.83900000000006</v>
      </c>
      <c r="C26" s="389">
        <f>IF($A26&lt;=baseData, INDEX(Indicadores!E:E, MATCH($A26, Indicadores!A:A, 0)), INDEX(Indicadores!E:E, MATCH(baseData, Indicadores!A:A, 0)))</f>
        <v>5320.25</v>
      </c>
      <c r="E26" s="393">
        <f t="shared" si="29"/>
        <v>15525286.41</v>
      </c>
      <c r="G26" s="392">
        <v>0</v>
      </c>
      <c r="H26" s="390">
        <f>IF($A26&gt;baseData, SUMPRODUCT('Tabela Vendas'!$R:$R,'Tabela Vendas'!$V:$V)*INDEX(Curvas!$Z:$Z,MATCH($A26,Curvas!$B:$B,0)), 0)</f>
        <v>0</v>
      </c>
      <c r="I26" s="390">
        <f>IFERROR(INDEX(Permutas!AJ:AJ, MATCH('Fluxo Projeto'!A26, Permutas!N:N, 0)), 0)</f>
        <v>877594.25946218811</v>
      </c>
      <c r="J26" s="390">
        <v>2025040</v>
      </c>
      <c r="K26" s="393">
        <f t="shared" si="0"/>
        <v>2902634.259462188</v>
      </c>
      <c r="M26" s="394">
        <f>IF($A26&lt;=baseData,INDEX('LDI - Fluxo de Caixa'!$BD$18:$BT$374,MATCH('Fluxo Projeto'!$A26,'LDI - Fluxo de Caixa'!$C$18:$C$374,0),MATCH('Fluxo Projeto'!M$1,'LDI - Fluxo de Caixa'!$BD$14:$BT$14,0)),-pctImpostoSPE*K25)</f>
        <v>0</v>
      </c>
      <c r="N26" s="395">
        <f>IF($A26&lt;=baseData,INDEX('LDI - Fluxo de Caixa'!$BD$18:$BT$374,MATCH($A26,'LDI - Fluxo de Caixa'!$C$18:$C$374,0),MATCH('Fluxo Projeto'!N$1,'LDI - Fluxo de Caixa'!$BD$14:$BT$14,0)),INDEX(Obra!AA:AA,MATCH($A26,Obra!F:F,0)))</f>
        <v>0</v>
      </c>
      <c r="O26" s="395">
        <f>IF($A26&lt;=baseData,INDEX('LDI - Fluxo de Caixa'!$BD$18:$BT$374,MATCH($A26,'LDI - Fluxo de Caixa'!$C$18:$C$374,0),MATCH('Fluxo Projeto'!O$1,'LDI - Fluxo de Caixa'!$BD$14:$BT$14,0)),IF($A26=entrega,assistTecnicaObra*SUM($N$2:$N$86),0))</f>
        <v>0</v>
      </c>
      <c r="P26" s="395">
        <f>IF($A26&lt;=baseData, INDEX('LDI - Fluxo de Caixa'!$BD$18:$BT$374, MATCH('Fluxo Projeto'!$A26, 'LDI - Fluxo de Caixa'!$C$18:$C$374, 0), MATCH('Fluxo Projeto'!P$1, 'LDI - Fluxo de Caixa'!$BD$14:$BT$14, 0)), -IF($A26&gt;=entrega, INDEX(Curvas!R:R,MATCH($A26,Curvas!B:B,0))*(IPTU+condominio)*'Tabela Vendas'!$Y$22, 0))</f>
        <v>0</v>
      </c>
      <c r="Q26" s="395">
        <f>IF($A26&lt;=baseData, INDEX('LDI - Fluxo de Caixa'!$BD$18:$BT$374, MATCH('Fluxo Projeto'!$A26, 'LDI - Fluxo de Caixa'!$C$18:$C$374, 0), MATCH('Fluxo Projeto'!Q$1, 'LDI - Fluxo de Caixa'!$BD$14:$BT$14, 0)), (-pctIncorporaçaoSPE*SUM($G$4:$H$86)-SUMIF($A$4:$A$86, "&lt;="&amp;baseData, Q$4:Q$86))*(SUM($G26:$H26)/(SUMIF($A$4:$A$86, "&gt;"&amp;baseData, $G$4:$G$86)+SUMIF($A$4:$A$86, "&gt;"&amp;baseData, $H$4:$H$86))))</f>
        <v>-166687.66999999998</v>
      </c>
      <c r="R26" s="395">
        <f>IF($A26&lt;=baseData, INDEX('LDI - Fluxo de Caixa'!$BD$18:$BT$374, MATCH('Fluxo Projeto'!$A26, 'LDI - Fluxo de Caixa'!$C$18:$C$374, 0), MATCH('Fluxo Projeto'!R$1, 'LDI - Fluxo de Caixa'!$BD$14:$BT$14, 0)), (-pctMarketingSPE*SUM($G$4:$H$86)-SUMIF($A$4:$A$86, "&lt;="&amp;baseData, R$4:R$86))*(SUM($G26:$H26)/(SUMIF($A$4:$A$86, "&gt;"&amp;baseData, $G$4:$G$86)+SUMIF($A$4:$A$86, "&gt;"&amp;baseData, $H$4:$H$86))))</f>
        <v>-237265.15</v>
      </c>
      <c r="S26" s="395">
        <f>IF($A26&lt;=baseData,INDEX('LDI - Fluxo de Caixa'!$BD$18:$BT$374,MATCH($A26,'LDI - Fluxo de Caixa'!$C$18:$C$374,0),MATCH(S$1,'LDI - Fluxo de Caixa'!$BD$14:$BT$14,0)),-pctGestaoSPE*K25)</f>
        <v>0</v>
      </c>
      <c r="T26" s="395">
        <f>IF($A26&lt;=baseData, INDEX('LDI - Fluxo de Caixa'!$BD$18:$BT$374, MATCH('Fluxo Projeto'!$A26, 'LDI - Fluxo de Caixa'!$C$18:$C$374, 0), MATCH('Fluxo Projeto'!T$1, 'LDI - Fluxo de Caixa'!$BD$14:$BT$14, 0)), (-pctOutrasSPE*SUM($G$4:$H$86)-SUMIF($A$4:$A$86, "&lt;="&amp;baseData, T$4:T$86))*(SUM($G26:$H26)/(SUMIF($A$4:$A$86, "&gt;"&amp;baseData, $G$4:$G$86)+SUMIF($A$4:$A$86, "&gt;"&amp;baseData, $H$4:$H$86))))</f>
        <v>-10295</v>
      </c>
      <c r="U26" s="395">
        <f>IF($A26&lt;=baseData, INDEX('LDI - Fluxo de Caixa'!$BD$18:$BT$374, MATCH('Fluxo Projeto'!$A26, 'LDI - Fluxo de Caixa'!$C$18:$C$374, 0), MATCH('Fluxo Projeto'!U$1, 'LDI - Fluxo de Caixa'!$BD$14:$BT$14, 0)), 0)</f>
        <v>877594.24999999988</v>
      </c>
      <c r="V26" s="393">
        <f t="shared" si="1"/>
        <v>463346.42999999993</v>
      </c>
      <c r="X26" s="397">
        <f>INDEX('LDI - Fluxo de Caixa'!$BD$18:$BT$374, MATCH('Fluxo Projeto'!$A26, 'LDI - Fluxo de Caixa'!$C$18:$C$374, 0), MATCH('Fluxo Projeto'!X$1, 'LDI - Fluxo de Caixa'!$BD$14:$BT$14, 0))</f>
        <v>0</v>
      </c>
      <c r="Y26" s="398">
        <f>INDEX('LDI - Fluxo de Caixa'!$BD$18:$BT$374, MATCH('Fluxo Projeto'!$A26, 'LDI - Fluxo de Caixa'!$C$18:$C$374, 0), MATCH('Fluxo Projeto'!Y$1, 'LDI - Fluxo de Caixa'!$BD$14:$BT$14, 0))</f>
        <v>0</v>
      </c>
      <c r="Z26" s="390"/>
      <c r="AA26" s="397">
        <f>INDEX('LDI - Fluxo de Caixa'!$BD$18:$BT$374, MATCH('Fluxo Projeto'!$A26, 'LDI - Fluxo de Caixa'!$C$18:$C$374, 0), MATCH('Fluxo Projeto'!AA$1, 'LDI - Fluxo de Caixa'!$BD$14:$BT$14, 0))</f>
        <v>-5646851.0899999999</v>
      </c>
      <c r="AB26" s="398">
        <f>INDEX('LDI - Fluxo de Caixa'!$BD$18:$BT$374, MATCH('Fluxo Projeto'!$A26, 'LDI - Fluxo de Caixa'!$C$18:$C$374, 0), MATCH('Fluxo Projeto'!AB$1, 'LDI - Fluxo de Caixa'!$BD$14:$BT$14, 0))</f>
        <v>-12595264.32</v>
      </c>
      <c r="AD26" s="393">
        <f t="shared" si="2"/>
        <v>-14876134.720537812</v>
      </c>
      <c r="AE26" s="390"/>
      <c r="AF26" s="393">
        <f>IF($A26&lt;=baseData, INDEX('LDI - Fluxo de Caixa'!$BD$18:$BT$374, MATCH('Fluxo Projeto'!$A26, 'LDI - Fluxo de Caixa'!$C$18:$C$374, 0), MATCH('Fluxo Projeto'!AF$1, 'LDI - Fluxo de Caixa'!$BD$14:$BT$14, 0)), $E26*CDI)</f>
        <v>-984.47999999999865</v>
      </c>
      <c r="AH26" s="393">
        <f t="shared" si="3"/>
        <v>648167.20946218865</v>
      </c>
      <c r="AJ26" s="397">
        <f>IF($A26&lt;=baseData, INDEX('LDI - Fluxo de Caixa'!$BD$18:$BT$374, MATCH($A26, 'LDI - Fluxo de Caixa'!$C$18:$C$374, 0), MATCH(AJ$1, 'LDI - Fluxo de Caixa'!$BD$14:$BT$14, 0))-J26-I26, IF($A26&lt;inicioDistribuicoes,-IF(AH26&lt;cxMinSPEpreObra,IF(SUM($AD27:$AD38)-cxMinSPEpreObra+AH26&lt;0,SUM($AD27:$AD38)-cxMinSPEpreObra+AH26,IF(AH26&lt;0, AH26-cxMinSPEpreObra, 0)),0), 0))</f>
        <v>2679882.0805378119</v>
      </c>
      <c r="AK26" s="398">
        <f>INDEX('LDI - Fluxo de Caixa'!$BD$18:$BT$374, MATCH('Fluxo Projeto'!$A26, 'LDI - Fluxo de Caixa'!$C$18:$C$374, 0), MATCH('Fluxo Projeto'!AK$1, 'LDI - Fluxo de Caixa'!$BD$14:$BT$14, 0))</f>
        <v>0</v>
      </c>
      <c r="AM26" s="393">
        <f t="shared" si="4"/>
        <v>3328049.2900000005</v>
      </c>
      <c r="AO26" s="399">
        <v>2450455.040000001</v>
      </c>
      <c r="AQ26" s="397">
        <f t="shared" si="5"/>
        <v>-2679882.0805378119</v>
      </c>
      <c r="AR26" s="398">
        <f t="shared" si="8"/>
        <v>-34176131.709007196</v>
      </c>
      <c r="AT26" s="393">
        <f t="shared" si="6"/>
        <v>-2763634.5345636606</v>
      </c>
      <c r="AV26" s="397">
        <f t="shared" si="9"/>
        <v>0</v>
      </c>
      <c r="AW26" s="390">
        <f t="shared" si="10"/>
        <v>0</v>
      </c>
      <c r="AX26" s="390">
        <f t="shared" si="11"/>
        <v>1129.6990231723537</v>
      </c>
      <c r="AY26" s="390">
        <f t="shared" si="12"/>
        <v>2606.769227600571</v>
      </c>
      <c r="AZ26" s="393">
        <f t="shared" si="13"/>
        <v>3736.4682507729249</v>
      </c>
      <c r="BA26" s="371"/>
      <c r="BB26" s="394">
        <f t="shared" si="14"/>
        <v>0</v>
      </c>
      <c r="BC26" s="395">
        <f t="shared" si="15"/>
        <v>0</v>
      </c>
      <c r="BD26" s="395">
        <f t="shared" si="16"/>
        <v>0</v>
      </c>
      <c r="BE26" s="395">
        <f t="shared" si="17"/>
        <v>0</v>
      </c>
      <c r="BF26" s="395">
        <f t="shared" si="18"/>
        <v>-214.57170662132046</v>
      </c>
      <c r="BG26" s="395">
        <f t="shared" si="19"/>
        <v>-305.42383943133643</v>
      </c>
      <c r="BH26" s="395">
        <f t="shared" si="20"/>
        <v>0</v>
      </c>
      <c r="BI26" s="395">
        <f t="shared" si="21"/>
        <v>-13.252424247495297</v>
      </c>
      <c r="BJ26" s="390">
        <f t="shared" si="22"/>
        <v>1129.6990109919814</v>
      </c>
      <c r="BK26" s="393">
        <f t="shared" si="23"/>
        <v>596.45104069182923</v>
      </c>
      <c r="BL26" s="371"/>
      <c r="BM26" s="397">
        <f t="shared" si="24"/>
        <v>0</v>
      </c>
      <c r="BN26" s="398">
        <f t="shared" si="25"/>
        <v>0</v>
      </c>
      <c r="BO26" s="390"/>
      <c r="BP26" s="400">
        <f t="shared" si="26"/>
        <v>-7269.0108117640839</v>
      </c>
      <c r="BQ26" s="401">
        <f t="shared" si="27"/>
        <v>-16213.480940066087</v>
      </c>
      <c r="BR26" s="371"/>
      <c r="BS26" s="393">
        <f t="shared" si="28"/>
        <v>-1.2672896185696116</v>
      </c>
    </row>
    <row r="27" spans="1:71" x14ac:dyDescent="0.25">
      <c r="A27" s="197">
        <f t="shared" si="7"/>
        <v>43831</v>
      </c>
      <c r="B27" s="388">
        <f>IF($A27&lt;=baseData, INDEX(Indicadores!B:B, MATCH($A27,Indicadores!A:A, 0)), INDEX(Indicadores!B:B, MATCH(baseData,Indicadores!A:A, 0)))</f>
        <v>779.76599999999996</v>
      </c>
      <c r="C27" s="389">
        <f>IF($A27&lt;=baseData, INDEX(Indicadores!E:E, MATCH($A27, Indicadores!A:A, 0)), INDEX(Indicadores!E:E, MATCH(baseData, Indicadores!A:A, 0)))</f>
        <v>5331.42</v>
      </c>
      <c r="E27" s="393">
        <f t="shared" si="29"/>
        <v>2450455.040000001</v>
      </c>
      <c r="G27" s="392">
        <v>0</v>
      </c>
      <c r="H27" s="390">
        <f>IF($A27&gt;baseData, SUMPRODUCT('Tabela Vendas'!$R:$R,'Tabela Vendas'!$V:$V)*INDEX(Curvas!$Z:$Z,MATCH($A27,Curvas!$B:$B,0)), 0)</f>
        <v>0</v>
      </c>
      <c r="I27" s="390">
        <f>IFERROR(INDEX(Permutas!AJ:AJ, MATCH('Fluxo Projeto'!A27, Permutas!N:N, 0)), 0)</f>
        <v>0</v>
      </c>
      <c r="J27" s="390">
        <v>0</v>
      </c>
      <c r="K27" s="393">
        <f t="shared" si="0"/>
        <v>0</v>
      </c>
      <c r="M27" s="394">
        <f>IF($A27&lt;=baseData,INDEX('LDI - Fluxo de Caixa'!$BD$18:$BT$374,MATCH('Fluxo Projeto'!$A27,'LDI - Fluxo de Caixa'!$C$18:$C$374,0),MATCH('Fluxo Projeto'!M$1,'LDI - Fluxo de Caixa'!$BD$14:$BT$14,0)),-pctImpostoSPE*K26)</f>
        <v>-7436.96</v>
      </c>
      <c r="N27" s="395">
        <f>IF($A27&lt;=baseData,INDEX('LDI - Fluxo de Caixa'!$BD$18:$BT$374,MATCH($A27,'LDI - Fluxo de Caixa'!$C$18:$C$374,0),MATCH('Fluxo Projeto'!N$1,'LDI - Fluxo de Caixa'!$BD$14:$BT$14,0)),INDEX(Obra!AA:AA,MATCH($A27,Obra!F:F,0)))</f>
        <v>0</v>
      </c>
      <c r="O27" s="395">
        <f>IF($A27&lt;=baseData,INDEX('LDI - Fluxo de Caixa'!$BD$18:$BT$374,MATCH($A27,'LDI - Fluxo de Caixa'!$C$18:$C$374,0),MATCH('Fluxo Projeto'!O$1,'LDI - Fluxo de Caixa'!$BD$14:$BT$14,0)),IF($A27=entrega,assistTecnicaObra*SUM($N$2:$N$86),0))</f>
        <v>0</v>
      </c>
      <c r="P27" s="395">
        <f>IF($A27&lt;=baseData, INDEX('LDI - Fluxo de Caixa'!$BD$18:$BT$374, MATCH('Fluxo Projeto'!$A27, 'LDI - Fluxo de Caixa'!$C$18:$C$374, 0), MATCH('Fluxo Projeto'!P$1, 'LDI - Fluxo de Caixa'!$BD$14:$BT$14, 0)), -IF($A27&gt;=entrega, INDEX(Curvas!R:R,MATCH($A27,Curvas!B:B,0))*(IPTU+condominio)*'Tabela Vendas'!$Y$22, 0))</f>
        <v>0</v>
      </c>
      <c r="Q27" s="395">
        <f>IF($A27&lt;=baseData, INDEX('LDI - Fluxo de Caixa'!$BD$18:$BT$374, MATCH('Fluxo Projeto'!$A27, 'LDI - Fluxo de Caixa'!$C$18:$C$374, 0), MATCH('Fluxo Projeto'!Q$1, 'LDI - Fluxo de Caixa'!$BD$14:$BT$14, 0)), (-pctIncorporaçaoSPE*SUM($G$4:$H$86)-SUMIF($A$4:$A$86, "&lt;="&amp;baseData, Q$4:Q$86))*(SUM($G27:$H27)/(SUMIF($A$4:$A$86, "&gt;"&amp;baseData, $G$4:$G$86)+SUMIF($A$4:$A$86, "&gt;"&amp;baseData, $H$4:$H$86))))</f>
        <v>-77556.540000000008</v>
      </c>
      <c r="R27" s="395">
        <f>IF($A27&lt;=baseData, INDEX('LDI - Fluxo de Caixa'!$BD$18:$BT$374, MATCH('Fluxo Projeto'!$A27, 'LDI - Fluxo de Caixa'!$C$18:$C$374, 0), MATCH('Fluxo Projeto'!R$1, 'LDI - Fluxo de Caixa'!$BD$14:$BT$14, 0)), (-pctMarketingSPE*SUM($G$4:$H$86)-SUMIF($A$4:$A$86, "&lt;="&amp;baseData, R$4:R$86))*(SUM($G27:$H27)/(SUMIF($A$4:$A$86, "&gt;"&amp;baseData, $G$4:$G$86)+SUMIF($A$4:$A$86, "&gt;"&amp;baseData, $H$4:$H$86))))</f>
        <v>-495614.15</v>
      </c>
      <c r="S27" s="395">
        <f>IF($A27&lt;=baseData,INDEX('LDI - Fluxo de Caixa'!$BD$18:$BT$374,MATCH($A27,'LDI - Fluxo de Caixa'!$C$18:$C$374,0),MATCH(S$1,'LDI - Fluxo de Caixa'!$BD$14:$BT$14,0)),-pctGestaoSPE*K26)</f>
        <v>0</v>
      </c>
      <c r="T27" s="395">
        <f>IF($A27&lt;=baseData, INDEX('LDI - Fluxo de Caixa'!$BD$18:$BT$374, MATCH('Fluxo Projeto'!$A27, 'LDI - Fluxo de Caixa'!$C$18:$C$374, 0), MATCH('Fluxo Projeto'!T$1, 'LDI - Fluxo de Caixa'!$BD$14:$BT$14, 0)), (-pctOutrasSPE*SUM($G$4:$H$86)-SUMIF($A$4:$A$86, "&lt;="&amp;baseData, T$4:T$86))*(SUM($G27:$H27)/(SUMIF($A$4:$A$86, "&gt;"&amp;baseData, $G$4:$G$86)+SUMIF($A$4:$A$86, "&gt;"&amp;baseData, $H$4:$H$86))))</f>
        <v>-3225.21</v>
      </c>
      <c r="U27" s="395">
        <f>IF($A27&lt;=baseData, INDEX('LDI - Fluxo de Caixa'!$BD$18:$BT$374, MATCH('Fluxo Projeto'!$A27, 'LDI - Fluxo de Caixa'!$C$18:$C$374, 0), MATCH('Fluxo Projeto'!U$1, 'LDI - Fluxo de Caixa'!$BD$14:$BT$14, 0)), 0)</f>
        <v>0</v>
      </c>
      <c r="V27" s="393">
        <f t="shared" si="1"/>
        <v>-583832.86</v>
      </c>
      <c r="X27" s="397">
        <f>INDEX('LDI - Fluxo de Caixa'!$BD$18:$BT$374, MATCH('Fluxo Projeto'!$A27, 'LDI - Fluxo de Caixa'!$C$18:$C$374, 0), MATCH('Fluxo Projeto'!X$1, 'LDI - Fluxo de Caixa'!$BD$14:$BT$14, 0))</f>
        <v>0</v>
      </c>
      <c r="Y27" s="398">
        <f>INDEX('LDI - Fluxo de Caixa'!$BD$18:$BT$374, MATCH('Fluxo Projeto'!$A27, 'LDI - Fluxo de Caixa'!$C$18:$C$374, 0), MATCH('Fluxo Projeto'!Y$1, 'LDI - Fluxo de Caixa'!$BD$14:$BT$14, 0))</f>
        <v>0</v>
      </c>
      <c r="Z27" s="390"/>
      <c r="AA27" s="397">
        <f>INDEX('LDI - Fluxo de Caixa'!$BD$18:$BT$374, MATCH('Fluxo Projeto'!$A27, 'LDI - Fluxo de Caixa'!$C$18:$C$374, 0), MATCH('Fluxo Projeto'!AA$1, 'LDI - Fluxo de Caixa'!$BD$14:$BT$14, 0))</f>
        <v>-519116.64999999898</v>
      </c>
      <c r="AB27" s="398">
        <f>INDEX('LDI - Fluxo de Caixa'!$BD$18:$BT$374, MATCH('Fluxo Projeto'!$A27, 'LDI - Fluxo de Caixa'!$C$18:$C$374, 0), MATCH('Fluxo Projeto'!AB$1, 'LDI - Fluxo de Caixa'!$BD$14:$BT$14, 0))</f>
        <v>0</v>
      </c>
      <c r="AD27" s="393">
        <f t="shared" si="2"/>
        <v>-1102949.5099999988</v>
      </c>
      <c r="AE27" s="390"/>
      <c r="AF27" s="393">
        <f>IF($A27&lt;=baseData, INDEX('LDI - Fluxo de Caixa'!$BD$18:$BT$374, MATCH('Fluxo Projeto'!$A27, 'LDI - Fluxo de Caixa'!$C$18:$C$374, 0), MATCH('Fluxo Projeto'!AF$1, 'LDI - Fluxo de Caixa'!$BD$14:$BT$14, 0)), $E27*CDI)</f>
        <v>3610.77</v>
      </c>
      <c r="AH27" s="393">
        <f t="shared" si="3"/>
        <v>1351116.3000000021</v>
      </c>
      <c r="AJ27" s="397">
        <f>IF($A27&lt;=baseData, INDEX('LDI - Fluxo de Caixa'!$BD$18:$BT$374, MATCH($A27, 'LDI - Fluxo de Caixa'!$C$18:$C$374, 0), MATCH(AJ$1, 'LDI - Fluxo de Caixa'!$BD$14:$BT$14, 0))-J27-I27, IF($A27&lt;inicioDistribuicoes,-IF(AH27&lt;cxMinSPEpreObra,IF(SUM($AD28:$AD39)-cxMinSPEpreObra+AH27&lt;0,SUM($AD28:$AD39)-cxMinSPEpreObra+AH27,IF(AH27&lt;0, AH27-cxMinSPEpreObra, 0)),0), 0))</f>
        <v>0</v>
      </c>
      <c r="AK27" s="398">
        <f>INDEX('LDI - Fluxo de Caixa'!$BD$18:$BT$374, MATCH('Fluxo Projeto'!$A27, 'LDI - Fluxo de Caixa'!$C$18:$C$374, 0), MATCH('Fluxo Projeto'!AK$1, 'LDI - Fluxo de Caixa'!$BD$14:$BT$14, 0))</f>
        <v>0</v>
      </c>
      <c r="AM27" s="393">
        <f t="shared" si="4"/>
        <v>1351116.3000000021</v>
      </c>
      <c r="AO27" s="399">
        <v>1351116.300000001</v>
      </c>
      <c r="AQ27" s="397">
        <f t="shared" si="5"/>
        <v>0</v>
      </c>
      <c r="AR27" s="398">
        <f t="shared" si="8"/>
        <v>-34176131.709007196</v>
      </c>
      <c r="AT27" s="393">
        <f t="shared" si="6"/>
        <v>0</v>
      </c>
      <c r="AV27" s="397">
        <f t="shared" si="9"/>
        <v>0</v>
      </c>
      <c r="AW27" s="390">
        <f t="shared" si="10"/>
        <v>0</v>
      </c>
      <c r="AX27" s="390">
        <f t="shared" si="11"/>
        <v>0</v>
      </c>
      <c r="AY27" s="390">
        <f t="shared" si="12"/>
        <v>0</v>
      </c>
      <c r="AZ27" s="393">
        <f t="shared" si="13"/>
        <v>0</v>
      </c>
      <c r="BA27" s="371"/>
      <c r="BB27" s="394">
        <f t="shared" si="14"/>
        <v>-9.5374253301631526</v>
      </c>
      <c r="BC27" s="395">
        <f t="shared" si="15"/>
        <v>0</v>
      </c>
      <c r="BD27" s="395">
        <f t="shared" si="16"/>
        <v>0</v>
      </c>
      <c r="BE27" s="395">
        <f t="shared" si="17"/>
        <v>0</v>
      </c>
      <c r="BF27" s="395">
        <f t="shared" si="18"/>
        <v>-99.461299928440084</v>
      </c>
      <c r="BG27" s="395">
        <f t="shared" si="19"/>
        <v>-635.59343444058868</v>
      </c>
      <c r="BH27" s="395">
        <f t="shared" si="20"/>
        <v>0</v>
      </c>
      <c r="BI27" s="395">
        <f t="shared" si="21"/>
        <v>-4.1361254530205214</v>
      </c>
      <c r="BJ27" s="390">
        <f t="shared" si="22"/>
        <v>0</v>
      </c>
      <c r="BK27" s="393">
        <f t="shared" si="23"/>
        <v>-748.72828515221249</v>
      </c>
      <c r="BL27" s="371"/>
      <c r="BM27" s="397">
        <f t="shared" si="24"/>
        <v>0</v>
      </c>
      <c r="BN27" s="398">
        <f t="shared" si="25"/>
        <v>0</v>
      </c>
      <c r="BO27" s="390"/>
      <c r="BP27" s="400">
        <f t="shared" si="26"/>
        <v>-665.73388683271514</v>
      </c>
      <c r="BQ27" s="401">
        <f t="shared" si="27"/>
        <v>0</v>
      </c>
      <c r="BR27" s="371"/>
      <c r="BS27" s="393">
        <f t="shared" si="28"/>
        <v>4.6305814821369493</v>
      </c>
    </row>
    <row r="28" spans="1:71" x14ac:dyDescent="0.25">
      <c r="A28" s="197">
        <f t="shared" si="7"/>
        <v>43862</v>
      </c>
      <c r="B28" s="388">
        <f>IF($A28&lt;=baseData, INDEX(Indicadores!B:B, MATCH($A28,Indicadores!A:A, 0)), INDEX(Indicadores!B:B, MATCH(baseData,Indicadores!A:A, 0)))</f>
        <v>782.33600000000001</v>
      </c>
      <c r="C28" s="389">
        <f>IF($A28&lt;=baseData, INDEX(Indicadores!E:E, MATCH($A28, Indicadores!A:A, 0)), INDEX(Indicadores!E:E, MATCH(baseData, Indicadores!A:A, 0)))</f>
        <v>5344.75</v>
      </c>
      <c r="E28" s="393">
        <f t="shared" si="29"/>
        <v>1351116.300000001</v>
      </c>
      <c r="G28" s="392">
        <v>0</v>
      </c>
      <c r="H28" s="390">
        <f>IF($A28&gt;baseData, SUMPRODUCT('Tabela Vendas'!$R:$R,'Tabela Vendas'!$V:$V)*INDEX(Curvas!$Z:$Z,MATCH($A28,Curvas!$B:$B,0)), 0)</f>
        <v>0</v>
      </c>
      <c r="I28" s="390">
        <f>IFERROR(INDEX(Permutas!AJ:AJ, MATCH('Fluxo Projeto'!A28, Permutas!N:N, 0)), 0)</f>
        <v>0</v>
      </c>
      <c r="J28" s="390">
        <v>0</v>
      </c>
      <c r="K28" s="393">
        <f t="shared" si="0"/>
        <v>0</v>
      </c>
      <c r="M28" s="394">
        <f>IF($A28&lt;=baseData,INDEX('LDI - Fluxo de Caixa'!$BD$18:$BT$374,MATCH('Fluxo Projeto'!$A28,'LDI - Fluxo de Caixa'!$C$18:$C$374,0),MATCH('Fluxo Projeto'!M$1,'LDI - Fluxo de Caixa'!$BD$14:$BT$14,0)),-pctImpostoSPE*K27)</f>
        <v>0</v>
      </c>
      <c r="N28" s="395">
        <f>IF($A28&lt;=baseData,INDEX('LDI - Fluxo de Caixa'!$BD$18:$BT$374,MATCH($A28,'LDI - Fluxo de Caixa'!$C$18:$C$374,0),MATCH('Fluxo Projeto'!N$1,'LDI - Fluxo de Caixa'!$BD$14:$BT$14,0)),INDEX(Obra!AA:AA,MATCH($A28,Obra!F:F,0)))</f>
        <v>0</v>
      </c>
      <c r="O28" s="395">
        <f>IF($A28&lt;=baseData,INDEX('LDI - Fluxo de Caixa'!$BD$18:$BT$374,MATCH($A28,'LDI - Fluxo de Caixa'!$C$18:$C$374,0),MATCH('Fluxo Projeto'!O$1,'LDI - Fluxo de Caixa'!$BD$14:$BT$14,0)),IF($A28=entrega,assistTecnicaObra*SUM($N$2:$N$86),0))</f>
        <v>0</v>
      </c>
      <c r="P28" s="395">
        <f>IF($A28&lt;=baseData, INDEX('LDI - Fluxo de Caixa'!$BD$18:$BT$374, MATCH('Fluxo Projeto'!$A28, 'LDI - Fluxo de Caixa'!$C$18:$C$374, 0), MATCH('Fluxo Projeto'!P$1, 'LDI - Fluxo de Caixa'!$BD$14:$BT$14, 0)), -IF($A28&gt;=entrega, INDEX(Curvas!R:R,MATCH($A28,Curvas!B:B,0))*(IPTU+condominio)*'Tabela Vendas'!$Y$22, 0))</f>
        <v>0</v>
      </c>
      <c r="Q28" s="395">
        <f>IF($A28&lt;=baseData, INDEX('LDI - Fluxo de Caixa'!$BD$18:$BT$374, MATCH('Fluxo Projeto'!$A28, 'LDI - Fluxo de Caixa'!$C$18:$C$374, 0), MATCH('Fluxo Projeto'!Q$1, 'LDI - Fluxo de Caixa'!$BD$14:$BT$14, 0)), (-pctIncorporaçaoSPE*SUM($G$4:$H$86)-SUMIF($A$4:$A$86, "&lt;="&amp;baseData, Q$4:Q$86))*(SUM($G28:$H28)/(SUMIF($A$4:$A$86, "&gt;"&amp;baseData, $G$4:$G$86)+SUMIF($A$4:$A$86, "&gt;"&amp;baseData, $H$4:$H$86))))</f>
        <v>-111964.65</v>
      </c>
      <c r="R28" s="395">
        <f>IF($A28&lt;=baseData, INDEX('LDI - Fluxo de Caixa'!$BD$18:$BT$374, MATCH('Fluxo Projeto'!$A28, 'LDI - Fluxo de Caixa'!$C$18:$C$374, 0), MATCH('Fluxo Projeto'!R$1, 'LDI - Fluxo de Caixa'!$BD$14:$BT$14, 0)), (-pctMarketingSPE*SUM($G$4:$H$86)-SUMIF($A$4:$A$86, "&lt;="&amp;baseData, R$4:R$86))*(SUM($G28:$H28)/(SUMIF($A$4:$A$86, "&gt;"&amp;baseData, $G$4:$G$86)+SUMIF($A$4:$A$86, "&gt;"&amp;baseData, $H$4:$H$86))))</f>
        <v>-335228.89</v>
      </c>
      <c r="S28" s="395">
        <f>IF($A28&lt;=baseData,INDEX('LDI - Fluxo de Caixa'!$BD$18:$BT$374,MATCH($A28,'LDI - Fluxo de Caixa'!$C$18:$C$374,0),MATCH(S$1,'LDI - Fluxo de Caixa'!$BD$14:$BT$14,0)),-pctGestaoSPE*K27)</f>
        <v>0</v>
      </c>
      <c r="T28" s="395">
        <f>IF($A28&lt;=baseData, INDEX('LDI - Fluxo de Caixa'!$BD$18:$BT$374, MATCH('Fluxo Projeto'!$A28, 'LDI - Fluxo de Caixa'!$C$18:$C$374, 0), MATCH('Fluxo Projeto'!T$1, 'LDI - Fluxo de Caixa'!$BD$14:$BT$14, 0)), (-pctOutrasSPE*SUM($G$4:$H$86)-SUMIF($A$4:$A$86, "&lt;="&amp;baseData, T$4:T$86))*(SUM($G28:$H28)/(SUMIF($A$4:$A$86, "&gt;"&amp;baseData, $G$4:$G$86)+SUMIF($A$4:$A$86, "&gt;"&amp;baseData, $H$4:$H$86))))</f>
        <v>-5099.88</v>
      </c>
      <c r="U28" s="395">
        <f>IF($A28&lt;=baseData, INDEX('LDI - Fluxo de Caixa'!$BD$18:$BT$374, MATCH('Fluxo Projeto'!$A28, 'LDI - Fluxo de Caixa'!$C$18:$C$374, 0), MATCH('Fluxo Projeto'!U$1, 'LDI - Fluxo de Caixa'!$BD$14:$BT$14, 0)), 0)</f>
        <v>0</v>
      </c>
      <c r="V28" s="393">
        <f t="shared" si="1"/>
        <v>-452293.42000000004</v>
      </c>
      <c r="X28" s="397">
        <f>INDEX('LDI - Fluxo de Caixa'!$BD$18:$BT$374, MATCH('Fluxo Projeto'!$A28, 'LDI - Fluxo de Caixa'!$C$18:$C$374, 0), MATCH('Fluxo Projeto'!X$1, 'LDI - Fluxo de Caixa'!$BD$14:$BT$14, 0))</f>
        <v>0</v>
      </c>
      <c r="Y28" s="398">
        <f>INDEX('LDI - Fluxo de Caixa'!$BD$18:$BT$374, MATCH('Fluxo Projeto'!$A28, 'LDI - Fluxo de Caixa'!$C$18:$C$374, 0), MATCH('Fluxo Projeto'!Y$1, 'LDI - Fluxo de Caixa'!$BD$14:$BT$14, 0))</f>
        <v>0</v>
      </c>
      <c r="Z28" s="390"/>
      <c r="AA28" s="397">
        <f>INDEX('LDI - Fluxo de Caixa'!$BD$18:$BT$374, MATCH('Fluxo Projeto'!$A28, 'LDI - Fluxo de Caixa'!$C$18:$C$374, 0), MATCH('Fluxo Projeto'!AA$1, 'LDI - Fluxo de Caixa'!$BD$14:$BT$14, 0))</f>
        <v>-49733.34</v>
      </c>
      <c r="AB28" s="398">
        <f>INDEX('LDI - Fluxo de Caixa'!$BD$18:$BT$374, MATCH('Fluxo Projeto'!$A28, 'LDI - Fluxo de Caixa'!$C$18:$C$374, 0), MATCH('Fluxo Projeto'!AB$1, 'LDI - Fluxo de Caixa'!$BD$14:$BT$14, 0))</f>
        <v>0</v>
      </c>
      <c r="AD28" s="393">
        <f t="shared" si="2"/>
        <v>-502026.76</v>
      </c>
      <c r="AE28" s="390"/>
      <c r="AF28" s="393">
        <f>IF($A28&lt;=baseData, INDEX('LDI - Fluxo de Caixa'!$BD$18:$BT$374, MATCH('Fluxo Projeto'!$A28, 'LDI - Fluxo de Caixa'!$C$18:$C$374, 0), MATCH('Fluxo Projeto'!AF$1, 'LDI - Fluxo de Caixa'!$BD$14:$BT$14, 0)), $E28*CDI)</f>
        <v>2390.94</v>
      </c>
      <c r="AH28" s="393">
        <f t="shared" si="3"/>
        <v>851480.48000000091</v>
      </c>
      <c r="AJ28" s="397">
        <f>IF($A28&lt;=baseData, INDEX('LDI - Fluxo de Caixa'!$BD$18:$BT$374, MATCH($A28, 'LDI - Fluxo de Caixa'!$C$18:$C$374, 0), MATCH(AJ$1, 'LDI - Fluxo de Caixa'!$BD$14:$BT$14, 0))-J28-I28, IF($A28&lt;inicioDistribuicoes,-IF(AH28&lt;cxMinSPEpreObra,IF(SUM($AD29:$AD40)-cxMinSPEpreObra+AH28&lt;0,SUM($AD29:$AD40)-cxMinSPEpreObra+AH28,IF(AH28&lt;0, AH28-cxMinSPEpreObra, 0)),0), 0))</f>
        <v>0</v>
      </c>
      <c r="AK28" s="398">
        <f>INDEX('LDI - Fluxo de Caixa'!$BD$18:$BT$374, MATCH('Fluxo Projeto'!$A28, 'LDI - Fluxo de Caixa'!$C$18:$C$374, 0), MATCH('Fluxo Projeto'!AK$1, 'LDI - Fluxo de Caixa'!$BD$14:$BT$14, 0))</f>
        <v>0</v>
      </c>
      <c r="AM28" s="393">
        <f t="shared" si="4"/>
        <v>851480.48000000091</v>
      </c>
      <c r="AO28" s="399">
        <v>851480.48000000068</v>
      </c>
      <c r="AQ28" s="397">
        <f t="shared" si="5"/>
        <v>0</v>
      </c>
      <c r="AR28" s="398">
        <f t="shared" si="8"/>
        <v>-34176131.709007196</v>
      </c>
      <c r="AT28" s="393">
        <f t="shared" si="6"/>
        <v>0</v>
      </c>
      <c r="AV28" s="397">
        <f t="shared" si="9"/>
        <v>0</v>
      </c>
      <c r="AW28" s="390">
        <f t="shared" si="10"/>
        <v>0</v>
      </c>
      <c r="AX28" s="390">
        <f t="shared" si="11"/>
        <v>0</v>
      </c>
      <c r="AY28" s="390">
        <f t="shared" si="12"/>
        <v>0</v>
      </c>
      <c r="AZ28" s="393">
        <f t="shared" si="13"/>
        <v>0</v>
      </c>
      <c r="BA28" s="371"/>
      <c r="BB28" s="394">
        <f t="shared" si="14"/>
        <v>0</v>
      </c>
      <c r="BC28" s="395">
        <f t="shared" si="15"/>
        <v>0</v>
      </c>
      <c r="BD28" s="395">
        <f t="shared" si="16"/>
        <v>0</v>
      </c>
      <c r="BE28" s="395">
        <f t="shared" si="17"/>
        <v>0</v>
      </c>
      <c r="BF28" s="395">
        <f t="shared" si="18"/>
        <v>-143.11580957542537</v>
      </c>
      <c r="BG28" s="395">
        <f t="shared" si="19"/>
        <v>-428.49733362647254</v>
      </c>
      <c r="BH28" s="395">
        <f t="shared" si="20"/>
        <v>0</v>
      </c>
      <c r="BI28" s="395">
        <f t="shared" si="21"/>
        <v>-6.5187847676701569</v>
      </c>
      <c r="BJ28" s="390">
        <f t="shared" si="22"/>
        <v>0</v>
      </c>
      <c r="BK28" s="393">
        <f t="shared" si="23"/>
        <v>-578.13192796956798</v>
      </c>
      <c r="BL28" s="371"/>
      <c r="BM28" s="397">
        <f t="shared" si="24"/>
        <v>0</v>
      </c>
      <c r="BN28" s="398">
        <f t="shared" si="25"/>
        <v>0</v>
      </c>
      <c r="BO28" s="390"/>
      <c r="BP28" s="400">
        <f t="shared" si="26"/>
        <v>-63.570307387107327</v>
      </c>
      <c r="BQ28" s="401">
        <f t="shared" si="27"/>
        <v>0</v>
      </c>
      <c r="BR28" s="371"/>
      <c r="BS28" s="393">
        <f t="shared" si="28"/>
        <v>3.0561549001963351</v>
      </c>
    </row>
    <row r="29" spans="1:71" x14ac:dyDescent="0.25">
      <c r="A29" s="197">
        <f t="shared" si="7"/>
        <v>43891</v>
      </c>
      <c r="B29" s="388">
        <f>IF($A29&lt;=baseData, INDEX(Indicadores!B:B, MATCH($A29,Indicadores!A:A, 0)), INDEX(Indicadores!B:B, MATCH(baseData,Indicadores!A:A, 0)))</f>
        <v>784.33799999999997</v>
      </c>
      <c r="C29" s="389">
        <f>IF($A29&lt;=baseData, INDEX(Indicadores!E:E, MATCH($A29, Indicadores!A:A, 0)), INDEX(Indicadores!E:E, MATCH(baseData, Indicadores!A:A, 0)))</f>
        <v>5348.491325</v>
      </c>
      <c r="E29" s="393">
        <f t="shared" si="29"/>
        <v>851480.48000000068</v>
      </c>
      <c r="G29" s="392">
        <v>0</v>
      </c>
      <c r="H29" s="390">
        <f>IF($A29&gt;baseData, SUMPRODUCT('Tabela Vendas'!$R:$R,'Tabela Vendas'!$V:$V)*INDEX(Curvas!$Z:$Z,MATCH($A29,Curvas!$B:$B,0)), 0)</f>
        <v>0</v>
      </c>
      <c r="I29" s="390">
        <f>IFERROR(INDEX(Permutas!AJ:AJ, MATCH('Fluxo Projeto'!A29, Permutas!N:N, 0)), 0)</f>
        <v>0</v>
      </c>
      <c r="J29" s="390">
        <v>0</v>
      </c>
      <c r="K29" s="393">
        <f t="shared" si="0"/>
        <v>0</v>
      </c>
      <c r="M29" s="394">
        <f>IF($A29&lt;=baseData,INDEX('LDI - Fluxo de Caixa'!$BD$18:$BT$374,MATCH('Fluxo Projeto'!$A29,'LDI - Fluxo de Caixa'!$C$18:$C$374,0),MATCH('Fluxo Projeto'!M$1,'LDI - Fluxo de Caixa'!$BD$14:$BT$14,0)),-pctImpostoSPE*K28)</f>
        <v>0</v>
      </c>
      <c r="N29" s="395">
        <f>IF($A29&lt;=baseData,INDEX('LDI - Fluxo de Caixa'!$BD$18:$BT$374,MATCH($A29,'LDI - Fluxo de Caixa'!$C$18:$C$374,0),MATCH('Fluxo Projeto'!N$1,'LDI - Fluxo de Caixa'!$BD$14:$BT$14,0)),INDEX(Obra!AA:AA,MATCH($A29,Obra!F:F,0)))</f>
        <v>0</v>
      </c>
      <c r="O29" s="395">
        <f>IF($A29&lt;=baseData,INDEX('LDI - Fluxo de Caixa'!$BD$18:$BT$374,MATCH($A29,'LDI - Fluxo de Caixa'!$C$18:$C$374,0),MATCH('Fluxo Projeto'!O$1,'LDI - Fluxo de Caixa'!$BD$14:$BT$14,0)),IF($A29=entrega,assistTecnicaObra*SUM($N$2:$N$86),0))</f>
        <v>0</v>
      </c>
      <c r="P29" s="395">
        <f>IF($A29&lt;=baseData, INDEX('LDI - Fluxo de Caixa'!$BD$18:$BT$374, MATCH('Fluxo Projeto'!$A29, 'LDI - Fluxo de Caixa'!$C$18:$C$374, 0), MATCH('Fluxo Projeto'!P$1, 'LDI - Fluxo de Caixa'!$BD$14:$BT$14, 0)), -IF($A29&gt;=entrega, INDEX(Curvas!R:R,MATCH($A29,Curvas!B:B,0))*(IPTU+condominio)*'Tabela Vendas'!$Y$22, 0))</f>
        <v>0</v>
      </c>
      <c r="Q29" s="395">
        <f>IF($A29&lt;=baseData, INDEX('LDI - Fluxo de Caixa'!$BD$18:$BT$374, MATCH('Fluxo Projeto'!$A29, 'LDI - Fluxo de Caixa'!$C$18:$C$374, 0), MATCH('Fluxo Projeto'!Q$1, 'LDI - Fluxo de Caixa'!$BD$14:$BT$14, 0)), (-pctIncorporaçaoSPE*SUM($G$4:$H$86)-SUMIF($A$4:$A$86, "&lt;="&amp;baseData, Q$4:Q$86))*(SUM($G29:$H29)/(SUMIF($A$4:$A$86, "&gt;"&amp;baseData, $G$4:$G$86)+SUMIF($A$4:$A$86, "&gt;"&amp;baseData, $H$4:$H$86))))</f>
        <v>-125538.06</v>
      </c>
      <c r="R29" s="395">
        <f>IF($A29&lt;=baseData, INDEX('LDI - Fluxo de Caixa'!$BD$18:$BT$374, MATCH('Fluxo Projeto'!$A29, 'LDI - Fluxo de Caixa'!$C$18:$C$374, 0), MATCH('Fluxo Projeto'!R$1, 'LDI - Fluxo de Caixa'!$BD$14:$BT$14, 0)), (-pctMarketingSPE*SUM($G$4:$H$86)-SUMIF($A$4:$A$86, "&lt;="&amp;baseData, R$4:R$86))*(SUM($G29:$H29)/(SUMIF($A$4:$A$86, "&gt;"&amp;baseData, $G$4:$G$86)+SUMIF($A$4:$A$86, "&gt;"&amp;baseData, $H$4:$H$86))))</f>
        <v>-720898.97</v>
      </c>
      <c r="S29" s="395">
        <f>IF($A29&lt;=baseData,INDEX('LDI - Fluxo de Caixa'!$BD$18:$BT$374,MATCH($A29,'LDI - Fluxo de Caixa'!$C$18:$C$374,0),MATCH(S$1,'LDI - Fluxo de Caixa'!$BD$14:$BT$14,0)),-pctGestaoSPE*K28)</f>
        <v>0</v>
      </c>
      <c r="T29" s="395">
        <f>IF($A29&lt;=baseData, INDEX('LDI - Fluxo de Caixa'!$BD$18:$BT$374, MATCH('Fluxo Projeto'!$A29, 'LDI - Fluxo de Caixa'!$C$18:$C$374, 0), MATCH('Fluxo Projeto'!T$1, 'LDI - Fluxo de Caixa'!$BD$14:$BT$14, 0)), (-pctOutrasSPE*SUM($G$4:$H$86)-SUMIF($A$4:$A$86, "&lt;="&amp;baseData, T$4:T$86))*(SUM($G29:$H29)/(SUMIF($A$4:$A$86, "&gt;"&amp;baseData, $G$4:$G$86)+SUMIF($A$4:$A$86, "&gt;"&amp;baseData, $H$4:$H$86))))</f>
        <v>-16065.47</v>
      </c>
      <c r="U29" s="395">
        <f>IF($A29&lt;=baseData, INDEX('LDI - Fluxo de Caixa'!$BD$18:$BT$374, MATCH('Fluxo Projeto'!$A29, 'LDI - Fluxo de Caixa'!$C$18:$C$374, 0), MATCH('Fluxo Projeto'!U$1, 'LDI - Fluxo de Caixa'!$BD$14:$BT$14, 0)), 0)</f>
        <v>0</v>
      </c>
      <c r="V29" s="393">
        <f t="shared" si="1"/>
        <v>-862502.5</v>
      </c>
      <c r="X29" s="397">
        <f>INDEX('LDI - Fluxo de Caixa'!$BD$18:$BT$374, MATCH('Fluxo Projeto'!$A29, 'LDI - Fluxo de Caixa'!$C$18:$C$374, 0), MATCH('Fluxo Projeto'!X$1, 'LDI - Fluxo de Caixa'!$BD$14:$BT$14, 0))</f>
        <v>0</v>
      </c>
      <c r="Y29" s="398">
        <f>INDEX('LDI - Fluxo de Caixa'!$BD$18:$BT$374, MATCH('Fluxo Projeto'!$A29, 'LDI - Fluxo de Caixa'!$C$18:$C$374, 0), MATCH('Fluxo Projeto'!Y$1, 'LDI - Fluxo de Caixa'!$BD$14:$BT$14, 0))</f>
        <v>0</v>
      </c>
      <c r="Z29" s="390"/>
      <c r="AA29" s="397">
        <f>INDEX('LDI - Fluxo de Caixa'!$BD$18:$BT$374, MATCH('Fluxo Projeto'!$A29, 'LDI - Fluxo de Caixa'!$C$18:$C$374, 0), MATCH('Fluxo Projeto'!AA$1, 'LDI - Fluxo de Caixa'!$BD$14:$BT$14, 0))</f>
        <v>-48316.08</v>
      </c>
      <c r="AB29" s="398">
        <f>INDEX('LDI - Fluxo de Caixa'!$BD$18:$BT$374, MATCH('Fluxo Projeto'!$A29, 'LDI - Fluxo de Caixa'!$C$18:$C$374, 0), MATCH('Fluxo Projeto'!AB$1, 'LDI - Fluxo de Caixa'!$BD$14:$BT$14, 0))</f>
        <v>0</v>
      </c>
      <c r="AD29" s="393">
        <f t="shared" si="2"/>
        <v>-910818.58</v>
      </c>
      <c r="AE29" s="390"/>
      <c r="AF29" s="393">
        <f>IF($A29&lt;=baseData, INDEX('LDI - Fluxo de Caixa'!$BD$18:$BT$374, MATCH('Fluxo Projeto'!$A29, 'LDI - Fluxo de Caixa'!$C$18:$C$374, 0), MATCH('Fluxo Projeto'!AF$1, 'LDI - Fluxo de Caixa'!$BD$14:$BT$14, 0)), $E29*CDI)</f>
        <v>1056.46</v>
      </c>
      <c r="AH29" s="393">
        <f t="shared" si="3"/>
        <v>-58281.639999999323</v>
      </c>
      <c r="AJ29" s="397">
        <f>IF($A29&lt;=baseData, INDEX('LDI - Fluxo de Caixa'!$BD$18:$BT$374, MATCH($A29, 'LDI - Fluxo de Caixa'!$C$18:$C$374, 0), MATCH(AJ$1, 'LDI - Fluxo de Caixa'!$BD$14:$BT$14, 0))-J29-I29, IF($A29&lt;inicioDistribuicoes,-IF(AH29&lt;cxMinSPEpreObra,IF(SUM($AD30:$AD41)-cxMinSPEpreObra+AH29&lt;0,SUM($AD30:$AD41)-cxMinSPEpreObra+AH29,IF(AH29&lt;0, AH29-cxMinSPEpreObra, 0)),0), 0))</f>
        <v>887716</v>
      </c>
      <c r="AK29" s="398">
        <f>INDEX('LDI - Fluxo de Caixa'!$BD$18:$BT$374, MATCH('Fluxo Projeto'!$A29, 'LDI - Fluxo de Caixa'!$C$18:$C$374, 0), MATCH('Fluxo Projeto'!AK$1, 'LDI - Fluxo de Caixa'!$BD$14:$BT$14, 0))</f>
        <v>0</v>
      </c>
      <c r="AM29" s="393">
        <f t="shared" si="4"/>
        <v>829434.36000000068</v>
      </c>
      <c r="AO29" s="399">
        <v>829434.36000000068</v>
      </c>
      <c r="AQ29" s="397">
        <f t="shared" si="5"/>
        <v>-887716</v>
      </c>
      <c r="AR29" s="398">
        <f t="shared" si="8"/>
        <v>-35063847.709007196</v>
      </c>
      <c r="AT29" s="393">
        <f t="shared" si="6"/>
        <v>-910625.31326439057</v>
      </c>
      <c r="AV29" s="397">
        <f t="shared" si="9"/>
        <v>0</v>
      </c>
      <c r="AW29" s="390">
        <f t="shared" si="10"/>
        <v>0</v>
      </c>
      <c r="AX29" s="390">
        <f t="shared" si="11"/>
        <v>0</v>
      </c>
      <c r="AY29" s="390">
        <f t="shared" si="12"/>
        <v>0</v>
      </c>
      <c r="AZ29" s="393">
        <f t="shared" si="13"/>
        <v>0</v>
      </c>
      <c r="BA29" s="371"/>
      <c r="BB29" s="394">
        <f t="shared" si="14"/>
        <v>0</v>
      </c>
      <c r="BC29" s="395">
        <f t="shared" si="15"/>
        <v>0</v>
      </c>
      <c r="BD29" s="395">
        <f t="shared" si="16"/>
        <v>0</v>
      </c>
      <c r="BE29" s="395">
        <f t="shared" si="17"/>
        <v>0</v>
      </c>
      <c r="BF29" s="395">
        <f t="shared" si="18"/>
        <v>-160.05607276454793</v>
      </c>
      <c r="BG29" s="395">
        <f t="shared" si="19"/>
        <v>-919.11774005594532</v>
      </c>
      <c r="BH29" s="395">
        <f t="shared" si="20"/>
        <v>0</v>
      </c>
      <c r="BI29" s="395">
        <f t="shared" si="21"/>
        <v>-20.482840306092527</v>
      </c>
      <c r="BJ29" s="390">
        <f t="shared" si="22"/>
        <v>0</v>
      </c>
      <c r="BK29" s="393">
        <f t="shared" si="23"/>
        <v>-1099.656653126586</v>
      </c>
      <c r="BL29" s="371"/>
      <c r="BM29" s="397">
        <f t="shared" si="24"/>
        <v>0</v>
      </c>
      <c r="BN29" s="398">
        <f t="shared" si="25"/>
        <v>0</v>
      </c>
      <c r="BO29" s="390"/>
      <c r="BP29" s="400">
        <f t="shared" si="26"/>
        <v>-61.601095446095947</v>
      </c>
      <c r="BQ29" s="401">
        <f t="shared" si="27"/>
        <v>0</v>
      </c>
      <c r="BR29" s="371"/>
      <c r="BS29" s="393">
        <f t="shared" si="28"/>
        <v>1.3469448120580669</v>
      </c>
    </row>
    <row r="30" spans="1:71" x14ac:dyDescent="0.25">
      <c r="A30" s="197">
        <f t="shared" si="7"/>
        <v>43922</v>
      </c>
      <c r="B30" s="388">
        <f>IF($A30&lt;=baseData, INDEX(Indicadores!B:B, MATCH($A30,Indicadores!A:A, 0)), INDEX(Indicadores!B:B, MATCH(baseData,Indicadores!A:A, 0)))</f>
        <v>786.07</v>
      </c>
      <c r="C30" s="389">
        <f>IF($A30&lt;=baseData, INDEX(Indicadores!E:E, MATCH($A30, Indicadores!A:A, 0)), INDEX(Indicadores!E:E, MATCH(baseData, Indicadores!A:A, 0)))</f>
        <v>5331.9110018925003</v>
      </c>
      <c r="E30" s="393">
        <f t="shared" si="29"/>
        <v>829434.36000000068</v>
      </c>
      <c r="G30" s="392">
        <v>0</v>
      </c>
      <c r="H30" s="390">
        <f>IF($A30&gt;baseData, SUMPRODUCT('Tabela Vendas'!$R:$R,'Tabela Vendas'!$V:$V)*INDEX(Curvas!$Z:$Z,MATCH($A30,Curvas!$B:$B,0)), 0)</f>
        <v>0</v>
      </c>
      <c r="I30" s="390">
        <f>IFERROR(INDEX(Permutas!AJ:AJ, MATCH('Fluxo Projeto'!A30, Permutas!N:N, 0)), 0)</f>
        <v>0</v>
      </c>
      <c r="J30" s="390">
        <v>0</v>
      </c>
      <c r="K30" s="393">
        <f t="shared" si="0"/>
        <v>0</v>
      </c>
      <c r="M30" s="394">
        <f>IF($A30&lt;=baseData,INDEX('LDI - Fluxo de Caixa'!$BD$18:$BT$374,MATCH('Fluxo Projeto'!$A30,'LDI - Fluxo de Caixa'!$C$18:$C$374,0),MATCH('Fluxo Projeto'!M$1,'LDI - Fluxo de Caixa'!$BD$14:$BT$14,0)),-pctImpostoSPE*K29)</f>
        <v>-805.39</v>
      </c>
      <c r="N30" s="395">
        <f>IF($A30&lt;=baseData,INDEX('LDI - Fluxo de Caixa'!$BD$18:$BT$374,MATCH($A30,'LDI - Fluxo de Caixa'!$C$18:$C$374,0),MATCH('Fluxo Projeto'!N$1,'LDI - Fluxo de Caixa'!$BD$14:$BT$14,0)),INDEX(Obra!AA:AA,MATCH($A30,Obra!F:F,0)))</f>
        <v>0</v>
      </c>
      <c r="O30" s="395">
        <f>IF($A30&lt;=baseData,INDEX('LDI - Fluxo de Caixa'!$BD$18:$BT$374,MATCH($A30,'LDI - Fluxo de Caixa'!$C$18:$C$374,0),MATCH('Fluxo Projeto'!O$1,'LDI - Fluxo de Caixa'!$BD$14:$BT$14,0)),IF($A30=entrega,assistTecnicaObra*SUM($N$2:$N$86),0))</f>
        <v>0</v>
      </c>
      <c r="P30" s="395">
        <f>IF($A30&lt;=baseData, INDEX('LDI - Fluxo de Caixa'!$BD$18:$BT$374, MATCH('Fluxo Projeto'!$A30, 'LDI - Fluxo de Caixa'!$C$18:$C$374, 0), MATCH('Fluxo Projeto'!P$1, 'LDI - Fluxo de Caixa'!$BD$14:$BT$14, 0)), -IF($A30&gt;=entrega, INDEX(Curvas!R:R,MATCH($A30,Curvas!B:B,0))*(IPTU+condominio)*'Tabela Vendas'!$Y$22, 0))</f>
        <v>0</v>
      </c>
      <c r="Q30" s="395">
        <f>IF($A30&lt;=baseData, INDEX('LDI - Fluxo de Caixa'!$BD$18:$BT$374, MATCH('Fluxo Projeto'!$A30, 'LDI - Fluxo de Caixa'!$C$18:$C$374, 0), MATCH('Fluxo Projeto'!Q$1, 'LDI - Fluxo de Caixa'!$BD$14:$BT$14, 0)), (-pctIncorporaçaoSPE*SUM($G$4:$H$86)-SUMIF($A$4:$A$86, "&lt;="&amp;baseData, Q$4:Q$86))*(SUM($G30:$H30)/(SUMIF($A$4:$A$86, "&gt;"&amp;baseData, $G$4:$G$86)+SUMIF($A$4:$A$86, "&gt;"&amp;baseData, $H$4:$H$86))))</f>
        <v>-111253.05</v>
      </c>
      <c r="R30" s="395">
        <f>IF($A30&lt;=baseData, INDEX('LDI - Fluxo de Caixa'!$BD$18:$BT$374, MATCH('Fluxo Projeto'!$A30, 'LDI - Fluxo de Caixa'!$C$18:$C$374, 0), MATCH('Fluxo Projeto'!R$1, 'LDI - Fluxo de Caixa'!$BD$14:$BT$14, 0)), (-pctMarketingSPE*SUM($G$4:$H$86)-SUMIF($A$4:$A$86, "&lt;="&amp;baseData, R$4:R$86))*(SUM($G30:$H30)/(SUMIF($A$4:$A$86, "&gt;"&amp;baseData, $G$4:$G$86)+SUMIF($A$4:$A$86, "&gt;"&amp;baseData, $H$4:$H$86))))</f>
        <v>-511359.79000000004</v>
      </c>
      <c r="S30" s="395">
        <f>IF($A30&lt;=baseData,INDEX('LDI - Fluxo de Caixa'!$BD$18:$BT$374,MATCH($A30,'LDI - Fluxo de Caixa'!$C$18:$C$374,0),MATCH(S$1,'LDI - Fluxo de Caixa'!$BD$14:$BT$14,0)),-pctGestaoSPE*K29)</f>
        <v>0</v>
      </c>
      <c r="T30" s="395">
        <f>IF($A30&lt;=baseData, INDEX('LDI - Fluxo de Caixa'!$BD$18:$BT$374, MATCH('Fluxo Projeto'!$A30, 'LDI - Fluxo de Caixa'!$C$18:$C$374, 0), MATCH('Fluxo Projeto'!T$1, 'LDI - Fluxo de Caixa'!$BD$14:$BT$14, 0)), (-pctOutrasSPE*SUM($G$4:$H$86)-SUMIF($A$4:$A$86, "&lt;="&amp;baseData, T$4:T$86))*(SUM($G30:$H30)/(SUMIF($A$4:$A$86, "&gt;"&amp;baseData, $G$4:$G$86)+SUMIF($A$4:$A$86, "&gt;"&amp;baseData, $H$4:$H$86))))</f>
        <v>-31074.86</v>
      </c>
      <c r="U30" s="395">
        <f>IF($A30&lt;=baseData, INDEX('LDI - Fluxo de Caixa'!$BD$18:$BT$374, MATCH('Fluxo Projeto'!$A30, 'LDI - Fluxo de Caixa'!$C$18:$C$374, 0), MATCH('Fluxo Projeto'!U$1, 'LDI - Fluxo de Caixa'!$BD$14:$BT$14, 0)), 0)</f>
        <v>0</v>
      </c>
      <c r="V30" s="393">
        <f t="shared" si="1"/>
        <v>-654493.09</v>
      </c>
      <c r="X30" s="397">
        <f>INDEX('LDI - Fluxo de Caixa'!$BD$18:$BT$374, MATCH('Fluxo Projeto'!$A30, 'LDI - Fluxo de Caixa'!$C$18:$C$374, 0), MATCH('Fluxo Projeto'!X$1, 'LDI - Fluxo de Caixa'!$BD$14:$BT$14, 0))</f>
        <v>0</v>
      </c>
      <c r="Y30" s="398">
        <f>INDEX('LDI - Fluxo de Caixa'!$BD$18:$BT$374, MATCH('Fluxo Projeto'!$A30, 'LDI - Fluxo de Caixa'!$C$18:$C$374, 0), MATCH('Fluxo Projeto'!Y$1, 'LDI - Fluxo de Caixa'!$BD$14:$BT$14, 0))</f>
        <v>0</v>
      </c>
      <c r="Z30" s="390"/>
      <c r="AA30" s="397">
        <f>INDEX('LDI - Fluxo de Caixa'!$BD$18:$BT$374, MATCH('Fluxo Projeto'!$A30, 'LDI - Fluxo de Caixa'!$C$18:$C$374, 0), MATCH('Fluxo Projeto'!AA$1, 'LDI - Fluxo de Caixa'!$BD$14:$BT$14, 0))</f>
        <v>-47653.67</v>
      </c>
      <c r="AB30" s="398">
        <f>INDEX('LDI - Fluxo de Caixa'!$BD$18:$BT$374, MATCH('Fluxo Projeto'!$A30, 'LDI - Fluxo de Caixa'!$C$18:$C$374, 0), MATCH('Fluxo Projeto'!AB$1, 'LDI - Fluxo de Caixa'!$BD$14:$BT$14, 0))</f>
        <v>0</v>
      </c>
      <c r="AD30" s="393">
        <f t="shared" si="2"/>
        <v>-702146.76</v>
      </c>
      <c r="AE30" s="390"/>
      <c r="AF30" s="393">
        <f>IF($A30&lt;=baseData, INDEX('LDI - Fluxo de Caixa'!$BD$18:$BT$374, MATCH('Fluxo Projeto'!$A30, 'LDI - Fluxo de Caixa'!$C$18:$C$374, 0), MATCH('Fluxo Projeto'!AF$1, 'LDI - Fluxo de Caixa'!$BD$14:$BT$14, 0)), $E30*CDI)</f>
        <v>736.57</v>
      </c>
      <c r="AH30" s="393">
        <f t="shared" si="3"/>
        <v>128024.17000000073</v>
      </c>
      <c r="AJ30" s="397">
        <f>IF($A30&lt;=baseData, INDEX('LDI - Fluxo de Caixa'!$BD$18:$BT$374, MATCH($A30, 'LDI - Fluxo de Caixa'!$C$18:$C$374, 0), MATCH(AJ$1, 'LDI - Fluxo de Caixa'!$BD$14:$BT$14, 0))-J30-I30, IF($A30&lt;inicioDistribuicoes,-IF(AH30&lt;cxMinSPEpreObra,IF(SUM($AD31:$AD42)-cxMinSPEpreObra+AH30&lt;0,SUM($AD31:$AD42)-cxMinSPEpreObra+AH30,IF(AH30&lt;0, AH30-cxMinSPEpreObra, 0)),0), 0))</f>
        <v>0</v>
      </c>
      <c r="AK30" s="398">
        <f>INDEX('LDI - Fluxo de Caixa'!$BD$18:$BT$374, MATCH('Fluxo Projeto'!$A30, 'LDI - Fluxo de Caixa'!$C$18:$C$374, 0), MATCH('Fluxo Projeto'!AK$1, 'LDI - Fluxo de Caixa'!$BD$14:$BT$14, 0))</f>
        <v>0</v>
      </c>
      <c r="AM30" s="393">
        <f t="shared" si="4"/>
        <v>128024.17000000073</v>
      </c>
      <c r="AO30" s="399">
        <v>127799.07</v>
      </c>
      <c r="AQ30" s="397">
        <f t="shared" si="5"/>
        <v>0</v>
      </c>
      <c r="AR30" s="398">
        <f t="shared" si="8"/>
        <v>-35063847.709007196</v>
      </c>
      <c r="AT30" s="393">
        <f t="shared" si="6"/>
        <v>0</v>
      </c>
      <c r="AV30" s="397">
        <f t="shared" si="9"/>
        <v>0</v>
      </c>
      <c r="AW30" s="390">
        <f t="shared" si="10"/>
        <v>0</v>
      </c>
      <c r="AX30" s="390">
        <f t="shared" si="11"/>
        <v>0</v>
      </c>
      <c r="AY30" s="390">
        <f t="shared" si="12"/>
        <v>0</v>
      </c>
      <c r="AZ30" s="393">
        <f t="shared" si="13"/>
        <v>0</v>
      </c>
      <c r="BA30" s="371"/>
      <c r="BB30" s="394">
        <f t="shared" si="14"/>
        <v>-1.0245779637945729</v>
      </c>
      <c r="BC30" s="395">
        <f t="shared" si="15"/>
        <v>0</v>
      </c>
      <c r="BD30" s="395">
        <f t="shared" si="16"/>
        <v>0</v>
      </c>
      <c r="BE30" s="395">
        <f t="shared" si="17"/>
        <v>0</v>
      </c>
      <c r="BF30" s="395">
        <f t="shared" si="18"/>
        <v>-141.53071609398654</v>
      </c>
      <c r="BG30" s="395">
        <f t="shared" si="19"/>
        <v>-650.527039576628</v>
      </c>
      <c r="BH30" s="395">
        <f t="shared" si="20"/>
        <v>0</v>
      </c>
      <c r="BI30" s="395">
        <f t="shared" si="21"/>
        <v>-39.531924637754905</v>
      </c>
      <c r="BJ30" s="390">
        <f t="shared" si="22"/>
        <v>0</v>
      </c>
      <c r="BK30" s="393">
        <f t="shared" si="23"/>
        <v>-832.61425827216397</v>
      </c>
      <c r="BL30" s="371"/>
      <c r="BM30" s="397">
        <f t="shared" si="24"/>
        <v>0</v>
      </c>
      <c r="BN30" s="398">
        <f t="shared" si="25"/>
        <v>0</v>
      </c>
      <c r="BO30" s="390"/>
      <c r="BP30" s="400">
        <f t="shared" si="26"/>
        <v>-60.622679914002561</v>
      </c>
      <c r="BQ30" s="401">
        <f t="shared" si="27"/>
        <v>0</v>
      </c>
      <c r="BR30" s="371"/>
      <c r="BS30" s="393">
        <f t="shared" si="28"/>
        <v>0.93702850891142009</v>
      </c>
    </row>
    <row r="31" spans="1:71" x14ac:dyDescent="0.25">
      <c r="A31" s="197">
        <f t="shared" si="7"/>
        <v>43952</v>
      </c>
      <c r="B31" s="388">
        <f>IF($A31&lt;=baseData, INDEX(Indicadores!B:B, MATCH($A31,Indicadores!A:A, 0)), INDEX(Indicadores!B:B, MATCH(baseData,Indicadores!A:A, 0)))</f>
        <v>787.66600000000005</v>
      </c>
      <c r="C31" s="389">
        <f>IF($A31&lt;=baseData, INDEX(Indicadores!E:E, MATCH($A31, Indicadores!A:A, 0)), INDEX(Indicadores!E:E, MATCH(baseData, Indicadores!A:A, 0)))</f>
        <v>5311.6497400853086</v>
      </c>
      <c r="E31" s="393">
        <f t="shared" si="29"/>
        <v>127799.07</v>
      </c>
      <c r="G31" s="392">
        <v>0</v>
      </c>
      <c r="H31" s="390">
        <f>IF($A31&gt;baseData, SUMPRODUCT('Tabela Vendas'!$R:$R,'Tabela Vendas'!$V:$V)*INDEX(Curvas!$Z:$Z,MATCH($A31,Curvas!$B:$B,0)), 0)</f>
        <v>0</v>
      </c>
      <c r="I31" s="390">
        <f>IFERROR(INDEX(Permutas!AJ:AJ, MATCH('Fluxo Projeto'!A31, Permutas!N:N, 0)), 0)</f>
        <v>0</v>
      </c>
      <c r="J31" s="390">
        <v>0</v>
      </c>
      <c r="K31" s="393">
        <f t="shared" si="0"/>
        <v>0</v>
      </c>
      <c r="M31" s="394">
        <f>IF($A31&lt;=baseData,INDEX('LDI - Fluxo de Caixa'!$BD$18:$BT$374,MATCH('Fluxo Projeto'!$A31,'LDI - Fluxo de Caixa'!$C$18:$C$374,0),MATCH('Fluxo Projeto'!M$1,'LDI - Fluxo de Caixa'!$BD$14:$BT$14,0)),-pctImpostoSPE*K30)</f>
        <v>0</v>
      </c>
      <c r="N31" s="395">
        <f>IF($A31&lt;=baseData,INDEX('LDI - Fluxo de Caixa'!$BD$18:$BT$374,MATCH($A31,'LDI - Fluxo de Caixa'!$C$18:$C$374,0),MATCH('Fluxo Projeto'!N$1,'LDI - Fluxo de Caixa'!$BD$14:$BT$14,0)),INDEX(Obra!AA:AA,MATCH($A31,Obra!F:F,0)))</f>
        <v>0</v>
      </c>
      <c r="O31" s="395">
        <f>IF($A31&lt;=baseData,INDEX('LDI - Fluxo de Caixa'!$BD$18:$BT$374,MATCH($A31,'LDI - Fluxo de Caixa'!$C$18:$C$374,0),MATCH('Fluxo Projeto'!O$1,'LDI - Fluxo de Caixa'!$BD$14:$BT$14,0)),IF($A31=entrega,assistTecnicaObra*SUM($N$2:$N$86),0))</f>
        <v>0</v>
      </c>
      <c r="P31" s="395">
        <f>IF($A31&lt;=baseData, INDEX('LDI - Fluxo de Caixa'!$BD$18:$BT$374, MATCH('Fluxo Projeto'!$A31, 'LDI - Fluxo de Caixa'!$C$18:$C$374, 0), MATCH('Fluxo Projeto'!P$1, 'LDI - Fluxo de Caixa'!$BD$14:$BT$14, 0)), -IF($A31&gt;=entrega, INDEX(Curvas!R:R,MATCH($A31,Curvas!B:B,0))*(IPTU+condominio)*'Tabela Vendas'!$Y$22, 0))</f>
        <v>0</v>
      </c>
      <c r="Q31" s="395">
        <f>IF($A31&lt;=baseData, INDEX('LDI - Fluxo de Caixa'!$BD$18:$BT$374, MATCH('Fluxo Projeto'!$A31, 'LDI - Fluxo de Caixa'!$C$18:$C$374, 0), MATCH('Fluxo Projeto'!Q$1, 'LDI - Fluxo de Caixa'!$BD$14:$BT$14, 0)), (-pctIncorporaçaoSPE*SUM($G$4:$H$86)-SUMIF($A$4:$A$86, "&lt;="&amp;baseData, Q$4:Q$86))*(SUM($G31:$H31)/(SUMIF($A$4:$A$86, "&gt;"&amp;baseData, $G$4:$G$86)+SUMIF($A$4:$A$86, "&gt;"&amp;baseData, $H$4:$H$86))))</f>
        <v>-81767.360000000001</v>
      </c>
      <c r="R31" s="395">
        <f>IF($A31&lt;=baseData, INDEX('LDI - Fluxo de Caixa'!$BD$18:$BT$374, MATCH('Fluxo Projeto'!$A31, 'LDI - Fluxo de Caixa'!$C$18:$C$374, 0), MATCH('Fluxo Projeto'!R$1, 'LDI - Fluxo de Caixa'!$BD$14:$BT$14, 0)), (-pctMarketingSPE*SUM($G$4:$H$86)-SUMIF($A$4:$A$86, "&lt;="&amp;baseData, R$4:R$86))*(SUM($G31:$H31)/(SUMIF($A$4:$A$86, "&gt;"&amp;baseData, $G$4:$G$86)+SUMIF($A$4:$A$86, "&gt;"&amp;baseData, $H$4:$H$86))))</f>
        <v>-195576.44</v>
      </c>
      <c r="S31" s="395">
        <f>IF($A31&lt;=baseData,INDEX('LDI - Fluxo de Caixa'!$BD$18:$BT$374,MATCH($A31,'LDI - Fluxo de Caixa'!$C$18:$C$374,0),MATCH(S$1,'LDI - Fluxo de Caixa'!$BD$14:$BT$14,0)),-pctGestaoSPE*K30)</f>
        <v>0</v>
      </c>
      <c r="T31" s="395">
        <f>IF($A31&lt;=baseData, INDEX('LDI - Fluxo de Caixa'!$BD$18:$BT$374, MATCH('Fluxo Projeto'!$A31, 'LDI - Fluxo de Caixa'!$C$18:$C$374, 0), MATCH('Fluxo Projeto'!T$1, 'LDI - Fluxo de Caixa'!$BD$14:$BT$14, 0)), (-pctOutrasSPE*SUM($G$4:$H$86)-SUMIF($A$4:$A$86, "&lt;="&amp;baseData, T$4:T$86))*(SUM($G31:$H31)/(SUMIF($A$4:$A$86, "&gt;"&amp;baseData, $G$4:$G$86)+SUMIF($A$4:$A$86, "&gt;"&amp;baseData, $H$4:$H$86))))</f>
        <v>-3471.15</v>
      </c>
      <c r="U31" s="395">
        <f>IF($A31&lt;=baseData, INDEX('LDI - Fluxo de Caixa'!$BD$18:$BT$374, MATCH('Fluxo Projeto'!$A31, 'LDI - Fluxo de Caixa'!$C$18:$C$374, 0), MATCH('Fluxo Projeto'!U$1, 'LDI - Fluxo de Caixa'!$BD$14:$BT$14, 0)), 0)</f>
        <v>0</v>
      </c>
      <c r="V31" s="393">
        <f t="shared" si="1"/>
        <v>-280814.95</v>
      </c>
      <c r="X31" s="397">
        <f>INDEX('LDI - Fluxo de Caixa'!$BD$18:$BT$374, MATCH('Fluxo Projeto'!$A31, 'LDI - Fluxo de Caixa'!$C$18:$C$374, 0), MATCH('Fluxo Projeto'!X$1, 'LDI - Fluxo de Caixa'!$BD$14:$BT$14, 0))</f>
        <v>0</v>
      </c>
      <c r="Y31" s="398">
        <f>INDEX('LDI - Fluxo de Caixa'!$BD$18:$BT$374, MATCH('Fluxo Projeto'!$A31, 'LDI - Fluxo de Caixa'!$C$18:$C$374, 0), MATCH('Fluxo Projeto'!Y$1, 'LDI - Fluxo de Caixa'!$BD$14:$BT$14, 0))</f>
        <v>0</v>
      </c>
      <c r="Z31" s="390"/>
      <c r="AA31" s="397">
        <f>INDEX('LDI - Fluxo de Caixa'!$BD$18:$BT$374, MATCH('Fluxo Projeto'!$A31, 'LDI - Fluxo de Caixa'!$C$18:$C$374, 0), MATCH('Fluxo Projeto'!AA$1, 'LDI - Fluxo de Caixa'!$BD$14:$BT$14, 0))</f>
        <v>-33171.64</v>
      </c>
      <c r="AB31" s="398">
        <f>INDEX('LDI - Fluxo de Caixa'!$BD$18:$BT$374, MATCH('Fluxo Projeto'!$A31, 'LDI - Fluxo de Caixa'!$C$18:$C$374, 0), MATCH('Fluxo Projeto'!AB$1, 'LDI - Fluxo de Caixa'!$BD$14:$BT$14, 0))</f>
        <v>0</v>
      </c>
      <c r="AD31" s="393">
        <f t="shared" si="2"/>
        <v>-313986.59000000003</v>
      </c>
      <c r="AE31" s="390"/>
      <c r="AF31" s="393">
        <f>IF($A31&lt;=baseData, INDEX('LDI - Fluxo de Caixa'!$BD$18:$BT$374, MATCH('Fluxo Projeto'!$A31, 'LDI - Fluxo de Caixa'!$C$18:$C$374, 0), MATCH('Fluxo Projeto'!AF$1, 'LDI - Fluxo de Caixa'!$BD$14:$BT$14, 0)), $E31*CDI)</f>
        <v>-62.490000000000009</v>
      </c>
      <c r="AH31" s="393">
        <f t="shared" si="3"/>
        <v>-186250.01</v>
      </c>
      <c r="AJ31" s="397">
        <f>IF($A31&lt;=baseData, INDEX('LDI - Fluxo de Caixa'!$BD$18:$BT$374, MATCH($A31, 'LDI - Fluxo de Caixa'!$C$18:$C$374, 0), MATCH(AJ$1, 'LDI - Fluxo de Caixa'!$BD$14:$BT$14, 0))-J31-I31, IF($A31&lt;inicioDistribuicoes,-IF(AH31&lt;cxMinSPEpreObra,IF(SUM($AD32:$AD43)-cxMinSPEpreObra+AH31&lt;0,SUM($AD32:$AD43)-cxMinSPEpreObra+AH31,IF(AH31&lt;0, AH31-cxMinSPEpreObra, 0)),0), 0))</f>
        <v>300000</v>
      </c>
      <c r="AK31" s="398">
        <f>INDEX('LDI - Fluxo de Caixa'!$BD$18:$BT$374, MATCH('Fluxo Projeto'!$A31, 'LDI - Fluxo de Caixa'!$C$18:$C$374, 0), MATCH('Fluxo Projeto'!AK$1, 'LDI - Fluxo de Caixa'!$BD$14:$BT$14, 0))</f>
        <v>0</v>
      </c>
      <c r="AM31" s="393">
        <f t="shared" si="4"/>
        <v>113749.98999999999</v>
      </c>
      <c r="AO31" s="399">
        <v>113749.99</v>
      </c>
      <c r="AQ31" s="397">
        <f t="shared" si="5"/>
        <v>-300000</v>
      </c>
      <c r="AR31" s="398">
        <f t="shared" si="8"/>
        <v>-35363847.709007196</v>
      </c>
      <c r="AT31" s="393">
        <f t="shared" si="6"/>
        <v>-309876.60718260478</v>
      </c>
      <c r="AV31" s="397">
        <f t="shared" si="9"/>
        <v>0</v>
      </c>
      <c r="AW31" s="390">
        <f t="shared" si="10"/>
        <v>0</v>
      </c>
      <c r="AX31" s="390">
        <f t="shared" si="11"/>
        <v>0</v>
      </c>
      <c r="AY31" s="390">
        <f t="shared" si="12"/>
        <v>0</v>
      </c>
      <c r="AZ31" s="393">
        <f t="shared" si="13"/>
        <v>0</v>
      </c>
      <c r="BA31" s="371"/>
      <c r="BB31" s="394">
        <f t="shared" si="14"/>
        <v>0</v>
      </c>
      <c r="BC31" s="395">
        <f t="shared" si="15"/>
        <v>0</v>
      </c>
      <c r="BD31" s="395">
        <f t="shared" si="16"/>
        <v>0</v>
      </c>
      <c r="BE31" s="395">
        <f t="shared" si="17"/>
        <v>0</v>
      </c>
      <c r="BF31" s="395">
        <f t="shared" si="18"/>
        <v>-103.80968583130412</v>
      </c>
      <c r="BG31" s="395">
        <f t="shared" si="19"/>
        <v>-248.29869513220069</v>
      </c>
      <c r="BH31" s="395">
        <f t="shared" si="20"/>
        <v>0</v>
      </c>
      <c r="BI31" s="395">
        <f t="shared" si="21"/>
        <v>-4.4068805813631666</v>
      </c>
      <c r="BJ31" s="390">
        <f t="shared" si="22"/>
        <v>0</v>
      </c>
      <c r="BK31" s="393">
        <f t="shared" si="23"/>
        <v>-356.515261544868</v>
      </c>
      <c r="BL31" s="371"/>
      <c r="BM31" s="397">
        <f t="shared" si="24"/>
        <v>0</v>
      </c>
      <c r="BN31" s="398">
        <f t="shared" si="25"/>
        <v>0</v>
      </c>
      <c r="BO31" s="390"/>
      <c r="BP31" s="400">
        <f t="shared" si="26"/>
        <v>-42.113840130207471</v>
      </c>
      <c r="BQ31" s="401">
        <f t="shared" si="27"/>
        <v>0</v>
      </c>
      <c r="BR31" s="371"/>
      <c r="BS31" s="393">
        <f t="shared" si="28"/>
        <v>-7.933565749949853E-2</v>
      </c>
    </row>
    <row r="32" spans="1:71" x14ac:dyDescent="0.25">
      <c r="A32" s="197">
        <f t="shared" si="7"/>
        <v>43983</v>
      </c>
      <c r="B32" s="388">
        <f>IF($A32&lt;=baseData, INDEX(Indicadores!B:B, MATCH($A32,Indicadores!A:A, 0)), INDEX(Indicadores!B:B, MATCH(baseData,Indicadores!A:A, 0)))</f>
        <v>790.33100000000002</v>
      </c>
      <c r="C32" s="389">
        <f>IF($A32&lt;=baseData, INDEX(Indicadores!E:E, MATCH($A32, Indicadores!A:A, 0)), INDEX(Indicadores!E:E, MATCH(baseData, Indicadores!A:A, 0)))</f>
        <v>5325.46</v>
      </c>
      <c r="E32" s="393">
        <f t="shared" si="29"/>
        <v>113749.99</v>
      </c>
      <c r="G32" s="392">
        <v>230715.27</v>
      </c>
      <c r="H32" s="390">
        <f>IF($A32&gt;baseData, SUMPRODUCT('Tabela Vendas'!$R:$R,'Tabela Vendas'!$V:$V)*INDEX(Curvas!$Z:$Z,MATCH($A32,Curvas!$B:$B,0)), 0)</f>
        <v>0</v>
      </c>
      <c r="I32" s="390">
        <f>IFERROR(INDEX(Permutas!AJ:AJ, MATCH('Fluxo Projeto'!A32, Permutas!N:N, 0)), 0)</f>
        <v>0</v>
      </c>
      <c r="J32" s="390">
        <v>0</v>
      </c>
      <c r="K32" s="393">
        <f t="shared" si="0"/>
        <v>230715.27</v>
      </c>
      <c r="M32" s="394">
        <f>IF($A32&lt;=baseData,INDEX('LDI - Fluxo de Caixa'!$BD$18:$BT$374,MATCH('Fluxo Projeto'!$A32,'LDI - Fluxo de Caixa'!$C$18:$C$374,0),MATCH('Fluxo Projeto'!M$1,'LDI - Fluxo de Caixa'!$BD$14:$BT$14,0)),-pctImpostoSPE*K31)</f>
        <v>0</v>
      </c>
      <c r="N32" s="395">
        <f>IF($A32&lt;=baseData,INDEX('LDI - Fluxo de Caixa'!$BD$18:$BT$374,MATCH($A32,'LDI - Fluxo de Caixa'!$C$18:$C$374,0),MATCH('Fluxo Projeto'!N$1,'LDI - Fluxo de Caixa'!$BD$14:$BT$14,0)),INDEX(Obra!AA:AA,MATCH($A32,Obra!F:F,0)))</f>
        <v>0</v>
      </c>
      <c r="O32" s="395">
        <f>IF($A32&lt;=baseData,INDEX('LDI - Fluxo de Caixa'!$BD$18:$BT$374,MATCH($A32,'LDI - Fluxo de Caixa'!$C$18:$C$374,0),MATCH('Fluxo Projeto'!O$1,'LDI - Fluxo de Caixa'!$BD$14:$BT$14,0)),IF($A32=entrega,assistTecnicaObra*SUM($N$2:$N$86),0))</f>
        <v>0</v>
      </c>
      <c r="P32" s="395">
        <f>IF($A32&lt;=baseData, INDEX('LDI - Fluxo de Caixa'!$BD$18:$BT$374, MATCH('Fluxo Projeto'!$A32, 'LDI - Fluxo de Caixa'!$C$18:$C$374, 0), MATCH('Fluxo Projeto'!P$1, 'LDI - Fluxo de Caixa'!$BD$14:$BT$14, 0)), -IF($A32&gt;=entrega, INDEX(Curvas!R:R,MATCH($A32,Curvas!B:B,0))*(IPTU+condominio)*'Tabela Vendas'!$Y$22, 0))</f>
        <v>0</v>
      </c>
      <c r="Q32" s="395">
        <f>IF($A32&lt;=baseData, INDEX('LDI - Fluxo de Caixa'!$BD$18:$BT$374, MATCH('Fluxo Projeto'!$A32, 'LDI - Fluxo de Caixa'!$C$18:$C$374, 0), MATCH('Fluxo Projeto'!Q$1, 'LDI - Fluxo de Caixa'!$BD$14:$BT$14, 0)), (-pctIncorporaçaoSPE*SUM($G$4:$H$86)-SUMIF($A$4:$A$86, "&lt;="&amp;baseData, Q$4:Q$86))*(SUM($G32:$H32)/(SUMIF($A$4:$A$86, "&gt;"&amp;baseData, $G$4:$G$86)+SUMIF($A$4:$A$86, "&gt;"&amp;baseData, $H$4:$H$86))))</f>
        <v>-32688.639999999999</v>
      </c>
      <c r="R32" s="395">
        <f>IF($A32&lt;=baseData, INDEX('LDI - Fluxo de Caixa'!$BD$18:$BT$374, MATCH('Fluxo Projeto'!$A32, 'LDI - Fluxo de Caixa'!$C$18:$C$374, 0), MATCH('Fluxo Projeto'!R$1, 'LDI - Fluxo de Caixa'!$BD$14:$BT$14, 0)), (-pctMarketingSPE*SUM($G$4:$H$86)-SUMIF($A$4:$A$86, "&lt;="&amp;baseData, R$4:R$86))*(SUM($G32:$H32)/(SUMIF($A$4:$A$86, "&gt;"&amp;baseData, $G$4:$G$86)+SUMIF($A$4:$A$86, "&gt;"&amp;baseData, $H$4:$H$86))))</f>
        <v>-125280.13</v>
      </c>
      <c r="S32" s="395">
        <f>IF($A32&lt;=baseData,INDEX('LDI - Fluxo de Caixa'!$BD$18:$BT$374,MATCH($A32,'LDI - Fluxo de Caixa'!$C$18:$C$374,0),MATCH(S$1,'LDI - Fluxo de Caixa'!$BD$14:$BT$14,0)),-pctGestaoSPE*K31)</f>
        <v>0</v>
      </c>
      <c r="T32" s="395">
        <f>IF($A32&lt;=baseData, INDEX('LDI - Fluxo de Caixa'!$BD$18:$BT$374, MATCH('Fluxo Projeto'!$A32, 'LDI - Fluxo de Caixa'!$C$18:$C$374, 0), MATCH('Fluxo Projeto'!T$1, 'LDI - Fluxo de Caixa'!$BD$14:$BT$14, 0)), (-pctOutrasSPE*SUM($G$4:$H$86)-SUMIF($A$4:$A$86, "&lt;="&amp;baseData, T$4:T$86))*(SUM($G32:$H32)/(SUMIF($A$4:$A$86, "&gt;"&amp;baseData, $G$4:$G$86)+SUMIF($A$4:$A$86, "&gt;"&amp;baseData, $H$4:$H$86))))</f>
        <v>-1543.36</v>
      </c>
      <c r="U32" s="395">
        <f>IF($A32&lt;=baseData, INDEX('LDI - Fluxo de Caixa'!$BD$18:$BT$374, MATCH('Fluxo Projeto'!$A32, 'LDI - Fluxo de Caixa'!$C$18:$C$374, 0), MATCH('Fluxo Projeto'!U$1, 'LDI - Fluxo de Caixa'!$BD$14:$BT$14, 0)), 0)</f>
        <v>0</v>
      </c>
      <c r="V32" s="393">
        <f t="shared" si="1"/>
        <v>-159512.13</v>
      </c>
      <c r="X32" s="397">
        <f>INDEX('LDI - Fluxo de Caixa'!$BD$18:$BT$374, MATCH('Fluxo Projeto'!$A32, 'LDI - Fluxo de Caixa'!$C$18:$C$374, 0), MATCH('Fluxo Projeto'!X$1, 'LDI - Fluxo de Caixa'!$BD$14:$BT$14, 0))</f>
        <v>0</v>
      </c>
      <c r="Y32" s="398">
        <f>INDEX('LDI - Fluxo de Caixa'!$BD$18:$BT$374, MATCH('Fluxo Projeto'!$A32, 'LDI - Fluxo de Caixa'!$C$18:$C$374, 0), MATCH('Fluxo Projeto'!Y$1, 'LDI - Fluxo de Caixa'!$BD$14:$BT$14, 0))</f>
        <v>0</v>
      </c>
      <c r="Z32" s="390"/>
      <c r="AA32" s="397">
        <f>INDEX('LDI - Fluxo de Caixa'!$BD$18:$BT$374, MATCH('Fluxo Projeto'!$A32, 'LDI - Fluxo de Caixa'!$C$18:$C$374, 0), MATCH('Fluxo Projeto'!AA$1, 'LDI - Fluxo de Caixa'!$BD$14:$BT$14, 0))</f>
        <v>-37105.25</v>
      </c>
      <c r="AB32" s="398">
        <f>INDEX('LDI - Fluxo de Caixa'!$BD$18:$BT$374, MATCH('Fluxo Projeto'!$A32, 'LDI - Fluxo de Caixa'!$C$18:$C$374, 0), MATCH('Fluxo Projeto'!AB$1, 'LDI - Fluxo de Caixa'!$BD$14:$BT$14, 0))</f>
        <v>0</v>
      </c>
      <c r="AD32" s="393">
        <f t="shared" si="2"/>
        <v>34097.889999999985</v>
      </c>
      <c r="AE32" s="390"/>
      <c r="AF32" s="393">
        <f>IF($A32&lt;=baseData, INDEX('LDI - Fluxo de Caixa'!$BD$18:$BT$374, MATCH('Fluxo Projeto'!$A32, 'LDI - Fluxo de Caixa'!$C$18:$C$374, 0), MATCH('Fluxo Projeto'!AF$1, 'LDI - Fluxo de Caixa'!$BD$14:$BT$14, 0)), $E32*CDI)</f>
        <v>-39.630000000000003</v>
      </c>
      <c r="AH32" s="393">
        <f t="shared" si="3"/>
        <v>147808.25</v>
      </c>
      <c r="AJ32" s="397">
        <f>IF($A32&lt;=baseData, INDEX('LDI - Fluxo de Caixa'!$BD$18:$BT$374, MATCH($A32, 'LDI - Fluxo de Caixa'!$C$18:$C$374, 0), MATCH(AJ$1, 'LDI - Fluxo de Caixa'!$BD$14:$BT$14, 0))-J32-I32, IF($A32&lt;inicioDistribuicoes,-IF(AH32&lt;cxMinSPEpreObra,IF(SUM($AD33:$AD44)-cxMinSPEpreObra+AH32&lt;0,SUM($AD33:$AD44)-cxMinSPEpreObra+AH32,IF(AH32&lt;0, AH32-cxMinSPEpreObra, 0)),0), 0))</f>
        <v>100000</v>
      </c>
      <c r="AK32" s="398">
        <f>INDEX('LDI - Fluxo de Caixa'!$BD$18:$BT$374, MATCH('Fluxo Projeto'!$A32, 'LDI - Fluxo de Caixa'!$C$18:$C$374, 0), MATCH('Fluxo Projeto'!AK$1, 'LDI - Fluxo de Caixa'!$BD$14:$BT$14, 0))</f>
        <v>0</v>
      </c>
      <c r="AM32" s="393">
        <f t="shared" si="4"/>
        <v>247808.25</v>
      </c>
      <c r="AO32" s="399">
        <v>247808.25</v>
      </c>
      <c r="AQ32" s="397">
        <f t="shared" si="5"/>
        <v>-100000</v>
      </c>
      <c r="AR32" s="398">
        <f t="shared" si="8"/>
        <v>-35463847.709007196</v>
      </c>
      <c r="AT32" s="393">
        <f t="shared" si="6"/>
        <v>-103024.33968145475</v>
      </c>
      <c r="AV32" s="397">
        <f t="shared" si="9"/>
        <v>291.92233380697451</v>
      </c>
      <c r="AW32" s="390">
        <f t="shared" si="10"/>
        <v>0</v>
      </c>
      <c r="AX32" s="390">
        <f t="shared" si="11"/>
        <v>0</v>
      </c>
      <c r="AY32" s="390">
        <f t="shared" si="12"/>
        <v>0</v>
      </c>
      <c r="AZ32" s="393">
        <f t="shared" si="13"/>
        <v>291.92233380697451</v>
      </c>
      <c r="BA32" s="371"/>
      <c r="BB32" s="394">
        <f t="shared" si="14"/>
        <v>0</v>
      </c>
      <c r="BC32" s="395">
        <f t="shared" si="15"/>
        <v>0</v>
      </c>
      <c r="BD32" s="395">
        <f t="shared" si="16"/>
        <v>0</v>
      </c>
      <c r="BE32" s="395">
        <f t="shared" si="17"/>
        <v>0</v>
      </c>
      <c r="BF32" s="395">
        <f t="shared" si="18"/>
        <v>-41.360695708506938</v>
      </c>
      <c r="BG32" s="395">
        <f t="shared" si="19"/>
        <v>-158.5160268292652</v>
      </c>
      <c r="BH32" s="395">
        <f t="shared" si="20"/>
        <v>0</v>
      </c>
      <c r="BI32" s="395">
        <f t="shared" si="21"/>
        <v>-1.9528020538230182</v>
      </c>
      <c r="BJ32" s="390">
        <f t="shared" si="22"/>
        <v>0</v>
      </c>
      <c r="BK32" s="393">
        <f t="shared" si="23"/>
        <v>-201.82952459159515</v>
      </c>
      <c r="BL32" s="371"/>
      <c r="BM32" s="397">
        <f t="shared" si="24"/>
        <v>0</v>
      </c>
      <c r="BN32" s="398">
        <f t="shared" si="25"/>
        <v>0</v>
      </c>
      <c r="BO32" s="390"/>
      <c r="BP32" s="400">
        <f t="shared" si="26"/>
        <v>-46.948999849430173</v>
      </c>
      <c r="BQ32" s="401">
        <f t="shared" si="27"/>
        <v>0</v>
      </c>
      <c r="BR32" s="371"/>
      <c r="BS32" s="393">
        <f t="shared" si="28"/>
        <v>-5.0143547450372063E-2</v>
      </c>
    </row>
    <row r="33" spans="1:71" x14ac:dyDescent="0.25">
      <c r="A33" s="197">
        <f t="shared" si="7"/>
        <v>44013</v>
      </c>
      <c r="B33" s="388">
        <f>IF($A33&lt;=baseData, INDEX(Indicadores!B:B, MATCH($A33,Indicadores!A:A, 0)), INDEX(Indicadores!B:B, MATCH(baseData,Indicadores!A:A, 0)))</f>
        <v>799.58900000000006</v>
      </c>
      <c r="C33" s="389">
        <f>IF($A33&lt;=baseData, INDEX(Indicadores!E:E, MATCH($A33, Indicadores!A:A, 0)), INDEX(Indicadores!E:E, MATCH(baseData, Indicadores!A:A, 0)))</f>
        <v>5344.63</v>
      </c>
      <c r="E33" s="393">
        <f t="shared" si="29"/>
        <v>247808.25</v>
      </c>
      <c r="G33" s="392">
        <v>9277694.8553410284</v>
      </c>
      <c r="H33" s="390">
        <f>IF($A33&gt;baseData, SUMPRODUCT('Tabela Vendas'!$R:$R,'Tabela Vendas'!$V:$V)*INDEX(Curvas!$Z:$Z,MATCH($A33,Curvas!$B:$B,0)), 0)</f>
        <v>0</v>
      </c>
      <c r="I33" s="390">
        <f>IFERROR(INDEX(Permutas!AJ:AJ, MATCH('Fluxo Projeto'!A33, Permutas!N:N, 0)), 0)</f>
        <v>0</v>
      </c>
      <c r="J33" s="390">
        <v>0</v>
      </c>
      <c r="K33" s="393">
        <f t="shared" si="0"/>
        <v>9277694.8553410284</v>
      </c>
      <c r="M33" s="394">
        <f>IF($A33&lt;=baseData,INDEX('LDI - Fluxo de Caixa'!$BD$18:$BT$374,MATCH('Fluxo Projeto'!$A33,'LDI - Fluxo de Caixa'!$C$18:$C$374,0),MATCH('Fluxo Projeto'!M$1,'LDI - Fluxo de Caixa'!$BD$14:$BT$14,0)),-pctImpostoSPE*K32)</f>
        <v>-245.82</v>
      </c>
      <c r="N33" s="395">
        <f>IF($A33&lt;=baseData,INDEX('LDI - Fluxo de Caixa'!$BD$18:$BT$374,MATCH($A33,'LDI - Fluxo de Caixa'!$C$18:$C$374,0),MATCH('Fluxo Projeto'!N$1,'LDI - Fluxo de Caixa'!$BD$14:$BT$14,0)),INDEX(Obra!AA:AA,MATCH($A33,Obra!F:F,0)))</f>
        <v>-3003.2</v>
      </c>
      <c r="O33" s="395">
        <f>IF($A33&lt;=baseData,INDEX('LDI - Fluxo de Caixa'!$BD$18:$BT$374,MATCH($A33,'LDI - Fluxo de Caixa'!$C$18:$C$374,0),MATCH('Fluxo Projeto'!O$1,'LDI - Fluxo de Caixa'!$BD$14:$BT$14,0)),IF($A33=entrega,assistTecnicaObra*SUM($N$2:$N$86),0))</f>
        <v>0</v>
      </c>
      <c r="P33" s="395">
        <f>IF($A33&lt;=baseData, INDEX('LDI - Fluxo de Caixa'!$BD$18:$BT$374, MATCH('Fluxo Projeto'!$A33, 'LDI - Fluxo de Caixa'!$C$18:$C$374, 0), MATCH('Fluxo Projeto'!P$1, 'LDI - Fluxo de Caixa'!$BD$14:$BT$14, 0)), -IF($A33&gt;=entrega, INDEX(Curvas!R:R,MATCH($A33,Curvas!B:B,0))*(IPTU+condominio)*'Tabela Vendas'!$Y$22, 0))</f>
        <v>0</v>
      </c>
      <c r="Q33" s="395">
        <f>IF($A33&lt;=baseData, INDEX('LDI - Fluxo de Caixa'!$BD$18:$BT$374, MATCH('Fluxo Projeto'!$A33, 'LDI - Fluxo de Caixa'!$C$18:$C$374, 0), MATCH('Fluxo Projeto'!Q$1, 'LDI - Fluxo de Caixa'!$BD$14:$BT$14, 0)), (-pctIncorporaçaoSPE*SUM($G$4:$H$86)-SUMIF($A$4:$A$86, "&lt;="&amp;baseData, Q$4:Q$86))*(SUM($G33:$H33)/(SUMIF($A$4:$A$86, "&gt;"&amp;baseData, $G$4:$G$86)+SUMIF($A$4:$A$86, "&gt;"&amp;baseData, $H$4:$H$86))))</f>
        <v>-15220.89</v>
      </c>
      <c r="R33" s="395">
        <f>IF($A33&lt;=baseData, INDEX('LDI - Fluxo de Caixa'!$BD$18:$BT$374, MATCH('Fluxo Projeto'!$A33, 'LDI - Fluxo de Caixa'!$C$18:$C$374, 0), MATCH('Fluxo Projeto'!R$1, 'LDI - Fluxo de Caixa'!$BD$14:$BT$14, 0)), (-pctMarketingSPE*SUM($G$4:$H$86)-SUMIF($A$4:$A$86, "&lt;="&amp;baseData, R$4:R$86))*(SUM($G33:$H33)/(SUMIF($A$4:$A$86, "&gt;"&amp;baseData, $G$4:$G$86)+SUMIF($A$4:$A$86, "&gt;"&amp;baseData, $H$4:$H$86))))</f>
        <v>-147017.52000000002</v>
      </c>
      <c r="S33" s="395">
        <f>IF($A33&lt;=baseData,INDEX('LDI - Fluxo de Caixa'!$BD$18:$BT$374,MATCH($A33,'LDI - Fluxo de Caixa'!$C$18:$C$374,0),MATCH(S$1,'LDI - Fluxo de Caixa'!$BD$14:$BT$14,0)),-pctGestaoSPE*K32)</f>
        <v>-160956.65</v>
      </c>
      <c r="T33" s="395">
        <f>IF($A33&lt;=baseData, INDEX('LDI - Fluxo de Caixa'!$BD$18:$BT$374, MATCH('Fluxo Projeto'!$A33, 'LDI - Fluxo de Caixa'!$C$18:$C$374, 0), MATCH('Fluxo Projeto'!T$1, 'LDI - Fluxo de Caixa'!$BD$14:$BT$14, 0)), (-pctOutrasSPE*SUM($G$4:$H$86)-SUMIF($A$4:$A$86, "&lt;="&amp;baseData, T$4:T$86))*(SUM($G33:$H33)/(SUMIF($A$4:$A$86, "&gt;"&amp;baseData, $G$4:$G$86)+SUMIF($A$4:$A$86, "&gt;"&amp;baseData, $H$4:$H$86))))</f>
        <v>-14997.12</v>
      </c>
      <c r="U33" s="395">
        <f>IF($A33&lt;=baseData, INDEX('LDI - Fluxo de Caixa'!$BD$18:$BT$374, MATCH('Fluxo Projeto'!$A33, 'LDI - Fluxo de Caixa'!$C$18:$C$374, 0), MATCH('Fluxo Projeto'!U$1, 'LDI - Fluxo de Caixa'!$BD$14:$BT$14, 0)), 0)</f>
        <v>-170451.4</v>
      </c>
      <c r="V33" s="393">
        <f t="shared" si="1"/>
        <v>-511892.6</v>
      </c>
      <c r="X33" s="397">
        <f>INDEX('LDI - Fluxo de Caixa'!$BD$18:$BT$374, MATCH('Fluxo Projeto'!$A33, 'LDI - Fluxo de Caixa'!$C$18:$C$374, 0), MATCH('Fluxo Projeto'!X$1, 'LDI - Fluxo de Caixa'!$BD$14:$BT$14, 0))</f>
        <v>0</v>
      </c>
      <c r="Y33" s="398">
        <f>INDEX('LDI - Fluxo de Caixa'!$BD$18:$BT$374, MATCH('Fluxo Projeto'!$A33, 'LDI - Fluxo de Caixa'!$C$18:$C$374, 0), MATCH('Fluxo Projeto'!Y$1, 'LDI - Fluxo de Caixa'!$BD$14:$BT$14, 0))</f>
        <v>0</v>
      </c>
      <c r="Z33" s="390"/>
      <c r="AA33" s="397">
        <f>INDEX('LDI - Fluxo de Caixa'!$BD$18:$BT$374, MATCH('Fluxo Projeto'!$A33, 'LDI - Fluxo de Caixa'!$C$18:$C$374, 0), MATCH('Fluxo Projeto'!AA$1, 'LDI - Fluxo de Caixa'!$BD$14:$BT$14, 0))</f>
        <v>-621849.93000000017</v>
      </c>
      <c r="AB33" s="398">
        <f>INDEX('LDI - Fluxo de Caixa'!$BD$18:$BT$374, MATCH('Fluxo Projeto'!$A33, 'LDI - Fluxo de Caixa'!$C$18:$C$374, 0), MATCH('Fluxo Projeto'!AB$1, 'LDI - Fluxo de Caixa'!$BD$14:$BT$14, 0))</f>
        <v>-1500000</v>
      </c>
      <c r="AD33" s="393">
        <f t="shared" si="2"/>
        <v>6643952.3253410291</v>
      </c>
      <c r="AE33" s="390"/>
      <c r="AF33" s="393">
        <f>IF($A33&lt;=baseData, INDEX('LDI - Fluxo de Caixa'!$BD$18:$BT$374, MATCH('Fluxo Projeto'!$A33, 'LDI - Fluxo de Caixa'!$C$18:$C$374, 0), MATCH('Fluxo Projeto'!AF$1, 'LDI - Fluxo de Caixa'!$BD$14:$BT$14, 0)), $E33*CDI)</f>
        <v>6952.94</v>
      </c>
      <c r="AH33" s="393">
        <f t="shared" si="3"/>
        <v>6898713.5153410295</v>
      </c>
      <c r="AJ33" s="397">
        <f>IF($A33&lt;=baseData, INDEX('LDI - Fluxo de Caixa'!$BD$18:$BT$374, MATCH($A33, 'LDI - Fluxo de Caixa'!$C$18:$C$374, 0), MATCH(AJ$1, 'LDI - Fluxo de Caixa'!$BD$14:$BT$14, 0))-J33-I33, IF($A33&lt;inicioDistribuicoes,-IF(AH33&lt;cxMinSPEpreObra,IF(SUM($AD34:$AD45)-cxMinSPEpreObra+AH33&lt;0,SUM($AD34:$AD45)-cxMinSPEpreObra+AH33,IF(AH33&lt;0, AH33-cxMinSPEpreObra, 0)),0), 0))</f>
        <v>0</v>
      </c>
      <c r="AK33" s="398">
        <f>INDEX('LDI - Fluxo de Caixa'!$BD$18:$BT$374, MATCH('Fluxo Projeto'!$A33, 'LDI - Fluxo de Caixa'!$C$18:$C$374, 0), MATCH('Fluxo Projeto'!AK$1, 'LDI - Fluxo de Caixa'!$BD$14:$BT$14, 0))</f>
        <v>0</v>
      </c>
      <c r="AM33" s="393">
        <f t="shared" si="4"/>
        <v>6898713.5153410295</v>
      </c>
      <c r="AO33" s="399">
        <v>6898713.5199999996</v>
      </c>
      <c r="AQ33" s="397">
        <f t="shared" si="5"/>
        <v>0</v>
      </c>
      <c r="AR33" s="398">
        <f t="shared" si="8"/>
        <v>-35463847.709007196</v>
      </c>
      <c r="AT33" s="393">
        <v>-1</v>
      </c>
      <c r="AV33" s="397">
        <f t="shared" si="9"/>
        <v>11603.079651347165</v>
      </c>
      <c r="AW33" s="390">
        <f t="shared" si="10"/>
        <v>0</v>
      </c>
      <c r="AX33" s="390">
        <f t="shared" si="11"/>
        <v>0</v>
      </c>
      <c r="AY33" s="390">
        <f t="shared" si="12"/>
        <v>0</v>
      </c>
      <c r="AZ33" s="393">
        <f t="shared" si="13"/>
        <v>11603.079651347165</v>
      </c>
      <c r="BA33" s="371"/>
      <c r="BB33" s="394">
        <f t="shared" si="14"/>
        <v>-0.30743294367481289</v>
      </c>
      <c r="BC33" s="395">
        <f t="shared" si="15"/>
        <v>-3.7559296088365395</v>
      </c>
      <c r="BD33" s="395">
        <f t="shared" si="16"/>
        <v>0</v>
      </c>
      <c r="BE33" s="395">
        <f t="shared" si="17"/>
        <v>0</v>
      </c>
      <c r="BF33" s="395">
        <f t="shared" si="18"/>
        <v>-19.035892189612412</v>
      </c>
      <c r="BG33" s="395">
        <f t="shared" si="19"/>
        <v>-183.86636134314006</v>
      </c>
      <c r="BH33" s="395">
        <f t="shared" si="20"/>
        <v>-201.2992299794019</v>
      </c>
      <c r="BI33" s="395">
        <f t="shared" si="21"/>
        <v>-18.756035913450535</v>
      </c>
      <c r="BJ33" s="390">
        <f t="shared" si="22"/>
        <v>-213.17376802332197</v>
      </c>
      <c r="BK33" s="393">
        <f t="shared" si="23"/>
        <v>-640.19465000143828</v>
      </c>
      <c r="BL33" s="371"/>
      <c r="BM33" s="397">
        <f t="shared" si="24"/>
        <v>0</v>
      </c>
      <c r="BN33" s="398">
        <f t="shared" si="25"/>
        <v>0</v>
      </c>
      <c r="BO33" s="390"/>
      <c r="BP33" s="400">
        <f t="shared" si="26"/>
        <v>-777.71196202048816</v>
      </c>
      <c r="BQ33" s="401">
        <f t="shared" si="27"/>
        <v>-1875.9637763901203</v>
      </c>
      <c r="BR33" s="371"/>
      <c r="BS33" s="393">
        <f t="shared" si="28"/>
        <v>8.6956423862759475</v>
      </c>
    </row>
    <row r="34" spans="1:71" x14ac:dyDescent="0.25">
      <c r="A34" s="197">
        <f t="shared" si="7"/>
        <v>44044</v>
      </c>
      <c r="B34" s="388">
        <f>IF($A34&lt;=baseData, INDEX(Indicadores!B:B, MATCH($A34,Indicadores!A:A, 0)), INDEX(Indicadores!B:B, MATCH(baseData,Indicadores!A:A, 0)))</f>
        <v>805.35599999999999</v>
      </c>
      <c r="C34" s="389">
        <f>IF($A34&lt;=baseData, INDEX(Indicadores!E:E, MATCH($A34, Indicadores!A:A, 0)), INDEX(Indicadores!E:E, MATCH(baseData, Indicadores!A:A, 0)))</f>
        <v>5357.46</v>
      </c>
      <c r="E34" s="393">
        <f t="shared" si="29"/>
        <v>6898713.5199999996</v>
      </c>
      <c r="G34" s="392">
        <v>2104186.77</v>
      </c>
      <c r="H34" s="390">
        <f>IF($A34&gt;baseData, SUMPRODUCT('Tabela Vendas'!$R:$R,'Tabela Vendas'!$V:$V)*INDEX(Curvas!$Z:$Z,MATCH($A34,Curvas!$B:$B,0)), 0)</f>
        <v>0</v>
      </c>
      <c r="I34" s="390">
        <f>IFERROR(INDEX(Permutas!AJ:AJ, MATCH('Fluxo Projeto'!A34, Permutas!N:N, 0)), 0)</f>
        <v>0</v>
      </c>
      <c r="J34" s="390">
        <v>0</v>
      </c>
      <c r="K34" s="393">
        <f t="shared" ref="K34:K65" si="30">SUM(G34:J34)</f>
        <v>2104186.77</v>
      </c>
      <c r="M34" s="394">
        <f>IF($A34&lt;=baseData,INDEX('LDI - Fluxo de Caixa'!$BD$18:$BT$374,MATCH('Fluxo Projeto'!$A34,'LDI - Fluxo de Caixa'!$C$18:$C$374,0),MATCH('Fluxo Projeto'!M$1,'LDI - Fluxo de Caixa'!$BD$14:$BT$14,0)),-pctImpostoSPE*K33)</f>
        <v>0</v>
      </c>
      <c r="N34" s="395">
        <f>IF($A34&lt;=baseData,INDEX('LDI - Fluxo de Caixa'!$BD$18:$BT$374,MATCH($A34,'LDI - Fluxo de Caixa'!$C$18:$C$374,0),MATCH('Fluxo Projeto'!N$1,'LDI - Fluxo de Caixa'!$BD$14:$BT$14,0)),INDEX(Obra!AA:AA,MATCH($A34,Obra!F:F,0)))</f>
        <v>-3200</v>
      </c>
      <c r="O34" s="395">
        <f>IF($A34&lt;=baseData,INDEX('LDI - Fluxo de Caixa'!$BD$18:$BT$374,MATCH($A34,'LDI - Fluxo de Caixa'!$C$18:$C$374,0),MATCH('Fluxo Projeto'!O$1,'LDI - Fluxo de Caixa'!$BD$14:$BT$14,0)),IF($A34=entrega,assistTecnicaObra*SUM($N$2:$N$86),0))</f>
        <v>0</v>
      </c>
      <c r="P34" s="395">
        <f>IF($A34&lt;=baseData, INDEX('LDI - Fluxo de Caixa'!$BD$18:$BT$374, MATCH('Fluxo Projeto'!$A34, 'LDI - Fluxo de Caixa'!$C$18:$C$374, 0), MATCH('Fluxo Projeto'!P$1, 'LDI - Fluxo de Caixa'!$BD$14:$BT$14, 0)), -IF($A34&gt;=entrega, INDEX(Curvas!R:R,MATCH($A34,Curvas!B:B,0))*(IPTU+condominio)*'Tabela Vendas'!$Y$22, 0))</f>
        <v>0</v>
      </c>
      <c r="Q34" s="395">
        <f>IF($A34&lt;=baseData, INDEX('LDI - Fluxo de Caixa'!$BD$18:$BT$374, MATCH('Fluxo Projeto'!$A34, 'LDI - Fluxo de Caixa'!$C$18:$C$374, 0), MATCH('Fluxo Projeto'!Q$1, 'LDI - Fluxo de Caixa'!$BD$14:$BT$14, 0)), (-pctIncorporaçaoSPE*SUM($G$4:$H$86)-SUMIF($A$4:$A$86, "&lt;="&amp;baseData, Q$4:Q$86))*(SUM($G34:$H34)/(SUMIF($A$4:$A$86, "&gt;"&amp;baseData, $G$4:$G$86)+SUMIF($A$4:$A$86, "&gt;"&amp;baseData, $H$4:$H$86))))</f>
        <v>-5417.29</v>
      </c>
      <c r="R34" s="395">
        <f>IF($A34&lt;=baseData, INDEX('LDI - Fluxo de Caixa'!$BD$18:$BT$374, MATCH('Fluxo Projeto'!$A34, 'LDI - Fluxo de Caixa'!$C$18:$C$374, 0), MATCH('Fluxo Projeto'!R$1, 'LDI - Fluxo de Caixa'!$BD$14:$BT$14, 0)), (-pctMarketingSPE*SUM($G$4:$H$86)-SUMIF($A$4:$A$86, "&lt;="&amp;baseData, R$4:R$86))*(SUM($G34:$H34)/(SUMIF($A$4:$A$86, "&gt;"&amp;baseData, $G$4:$G$86)+SUMIF($A$4:$A$86, "&gt;"&amp;baseData, $H$4:$H$86))))</f>
        <v>-148813.91</v>
      </c>
      <c r="S34" s="395">
        <f>IF($A34&lt;=baseData,INDEX('LDI - Fluxo de Caixa'!$BD$18:$BT$374,MATCH($A34,'LDI - Fluxo de Caixa'!$C$18:$C$374,0),MATCH(S$1,'LDI - Fluxo de Caixa'!$BD$14:$BT$14,0)),-pctGestaoSPE*K33)</f>
        <v>-264372.82</v>
      </c>
      <c r="T34" s="395">
        <f>IF($A34&lt;=baseData, INDEX('LDI - Fluxo de Caixa'!$BD$18:$BT$374, MATCH('Fluxo Projeto'!$A34, 'LDI - Fluxo de Caixa'!$C$18:$C$374, 0), MATCH('Fluxo Projeto'!T$1, 'LDI - Fluxo de Caixa'!$BD$14:$BT$14, 0)), (-pctOutrasSPE*SUM($G$4:$H$86)-SUMIF($A$4:$A$86, "&lt;="&amp;baseData, T$4:T$86))*(SUM($G34:$H34)/(SUMIF($A$4:$A$86, "&gt;"&amp;baseData, $G$4:$G$86)+SUMIF($A$4:$A$86, "&gt;"&amp;baseData, $H$4:$H$86))))</f>
        <v>-986.59999999999991</v>
      </c>
      <c r="U34" s="395">
        <f>IF($A34&lt;=baseData, INDEX('LDI - Fluxo de Caixa'!$BD$18:$BT$374, MATCH('Fluxo Projeto'!$A34, 'LDI - Fluxo de Caixa'!$C$18:$C$374, 0), MATCH('Fluxo Projeto'!U$1, 'LDI - Fluxo de Caixa'!$BD$14:$BT$14, 0)), 0)</f>
        <v>-264171.99</v>
      </c>
      <c r="V34" s="393">
        <f t="shared" ref="V34:V65" si="31">SUM(M34:U34)</f>
        <v>-686962.61</v>
      </c>
      <c r="X34" s="397">
        <f>INDEX('LDI - Fluxo de Caixa'!$BD$18:$BT$374, MATCH('Fluxo Projeto'!$A34, 'LDI - Fluxo de Caixa'!$C$18:$C$374, 0), MATCH('Fluxo Projeto'!X$1, 'LDI - Fluxo de Caixa'!$BD$14:$BT$14, 0))</f>
        <v>0</v>
      </c>
      <c r="Y34" s="398">
        <f>INDEX('LDI - Fluxo de Caixa'!$BD$18:$BT$374, MATCH('Fluxo Projeto'!$A34, 'LDI - Fluxo de Caixa'!$C$18:$C$374, 0), MATCH('Fluxo Projeto'!Y$1, 'LDI - Fluxo de Caixa'!$BD$14:$BT$14, 0))</f>
        <v>0</v>
      </c>
      <c r="Z34" s="390"/>
      <c r="AA34" s="397">
        <f>INDEX('LDI - Fluxo de Caixa'!$BD$18:$BT$374, MATCH('Fluxo Projeto'!$A34, 'LDI - Fluxo de Caixa'!$C$18:$C$374, 0), MATCH('Fluxo Projeto'!AA$1, 'LDI - Fluxo de Caixa'!$BD$14:$BT$14, 0))</f>
        <v>-2990350.69</v>
      </c>
      <c r="AB34" s="398">
        <f>INDEX('LDI - Fluxo de Caixa'!$BD$18:$BT$374, MATCH('Fluxo Projeto'!$A34, 'LDI - Fluxo de Caixa'!$C$18:$C$374, 0), MATCH('Fluxo Projeto'!AB$1, 'LDI - Fluxo de Caixa'!$BD$14:$BT$14, 0))</f>
        <v>0</v>
      </c>
      <c r="AD34" s="393">
        <f t="shared" ref="AD34:AD65" si="32">K34+V34+X34+Y34+AA34+AB34</f>
        <v>-1573126.5299999998</v>
      </c>
      <c r="AE34" s="390"/>
      <c r="AF34" s="393">
        <f>IF($A34&lt;=baseData, INDEX('LDI - Fluxo de Caixa'!$BD$18:$BT$374, MATCH('Fluxo Projeto'!$A34, 'LDI - Fluxo de Caixa'!$C$18:$C$374, 0), MATCH('Fluxo Projeto'!AF$1, 'LDI - Fluxo de Caixa'!$BD$14:$BT$14, 0)), $E34*CDI)</f>
        <v>8574.0400000000009</v>
      </c>
      <c r="AH34" s="393">
        <f t="shared" ref="AH34:AH65" si="33">E34+K34+V34+X34+Y34+AA34+AB34+AF34</f>
        <v>5334161.0299999984</v>
      </c>
      <c r="AJ34" s="397">
        <f>IF($A34&lt;=baseData, INDEX('LDI - Fluxo de Caixa'!$BD$18:$BT$374, MATCH($A34, 'LDI - Fluxo de Caixa'!$C$18:$C$374, 0), MATCH(AJ$1, 'LDI - Fluxo de Caixa'!$BD$14:$BT$14, 0))-J34-I34, IF($A34&lt;inicioDistribuicoes,-IF(AH34&lt;cxMinSPEpreObra,IF(SUM($AD35:$AD46)-cxMinSPEpreObra+AH34&lt;0,SUM($AD35:$AD46)-cxMinSPEpreObra+AH34,IF(AH34&lt;0, AH34-cxMinSPEpreObra, 0)),0), 0))</f>
        <v>0</v>
      </c>
      <c r="AK34" s="398">
        <f>INDEX('LDI - Fluxo de Caixa'!$BD$18:$BT$374, MATCH('Fluxo Projeto'!$A34, 'LDI - Fluxo de Caixa'!$C$18:$C$374, 0), MATCH('Fluxo Projeto'!AK$1, 'LDI - Fluxo de Caixa'!$BD$14:$BT$14, 0))</f>
        <v>0</v>
      </c>
      <c r="AM34" s="393">
        <f t="shared" ref="AM34:AM65" si="34">AH34+AJ34+AK34</f>
        <v>5334161.0299999984</v>
      </c>
      <c r="AO34" s="399">
        <v>5334161.03</v>
      </c>
      <c r="AQ34" s="397">
        <f t="shared" ref="AQ34:AQ65" si="35">-SUM(AJ34:AK34)</f>
        <v>0</v>
      </c>
      <c r="AR34" s="398">
        <f t="shared" si="8"/>
        <v>-35463847.709007196</v>
      </c>
      <c r="AT34" s="393">
        <v>1</v>
      </c>
      <c r="AV34" s="397">
        <f t="shared" si="9"/>
        <v>2612.741160430915</v>
      </c>
      <c r="AW34" s="390">
        <f t="shared" si="10"/>
        <v>0</v>
      </c>
      <c r="AX34" s="390">
        <f t="shared" si="11"/>
        <v>0</v>
      </c>
      <c r="AY34" s="390">
        <f t="shared" si="12"/>
        <v>0</v>
      </c>
      <c r="AZ34" s="393">
        <f t="shared" si="13"/>
        <v>2612.741160430915</v>
      </c>
      <c r="BA34" s="371"/>
      <c r="BB34" s="394">
        <f t="shared" si="14"/>
        <v>0</v>
      </c>
      <c r="BC34" s="395">
        <f t="shared" si="15"/>
        <v>-3.9733980997223588</v>
      </c>
      <c r="BD34" s="395">
        <f t="shared" si="16"/>
        <v>0</v>
      </c>
      <c r="BE34" s="395">
        <f t="shared" si="17"/>
        <v>0</v>
      </c>
      <c r="BF34" s="395">
        <f t="shared" si="18"/>
        <v>-6.726578059889043</v>
      </c>
      <c r="BG34" s="395">
        <f t="shared" si="19"/>
        <v>-184.78028350195441</v>
      </c>
      <c r="BH34" s="395">
        <f t="shared" si="20"/>
        <v>-328.26826893945037</v>
      </c>
      <c r="BI34" s="395">
        <f t="shared" si="21"/>
        <v>-1.2250483016206497</v>
      </c>
      <c r="BJ34" s="390">
        <f t="shared" si="22"/>
        <v>-328.01890095808562</v>
      </c>
      <c r="BK34" s="393">
        <f t="shared" si="23"/>
        <v>-852.99247786072249</v>
      </c>
      <c r="BL34" s="371"/>
      <c r="BM34" s="397">
        <f t="shared" si="24"/>
        <v>0</v>
      </c>
      <c r="BN34" s="398">
        <f t="shared" si="25"/>
        <v>0</v>
      </c>
      <c r="BO34" s="390"/>
      <c r="BP34" s="400">
        <f t="shared" si="26"/>
        <v>-3713.0792966092013</v>
      </c>
      <c r="BQ34" s="401">
        <f t="shared" si="27"/>
        <v>0</v>
      </c>
      <c r="BR34" s="371"/>
      <c r="BS34" s="393">
        <f t="shared" si="28"/>
        <v>10.646273200919843</v>
      </c>
    </row>
    <row r="35" spans="1:71" x14ac:dyDescent="0.25">
      <c r="A35" s="197">
        <f t="shared" ref="A35:A66" si="36">DATE(YEAR(A34),MONTH(A34)+1,1)</f>
        <v>44075</v>
      </c>
      <c r="B35" s="388">
        <f>IF($A35&lt;=baseData, INDEX(Indicadores!B:B, MATCH($A35,Indicadores!A:A, 0)), INDEX(Indicadores!B:B, MATCH(baseData,Indicadores!A:A, 0)))</f>
        <v>814.70100000000002</v>
      </c>
      <c r="C35" s="389">
        <f>IF($A35&lt;=baseData, INDEX(Indicadores!E:E, MATCH($A35, Indicadores!A:A, 0)), INDEX(Indicadores!E:E, MATCH(baseData, Indicadores!A:A, 0)))</f>
        <v>5391.75</v>
      </c>
      <c r="E35" s="393">
        <f t="shared" si="29"/>
        <v>5334161.03</v>
      </c>
      <c r="G35" s="392">
        <v>1674169.08</v>
      </c>
      <c r="H35" s="390">
        <f>IF($A35&gt;baseData, SUMPRODUCT('Tabela Vendas'!$R:$R,'Tabela Vendas'!$V:$V)*INDEX(Curvas!$Z:$Z,MATCH($A35,Curvas!$B:$B,0)), 0)</f>
        <v>0</v>
      </c>
      <c r="I35" s="390">
        <f>IFERROR(INDEX(Permutas!AJ:AJ, MATCH('Fluxo Projeto'!A35, Permutas!N:N, 0)), 0)</f>
        <v>0</v>
      </c>
      <c r="J35" s="390">
        <v>0</v>
      </c>
      <c r="K35" s="393">
        <f t="shared" si="30"/>
        <v>1674169.08</v>
      </c>
      <c r="M35" s="394">
        <f>IF($A35&lt;=baseData,INDEX('LDI - Fluxo de Caixa'!$BD$18:$BT$374,MATCH('Fluxo Projeto'!$A35,'LDI - Fluxo de Caixa'!$C$18:$C$374,0),MATCH('Fluxo Projeto'!M$1,'LDI - Fluxo de Caixa'!$BD$14:$BT$14,0)),-pctImpostoSPE*K34)</f>
        <v>0</v>
      </c>
      <c r="N35" s="395">
        <f>IF($A35&lt;=baseData,INDEX('LDI - Fluxo de Caixa'!$BD$18:$BT$374,MATCH($A35,'LDI - Fluxo de Caixa'!$C$18:$C$374,0),MATCH('Fluxo Projeto'!N$1,'LDI - Fluxo de Caixa'!$BD$14:$BT$14,0)),INDEX(Obra!AA:AA,MATCH($A35,Obra!F:F,0)))</f>
        <v>-196.8</v>
      </c>
      <c r="O35" s="395">
        <f>IF($A35&lt;=baseData,INDEX('LDI - Fluxo de Caixa'!$BD$18:$BT$374,MATCH($A35,'LDI - Fluxo de Caixa'!$C$18:$C$374,0),MATCH('Fluxo Projeto'!O$1,'LDI - Fluxo de Caixa'!$BD$14:$BT$14,0)),IF($A35=entrega,assistTecnicaObra*SUM($N$2:$N$86),0))</f>
        <v>0</v>
      </c>
      <c r="P35" s="395">
        <f>IF($A35&lt;=baseData, INDEX('LDI - Fluxo de Caixa'!$BD$18:$BT$374, MATCH('Fluxo Projeto'!$A35, 'LDI - Fluxo de Caixa'!$C$18:$C$374, 0), MATCH('Fluxo Projeto'!P$1, 'LDI - Fluxo de Caixa'!$BD$14:$BT$14, 0)), -IF($A35&gt;=entrega, INDEX(Curvas!R:R,MATCH($A35,Curvas!B:B,0))*(IPTU+condominio)*'Tabela Vendas'!$Y$22, 0))</f>
        <v>0</v>
      </c>
      <c r="Q35" s="395">
        <f>IF($A35&lt;=baseData, INDEX('LDI - Fluxo de Caixa'!$BD$18:$BT$374, MATCH('Fluxo Projeto'!$A35, 'LDI - Fluxo de Caixa'!$C$18:$C$374, 0), MATCH('Fluxo Projeto'!Q$1, 'LDI - Fluxo de Caixa'!$BD$14:$BT$14, 0)), (-pctIncorporaçaoSPE*SUM($G$4:$H$86)-SUMIF($A$4:$A$86, "&lt;="&amp;baseData, Q$4:Q$86))*(SUM($G35:$H35)/(SUMIF($A$4:$A$86, "&gt;"&amp;baseData, $G$4:$G$86)+SUMIF($A$4:$A$86, "&gt;"&amp;baseData, $H$4:$H$86))))</f>
        <v>-1445.68</v>
      </c>
      <c r="R35" s="395">
        <f>IF($A35&lt;=baseData, INDEX('LDI - Fluxo de Caixa'!$BD$18:$BT$374, MATCH('Fluxo Projeto'!$A35, 'LDI - Fluxo de Caixa'!$C$18:$C$374, 0), MATCH('Fluxo Projeto'!R$1, 'LDI - Fluxo de Caixa'!$BD$14:$BT$14, 0)), (-pctMarketingSPE*SUM($G$4:$H$86)-SUMIF($A$4:$A$86, "&lt;="&amp;baseData, R$4:R$86))*(SUM($G35:$H35)/(SUMIF($A$4:$A$86, "&gt;"&amp;baseData, $G$4:$G$86)+SUMIF($A$4:$A$86, "&gt;"&amp;baseData, $H$4:$H$86))))</f>
        <v>-88971.56</v>
      </c>
      <c r="S35" s="395">
        <f>IF($A35&lt;=baseData,INDEX('LDI - Fluxo de Caixa'!$BD$18:$BT$374,MATCH($A35,'LDI - Fluxo de Caixa'!$C$18:$C$374,0),MATCH(S$1,'LDI - Fluxo de Caixa'!$BD$14:$BT$14,0)),-pctGestaoSPE*K34)</f>
        <v>-75073.41</v>
      </c>
      <c r="T35" s="395">
        <f>IF($A35&lt;=baseData, INDEX('LDI - Fluxo de Caixa'!$BD$18:$BT$374, MATCH('Fluxo Projeto'!$A35, 'LDI - Fluxo de Caixa'!$C$18:$C$374, 0), MATCH('Fluxo Projeto'!T$1, 'LDI - Fluxo de Caixa'!$BD$14:$BT$14, 0)), (-pctOutrasSPE*SUM($G$4:$H$86)-SUMIF($A$4:$A$86, "&lt;="&amp;baseData, T$4:T$86))*(SUM($G35:$H35)/(SUMIF($A$4:$A$86, "&gt;"&amp;baseData, $G$4:$G$86)+SUMIF($A$4:$A$86, "&gt;"&amp;baseData, $H$4:$H$86))))</f>
        <v>-757.02</v>
      </c>
      <c r="U35" s="395">
        <f>IF($A35&lt;=baseData, INDEX('LDI - Fluxo de Caixa'!$BD$18:$BT$374, MATCH('Fluxo Projeto'!$A35, 'LDI - Fluxo de Caixa'!$C$18:$C$374, 0), MATCH('Fluxo Projeto'!U$1, 'LDI - Fluxo de Caixa'!$BD$14:$BT$14, 0)), 0)</f>
        <v>645637.39</v>
      </c>
      <c r="V35" s="393">
        <f t="shared" si="31"/>
        <v>479192.92000000004</v>
      </c>
      <c r="X35" s="397">
        <f>INDEX('LDI - Fluxo de Caixa'!$BD$18:$BT$374, MATCH('Fluxo Projeto'!$A35, 'LDI - Fluxo de Caixa'!$C$18:$C$374, 0), MATCH('Fluxo Projeto'!X$1, 'LDI - Fluxo de Caixa'!$BD$14:$BT$14, 0))</f>
        <v>0</v>
      </c>
      <c r="Y35" s="398">
        <f>INDEX('LDI - Fluxo de Caixa'!$BD$18:$BT$374, MATCH('Fluxo Projeto'!$A35, 'LDI - Fluxo de Caixa'!$C$18:$C$374, 0), MATCH('Fluxo Projeto'!Y$1, 'LDI - Fluxo de Caixa'!$BD$14:$BT$14, 0))</f>
        <v>0</v>
      </c>
      <c r="Z35" s="390"/>
      <c r="AA35" s="397">
        <f>INDEX('LDI - Fluxo de Caixa'!$BD$18:$BT$374, MATCH('Fluxo Projeto'!$A35, 'LDI - Fluxo de Caixa'!$C$18:$C$374, 0), MATCH('Fluxo Projeto'!AA$1, 'LDI - Fluxo de Caixa'!$BD$14:$BT$14, 0))</f>
        <v>-19362.32</v>
      </c>
      <c r="AB35" s="398">
        <f>INDEX('LDI - Fluxo de Caixa'!$BD$18:$BT$374, MATCH('Fluxo Projeto'!$A35, 'LDI - Fluxo de Caixa'!$C$18:$C$374, 0), MATCH('Fluxo Projeto'!AB$1, 'LDI - Fluxo de Caixa'!$BD$14:$BT$14, 0))</f>
        <v>0</v>
      </c>
      <c r="AD35" s="393">
        <f t="shared" si="32"/>
        <v>2133999.6800000002</v>
      </c>
      <c r="AE35" s="390"/>
      <c r="AF35" s="393">
        <f>IF($A35&lt;=baseData, INDEX('LDI - Fluxo de Caixa'!$BD$18:$BT$374, MATCH('Fluxo Projeto'!$A35, 'LDI - Fluxo de Caixa'!$C$18:$C$374, 0), MATCH('Fluxo Projeto'!AF$1, 'LDI - Fluxo de Caixa'!$BD$14:$BT$14, 0)), $E35*CDI)</f>
        <v>8536.2900000000009</v>
      </c>
      <c r="AH35" s="393">
        <f t="shared" si="33"/>
        <v>7476697</v>
      </c>
      <c r="AJ35" s="397">
        <f>IF($A35&lt;=baseData, INDEX('LDI - Fluxo de Caixa'!$BD$18:$BT$374, MATCH($A35, 'LDI - Fluxo de Caixa'!$C$18:$C$374, 0), MATCH(AJ$1, 'LDI - Fluxo de Caixa'!$BD$14:$BT$14, 0))-J35-I35, IF($A35&lt;inicioDistribuicoes,-IF(AH35&lt;cxMinSPEpreObra,IF(SUM($AD36:$AD47)-cxMinSPEpreObra+AH35&lt;0,SUM($AD36:$AD47)-cxMinSPEpreObra+AH35,IF(AH35&lt;0, AH35-cxMinSPEpreObra, 0)),0), 0))</f>
        <v>0</v>
      </c>
      <c r="AK35" s="398">
        <f>INDEX('LDI - Fluxo de Caixa'!$BD$18:$BT$374, MATCH('Fluxo Projeto'!$A35, 'LDI - Fluxo de Caixa'!$C$18:$C$374, 0), MATCH('Fluxo Projeto'!AK$1, 'LDI - Fluxo de Caixa'!$BD$14:$BT$14, 0))</f>
        <v>0</v>
      </c>
      <c r="AM35" s="393">
        <f t="shared" si="34"/>
        <v>7476697</v>
      </c>
      <c r="AO35" s="399">
        <v>6766697</v>
      </c>
      <c r="AQ35" s="397">
        <f t="shared" si="35"/>
        <v>0</v>
      </c>
      <c r="AR35" s="398">
        <f t="shared" ref="AR35:AR66" si="37">+AR34+AQ35</f>
        <v>-35463847.709007196</v>
      </c>
      <c r="AT35" s="393">
        <f t="shared" ref="AT35:AT66" si="38">AQ35*IF(A35&gt;baseData,1,ipcaData/C35)</f>
        <v>0</v>
      </c>
      <c r="AV35" s="397">
        <f t="shared" si="9"/>
        <v>2054.94909175268</v>
      </c>
      <c r="AW35" s="390">
        <f t="shared" si="10"/>
        <v>0</v>
      </c>
      <c r="AX35" s="390">
        <f t="shared" si="11"/>
        <v>0</v>
      </c>
      <c r="AY35" s="390">
        <f t="shared" si="12"/>
        <v>0</v>
      </c>
      <c r="AZ35" s="393">
        <f t="shared" si="13"/>
        <v>2054.94909175268</v>
      </c>
      <c r="BA35" s="371"/>
      <c r="BB35" s="394">
        <f t="shared" si="14"/>
        <v>0</v>
      </c>
      <c r="BC35" s="395">
        <f t="shared" si="15"/>
        <v>-0.24156101440896721</v>
      </c>
      <c r="BD35" s="395">
        <f t="shared" si="16"/>
        <v>0</v>
      </c>
      <c r="BE35" s="395">
        <f t="shared" si="17"/>
        <v>0</v>
      </c>
      <c r="BF35" s="395">
        <f t="shared" si="18"/>
        <v>-1.7744915005627833</v>
      </c>
      <c r="BG35" s="395">
        <f t="shared" si="19"/>
        <v>-109.20762341030635</v>
      </c>
      <c r="BH35" s="395">
        <f t="shared" si="20"/>
        <v>-92.14842009522512</v>
      </c>
      <c r="BI35" s="395">
        <f t="shared" si="21"/>
        <v>-0.92919979231644489</v>
      </c>
      <c r="BJ35" s="390">
        <f t="shared" si="22"/>
        <v>792.48385604043688</v>
      </c>
      <c r="BK35" s="393">
        <f t="shared" si="23"/>
        <v>588.18256022761716</v>
      </c>
      <c r="BL35" s="371"/>
      <c r="BM35" s="397">
        <f t="shared" si="24"/>
        <v>0</v>
      </c>
      <c r="BN35" s="398">
        <f t="shared" si="25"/>
        <v>0</v>
      </c>
      <c r="BO35" s="390"/>
      <c r="BP35" s="400">
        <f t="shared" si="26"/>
        <v>-23.766166974141431</v>
      </c>
      <c r="BQ35" s="401">
        <f t="shared" si="27"/>
        <v>0</v>
      </c>
      <c r="BR35" s="371"/>
      <c r="BS35" s="393">
        <f t="shared" si="28"/>
        <v>10.477819469965056</v>
      </c>
    </row>
    <row r="36" spans="1:71" x14ac:dyDescent="0.25">
      <c r="A36" s="197">
        <f t="shared" si="36"/>
        <v>44105</v>
      </c>
      <c r="B36" s="388">
        <f>IF($A36&lt;=baseData, INDEX(Indicadores!B:B, MATCH($A36,Indicadores!A:A, 0)), INDEX(Indicadores!B:B, MATCH(baseData,Indicadores!A:A, 0)))</f>
        <v>828.77800000000002</v>
      </c>
      <c r="C36" s="389">
        <f>IF($A36&lt;=baseData, INDEX(Indicadores!E:E, MATCH($A36, Indicadores!A:A, 0)), INDEX(Indicadores!E:E, MATCH(baseData, Indicadores!A:A, 0)))</f>
        <v>5438.12</v>
      </c>
      <c r="E36" s="393">
        <f t="shared" si="29"/>
        <v>6766697</v>
      </c>
      <c r="G36" s="392">
        <v>4252148.0199999996</v>
      </c>
      <c r="H36" s="390">
        <f>IF($A36&gt;baseData, SUMPRODUCT('Tabela Vendas'!$R:$R,'Tabela Vendas'!$V:$V)*INDEX(Curvas!$Z:$Z,MATCH($A36,Curvas!$B:$B,0)), 0)</f>
        <v>0</v>
      </c>
      <c r="I36" s="390">
        <f>IFERROR(INDEX(Permutas!AJ:AJ, MATCH('Fluxo Projeto'!A36, Permutas!N:N, 0)), 0)</f>
        <v>0</v>
      </c>
      <c r="J36" s="390">
        <v>0</v>
      </c>
      <c r="K36" s="393">
        <f t="shared" si="30"/>
        <v>4252148.0199999996</v>
      </c>
      <c r="M36" s="394">
        <f>IF($A36&lt;=baseData,INDEX('LDI - Fluxo de Caixa'!$BD$18:$BT$374,MATCH('Fluxo Projeto'!$A36,'LDI - Fluxo de Caixa'!$C$18:$C$374,0),MATCH('Fluxo Projeto'!M$1,'LDI - Fluxo de Caixa'!$BD$14:$BT$14,0)),-pctImpostoSPE*K35)</f>
        <v>-804.7</v>
      </c>
      <c r="N36" s="395">
        <f>IF($A36&lt;=baseData,INDEX('LDI - Fluxo de Caixa'!$BD$18:$BT$374,MATCH($A36,'LDI - Fluxo de Caixa'!$C$18:$C$374,0),MATCH('Fluxo Projeto'!N$1,'LDI - Fluxo de Caixa'!$BD$14:$BT$14,0)),INDEX(Obra!AA:AA,MATCH($A36,Obra!F:F,0)))</f>
        <v>0</v>
      </c>
      <c r="O36" s="395">
        <f>IF($A36&lt;=baseData,INDEX('LDI - Fluxo de Caixa'!$BD$18:$BT$374,MATCH($A36,'LDI - Fluxo de Caixa'!$C$18:$C$374,0),MATCH('Fluxo Projeto'!O$1,'LDI - Fluxo de Caixa'!$BD$14:$BT$14,0)),IF($A36=entrega,assistTecnicaObra*SUM($N$2:$N$86),0))</f>
        <v>0</v>
      </c>
      <c r="P36" s="395">
        <f>IF($A36&lt;=baseData, INDEX('LDI - Fluxo de Caixa'!$BD$18:$BT$374, MATCH('Fluxo Projeto'!$A36, 'LDI - Fluxo de Caixa'!$C$18:$C$374, 0), MATCH('Fluxo Projeto'!P$1, 'LDI - Fluxo de Caixa'!$BD$14:$BT$14, 0)), -IF($A36&gt;=entrega, INDEX(Curvas!R:R,MATCH($A36,Curvas!B:B,0))*(IPTU+condominio)*'Tabela Vendas'!$Y$22, 0))</f>
        <v>0</v>
      </c>
      <c r="Q36" s="395">
        <f>IF($A36&lt;=baseData, INDEX('LDI - Fluxo de Caixa'!$BD$18:$BT$374, MATCH('Fluxo Projeto'!$A36, 'LDI - Fluxo de Caixa'!$C$18:$C$374, 0), MATCH('Fluxo Projeto'!Q$1, 'LDI - Fluxo de Caixa'!$BD$14:$BT$14, 0)), (-pctIncorporaçaoSPE*SUM($G$4:$H$86)-SUMIF($A$4:$A$86, "&lt;="&amp;baseData, Q$4:Q$86))*(SUM($G36:$H36)/(SUMIF($A$4:$A$86, "&gt;"&amp;baseData, $G$4:$G$86)+SUMIF($A$4:$A$86, "&gt;"&amp;baseData, $H$4:$H$86))))</f>
        <v>-58.13</v>
      </c>
      <c r="R36" s="395">
        <f>IF($A36&lt;=baseData, INDEX('LDI - Fluxo de Caixa'!$BD$18:$BT$374, MATCH('Fluxo Projeto'!$A36, 'LDI - Fluxo de Caixa'!$C$18:$C$374, 0), MATCH('Fluxo Projeto'!R$1, 'LDI - Fluxo de Caixa'!$BD$14:$BT$14, 0)), (-pctMarketingSPE*SUM($G$4:$H$86)-SUMIF($A$4:$A$86, "&lt;="&amp;baseData, R$4:R$86))*(SUM($G36:$H36)/(SUMIF($A$4:$A$86, "&gt;"&amp;baseData, $G$4:$G$86)+SUMIF($A$4:$A$86, "&gt;"&amp;baseData, $H$4:$H$86))))</f>
        <v>-60194.680000000008</v>
      </c>
      <c r="S36" s="395">
        <f>IF($A36&lt;=baseData,INDEX('LDI - Fluxo de Caixa'!$BD$18:$BT$374,MATCH($A36,'LDI - Fluxo de Caixa'!$C$18:$C$374,0),MATCH(S$1,'LDI - Fluxo de Caixa'!$BD$14:$BT$14,0)),-pctGestaoSPE*K35)</f>
        <v>-3818.48</v>
      </c>
      <c r="T36" s="395">
        <f>IF($A36&lt;=baseData, INDEX('LDI - Fluxo de Caixa'!$BD$18:$BT$374, MATCH('Fluxo Projeto'!$A36, 'LDI - Fluxo de Caixa'!$C$18:$C$374, 0), MATCH('Fluxo Projeto'!T$1, 'LDI - Fluxo de Caixa'!$BD$14:$BT$14, 0)), (-pctOutrasSPE*SUM($G$4:$H$86)-SUMIF($A$4:$A$86, "&lt;="&amp;baseData, T$4:T$86))*(SUM($G36:$H36)/(SUMIF($A$4:$A$86, "&gt;"&amp;baseData, $G$4:$G$86)+SUMIF($A$4:$A$86, "&gt;"&amp;baseData, $H$4:$H$86))))</f>
        <v>-3508.46</v>
      </c>
      <c r="U36" s="395">
        <f>IF($A36&lt;=baseData, INDEX('LDI - Fluxo de Caixa'!$BD$18:$BT$374, MATCH('Fluxo Projeto'!$A36, 'LDI - Fluxo de Caixa'!$C$18:$C$374, 0), MATCH('Fluxo Projeto'!U$1, 'LDI - Fluxo de Caixa'!$BD$14:$BT$14, 0)), 0)</f>
        <v>349407.19</v>
      </c>
      <c r="V36" s="393">
        <f t="shared" si="31"/>
        <v>281022.74</v>
      </c>
      <c r="X36" s="397">
        <f>INDEX('LDI - Fluxo de Caixa'!$BD$18:$BT$374, MATCH('Fluxo Projeto'!$A36, 'LDI - Fluxo de Caixa'!$C$18:$C$374, 0), MATCH('Fluxo Projeto'!X$1, 'LDI - Fluxo de Caixa'!$BD$14:$BT$14, 0))</f>
        <v>0</v>
      </c>
      <c r="Y36" s="398">
        <f>INDEX('LDI - Fluxo de Caixa'!$BD$18:$BT$374, MATCH('Fluxo Projeto'!$A36, 'LDI - Fluxo de Caixa'!$C$18:$C$374, 0), MATCH('Fluxo Projeto'!Y$1, 'LDI - Fluxo de Caixa'!$BD$14:$BT$14, 0))</f>
        <v>0</v>
      </c>
      <c r="Z36" s="390"/>
      <c r="AA36" s="397">
        <f>INDEX('LDI - Fluxo de Caixa'!$BD$18:$BT$374, MATCH('Fluxo Projeto'!$A36, 'LDI - Fluxo de Caixa'!$C$18:$C$374, 0), MATCH('Fluxo Projeto'!AA$1, 'LDI - Fluxo de Caixa'!$BD$14:$BT$14, 0))</f>
        <v>-17917.32</v>
      </c>
      <c r="AB36" s="398">
        <f>INDEX('LDI - Fluxo de Caixa'!$BD$18:$BT$374, MATCH('Fluxo Projeto'!$A36, 'LDI - Fluxo de Caixa'!$C$18:$C$374, 0), MATCH('Fluxo Projeto'!AB$1, 'LDI - Fluxo de Caixa'!$BD$14:$BT$14, 0))</f>
        <v>0</v>
      </c>
      <c r="AD36" s="393">
        <f t="shared" si="32"/>
        <v>4515253.4399999995</v>
      </c>
      <c r="AE36" s="390"/>
      <c r="AF36" s="393">
        <f>IF($A36&lt;=baseData, INDEX('LDI - Fluxo de Caixa'!$BD$18:$BT$374, MATCH('Fluxo Projeto'!$A36, 'LDI - Fluxo de Caixa'!$C$18:$C$374, 0), MATCH('Fluxo Projeto'!AF$1, 'LDI - Fluxo de Caixa'!$BD$14:$BT$14, 0)), $E36*CDI)</f>
        <v>13418.1</v>
      </c>
      <c r="AH36" s="393">
        <f t="shared" si="33"/>
        <v>11295368.539999999</v>
      </c>
      <c r="AJ36" s="397">
        <f>IF($A36&lt;=baseData, INDEX('LDI - Fluxo de Caixa'!$BD$18:$BT$374, MATCH($A36, 'LDI - Fluxo de Caixa'!$C$18:$C$374, 0), MATCH(AJ$1, 'LDI - Fluxo de Caixa'!$BD$14:$BT$14, 0))-J36-I36, IF($A36&lt;inicioDistribuicoes,-IF(AH36&lt;cxMinSPEpreObra,IF(SUM($AD37:$AD48)-cxMinSPEpreObra+AH36&lt;0,SUM($AD37:$AD48)-cxMinSPEpreObra+AH36,IF(AH36&lt;0, AH36-cxMinSPEpreObra, 0)),0), 0))</f>
        <v>0</v>
      </c>
      <c r="AK36" s="398">
        <f t="shared" ref="AK36:AK67" si="39">IF(AJ36=0,IF(OR(A36&lt;inicioDistribuicoes,A36&gt;terminoProjeto),0,IF(A36=terminoProjeto,-AH36,IF(AH36&gt;(cxMinSPEposObra+distMin),cxMinSPEposObra-AH36,0))),0)</f>
        <v>0</v>
      </c>
      <c r="AM36" s="393">
        <f t="shared" si="34"/>
        <v>11295368.539999999</v>
      </c>
      <c r="AO36" s="399">
        <v>10927784.640000001</v>
      </c>
      <c r="AQ36" s="397">
        <f t="shared" si="35"/>
        <v>0</v>
      </c>
      <c r="AR36" s="398">
        <f t="shared" si="37"/>
        <v>-35463847.709007196</v>
      </c>
      <c r="AT36" s="393">
        <f t="shared" si="38"/>
        <v>0</v>
      </c>
      <c r="AV36" s="397">
        <f t="shared" ref="AV36:AV67" si="40">IF($A36&lt;baseData, G36/$B36, G36/inccD2)</f>
        <v>5130.6236652034677</v>
      </c>
      <c r="AW36" s="390">
        <f t="shared" ref="AW36:AW67" si="41">IF($A36&lt;baseData, H36/$B36, H36/inccD2)</f>
        <v>0</v>
      </c>
      <c r="AX36" s="390">
        <f t="shared" ref="AX36:AX67" si="42">IF($A36&lt;baseData, I36/$B36, I36/inccD2)</f>
        <v>0</v>
      </c>
      <c r="AY36" s="390">
        <f t="shared" ref="AY36:AY67" si="43">IF($A36&lt;baseData, J36/$B36, J36/inccD2)</f>
        <v>0</v>
      </c>
      <c r="AZ36" s="393">
        <f t="shared" ref="AZ36:AZ67" si="44">SUM(AV36:AY36)</f>
        <v>5130.6236652034677</v>
      </c>
      <c r="BA36" s="371"/>
      <c r="BB36" s="394">
        <f t="shared" ref="BB36:BB67" si="45">IF($A36&lt;baseData, M36/$B36, M36/inccD2)</f>
        <v>-0.97094758789446634</v>
      </c>
      <c r="BC36" s="395">
        <f t="shared" ref="BC36:BC67" si="46">IF($A36&lt;baseData, N36/$B36, N36/inccD2)</f>
        <v>0</v>
      </c>
      <c r="BD36" s="395">
        <f t="shared" ref="BD36:BD67" si="47">IF($A36&lt;baseData, O36/$B36, O36/inccD2)</f>
        <v>0</v>
      </c>
      <c r="BE36" s="395">
        <f t="shared" ref="BE36:BE67" si="48">IF($A36&lt;baseData, P36/$B36, P36/inccD2)</f>
        <v>0</v>
      </c>
      <c r="BF36" s="395">
        <f t="shared" ref="BF36:BF67" si="49">IF($A36&lt;baseData, Q36/$B36, Q36/inccD2)</f>
        <v>-7.0139410071213285E-2</v>
      </c>
      <c r="BG36" s="395">
        <f t="shared" ref="BG36:BG67" si="50">IF($A36&lt;baseData, R36/$B36, R36/inccD2)</f>
        <v>-72.630644153199057</v>
      </c>
      <c r="BH36" s="395">
        <f t="shared" ref="BH36:BH67" si="51">IF($A36&lt;baseData, S36/$B36, S36/inccD2)</f>
        <v>-4.6073616818979266</v>
      </c>
      <c r="BI36" s="395">
        <f t="shared" ref="BI36:BI67" si="52">IF($A36&lt;baseData, T36/$B36, T36/inccD2)</f>
        <v>-4.2332928721563556</v>
      </c>
      <c r="BJ36" s="390">
        <f t="shared" ref="BJ36:BJ67" si="53">IF($A36&lt;baseData, U36/$B36, U36/inccD2)</f>
        <v>421.59322520626756</v>
      </c>
      <c r="BK36" s="393">
        <f t="shared" ref="BK36:BK67" si="54">SUM(BB36:BJ36)</f>
        <v>339.08083950104856</v>
      </c>
      <c r="BL36" s="371"/>
      <c r="BM36" s="397">
        <f t="shared" ref="BM36:BM67" si="55">IF($A36&lt;baseData, X36/$B36, X36/inccD2)</f>
        <v>0</v>
      </c>
      <c r="BN36" s="398">
        <f t="shared" ref="BN36:BN67" si="56">IF($A36&lt;baseData, Y36/$B36, Y36/inccD2)</f>
        <v>0</v>
      </c>
      <c r="BO36" s="390"/>
      <c r="BP36" s="400">
        <f t="shared" ref="BP36:BP67" si="57">IF($A36&lt;baseData, AA36/$B36, AA36/inccD2)</f>
        <v>-21.618961893293498</v>
      </c>
      <c r="BQ36" s="401">
        <f t="shared" ref="BQ36:BQ67" si="58">IF($A36&lt;baseData, AB36/$B36, AB36/inccD2)</f>
        <v>0</v>
      </c>
      <c r="BR36" s="371"/>
      <c r="BS36" s="393">
        <f t="shared" ref="BS36:BS67" si="59">IF($A36&lt;baseData, AF36/$B36, AF36/inccD2)</f>
        <v>16.190222230802458</v>
      </c>
    </row>
    <row r="37" spans="1:71" x14ac:dyDescent="0.25">
      <c r="A37" s="198">
        <f t="shared" si="36"/>
        <v>44136</v>
      </c>
      <c r="B37" s="402">
        <f>IF($A37&lt;=baseData, INDEX(Indicadores!B:B, MATCH($A37,Indicadores!A:A, 0)), INDEX(Indicadores!B:B, MATCH(baseData,Indicadores!A:A, 0)))</f>
        <v>839.38199999999995</v>
      </c>
      <c r="C37" s="403">
        <f>IF($A37&lt;=baseData, INDEX(Indicadores!E:E, MATCH($A37, Indicadores!A:A, 0)), INDEX(Indicadores!E:E, MATCH(baseData, Indicadores!A:A, 0)))</f>
        <v>5486.52</v>
      </c>
      <c r="D37" s="404"/>
      <c r="E37" s="405">
        <f t="shared" ref="E37:E68" si="60">AO36</f>
        <v>10927784.640000001</v>
      </c>
      <c r="F37" s="404"/>
      <c r="G37" s="406">
        <v>1278140.22</v>
      </c>
      <c r="H37" s="404">
        <f>IF($A37&gt;baseData, SUMPRODUCT('Tabela Vendas'!$R:$R,'Tabela Vendas'!$V:$V)*INDEX(Curvas!$Z:$Z,MATCH($A37,Curvas!$B:$B,0)), 0)</f>
        <v>0</v>
      </c>
      <c r="I37" s="404">
        <f>IFERROR(INDEX(Permutas!AJ:AJ, MATCH('Fluxo Projeto'!A37, Permutas!N:N, 0)), 0)</f>
        <v>3263661.4359717555</v>
      </c>
      <c r="J37" s="404">
        <v>0</v>
      </c>
      <c r="K37" s="405">
        <f t="shared" si="30"/>
        <v>4541801.6559717553</v>
      </c>
      <c r="L37" s="404"/>
      <c r="M37" s="407">
        <f>IF($A37&lt;=baseData,INDEX('LDI - Fluxo de Caixa'!$BD$18:$BT$374,MATCH('Fluxo Projeto'!$A37,'LDI - Fluxo de Caixa'!$C$18:$C$374,0),MATCH('Fluxo Projeto'!M$1,'LDI - Fluxo de Caixa'!$BD$14:$BT$14,0)),-pctImpostoSPE*K36)</f>
        <v>-701556.56</v>
      </c>
      <c r="N37" s="408">
        <f>IF($A37&lt;=baseData,INDEX('LDI - Fluxo de Caixa'!$BD$18:$BT$374,MATCH($A37,'LDI - Fluxo de Caixa'!$C$18:$C$374,0),MATCH('Fluxo Projeto'!N$1,'LDI - Fluxo de Caixa'!$BD$14:$BT$14,0)),INDEX(Obra!AA:AA,MATCH($A37,Obra!F:F,0)))</f>
        <v>-301595.32</v>
      </c>
      <c r="O37" s="408">
        <f>IF($A37&lt;=baseData,INDEX('LDI - Fluxo de Caixa'!$BD$18:$BT$374,MATCH($A37,'LDI - Fluxo de Caixa'!$C$18:$C$374,0),MATCH('Fluxo Projeto'!O$1,'LDI - Fluxo de Caixa'!$BD$14:$BT$14,0)),IF($A37=entrega,assistTecnicaObra*SUM($N$2:$N$86),0))</f>
        <v>0</v>
      </c>
      <c r="P37" s="408">
        <f>IF($A37&lt;=baseData, INDEX('LDI - Fluxo de Caixa'!$BD$18:$BT$374, MATCH('Fluxo Projeto'!$A37, 'LDI - Fluxo de Caixa'!$C$18:$C$374, 0), MATCH('Fluxo Projeto'!P$1, 'LDI - Fluxo de Caixa'!$BD$14:$BT$14, 0)), -IF($A37&gt;=entrega, INDEX(Curvas!R:R,MATCH($A37,Curvas!B:B,0))*(IPTU+condominio)*'Tabela Vendas'!$Y$22, 0))</f>
        <v>0</v>
      </c>
      <c r="Q37" s="408">
        <f>IF($A37&lt;=baseData, INDEX('LDI - Fluxo de Caixa'!$BD$18:$BT$374, MATCH('Fluxo Projeto'!$A37, 'LDI - Fluxo de Caixa'!$C$18:$C$374, 0), MATCH('Fluxo Projeto'!Q$1, 'LDI - Fluxo de Caixa'!$BD$14:$BT$14, 0)), (-pctIncorporaçaoSPE*SUM($G$4:$H$86)-SUMIF($A$4:$A$86, "&lt;="&amp;baseData, Q$4:Q$86))*(SUM($G37:$H37)/(SUMIF($A$4:$A$86, "&gt;"&amp;baseData, $G$4:$G$86)+SUMIF($A$4:$A$86, "&gt;"&amp;baseData, $H$4:$H$86))))</f>
        <v>-1929.9499999999998</v>
      </c>
      <c r="R37" s="408">
        <f>IF($A37&lt;=baseData, INDEX('LDI - Fluxo de Caixa'!$BD$18:$BT$374, MATCH('Fluxo Projeto'!$A37, 'LDI - Fluxo de Caixa'!$C$18:$C$374, 0), MATCH('Fluxo Projeto'!R$1, 'LDI - Fluxo de Caixa'!$BD$14:$BT$14, 0)), (-pctMarketingSPE*SUM($G$4:$H$86)-SUMIF($A$4:$A$86, "&lt;="&amp;baseData, R$4:R$86))*(SUM($G37:$H37)/(SUMIF($A$4:$A$86, "&gt;"&amp;baseData, $G$4:$G$86)+SUMIF($A$4:$A$86, "&gt;"&amp;baseData, $H$4:$H$86))))</f>
        <v>17286.750000000007</v>
      </c>
      <c r="S37" s="409">
        <f>IF($A37&lt;=baseData,INDEX('LDI - Fluxo de Caixa'!$BD$18:$BT$374,MATCH($A37,'LDI - Fluxo de Caixa'!$C$18:$C$374,0),MATCH(S$1,'LDI - Fluxo de Caixa'!$BD$14:$BT$14,0)),-pctGestaoSPE*K36)</f>
        <v>-416578.68</v>
      </c>
      <c r="T37" s="408">
        <f>IF($A37&lt;=baseData, INDEX('LDI - Fluxo de Caixa'!$BD$18:$BT$374, MATCH('Fluxo Projeto'!$A37, 'LDI - Fluxo de Caixa'!$C$18:$C$374, 0), MATCH('Fluxo Projeto'!T$1, 'LDI - Fluxo de Caixa'!$BD$14:$BT$14, 0)), (-pctOutrasSPE*SUM($G$4:$H$86)-SUMIF($A$4:$A$86, "&lt;="&amp;baseData, T$4:T$86))*(SUM($G37:$H37)/(SUMIF($A$4:$A$86, "&gt;"&amp;baseData, $G$4:$G$86)+SUMIF($A$4:$A$86, "&gt;"&amp;baseData, $H$4:$H$86))))</f>
        <v>-876.9</v>
      </c>
      <c r="U37" s="408">
        <f>IF($A37&lt;=baseData, INDEX('LDI - Fluxo de Caixa'!$BD$18:$BT$374, MATCH('Fluxo Projeto'!$A37, 'LDI - Fluxo de Caixa'!$C$18:$C$374, 0), MATCH('Fluxo Projeto'!U$1, 'LDI - Fluxo de Caixa'!$BD$14:$BT$14, 0)), 0)</f>
        <v>3733683.15</v>
      </c>
      <c r="V37" s="405">
        <f t="shared" si="31"/>
        <v>2328432.4900000002</v>
      </c>
      <c r="W37" s="404"/>
      <c r="X37" s="410">
        <v>0</v>
      </c>
      <c r="Y37" s="411">
        <v>0</v>
      </c>
      <c r="Z37" s="404"/>
      <c r="AA37" s="410">
        <f>INDEX('LDI - Fluxo de Caixa'!$BD$18:$BT$374, MATCH('Fluxo Projeto'!$A37, 'LDI - Fluxo de Caixa'!$C$18:$C$374, 0), MATCH('Fluxo Projeto'!AA$1, 'LDI - Fluxo de Caixa'!$BD$14:$BT$14, 0))</f>
        <v>-17717.32</v>
      </c>
      <c r="AB37" s="411">
        <v>0</v>
      </c>
      <c r="AC37" s="404"/>
      <c r="AD37" s="405">
        <f t="shared" si="32"/>
        <v>6852516.8259717552</v>
      </c>
      <c r="AE37" s="404"/>
      <c r="AF37" s="405">
        <f>IF($A37&lt;=baseData, INDEX('LDI - Fluxo de Caixa'!$BD$18:$BT$374, MATCH('Fluxo Projeto'!$A37, 'LDI - Fluxo de Caixa'!$C$18:$C$374, 0), MATCH('Fluxo Projeto'!AF$1, 'LDI - Fluxo de Caixa'!$BD$14:$BT$14, 0)), $E37*CDI)</f>
        <v>14571.66</v>
      </c>
      <c r="AG37" s="404"/>
      <c r="AH37" s="405">
        <f t="shared" si="33"/>
        <v>17794873.125971753</v>
      </c>
      <c r="AI37" s="404"/>
      <c r="AJ37" s="412">
        <v>0</v>
      </c>
      <c r="AK37" s="413">
        <f t="shared" si="39"/>
        <v>0</v>
      </c>
      <c r="AL37" s="404"/>
      <c r="AM37" s="405">
        <f t="shared" si="34"/>
        <v>17794873.125971753</v>
      </c>
      <c r="AN37" s="404"/>
      <c r="AO37" s="414">
        <f>10711361.57+3263661.43597176</f>
        <v>13975023.00597176</v>
      </c>
      <c r="AP37" s="404"/>
      <c r="AQ37" s="412">
        <f t="shared" si="35"/>
        <v>0</v>
      </c>
      <c r="AR37" s="413">
        <f t="shared" si="37"/>
        <v>-35463847.709007196</v>
      </c>
      <c r="AS37" s="404"/>
      <c r="AT37" s="405">
        <f t="shared" si="38"/>
        <v>0</v>
      </c>
      <c r="AV37" s="412">
        <f t="shared" si="40"/>
        <v>1568.8457728663643</v>
      </c>
      <c r="AW37" s="404">
        <f t="shared" si="41"/>
        <v>0</v>
      </c>
      <c r="AX37" s="404">
        <f t="shared" si="42"/>
        <v>4005.9622315079464</v>
      </c>
      <c r="AY37" s="404">
        <f t="shared" si="43"/>
        <v>0</v>
      </c>
      <c r="AZ37" s="405">
        <f t="shared" si="44"/>
        <v>5574.8080043743103</v>
      </c>
      <c r="BA37" s="404"/>
      <c r="BB37" s="407">
        <f t="shared" si="45"/>
        <v>-861.12151574626773</v>
      </c>
      <c r="BC37" s="408">
        <f t="shared" si="46"/>
        <v>-370.19141991970059</v>
      </c>
      <c r="BD37" s="408">
        <f t="shared" si="47"/>
        <v>0</v>
      </c>
      <c r="BE37" s="408">
        <f t="shared" si="48"/>
        <v>0</v>
      </c>
      <c r="BF37" s="408">
        <f t="shared" si="49"/>
        <v>-2.3689058930822471</v>
      </c>
      <c r="BG37" s="408">
        <f t="shared" si="50"/>
        <v>21.218520659726707</v>
      </c>
      <c r="BH37" s="409">
        <f t="shared" si="51"/>
        <v>-511.32707582290925</v>
      </c>
      <c r="BI37" s="408">
        <f t="shared" si="52"/>
        <v>-1.0763458004838584</v>
      </c>
      <c r="BJ37" s="409">
        <f t="shared" si="53"/>
        <v>4582.8876483519716</v>
      </c>
      <c r="BK37" s="405">
        <f t="shared" si="54"/>
        <v>2858.0209058292548</v>
      </c>
      <c r="BL37" s="404"/>
      <c r="BM37" s="410">
        <f t="shared" si="55"/>
        <v>0</v>
      </c>
      <c r="BN37" s="411">
        <f t="shared" si="56"/>
        <v>0</v>
      </c>
      <c r="BO37" s="404"/>
      <c r="BP37" s="410">
        <f t="shared" si="57"/>
        <v>-21.747021299838835</v>
      </c>
      <c r="BQ37" s="411">
        <f t="shared" si="58"/>
        <v>0</v>
      </c>
      <c r="BR37" s="404"/>
      <c r="BS37" s="405">
        <f t="shared" si="59"/>
        <v>17.885899244017128</v>
      </c>
    </row>
    <row r="38" spans="1:71" x14ac:dyDescent="0.25">
      <c r="A38" s="197">
        <f t="shared" si="36"/>
        <v>44166</v>
      </c>
      <c r="B38" s="388">
        <f>IF($A38&lt;=baseData, INDEX(Indicadores!B:B, MATCH($A38,Indicadores!A:A, 0)), INDEX(Indicadores!B:B, MATCH(baseData,Indicadores!A:A, 0)))</f>
        <v>839.38199999999995</v>
      </c>
      <c r="C38" s="389">
        <f>IF($A38&lt;=baseData, INDEX(Indicadores!E:E, MATCH($A38, Indicadores!A:A, 0)), INDEX(Indicadores!E:E, MATCH(baseData, Indicadores!A:A, 0)))</f>
        <v>5486.52</v>
      </c>
      <c r="E38" s="393">
        <f t="shared" si="60"/>
        <v>13975023.00597176</v>
      </c>
      <c r="G38" s="397">
        <f>IF(tipoCarteira="Carteira",INDEX('M-FLUXO DE CAIXA'!$W:$W, MATCH($A38, 'M-FLUXO DE CAIXA'!$V:$V, 0)),IF(DATEDIF(baseData,$A38,"m")&lt;=prazoRepasseCarteira,vlrCarteira/prazoRepasseCarteira,0))+IF(DATEDIF(baseData,$A38,"m")&lt;=curvaInad,vlrInad/curvaInad*(1-PDD),0)</f>
        <v>1259099.7533850474</v>
      </c>
      <c r="H38" s="390">
        <f>IF($A38&gt;baseData, SUMPRODUCT('Tabela Vendas'!$R:$R,'Tabela Vendas'!$V:$V)*INDEX(Curvas!$Z:$Z,MATCH($A38,Curvas!$B:$B,0)), 0)</f>
        <v>55933.5930735375</v>
      </c>
      <c r="I38" s="390">
        <f>IFERROR(INDEX(Permutas!AJ:AJ, MATCH('Fluxo Projeto'!A38, Permutas!N:N, 0)), 0)</f>
        <v>0</v>
      </c>
      <c r="J38" s="390">
        <v>0</v>
      </c>
      <c r="K38" s="393">
        <f t="shared" si="30"/>
        <v>1315033.346458585</v>
      </c>
      <c r="M38" s="400">
        <f>IF($A38&lt;=baseData,INDEX('LDI - Fluxo de Caixa'!$BD$18:$BT$374,MATCH('Fluxo Projeto'!$A38,'LDI - Fluxo de Caixa'!$C$18:$C$374,0),MATCH('Fluxo Projeto'!M$1,'LDI - Fluxo de Caixa'!$BD$14:$BT$14,0)),-pctImpostoSPE*K37)</f>
        <v>-181672.0662388702</v>
      </c>
      <c r="N38" s="415">
        <f ca="1">IF($A38&lt;=baseData,INDEX('LDI - Fluxo de Caixa'!$BD$18:$BT$374,MATCH($A38,'LDI - Fluxo de Caixa'!$C$18:$C$374,0),MATCH('Fluxo Projeto'!N$1,'LDI - Fluxo de Caixa'!$BD$14:$BT$14,0)),INDEX(Obra!AA:AA,MATCH($A38,Obra!F:F,0)))</f>
        <v>-140101.63123199015</v>
      </c>
      <c r="O38" s="415">
        <f>IF($A38&lt;=baseData,INDEX('LDI - Fluxo de Caixa'!$BD$18:$BT$374,MATCH($A38,'LDI - Fluxo de Caixa'!$C$18:$C$374,0),MATCH('Fluxo Projeto'!O$1,'LDI - Fluxo de Caixa'!$BD$14:$BT$14,0)),IF($A38=entrega,assistTecnicaObra*SUM($N$2:$N$86),0))</f>
        <v>0</v>
      </c>
      <c r="P38" s="415">
        <f>IF($A38&lt;=baseData, INDEX('LDI - Fluxo de Caixa'!$BD$18:$BT$374, MATCH('Fluxo Projeto'!$A38, 'LDI - Fluxo de Caixa'!$C$18:$C$374, 0), MATCH('Fluxo Projeto'!P$1, 'LDI - Fluxo de Caixa'!$BD$14:$BT$14, 0)), -IF($A38&gt;=entrega, INDEX(Curvas!R:R,MATCH($A38,Curvas!B:B,0))*(IPTU+condominio)*'Tabela Vendas'!$Y$22, 0))</f>
        <v>0</v>
      </c>
      <c r="Q38" s="415">
        <f>IF($A38&lt;=baseData, INDEX('LDI - Fluxo de Caixa'!$BD$18:$BT$374, MATCH('Fluxo Projeto'!$A38, 'LDI - Fluxo de Caixa'!$C$18:$C$374, 0), MATCH('Fluxo Projeto'!Q$1, 'LDI - Fluxo de Caixa'!$BD$14:$BT$14, 0)), (-pctIncorporaçaoSPE*SUM($G$4:$H$86)-SUMIF($A$4:$A$86, "&lt;="&amp;baseData, Q$4:Q$86))*(SUM($G38:$H38)/(SUMIF($A$4:$A$86, "&gt;"&amp;baseData, $G$4:$G$86)+SUMIF($A$4:$A$86, "&gt;"&amp;baseData, $H$4:$H$86))))</f>
        <v>-9902.9359137425054</v>
      </c>
      <c r="R38" s="415">
        <f>IF($A38&lt;=baseData, INDEX('LDI - Fluxo de Caixa'!$BD$18:$BT$374, MATCH('Fluxo Projeto'!$A38, 'LDI - Fluxo de Caixa'!$C$18:$C$374, 0), MATCH('Fluxo Projeto'!R$1, 'LDI - Fluxo de Caixa'!$BD$14:$BT$14, 0)), (-pctMarketingSPE*SUM($G$4:$H$86)-SUMIF($A$4:$A$86, "&lt;="&amp;baseData, R$4:R$86))*(SUM($G38:$H38)/(SUMIF($A$4:$A$86, "&gt;"&amp;baseData, $G$4:$G$86)+SUMIF($A$4:$A$86, "&gt;"&amp;baseData, $H$4:$H$86))))</f>
        <v>-18904.94970837951</v>
      </c>
      <c r="S38" s="415">
        <f>IF($A38&lt;=baseData,INDEX('LDI - Fluxo de Caixa'!$BD$18:$BT$374,MATCH($A38,'LDI - Fluxo de Caixa'!$C$18:$C$374,0),MATCH(S$1,'LDI - Fluxo de Caixa'!$BD$14:$BT$14,0)),-pctGestaoSPE*K37)</f>
        <v>-136254.04967915267</v>
      </c>
      <c r="T38" s="415">
        <f>IF($A38&lt;=baseData, INDEX('LDI - Fluxo de Caixa'!$BD$18:$BT$374, MATCH('Fluxo Projeto'!$A38, 'LDI - Fluxo de Caixa'!$C$18:$C$374, 0), MATCH('Fluxo Projeto'!T$1, 'LDI - Fluxo de Caixa'!$BD$14:$BT$14, 0)), (-pctOutrasSPE*SUM($G$4:$H$86)-SUMIF($A$4:$A$86, "&lt;="&amp;baseData, T$4:T$86))*(SUM($G38:$H38)/(SUMIF($A$4:$A$86, "&gt;"&amp;baseData, $G$4:$G$86)+SUMIF($A$4:$A$86, "&gt;"&amp;baseData, $H$4:$H$86))))</f>
        <v>-5993.386197449744</v>
      </c>
      <c r="U38" s="398">
        <f>IF($A38&lt;=baseData, INDEX('LDI - Fluxo de Caixa'!$BD$18:$BT$374, MATCH('Fluxo Projeto'!$A38, 'LDI - Fluxo de Caixa'!$C$18:$C$374, 0), MATCH('Fluxo Projeto'!U$1, 'LDI - Fluxo de Caixa'!$BD$14:$BT$14, 0)), 0)</f>
        <v>0</v>
      </c>
      <c r="V38" s="393">
        <f t="shared" ca="1" si="31"/>
        <v>-492829.01896958478</v>
      </c>
      <c r="X38" s="416">
        <v>0</v>
      </c>
      <c r="Y38" s="417">
        <v>0</v>
      </c>
      <c r="AA38" s="400">
        <f>INDEX('LDI - Fluxo de Caixa'!$BD$18:$BT$374, MATCH('Fluxo Projeto'!$A38, 'LDI - Fluxo de Caixa'!$C$18:$C$374, 0), MATCH('Fluxo Projeto'!AA$1, 'LDI - Fluxo de Caixa'!$BD$14:$BT$14, 0))</f>
        <v>-5199.99999999999</v>
      </c>
      <c r="AB38" s="417">
        <v>0</v>
      </c>
      <c r="AD38" s="393">
        <f t="shared" ca="1" si="32"/>
        <v>817004.32748900028</v>
      </c>
      <c r="AF38" s="393">
        <f>IF($A38&lt;=baseData, INDEX('LDI - Fluxo de Caixa'!$BD$18:$BT$374, MATCH('Fluxo Projeto'!$A38, 'LDI - Fluxo de Caixa'!$C$18:$C$374, 0), MATCH('Fluxo Projeto'!AF$1, 'LDI - Fluxo de Caixa'!$BD$14:$BT$14, 0)), $E38*CDI)</f>
        <v>-3075.4642071711064</v>
      </c>
      <c r="AH38" s="393">
        <f t="shared" ca="1" si="33"/>
        <v>14788951.869253589</v>
      </c>
      <c r="AJ38" s="397">
        <f ca="1">IF($A38&lt;=baseData, INDEX('LDI - Fluxo de Caixa'!$BD$18:$BT$374, MATCH($A38, 'LDI - Fluxo de Caixa'!$C$18:$C$374, 0), MATCH(AJ$1, 'LDI - Fluxo de Caixa'!$BD$14:$BT$14, 0))-J38-I38, IF($A38&lt;inicioDistribuicoes,-IF(AH38&lt;cxMinSPEpreObra,IF(SUM($AD39:$AD50)-cxMinSPEpreObra+AH38&lt;0,SUM($AD39:$AD50)-cxMinSPEpreObra+AH38,IF(AH38&lt;0, AH38-cxMinSPEpreObra, 0)),0), 0))</f>
        <v>0</v>
      </c>
      <c r="AK38" s="398">
        <f t="shared" ca="1" si="39"/>
        <v>0</v>
      </c>
      <c r="AM38" s="393">
        <f t="shared" ca="1" si="34"/>
        <v>14788951.869253589</v>
      </c>
      <c r="AO38" s="393">
        <f t="shared" ref="AO38:AO69" ca="1" si="61">AM38</f>
        <v>14788951.869253589</v>
      </c>
      <c r="AQ38" s="397">
        <f t="shared" ca="1" si="35"/>
        <v>0</v>
      </c>
      <c r="AR38" s="398">
        <f t="shared" ca="1" si="37"/>
        <v>-35463847.709007196</v>
      </c>
      <c r="AT38" s="393">
        <f t="shared" ca="1" si="38"/>
        <v>0</v>
      </c>
      <c r="AV38" s="397">
        <f t="shared" si="40"/>
        <v>1545.4746629561612</v>
      </c>
      <c r="AW38" s="390">
        <f t="shared" si="41"/>
        <v>68.65536322348629</v>
      </c>
      <c r="AX38" s="390">
        <f t="shared" si="42"/>
        <v>0</v>
      </c>
      <c r="AY38" s="390">
        <f t="shared" si="43"/>
        <v>0</v>
      </c>
      <c r="AZ38" s="393">
        <f t="shared" si="44"/>
        <v>1614.1300261796475</v>
      </c>
      <c r="BA38" s="371"/>
      <c r="BB38" s="400">
        <f t="shared" si="45"/>
        <v>-222.99232017497241</v>
      </c>
      <c r="BC38" s="415">
        <f t="shared" ca="1" si="46"/>
        <v>-171.966931711131</v>
      </c>
      <c r="BD38" s="415">
        <f t="shared" si="47"/>
        <v>0</v>
      </c>
      <c r="BE38" s="415">
        <f t="shared" si="48"/>
        <v>0</v>
      </c>
      <c r="BF38" s="415">
        <f t="shared" si="49"/>
        <v>-12.155301041415814</v>
      </c>
      <c r="BG38" s="415">
        <f t="shared" si="50"/>
        <v>-23.204770472086704</v>
      </c>
      <c r="BH38" s="415">
        <f t="shared" si="51"/>
        <v>-167.24424013122933</v>
      </c>
      <c r="BI38" s="415">
        <f t="shared" si="52"/>
        <v>-7.3565470000033679</v>
      </c>
      <c r="BJ38" s="398">
        <f t="shared" si="53"/>
        <v>0</v>
      </c>
      <c r="BK38" s="393">
        <f t="shared" ca="1" si="54"/>
        <v>-604.92011053083866</v>
      </c>
      <c r="BL38" s="371"/>
      <c r="BM38" s="400">
        <f t="shared" si="55"/>
        <v>0</v>
      </c>
      <c r="BN38" s="401">
        <f t="shared" si="56"/>
        <v>0</v>
      </c>
      <c r="BO38" s="371"/>
      <c r="BP38" s="400">
        <f t="shared" si="57"/>
        <v>-6.3827097303182274</v>
      </c>
      <c r="BQ38" s="401">
        <f t="shared" si="58"/>
        <v>0</v>
      </c>
      <c r="BR38" s="371"/>
      <c r="BS38" s="393">
        <f t="shared" si="59"/>
        <v>-3.7749606385300942</v>
      </c>
    </row>
    <row r="39" spans="1:71" x14ac:dyDescent="0.25">
      <c r="A39" s="197">
        <f t="shared" si="36"/>
        <v>44197</v>
      </c>
      <c r="B39" s="388">
        <f>IF($A39&lt;=baseData, INDEX(Indicadores!B:B, MATCH($A39,Indicadores!A:A, 0)), INDEX(Indicadores!B:B, MATCH(baseData,Indicadores!A:A, 0)))</f>
        <v>839.38199999999995</v>
      </c>
      <c r="C39" s="389">
        <f>IF($A39&lt;=baseData, INDEX(Indicadores!E:E, MATCH($A39, Indicadores!A:A, 0)), INDEX(Indicadores!E:E, MATCH(baseData, Indicadores!A:A, 0)))</f>
        <v>5486.52</v>
      </c>
      <c r="E39" s="393">
        <f t="shared" ca="1" si="60"/>
        <v>14788951.869253589</v>
      </c>
      <c r="G39" s="397">
        <f>IF(tipoCarteira="Carteira",INDEX('M-FLUXO DE CAIXA'!$W:$W, MATCH($A39, 'M-FLUXO DE CAIXA'!$V:$V, 0)),IF(DATEDIF(baseData,$A39,"m")&lt;=prazoRepasseCarteira,vlrCarteira/prazoRepasseCarteira,0))+IF(DATEDIF(baseData,$A39,"m")&lt;=curvaInad,vlrInad/curvaInad*(1-PDD),0)</f>
        <v>1154301.1001773241</v>
      </c>
      <c r="H39" s="390">
        <f>IF($A39&gt;baseData, SUMPRODUCT('Tabela Vendas'!$R:$R,'Tabela Vendas'!$V:$V)*INDEX(Curvas!$Z:$Z,MATCH($A39,Curvas!$B:$B,0)), 0)</f>
        <v>63924.106369757144</v>
      </c>
      <c r="I39" s="390">
        <f>IFERROR(INDEX(Permutas!AJ:AJ, MATCH('Fluxo Projeto'!A39, Permutas!N:N, 0)), 0)</f>
        <v>0</v>
      </c>
      <c r="J39" s="390">
        <v>1012520</v>
      </c>
      <c r="K39" s="393">
        <f t="shared" si="30"/>
        <v>2230745.2065470815</v>
      </c>
      <c r="M39" s="400">
        <f>IF($A39&lt;=baseData,INDEX('LDI - Fluxo de Caixa'!$BD$18:$BT$374,MATCH('Fluxo Projeto'!$A39,'LDI - Fluxo de Caixa'!$C$18:$C$374,0),MATCH('Fluxo Projeto'!M$1,'LDI - Fluxo de Caixa'!$BD$14:$BT$14,0)),-pctImpostoSPE*K38)</f>
        <v>-52601.333858343402</v>
      </c>
      <c r="N39" s="415">
        <f ca="1">IF($A39&lt;=baseData,INDEX('LDI - Fluxo de Caixa'!$BD$18:$BT$374,MATCH($A39,'LDI - Fluxo de Caixa'!$C$18:$C$374,0),MATCH('Fluxo Projeto'!N$1,'LDI - Fluxo de Caixa'!$BD$14:$BT$14,0)),INDEX(Obra!AA:AA,MATCH($A39,Obra!F:F,0)))</f>
        <v>-353455.38159413979</v>
      </c>
      <c r="O39" s="415">
        <f>IF($A39&lt;=baseData,INDEX('LDI - Fluxo de Caixa'!$BD$18:$BT$374,MATCH($A39,'LDI - Fluxo de Caixa'!$C$18:$C$374,0),MATCH('Fluxo Projeto'!O$1,'LDI - Fluxo de Caixa'!$BD$14:$BT$14,0)),IF($A39=entrega,assistTecnicaObra*SUM($N$2:$N$86),0))</f>
        <v>0</v>
      </c>
      <c r="P39" s="415">
        <f>IF($A39&lt;=baseData, INDEX('LDI - Fluxo de Caixa'!$BD$18:$BT$374, MATCH('Fluxo Projeto'!$A39, 'LDI - Fluxo de Caixa'!$C$18:$C$374, 0), MATCH('Fluxo Projeto'!P$1, 'LDI - Fluxo de Caixa'!$BD$14:$BT$14, 0)), -IF($A39&gt;=entrega, INDEX(Curvas!R:R,MATCH($A39,Curvas!B:B,0))*(IPTU+condominio)*'Tabela Vendas'!$Y$22, 0))</f>
        <v>0</v>
      </c>
      <c r="Q39" s="415">
        <f>IF($A39&lt;=baseData, INDEX('LDI - Fluxo de Caixa'!$BD$18:$BT$374, MATCH('Fluxo Projeto'!$A39, 'LDI - Fluxo de Caixa'!$C$18:$C$374, 0), MATCH('Fluxo Projeto'!Q$1, 'LDI - Fluxo de Caixa'!$BD$14:$BT$14, 0)), (-pctIncorporaçaoSPE*SUM($G$4:$H$86)-SUMIF($A$4:$A$86, "&lt;="&amp;baseData, Q$4:Q$86))*(SUM($G39:$H39)/(SUMIF($A$4:$A$86, "&gt;"&amp;baseData, $G$4:$G$86)+SUMIF($A$4:$A$86, "&gt;"&amp;baseData, $H$4:$H$86))))</f>
        <v>-9173.9165257140576</v>
      </c>
      <c r="R39" s="415">
        <f>IF($A39&lt;=baseData, INDEX('LDI - Fluxo de Caixa'!$BD$18:$BT$374, MATCH('Fluxo Projeto'!$A39, 'LDI - Fluxo de Caixa'!$C$18:$C$374, 0), MATCH('Fluxo Projeto'!R$1, 'LDI - Fluxo de Caixa'!$BD$14:$BT$14, 0)), (-pctMarketingSPE*SUM($G$4:$H$86)-SUMIF($A$4:$A$86, "&lt;="&amp;baseData, R$4:R$86))*(SUM($G39:$H39)/(SUMIF($A$4:$A$86, "&gt;"&amp;baseData, $G$4:$G$86)+SUMIF($A$4:$A$86, "&gt;"&amp;baseData, $H$4:$H$86))))</f>
        <v>-17513.233656982495</v>
      </c>
      <c r="S39" s="415">
        <f>IF($A39&lt;=baseData,INDEX('LDI - Fluxo de Caixa'!$BD$18:$BT$374,MATCH($A39,'LDI - Fluxo de Caixa'!$C$18:$C$374,0),MATCH(S$1,'LDI - Fluxo de Caixa'!$BD$14:$BT$14,0)),-pctGestaoSPE*K38)</f>
        <v>-39451.000393757546</v>
      </c>
      <c r="T39" s="415">
        <f>IF($A39&lt;=baseData, INDEX('LDI - Fluxo de Caixa'!$BD$18:$BT$374, MATCH('Fluxo Projeto'!$A39, 'LDI - Fluxo de Caixa'!$C$18:$C$374, 0), MATCH('Fluxo Projeto'!T$1, 'LDI - Fluxo de Caixa'!$BD$14:$BT$14, 0)), (-pctOutrasSPE*SUM($G$4:$H$86)-SUMIF($A$4:$A$86, "&lt;="&amp;baseData, T$4:T$86))*(SUM($G39:$H39)/(SUMIF($A$4:$A$86, "&gt;"&amp;baseData, $G$4:$G$86)+SUMIF($A$4:$A$86, "&gt;"&amp;baseData, $H$4:$H$86))))</f>
        <v>-5552.174139132816</v>
      </c>
      <c r="U39" s="398">
        <f>IF($A39&lt;=baseData, INDEX('LDI - Fluxo de Caixa'!$BD$18:$BT$374, MATCH('Fluxo Projeto'!$A39, 'LDI - Fluxo de Caixa'!$C$18:$C$374, 0), MATCH('Fluxo Projeto'!U$1, 'LDI - Fluxo de Caixa'!$BD$14:$BT$14, 0)), 0)</f>
        <v>0</v>
      </c>
      <c r="V39" s="393">
        <f t="shared" ca="1" si="31"/>
        <v>-477747.04016807012</v>
      </c>
      <c r="X39" s="416">
        <v>0</v>
      </c>
      <c r="Y39" s="417">
        <v>0</v>
      </c>
      <c r="AA39" s="400">
        <f>INDEX('LDI - Fluxo de Caixa'!$BD$18:$BT$374, MATCH('Fluxo Projeto'!$A39, 'LDI - Fluxo de Caixa'!$C$18:$C$374, 0), MATCH('Fluxo Projeto'!AA$1, 'LDI - Fluxo de Caixa'!$BD$14:$BT$14, 0))</f>
        <v>-5199.99999999999</v>
      </c>
      <c r="AB39" s="417">
        <v>0</v>
      </c>
      <c r="AD39" s="393">
        <f t="shared" ca="1" si="32"/>
        <v>1747798.1663790112</v>
      </c>
      <c r="AF39" s="393">
        <f ca="1">IF($A39&lt;=baseData, INDEX('LDI - Fluxo de Caixa'!$BD$18:$BT$374, MATCH('Fluxo Projeto'!$A39, 'LDI - Fluxo de Caixa'!$C$18:$C$374, 0), MATCH('Fluxo Projeto'!AF$1, 'LDI - Fluxo de Caixa'!$BD$14:$BT$14, 0)), $E39*CDI)</f>
        <v>-3254.5844193623184</v>
      </c>
      <c r="AH39" s="393">
        <f t="shared" ca="1" si="33"/>
        <v>16533495.451213241</v>
      </c>
      <c r="AJ39" s="397">
        <f ca="1">IF($A39&lt;=baseData, INDEX('LDI - Fluxo de Caixa'!$BD$18:$BT$374, MATCH($A39, 'LDI - Fluxo de Caixa'!$C$18:$C$374, 0), MATCH(AJ$1, 'LDI - Fluxo de Caixa'!$BD$14:$BT$14, 0))-J39-I39, IF($A39&lt;inicioDistribuicoes,-IF(AH39&lt;cxMinSPEpreObra,IF(SUM($AD40:$AD51)-cxMinSPEpreObra+AH39&lt;0,SUM($AD40:$AD51)-cxMinSPEpreObra+AH39,IF(AH39&lt;0, AH39-cxMinSPEpreObra, 0)),0), 0))</f>
        <v>0</v>
      </c>
      <c r="AK39" s="398">
        <f t="shared" ca="1" si="39"/>
        <v>0</v>
      </c>
      <c r="AM39" s="393">
        <f t="shared" ca="1" si="34"/>
        <v>16533495.451213241</v>
      </c>
      <c r="AO39" s="393">
        <f t="shared" ca="1" si="61"/>
        <v>16533495.451213241</v>
      </c>
      <c r="AQ39" s="397">
        <f t="shared" ca="1" si="35"/>
        <v>0</v>
      </c>
      <c r="AR39" s="398">
        <f t="shared" ca="1" si="37"/>
        <v>-35463847.709007196</v>
      </c>
      <c r="AT39" s="393">
        <f t="shared" ca="1" si="38"/>
        <v>0</v>
      </c>
      <c r="AV39" s="397">
        <f t="shared" si="40"/>
        <v>1416.8401661190107</v>
      </c>
      <c r="AW39" s="390">
        <f t="shared" si="41"/>
        <v>78.463272255412903</v>
      </c>
      <c r="AX39" s="390">
        <f t="shared" si="42"/>
        <v>0</v>
      </c>
      <c r="AY39" s="390">
        <f t="shared" si="43"/>
        <v>1242.8117800272737</v>
      </c>
      <c r="AZ39" s="393">
        <f t="shared" si="44"/>
        <v>2738.1152184016973</v>
      </c>
      <c r="BA39" s="371"/>
      <c r="BB39" s="400">
        <f t="shared" si="45"/>
        <v>-64.565201047185894</v>
      </c>
      <c r="BC39" s="415">
        <f t="shared" ca="1" si="46"/>
        <v>-433.84675064120432</v>
      </c>
      <c r="BD39" s="415">
        <f t="shared" si="47"/>
        <v>0</v>
      </c>
      <c r="BE39" s="415">
        <f t="shared" si="48"/>
        <v>0</v>
      </c>
      <c r="BF39" s="415">
        <f t="shared" si="49"/>
        <v>-11.260470437269694</v>
      </c>
      <c r="BG39" s="415">
        <f t="shared" si="50"/>
        <v>-21.49651670610751</v>
      </c>
      <c r="BH39" s="415">
        <f t="shared" si="51"/>
        <v>-48.423900785389421</v>
      </c>
      <c r="BI39" s="415">
        <f t="shared" si="52"/>
        <v>-6.8149838273585228</v>
      </c>
      <c r="BJ39" s="398">
        <f t="shared" si="53"/>
        <v>0</v>
      </c>
      <c r="BK39" s="393">
        <f t="shared" ca="1" si="54"/>
        <v>-586.40782344451532</v>
      </c>
      <c r="BL39" s="371"/>
      <c r="BM39" s="400">
        <f t="shared" si="55"/>
        <v>0</v>
      </c>
      <c r="BN39" s="401">
        <f t="shared" si="56"/>
        <v>0</v>
      </c>
      <c r="BO39" s="371"/>
      <c r="BP39" s="400">
        <f t="shared" si="57"/>
        <v>-6.3827097303182274</v>
      </c>
      <c r="BQ39" s="401">
        <f t="shared" si="58"/>
        <v>0</v>
      </c>
      <c r="BR39" s="371"/>
      <c r="BS39" s="393">
        <f t="shared" ca="1" si="59"/>
        <v>-3.9948207003088476</v>
      </c>
    </row>
    <row r="40" spans="1:71" x14ac:dyDescent="0.25">
      <c r="A40" s="197">
        <f t="shared" si="36"/>
        <v>44228</v>
      </c>
      <c r="B40" s="388">
        <f>IF($A40&lt;=baseData, INDEX(Indicadores!B:B, MATCH($A40,Indicadores!A:A, 0)), INDEX(Indicadores!B:B, MATCH(baseData,Indicadores!A:A, 0)))</f>
        <v>839.38199999999995</v>
      </c>
      <c r="C40" s="389">
        <f>IF($A40&lt;=baseData, INDEX(Indicadores!E:E, MATCH($A40, Indicadores!A:A, 0)), INDEX(Indicadores!E:E, MATCH(baseData, Indicadores!A:A, 0)))</f>
        <v>5486.52</v>
      </c>
      <c r="E40" s="393">
        <f t="shared" ca="1" si="60"/>
        <v>16533495.451213241</v>
      </c>
      <c r="G40" s="397">
        <f>IF(tipoCarteira="Carteira",INDEX('M-FLUXO DE CAIXA'!$W:$W, MATCH($A40, 'M-FLUXO DE CAIXA'!$V:$V, 0)),IF(DATEDIF(baseData,$A40,"m")&lt;=prazoRepasseCarteira,vlrCarteira/prazoRepasseCarteira,0))+IF(DATEDIF(baseData,$A40,"m")&lt;=curvaInad,vlrInad/curvaInad*(1-PDD),0)</f>
        <v>599271.7585906107</v>
      </c>
      <c r="H40" s="390">
        <f>IF($A40&gt;baseData, SUMPRODUCT('Tabela Vendas'!$R:$R,'Tabela Vendas'!$V:$V)*INDEX(Curvas!$Z:$Z,MATCH($A40,Curvas!$B:$B,0)), 0)</f>
        <v>72210.564602873812</v>
      </c>
      <c r="I40" s="390">
        <f>IFERROR(INDEX(Permutas!AJ:AJ, MATCH('Fluxo Projeto'!A40, Permutas!N:N, 0)), 0)</f>
        <v>0</v>
      </c>
      <c r="J40" s="390">
        <v>0</v>
      </c>
      <c r="K40" s="393">
        <f t="shared" si="30"/>
        <v>671482.32319348445</v>
      </c>
      <c r="M40" s="400">
        <f>IF($A40&lt;=baseData,INDEX('LDI - Fluxo de Caixa'!$BD$18:$BT$374,MATCH('Fluxo Projeto'!$A40,'LDI - Fluxo de Caixa'!$C$18:$C$374,0),MATCH('Fluxo Projeto'!M$1,'LDI - Fluxo de Caixa'!$BD$14:$BT$14,0)),-pctImpostoSPE*K39)</f>
        <v>-89229.808261883256</v>
      </c>
      <c r="N40" s="415">
        <f ca="1">IF($A40&lt;=baseData,INDEX('LDI - Fluxo de Caixa'!$BD$18:$BT$374,MATCH($A40,'LDI - Fluxo de Caixa'!$C$18:$C$374,0),MATCH('Fluxo Projeto'!N$1,'LDI - Fluxo de Caixa'!$BD$14:$BT$14,0)),INDEX(Obra!AA:AA,MATCH($A40,Obra!F:F,0)))</f>
        <v>-1201983.4054024629</v>
      </c>
      <c r="O40" s="415">
        <f>IF($A40&lt;=baseData,INDEX('LDI - Fluxo de Caixa'!$BD$18:$BT$374,MATCH($A40,'LDI - Fluxo de Caixa'!$C$18:$C$374,0),MATCH('Fluxo Projeto'!O$1,'LDI - Fluxo de Caixa'!$BD$14:$BT$14,0)),IF($A40=entrega,assistTecnicaObra*SUM($N$2:$N$86),0))</f>
        <v>0</v>
      </c>
      <c r="P40" s="415">
        <f>IF($A40&lt;=baseData, INDEX('LDI - Fluxo de Caixa'!$BD$18:$BT$374, MATCH('Fluxo Projeto'!$A40, 'LDI - Fluxo de Caixa'!$C$18:$C$374, 0), MATCH('Fluxo Projeto'!P$1, 'LDI - Fluxo de Caixa'!$BD$14:$BT$14, 0)), -IF($A40&gt;=entrega, INDEX(Curvas!R:R,MATCH($A40,Curvas!B:B,0))*(IPTU+condominio)*'Tabela Vendas'!$Y$22, 0))</f>
        <v>0</v>
      </c>
      <c r="Q40" s="415">
        <f>IF($A40&lt;=baseData, INDEX('LDI - Fluxo de Caixa'!$BD$18:$BT$374, MATCH('Fluxo Projeto'!$A40, 'LDI - Fluxo de Caixa'!$C$18:$C$374, 0), MATCH('Fluxo Projeto'!Q$1, 'LDI - Fluxo de Caixa'!$BD$14:$BT$14, 0)), (-pctIncorporaçaoSPE*SUM($G$4:$H$86)-SUMIF($A$4:$A$86, "&lt;="&amp;baseData, Q$4:Q$86))*(SUM($G40:$H40)/(SUMIF($A$4:$A$86, "&gt;"&amp;baseData, $G$4:$G$86)+SUMIF($A$4:$A$86, "&gt;"&amp;baseData, $H$4:$H$86))))</f>
        <v>-5056.6371048336223</v>
      </c>
      <c r="R40" s="415">
        <f>IF($A40&lt;=baseData, INDEX('LDI - Fluxo de Caixa'!$BD$18:$BT$374, MATCH('Fluxo Projeto'!$A40, 'LDI - Fluxo de Caixa'!$C$18:$C$374, 0), MATCH('Fluxo Projeto'!R$1, 'LDI - Fluxo de Caixa'!$BD$14:$BT$14, 0)), (-pctMarketingSPE*SUM($G$4:$H$86)-SUMIF($A$4:$A$86, "&lt;="&amp;baseData, R$4:R$86))*(SUM($G40:$H40)/(SUMIF($A$4:$A$86, "&gt;"&amp;baseData, $G$4:$G$86)+SUMIF($A$4:$A$86, "&gt;"&amp;baseData, $H$4:$H$86))))</f>
        <v>-9653.2453600699992</v>
      </c>
      <c r="S40" s="415">
        <f>IF($A40&lt;=baseData,INDEX('LDI - Fluxo de Caixa'!$BD$18:$BT$374,MATCH($A40,'LDI - Fluxo de Caixa'!$C$18:$C$374,0),MATCH(S$1,'LDI - Fluxo de Caixa'!$BD$14:$BT$14,0)),-pctGestaoSPE*K39)</f>
        <v>-66922.356196412438</v>
      </c>
      <c r="T40" s="415">
        <f>IF($A40&lt;=baseData, INDEX('LDI - Fluxo de Caixa'!$BD$18:$BT$374, MATCH('Fluxo Projeto'!$A40, 'LDI - Fluxo de Caixa'!$C$18:$C$374, 0), MATCH('Fluxo Projeto'!T$1, 'LDI - Fluxo de Caixa'!$BD$14:$BT$14, 0)), (-pctOutrasSPE*SUM($G$4:$H$86)-SUMIF($A$4:$A$86, "&lt;="&amp;baseData, T$4:T$86))*(SUM($G40:$H40)/(SUMIF($A$4:$A$86, "&gt;"&amp;baseData, $G$4:$G$86)+SUMIF($A$4:$A$86, "&gt;"&amp;baseData, $H$4:$H$86))))</f>
        <v>-3060.3428411129357</v>
      </c>
      <c r="U40" s="398">
        <f>IF($A40&lt;=baseData, INDEX('LDI - Fluxo de Caixa'!$BD$18:$BT$374, MATCH('Fluxo Projeto'!$A40, 'LDI - Fluxo de Caixa'!$C$18:$C$374, 0), MATCH('Fluxo Projeto'!U$1, 'LDI - Fluxo de Caixa'!$BD$14:$BT$14, 0)), 0)</f>
        <v>0</v>
      </c>
      <c r="V40" s="393">
        <f t="shared" ca="1" si="31"/>
        <v>-1375905.7951667751</v>
      </c>
      <c r="X40" s="416">
        <v>0</v>
      </c>
      <c r="Y40" s="417">
        <v>0</v>
      </c>
      <c r="AA40" s="400">
        <f>INDEX('LDI - Fluxo de Caixa'!$BD$18:$BT$374, MATCH('Fluxo Projeto'!$A40, 'LDI - Fluxo de Caixa'!$C$18:$C$374, 0), MATCH('Fluxo Projeto'!AA$1, 'LDI - Fluxo de Caixa'!$BD$14:$BT$14, 0))</f>
        <v>-17517.909999999902</v>
      </c>
      <c r="AB40" s="417">
        <v>0</v>
      </c>
      <c r="AD40" s="393">
        <f t="shared" ca="1" si="32"/>
        <v>-721941.38197329058</v>
      </c>
      <c r="AF40" s="393">
        <f ca="1">IF($A40&lt;=baseData, INDEX('LDI - Fluxo de Caixa'!$BD$18:$BT$374, MATCH('Fluxo Projeto'!$A40, 'LDI - Fluxo de Caixa'!$C$18:$C$374, 0), MATCH('Fluxo Projeto'!AF$1, 'LDI - Fluxo de Caixa'!$BD$14:$BT$14, 0)), $E40*CDI)</f>
        <v>-3638.5037404163377</v>
      </c>
      <c r="AH40" s="393">
        <f t="shared" ca="1" si="33"/>
        <v>15807915.565499531</v>
      </c>
      <c r="AJ40" s="397">
        <f ca="1">IF($A40&lt;=baseData, INDEX('LDI - Fluxo de Caixa'!$BD$18:$BT$374, MATCH($A40, 'LDI - Fluxo de Caixa'!$C$18:$C$374, 0), MATCH(AJ$1, 'LDI - Fluxo de Caixa'!$BD$14:$BT$14, 0))-J40-I40, IF($A40&lt;inicioDistribuicoes,-IF(AH40&lt;cxMinSPEpreObra,IF(SUM($AD41:$AD52)-cxMinSPEpreObra+AH40&lt;0,SUM($AD41:$AD52)-cxMinSPEpreObra+AH40,IF(AH40&lt;0, AH40-cxMinSPEpreObra, 0)),0), 0))</f>
        <v>0</v>
      </c>
      <c r="AK40" s="398">
        <f t="shared" ca="1" si="39"/>
        <v>0</v>
      </c>
      <c r="AM40" s="393">
        <f t="shared" ca="1" si="34"/>
        <v>15807915.565499531</v>
      </c>
      <c r="AO40" s="393">
        <f t="shared" ca="1" si="61"/>
        <v>15807915.565499531</v>
      </c>
      <c r="AQ40" s="397">
        <f t="shared" ca="1" si="35"/>
        <v>0</v>
      </c>
      <c r="AR40" s="398">
        <f t="shared" ca="1" si="37"/>
        <v>-35463847.709007196</v>
      </c>
      <c r="AT40" s="393">
        <f t="shared" ca="1" si="38"/>
        <v>0</v>
      </c>
      <c r="AV40" s="397">
        <f t="shared" si="40"/>
        <v>735.57263166561802</v>
      </c>
      <c r="AW40" s="390">
        <f t="shared" si="41"/>
        <v>88.634437177410859</v>
      </c>
      <c r="AX40" s="390">
        <f t="shared" si="42"/>
        <v>0</v>
      </c>
      <c r="AY40" s="390">
        <f t="shared" si="43"/>
        <v>0</v>
      </c>
      <c r="AZ40" s="393">
        <f t="shared" si="44"/>
        <v>824.20706884302888</v>
      </c>
      <c r="BA40" s="371"/>
      <c r="BB40" s="400">
        <f t="shared" si="45"/>
        <v>-109.5246087360679</v>
      </c>
      <c r="BC40" s="415">
        <f t="shared" ca="1" si="46"/>
        <v>-1475.3675341044909</v>
      </c>
      <c r="BD40" s="415">
        <f t="shared" si="47"/>
        <v>0</v>
      </c>
      <c r="BE40" s="415">
        <f t="shared" si="48"/>
        <v>0</v>
      </c>
      <c r="BF40" s="415">
        <f t="shared" si="49"/>
        <v>-6.2067397791749634</v>
      </c>
      <c r="BG40" s="415">
        <f t="shared" si="50"/>
        <v>-11.848819824782343</v>
      </c>
      <c r="BH40" s="415">
        <f t="shared" si="51"/>
        <v>-82.143456552050921</v>
      </c>
      <c r="BI40" s="415">
        <f t="shared" si="52"/>
        <v>-3.7564000057848652</v>
      </c>
      <c r="BJ40" s="398">
        <f t="shared" si="53"/>
        <v>0</v>
      </c>
      <c r="BK40" s="393">
        <f t="shared" ca="1" si="54"/>
        <v>-1688.847559002352</v>
      </c>
      <c r="BL40" s="371"/>
      <c r="BM40" s="400">
        <f t="shared" si="55"/>
        <v>0</v>
      </c>
      <c r="BN40" s="401">
        <f t="shared" si="56"/>
        <v>0</v>
      </c>
      <c r="BO40" s="371"/>
      <c r="BP40" s="400">
        <f t="shared" si="57"/>
        <v>-21.5022566561228</v>
      </c>
      <c r="BQ40" s="401">
        <f t="shared" si="58"/>
        <v>0</v>
      </c>
      <c r="BR40" s="371"/>
      <c r="BS40" s="393">
        <f t="shared" ca="1" si="59"/>
        <v>-4.4660602361066672</v>
      </c>
    </row>
    <row r="41" spans="1:71" x14ac:dyDescent="0.25">
      <c r="A41" s="197">
        <f t="shared" si="36"/>
        <v>44256</v>
      </c>
      <c r="B41" s="388">
        <f>IF($A41&lt;=baseData, INDEX(Indicadores!B:B, MATCH($A41,Indicadores!A:A, 0)), INDEX(Indicadores!B:B, MATCH(baseData,Indicadores!A:A, 0)))</f>
        <v>839.38199999999995</v>
      </c>
      <c r="C41" s="389">
        <f>IF($A41&lt;=baseData, INDEX(Indicadores!E:E, MATCH($A41, Indicadores!A:A, 0)), INDEX(Indicadores!E:E, MATCH(baseData, Indicadores!A:A, 0)))</f>
        <v>5486.52</v>
      </c>
      <c r="E41" s="393">
        <f t="shared" ca="1" si="60"/>
        <v>15807915.565499531</v>
      </c>
      <c r="G41" s="397">
        <f>IF(tipoCarteira="Carteira",INDEX('M-FLUXO DE CAIXA'!$W:$W, MATCH($A41, 'M-FLUXO DE CAIXA'!$V:$V, 0)),IF(DATEDIF(baseData,$A41,"m")&lt;=prazoRepasseCarteira,vlrCarteira/prazoRepasseCarteira,0))+IF(DATEDIF(baseData,$A41,"m")&lt;=curvaInad,vlrInad/curvaInad*(1-PDD),0)</f>
        <v>775665.94490954711</v>
      </c>
      <c r="H41" s="390">
        <f>IF($A41&gt;baseData, SUMPRODUCT('Tabela Vendas'!$R:$R,'Tabela Vendas'!$V:$V)*INDEX(Curvas!$Z:$Z,MATCH($A41,Curvas!$B:$B,0)), 0)</f>
        <v>80815.732768033427</v>
      </c>
      <c r="I41" s="390">
        <f>IFERROR(INDEX(Permutas!AJ:AJ, MATCH('Fluxo Projeto'!A41, Permutas!N:N, 0)), 0)</f>
        <v>0</v>
      </c>
      <c r="J41" s="390">
        <v>0</v>
      </c>
      <c r="K41" s="393">
        <f t="shared" si="30"/>
        <v>856481.6776775805</v>
      </c>
      <c r="M41" s="400">
        <f>IF($A41&lt;=baseData,INDEX('LDI - Fluxo de Caixa'!$BD$18:$BT$374,MATCH('Fluxo Projeto'!$A41,'LDI - Fluxo de Caixa'!$C$18:$C$374,0),MATCH('Fluxo Projeto'!M$1,'LDI - Fluxo de Caixa'!$BD$14:$BT$14,0)),-pctImpostoSPE*K40)</f>
        <v>-26859.292927739378</v>
      </c>
      <c r="N41" s="415">
        <f ca="1">IF($A41&lt;=baseData,INDEX('LDI - Fluxo de Caixa'!$BD$18:$BT$374,MATCH($A41,'LDI - Fluxo de Caixa'!$C$18:$C$374,0),MATCH('Fluxo Projeto'!N$1,'LDI - Fluxo de Caixa'!$BD$14:$BT$14,0)),INDEX(Obra!AA:AA,MATCH($A41,Obra!F:F,0)))</f>
        <v>-1635010.2327410774</v>
      </c>
      <c r="O41" s="415">
        <f>IF($A41&lt;=baseData,INDEX('LDI - Fluxo de Caixa'!$BD$18:$BT$374,MATCH($A41,'LDI - Fluxo de Caixa'!$C$18:$C$374,0),MATCH('Fluxo Projeto'!O$1,'LDI - Fluxo de Caixa'!$BD$14:$BT$14,0)),IF($A41=entrega,assistTecnicaObra*SUM($N$2:$N$86),0))</f>
        <v>0</v>
      </c>
      <c r="P41" s="415">
        <f>IF($A41&lt;=baseData, INDEX('LDI - Fluxo de Caixa'!$BD$18:$BT$374, MATCH('Fluxo Projeto'!$A41, 'LDI - Fluxo de Caixa'!$C$18:$C$374, 0), MATCH('Fluxo Projeto'!P$1, 'LDI - Fluxo de Caixa'!$BD$14:$BT$14, 0)), -IF($A41&gt;=entrega, INDEX(Curvas!R:R,MATCH($A41,Curvas!B:B,0))*(IPTU+condominio)*'Tabela Vendas'!$Y$22, 0))</f>
        <v>0</v>
      </c>
      <c r="Q41" s="415">
        <f>IF($A41&lt;=baseData, INDEX('LDI - Fluxo de Caixa'!$BD$18:$BT$374, MATCH('Fluxo Projeto'!$A41, 'LDI - Fluxo de Caixa'!$C$18:$C$374, 0), MATCH('Fluxo Projeto'!Q$1, 'LDI - Fluxo de Caixa'!$BD$14:$BT$14, 0)), (-pctIncorporaçaoSPE*SUM($G$4:$H$86)-SUMIF($A$4:$A$86, "&lt;="&amp;baseData, Q$4:Q$86))*(SUM($G41:$H41)/(SUMIF($A$4:$A$86, "&gt;"&amp;baseData, $G$4:$G$86)+SUMIF($A$4:$A$86, "&gt;"&amp;baseData, $H$4:$H$86))))</f>
        <v>-6449.7856181191992</v>
      </c>
      <c r="R41" s="415">
        <f>IF($A41&lt;=baseData, INDEX('LDI - Fluxo de Caixa'!$BD$18:$BT$374, MATCH('Fluxo Projeto'!$A41, 'LDI - Fluxo de Caixa'!$C$18:$C$374, 0), MATCH('Fluxo Projeto'!R$1, 'LDI - Fluxo de Caixa'!$BD$14:$BT$14, 0)), (-pctMarketingSPE*SUM($G$4:$H$86)-SUMIF($A$4:$A$86, "&lt;="&amp;baseData, R$4:R$86))*(SUM($G41:$H41)/(SUMIF($A$4:$A$86, "&gt;"&amp;baseData, $G$4:$G$86)+SUMIF($A$4:$A$86, "&gt;"&amp;baseData, $H$4:$H$86))))</f>
        <v>-12312.800345518161</v>
      </c>
      <c r="S41" s="415">
        <f>IF($A41&lt;=baseData,INDEX('LDI - Fluxo de Caixa'!$BD$18:$BT$374,MATCH($A41,'LDI - Fluxo de Caixa'!$C$18:$C$374,0),MATCH(S$1,'LDI - Fluxo de Caixa'!$BD$14:$BT$14,0)),-pctGestaoSPE*K40)</f>
        <v>-20144.469695804532</v>
      </c>
      <c r="T41" s="415">
        <f>IF($A41&lt;=baseData, INDEX('LDI - Fluxo de Caixa'!$BD$18:$BT$374, MATCH('Fluxo Projeto'!$A41, 'LDI - Fluxo de Caixa'!$C$18:$C$374, 0), MATCH('Fluxo Projeto'!T$1, 'LDI - Fluxo de Caixa'!$BD$14:$BT$14, 0)), (-pctOutrasSPE*SUM($G$4:$H$86)-SUMIF($A$4:$A$86, "&lt;="&amp;baseData, T$4:T$86))*(SUM($G41:$H41)/(SUMIF($A$4:$A$86, "&gt;"&amp;baseData, $G$4:$G$86)+SUMIF($A$4:$A$86, "&gt;"&amp;baseData, $H$4:$H$86))))</f>
        <v>-3903.4945229224077</v>
      </c>
      <c r="U41" s="398">
        <f>IF($A41&lt;=baseData, INDEX('LDI - Fluxo de Caixa'!$BD$18:$BT$374, MATCH('Fluxo Projeto'!$A41, 'LDI - Fluxo de Caixa'!$C$18:$C$374, 0), MATCH('Fluxo Projeto'!U$1, 'LDI - Fluxo de Caixa'!$BD$14:$BT$14, 0)), 0)</f>
        <v>0</v>
      </c>
      <c r="V41" s="393">
        <f t="shared" ca="1" si="31"/>
        <v>-1704680.0758511813</v>
      </c>
      <c r="X41" s="416">
        <v>0</v>
      </c>
      <c r="Y41" s="417">
        <v>0</v>
      </c>
      <c r="AA41" s="400">
        <f>INDEX('LDI - Fluxo de Caixa'!$BD$18:$BT$374, MATCH('Fluxo Projeto'!$A41, 'LDI - Fluxo de Caixa'!$C$18:$C$374, 0), MATCH('Fluxo Projeto'!AA$1, 'LDI - Fluxo de Caixa'!$BD$14:$BT$14, 0))</f>
        <v>-17517.909999999902</v>
      </c>
      <c r="AB41" s="417">
        <v>0</v>
      </c>
      <c r="AD41" s="393">
        <f t="shared" ca="1" si="32"/>
        <v>-865716.3081736007</v>
      </c>
      <c r="AF41" s="393">
        <f ca="1">IF($A41&lt;=baseData, INDEX('LDI - Fluxo de Caixa'!$BD$18:$BT$374, MATCH('Fluxo Projeto'!$A41, 'LDI - Fluxo de Caixa'!$C$18:$C$374, 0), MATCH('Fluxo Projeto'!AF$1, 'LDI - Fluxo de Caixa'!$BD$14:$BT$14, 0)), $E41*CDI)</f>
        <v>-3478.8263669334992</v>
      </c>
      <c r="AH41" s="393">
        <f t="shared" ca="1" si="33"/>
        <v>14938720.430958997</v>
      </c>
      <c r="AJ41" s="397">
        <f ca="1">IF($A41&lt;=baseData, INDEX('LDI - Fluxo de Caixa'!$BD$18:$BT$374, MATCH($A41, 'LDI - Fluxo de Caixa'!$C$18:$C$374, 0), MATCH(AJ$1, 'LDI - Fluxo de Caixa'!$BD$14:$BT$14, 0))-J41-I41, IF($A41&lt;inicioDistribuicoes,-IF(AH41&lt;cxMinSPEpreObra,IF(SUM($AD42:$AD53)-cxMinSPEpreObra+AH41&lt;0,SUM($AD42:$AD53)-cxMinSPEpreObra+AH41,IF(AH41&lt;0, AH41-cxMinSPEpreObra, 0)),0), 0))</f>
        <v>0</v>
      </c>
      <c r="AK41" s="398">
        <f t="shared" ca="1" si="39"/>
        <v>0</v>
      </c>
      <c r="AM41" s="393">
        <f t="shared" ca="1" si="34"/>
        <v>14938720.430958997</v>
      </c>
      <c r="AO41" s="393">
        <f t="shared" ca="1" si="61"/>
        <v>14938720.430958997</v>
      </c>
      <c r="AQ41" s="397">
        <f t="shared" ca="1" si="35"/>
        <v>0</v>
      </c>
      <c r="AR41" s="398">
        <f t="shared" ca="1" si="37"/>
        <v>-35463847.709007196</v>
      </c>
      <c r="AT41" s="393">
        <f t="shared" ca="1" si="38"/>
        <v>0</v>
      </c>
      <c r="AV41" s="397">
        <f t="shared" si="40"/>
        <v>952.08664885589576</v>
      </c>
      <c r="AW41" s="390">
        <f t="shared" si="41"/>
        <v>99.196800750254909</v>
      </c>
      <c r="AX41" s="390">
        <f t="shared" si="42"/>
        <v>0</v>
      </c>
      <c r="AY41" s="390">
        <f t="shared" si="43"/>
        <v>0</v>
      </c>
      <c r="AZ41" s="393">
        <f t="shared" si="44"/>
        <v>1051.2834496061507</v>
      </c>
      <c r="BA41" s="371"/>
      <c r="BB41" s="400">
        <f t="shared" si="45"/>
        <v>-32.968282753721155</v>
      </c>
      <c r="BC41" s="415">
        <f t="shared" ca="1" si="46"/>
        <v>-2006.8837926319932</v>
      </c>
      <c r="BD41" s="415">
        <f t="shared" si="47"/>
        <v>0</v>
      </c>
      <c r="BE41" s="415">
        <f t="shared" si="48"/>
        <v>0</v>
      </c>
      <c r="BF41" s="415">
        <f t="shared" si="49"/>
        <v>-7.9167518121607792</v>
      </c>
      <c r="BG41" s="415">
        <f t="shared" si="50"/>
        <v>-15.113275110154719</v>
      </c>
      <c r="BH41" s="415">
        <f t="shared" si="51"/>
        <v>-24.726212065290863</v>
      </c>
      <c r="BI41" s="415">
        <f t="shared" si="52"/>
        <v>-4.7913216295578467</v>
      </c>
      <c r="BJ41" s="398">
        <f t="shared" si="53"/>
        <v>0</v>
      </c>
      <c r="BK41" s="393">
        <f t="shared" ca="1" si="54"/>
        <v>-2092.3996360028782</v>
      </c>
      <c r="BL41" s="371"/>
      <c r="BM41" s="400">
        <f t="shared" si="55"/>
        <v>0</v>
      </c>
      <c r="BN41" s="401">
        <f t="shared" si="56"/>
        <v>0</v>
      </c>
      <c r="BO41" s="371"/>
      <c r="BP41" s="400">
        <f t="shared" si="57"/>
        <v>-21.5022566561228</v>
      </c>
      <c r="BQ41" s="401">
        <f t="shared" si="58"/>
        <v>0</v>
      </c>
      <c r="BR41" s="371"/>
      <c r="BS41" s="393">
        <f t="shared" ca="1" si="59"/>
        <v>-4.2700651735219415</v>
      </c>
    </row>
    <row r="42" spans="1:71" x14ac:dyDescent="0.25">
      <c r="A42" s="197">
        <f t="shared" si="36"/>
        <v>44287</v>
      </c>
      <c r="B42" s="388">
        <f>IF($A42&lt;=baseData, INDEX(Indicadores!B:B, MATCH($A42,Indicadores!A:A, 0)), INDEX(Indicadores!B:B, MATCH(baseData,Indicadores!A:A, 0)))</f>
        <v>839.38199999999995</v>
      </c>
      <c r="C42" s="389">
        <f>IF($A42&lt;=baseData, INDEX(Indicadores!E:E, MATCH($A42, Indicadores!A:A, 0)), INDEX(Indicadores!E:E, MATCH(baseData, Indicadores!A:A, 0)))</f>
        <v>5486.52</v>
      </c>
      <c r="E42" s="393">
        <f t="shared" ca="1" si="60"/>
        <v>14938720.430958997</v>
      </c>
      <c r="G42" s="397">
        <f>IF(tipoCarteira="Carteira",INDEX('M-FLUXO DE CAIXA'!$W:$W, MATCH($A42, 'M-FLUXO DE CAIXA'!$V:$V, 0)),IF(DATEDIF(baseData,$A42,"m")&lt;=prazoRepasseCarteira,vlrCarteira/prazoRepasseCarteira,0))+IF(DATEDIF(baseData,$A42,"m")&lt;=curvaInad,vlrInad/curvaInad*(1-PDD),0)</f>
        <v>689283.14728691743</v>
      </c>
      <c r="H42" s="390">
        <f>IF($A42&gt;baseData, SUMPRODUCT('Tabela Vendas'!$R:$R,'Tabela Vendas'!$V:$V)*INDEX(Curvas!$Z:$Z,MATCH($A42,Curvas!$B:$B,0)), 0)</f>
        <v>89765.107659799425</v>
      </c>
      <c r="I42" s="390">
        <f>IFERROR(INDEX(Permutas!AJ:AJ, MATCH('Fluxo Projeto'!A42, Permutas!N:N, 0)), 0)</f>
        <v>0</v>
      </c>
      <c r="J42" s="390">
        <v>0</v>
      </c>
      <c r="K42" s="393">
        <f t="shared" si="30"/>
        <v>779048.25494671683</v>
      </c>
      <c r="M42" s="400">
        <f>IF($A42&lt;=baseData,INDEX('LDI - Fluxo de Caixa'!$BD$18:$BT$374,MATCH('Fluxo Projeto'!$A42,'LDI - Fluxo de Caixa'!$C$18:$C$374,0),MATCH('Fluxo Projeto'!M$1,'LDI - Fluxo de Caixa'!$BD$14:$BT$14,0)),-pctImpostoSPE*K41)</f>
        <v>-34259.267107103224</v>
      </c>
      <c r="N42" s="415">
        <f ca="1">IF($A42&lt;=baseData,INDEX('LDI - Fluxo de Caixa'!$BD$18:$BT$374,MATCH($A42,'LDI - Fluxo de Caixa'!$C$18:$C$374,0),MATCH('Fluxo Projeto'!N$1,'LDI - Fluxo de Caixa'!$BD$14:$BT$14,0)),INDEX(Obra!AA:AA,MATCH($A42,Obra!F:F,0)))</f>
        <v>-870400.15994544572</v>
      </c>
      <c r="O42" s="415">
        <f>IF($A42&lt;=baseData,INDEX('LDI - Fluxo de Caixa'!$BD$18:$BT$374,MATCH($A42,'LDI - Fluxo de Caixa'!$C$18:$C$374,0),MATCH('Fluxo Projeto'!O$1,'LDI - Fluxo de Caixa'!$BD$14:$BT$14,0)),IF($A42=entrega,assistTecnicaObra*SUM($N$2:$N$86),0))</f>
        <v>0</v>
      </c>
      <c r="P42" s="415">
        <f>IF($A42&lt;=baseData, INDEX('LDI - Fluxo de Caixa'!$BD$18:$BT$374, MATCH('Fluxo Projeto'!$A42, 'LDI - Fluxo de Caixa'!$C$18:$C$374, 0), MATCH('Fluxo Projeto'!P$1, 'LDI - Fluxo de Caixa'!$BD$14:$BT$14, 0)), -IF($A42&gt;=entrega, INDEX(Curvas!R:R,MATCH($A42,Curvas!B:B,0))*(IPTU+condominio)*'Tabela Vendas'!$Y$22, 0))</f>
        <v>0</v>
      </c>
      <c r="Q42" s="415">
        <f>IF($A42&lt;=baseData, INDEX('LDI - Fluxo de Caixa'!$BD$18:$BT$374, MATCH('Fluxo Projeto'!$A42, 'LDI - Fluxo de Caixa'!$C$18:$C$374, 0), MATCH('Fluxo Projeto'!Q$1, 'LDI - Fluxo de Caixa'!$BD$14:$BT$14, 0)), (-pctIncorporaçaoSPE*SUM($G$4:$H$86)-SUMIF($A$4:$A$86, "&lt;="&amp;baseData, Q$4:Q$86))*(SUM($G42:$H42)/(SUMIF($A$4:$A$86, "&gt;"&amp;baseData, $G$4:$G$86)+SUMIF($A$4:$A$86, "&gt;"&amp;baseData, $H$4:$H$86))))</f>
        <v>-5866.6686766739249</v>
      </c>
      <c r="R42" s="415">
        <f>IF($A42&lt;=baseData, INDEX('LDI - Fluxo de Caixa'!$BD$18:$BT$374, MATCH('Fluxo Projeto'!$A42, 'LDI - Fluxo de Caixa'!$C$18:$C$374, 0), MATCH('Fluxo Projeto'!R$1, 'LDI - Fluxo de Caixa'!$BD$14:$BT$14, 0)), (-pctMarketingSPE*SUM($G$4:$H$86)-SUMIF($A$4:$A$86, "&lt;="&amp;baseData, R$4:R$86))*(SUM($G42:$H42)/(SUMIF($A$4:$A$86, "&gt;"&amp;baseData, $G$4:$G$86)+SUMIF($A$4:$A$86, "&gt;"&amp;baseData, $H$4:$H$86))))</f>
        <v>-11199.615675017661</v>
      </c>
      <c r="S42" s="415">
        <f>IF($A42&lt;=baseData,INDEX('LDI - Fluxo de Caixa'!$BD$18:$BT$374,MATCH($A42,'LDI - Fluxo de Caixa'!$C$18:$C$374,0),MATCH(S$1,'LDI - Fluxo de Caixa'!$BD$14:$BT$14,0)),-pctGestaoSPE*K41)</f>
        <v>-25694.450330327414</v>
      </c>
      <c r="T42" s="415">
        <f>IF($A42&lt;=baseData, INDEX('LDI - Fluxo de Caixa'!$BD$18:$BT$374, MATCH('Fluxo Projeto'!$A42, 'LDI - Fluxo de Caixa'!$C$18:$C$374, 0), MATCH('Fluxo Projeto'!T$1, 'LDI - Fluxo de Caixa'!$BD$14:$BT$14, 0)), (-pctOutrasSPE*SUM($G$4:$H$86)-SUMIF($A$4:$A$86, "&lt;="&amp;baseData, T$4:T$86))*(SUM($G42:$H42)/(SUMIF($A$4:$A$86, "&gt;"&amp;baseData, $G$4:$G$86)+SUMIF($A$4:$A$86, "&gt;"&amp;baseData, $H$4:$H$86))))</f>
        <v>-3550.5845315018478</v>
      </c>
      <c r="U42" s="398">
        <f>IF($A42&lt;=baseData, INDEX('LDI - Fluxo de Caixa'!$BD$18:$BT$374, MATCH('Fluxo Projeto'!$A42, 'LDI - Fluxo de Caixa'!$C$18:$C$374, 0), MATCH('Fluxo Projeto'!U$1, 'LDI - Fluxo de Caixa'!$BD$14:$BT$14, 0)), 0)</f>
        <v>0</v>
      </c>
      <c r="V42" s="393">
        <f t="shared" ca="1" si="31"/>
        <v>-950970.74626606982</v>
      </c>
      <c r="X42" s="416">
        <v>0</v>
      </c>
      <c r="Y42" s="417">
        <v>0</v>
      </c>
      <c r="AA42" s="400">
        <f>INDEX('LDI - Fluxo de Caixa'!$BD$18:$BT$374, MATCH('Fluxo Projeto'!$A42, 'LDI - Fluxo de Caixa'!$C$18:$C$374, 0), MATCH('Fluxo Projeto'!AA$1, 'LDI - Fluxo de Caixa'!$BD$14:$BT$14, 0))</f>
        <v>-17517.909999999902</v>
      </c>
      <c r="AB42" s="417">
        <v>0</v>
      </c>
      <c r="AD42" s="393">
        <f t="shared" ca="1" si="32"/>
        <v>-189440.40131935291</v>
      </c>
      <c r="AF42" s="393">
        <f ca="1">IF($A42&lt;=baseData, INDEX('LDI - Fluxo de Caixa'!$BD$18:$BT$374, MATCH('Fluxo Projeto'!$A42, 'LDI - Fluxo de Caixa'!$C$18:$C$374, 0), MATCH('Fluxo Projeto'!AF$1, 'LDI - Fluxo de Caixa'!$BD$14:$BT$14, 0)), $E42*CDI)</f>
        <v>-3287.5437819828776</v>
      </c>
      <c r="AH42" s="393">
        <f t="shared" ca="1" si="33"/>
        <v>14745992.48585766</v>
      </c>
      <c r="AJ42" s="397">
        <f ca="1">IF($A42&lt;=baseData, INDEX('LDI - Fluxo de Caixa'!$BD$18:$BT$374, MATCH($A42, 'LDI - Fluxo de Caixa'!$C$18:$C$374, 0), MATCH(AJ$1, 'LDI - Fluxo de Caixa'!$BD$14:$BT$14, 0))-J42-I42, IF($A42&lt;inicioDistribuicoes,-IF(AH42&lt;cxMinSPEpreObra,IF(SUM($AD43:$AD54)-cxMinSPEpreObra+AH42&lt;0,SUM($AD43:$AD54)-cxMinSPEpreObra+AH42,IF(AH42&lt;0, AH42-cxMinSPEpreObra, 0)),0), 0))</f>
        <v>0</v>
      </c>
      <c r="AK42" s="398">
        <f t="shared" ca="1" si="39"/>
        <v>0</v>
      </c>
      <c r="AM42" s="393">
        <f t="shared" ca="1" si="34"/>
        <v>14745992.48585766</v>
      </c>
      <c r="AO42" s="393">
        <f t="shared" ca="1" si="61"/>
        <v>14745992.48585766</v>
      </c>
      <c r="AQ42" s="397">
        <f t="shared" ca="1" si="35"/>
        <v>0</v>
      </c>
      <c r="AR42" s="398">
        <f t="shared" ca="1" si="37"/>
        <v>-35463847.709007196</v>
      </c>
      <c r="AT42" s="393">
        <f t="shared" ca="1" si="38"/>
        <v>0</v>
      </c>
      <c r="AV42" s="397">
        <f t="shared" si="40"/>
        <v>846.05658675626694</v>
      </c>
      <c r="AW42" s="390">
        <f t="shared" si="41"/>
        <v>110.18165886601271</v>
      </c>
      <c r="AX42" s="390">
        <f t="shared" si="42"/>
        <v>0</v>
      </c>
      <c r="AY42" s="390">
        <f t="shared" si="43"/>
        <v>0</v>
      </c>
      <c r="AZ42" s="393">
        <f t="shared" si="44"/>
        <v>956.23824562227969</v>
      </c>
      <c r="BA42" s="371"/>
      <c r="BB42" s="400">
        <f t="shared" si="45"/>
        <v>-42.051337984246025</v>
      </c>
      <c r="BC42" s="415">
        <f t="shared" ca="1" si="46"/>
        <v>-1068.367609645067</v>
      </c>
      <c r="BD42" s="415">
        <f t="shared" si="47"/>
        <v>0</v>
      </c>
      <c r="BE42" s="415">
        <f t="shared" si="48"/>
        <v>0</v>
      </c>
      <c r="BF42" s="415">
        <f t="shared" si="49"/>
        <v>-7.2010083167615173</v>
      </c>
      <c r="BG42" s="415">
        <f t="shared" si="50"/>
        <v>-13.746903066299982</v>
      </c>
      <c r="BH42" s="415">
        <f t="shared" si="51"/>
        <v>-31.538503488184517</v>
      </c>
      <c r="BI42" s="415">
        <f t="shared" si="52"/>
        <v>-4.3581443149104366</v>
      </c>
      <c r="BJ42" s="398">
        <f t="shared" si="53"/>
        <v>0</v>
      </c>
      <c r="BK42" s="393">
        <f t="shared" ca="1" si="54"/>
        <v>-1167.2635068154696</v>
      </c>
      <c r="BL42" s="371"/>
      <c r="BM42" s="400">
        <f t="shared" si="55"/>
        <v>0</v>
      </c>
      <c r="BN42" s="401">
        <f t="shared" si="56"/>
        <v>0</v>
      </c>
      <c r="BO42" s="371"/>
      <c r="BP42" s="400">
        <f t="shared" si="57"/>
        <v>-21.5022566561228</v>
      </c>
      <c r="BQ42" s="401">
        <f t="shared" si="58"/>
        <v>0</v>
      </c>
      <c r="BR42" s="371"/>
      <c r="BS42" s="393">
        <f t="shared" ca="1" si="59"/>
        <v>-4.0352764780979493</v>
      </c>
    </row>
    <row r="43" spans="1:71" x14ac:dyDescent="0.25">
      <c r="A43" s="197">
        <f t="shared" si="36"/>
        <v>44317</v>
      </c>
      <c r="B43" s="388">
        <f>IF($A43&lt;=baseData, INDEX(Indicadores!B:B, MATCH($A43,Indicadores!A:A, 0)), INDEX(Indicadores!B:B, MATCH(baseData,Indicadores!A:A, 0)))</f>
        <v>839.38199999999995</v>
      </c>
      <c r="C43" s="389">
        <f>IF($A43&lt;=baseData, INDEX(Indicadores!E:E, MATCH($A43, Indicadores!A:A, 0)), INDEX(Indicadores!E:E, MATCH(baseData, Indicadores!A:A, 0)))</f>
        <v>5486.52</v>
      </c>
      <c r="E43" s="393">
        <f t="shared" ca="1" si="60"/>
        <v>14745992.48585766</v>
      </c>
      <c r="G43" s="397">
        <f>IF(tipoCarteira="Carteira",INDEX('M-FLUXO DE CAIXA'!$W:$W, MATCH($A43, 'M-FLUXO DE CAIXA'!$V:$V, 0)),IF(DATEDIF(baseData,$A43,"m")&lt;=prazoRepasseCarteira,vlrCarteira/prazoRepasseCarteira,0))+IF(DATEDIF(baseData,$A43,"m")&lt;=curvaInad,vlrInad/curvaInad*(1-PDD),0)</f>
        <v>538888.41807799949</v>
      </c>
      <c r="H43" s="390">
        <f>IF($A43&gt;baseData, SUMPRODUCT('Tabela Vendas'!$R:$R,'Tabela Vendas'!$V:$V)*INDEX(Curvas!$Z:$Z,MATCH($A43,Curvas!$B:$B,0)), 0)</f>
        <v>99087.373172055683</v>
      </c>
      <c r="I43" s="390">
        <f>IFERROR(INDEX(Permutas!AJ:AJ, MATCH('Fluxo Projeto'!A43, Permutas!N:N, 0)), 0)</f>
        <v>0</v>
      </c>
      <c r="J43" s="390">
        <v>0</v>
      </c>
      <c r="K43" s="393">
        <f t="shared" si="30"/>
        <v>637975.79125005519</v>
      </c>
      <c r="M43" s="400">
        <f>IF($A43&lt;=baseData,INDEX('LDI - Fluxo de Caixa'!$BD$18:$BT$374,MATCH('Fluxo Projeto'!$A43,'LDI - Fluxo de Caixa'!$C$18:$C$374,0),MATCH('Fluxo Projeto'!M$1,'LDI - Fluxo de Caixa'!$BD$14:$BT$14,0)),-pctImpostoSPE*K42)</f>
        <v>-31161.930197868674</v>
      </c>
      <c r="N43" s="415">
        <f ca="1">IF($A43&lt;=baseData,INDEX('LDI - Fluxo de Caixa'!$BD$18:$BT$374,MATCH($A43,'LDI - Fluxo de Caixa'!$C$18:$C$374,0),MATCH('Fluxo Projeto'!N$1,'LDI - Fluxo de Caixa'!$BD$14:$BT$14,0)),INDEX(Obra!AA:AA,MATCH($A43,Obra!F:F,0)))</f>
        <v>-945396.77345614519</v>
      </c>
      <c r="O43" s="415">
        <f>IF($A43&lt;=baseData,INDEX('LDI - Fluxo de Caixa'!$BD$18:$BT$374,MATCH($A43,'LDI - Fluxo de Caixa'!$C$18:$C$374,0),MATCH('Fluxo Projeto'!O$1,'LDI - Fluxo de Caixa'!$BD$14:$BT$14,0)),IF($A43=entrega,assistTecnicaObra*SUM($N$2:$N$86),0))</f>
        <v>0</v>
      </c>
      <c r="P43" s="415">
        <f>IF($A43&lt;=baseData, INDEX('LDI - Fluxo de Caixa'!$BD$18:$BT$374, MATCH('Fluxo Projeto'!$A43, 'LDI - Fluxo de Caixa'!$C$18:$C$374, 0), MATCH('Fluxo Projeto'!P$1, 'LDI - Fluxo de Caixa'!$BD$14:$BT$14, 0)), -IF($A43&gt;=entrega, INDEX(Curvas!R:R,MATCH($A43,Curvas!B:B,0))*(IPTU+condominio)*'Tabela Vendas'!$Y$22, 0))</f>
        <v>0</v>
      </c>
      <c r="Q43" s="415">
        <f>IF($A43&lt;=baseData, INDEX('LDI - Fluxo de Caixa'!$BD$18:$BT$374, MATCH('Fluxo Projeto'!$A43, 'LDI - Fluxo de Caixa'!$C$18:$C$374, 0), MATCH('Fluxo Projeto'!Q$1, 'LDI - Fluxo de Caixa'!$BD$14:$BT$14, 0)), (-pctIncorporaçaoSPE*SUM($G$4:$H$86)-SUMIF($A$4:$A$86, "&lt;="&amp;baseData, Q$4:Q$86))*(SUM($G43:$H43)/(SUMIF($A$4:$A$86, "&gt;"&amp;baseData, $G$4:$G$86)+SUMIF($A$4:$A$86, "&gt;"&amp;baseData, $H$4:$H$86))))</f>
        <v>-4804.3141965050036</v>
      </c>
      <c r="R43" s="415">
        <f>IF($A43&lt;=baseData, INDEX('LDI - Fluxo de Caixa'!$BD$18:$BT$374, MATCH('Fluxo Projeto'!$A43, 'LDI - Fluxo de Caixa'!$C$18:$C$374, 0), MATCH('Fluxo Projeto'!R$1, 'LDI - Fluxo de Caixa'!$BD$14:$BT$14, 0)), (-pctMarketingSPE*SUM($G$4:$H$86)-SUMIF($A$4:$A$86, "&lt;="&amp;baseData, R$4:R$86))*(SUM($G43:$H43)/(SUMIF($A$4:$A$86, "&gt;"&amp;baseData, $G$4:$G$86)+SUMIF($A$4:$A$86, "&gt;"&amp;baseData, $H$4:$H$86))))</f>
        <v>-9171.5546843174743</v>
      </c>
      <c r="S43" s="415">
        <f>IF($A43&lt;=baseData,INDEX('LDI - Fluxo de Caixa'!$BD$18:$BT$374,MATCH($A43,'LDI - Fluxo de Caixa'!$C$18:$C$374,0),MATCH(S$1,'LDI - Fluxo de Caixa'!$BD$14:$BT$14,0)),-pctGestaoSPE*K42)</f>
        <v>-23371.447648401503</v>
      </c>
      <c r="T43" s="415">
        <f>IF($A43&lt;=baseData, INDEX('LDI - Fluxo de Caixa'!$BD$18:$BT$374, MATCH('Fluxo Projeto'!$A43, 'LDI - Fluxo de Caixa'!$C$18:$C$374, 0), MATCH('Fluxo Projeto'!T$1, 'LDI - Fluxo de Caixa'!$BD$14:$BT$14, 0)), (-pctOutrasSPE*SUM($G$4:$H$86)-SUMIF($A$4:$A$86, "&lt;="&amp;baseData, T$4:T$86))*(SUM($G43:$H43)/(SUMIF($A$4:$A$86, "&gt;"&amp;baseData, $G$4:$G$86)+SUMIF($A$4:$A$86, "&gt;"&amp;baseData, $H$4:$H$86))))</f>
        <v>-2907.6337203784969</v>
      </c>
      <c r="U43" s="398">
        <f>IF($A43&lt;=baseData, INDEX('LDI - Fluxo de Caixa'!$BD$18:$BT$374, MATCH('Fluxo Projeto'!$A43, 'LDI - Fluxo de Caixa'!$C$18:$C$374, 0), MATCH('Fluxo Projeto'!U$1, 'LDI - Fluxo de Caixa'!$BD$14:$BT$14, 0)), 0)</f>
        <v>0</v>
      </c>
      <c r="V43" s="393">
        <f t="shared" ca="1" si="31"/>
        <v>-1016813.6539036164</v>
      </c>
      <c r="X43" s="416">
        <v>0</v>
      </c>
      <c r="Y43" s="417">
        <v>0</v>
      </c>
      <c r="AA43" s="400">
        <f>INDEX('LDI - Fluxo de Caixa'!$BD$18:$BT$374, MATCH('Fluxo Projeto'!$A43, 'LDI - Fluxo de Caixa'!$C$18:$C$374, 0), MATCH('Fluxo Projeto'!AA$1, 'LDI - Fluxo de Caixa'!$BD$14:$BT$14, 0))</f>
        <v>-17517.909999999902</v>
      </c>
      <c r="AB43" s="417">
        <v>0</v>
      </c>
      <c r="AD43" s="393">
        <f t="shared" ca="1" si="32"/>
        <v>-396355.77265356109</v>
      </c>
      <c r="AF43" s="393">
        <f ca="1">IF($A43&lt;=baseData, INDEX('LDI - Fluxo de Caixa'!$BD$18:$BT$374, MATCH('Fluxo Projeto'!$A43, 'LDI - Fluxo de Caixa'!$C$18:$C$374, 0), MATCH('Fluxo Projeto'!AF$1, 'LDI - Fluxo de Caixa'!$BD$14:$BT$14, 0)), $E43*CDI)</f>
        <v>-3245.1304065896834</v>
      </c>
      <c r="AH43" s="393">
        <f t="shared" ca="1" si="33"/>
        <v>14346391.582797509</v>
      </c>
      <c r="AJ43" s="397">
        <f ca="1">IF($A43&lt;=baseData, INDEX('LDI - Fluxo de Caixa'!$BD$18:$BT$374, MATCH($A43, 'LDI - Fluxo de Caixa'!$C$18:$C$374, 0), MATCH(AJ$1, 'LDI - Fluxo de Caixa'!$BD$14:$BT$14, 0))-J43-I43, IF($A43&lt;inicioDistribuicoes,-IF(AH43&lt;cxMinSPEpreObra,IF(SUM($AD44:$AD55)-cxMinSPEpreObra+AH43&lt;0,SUM($AD44:$AD55)-cxMinSPEpreObra+AH43,IF(AH43&lt;0, AH43-cxMinSPEpreObra, 0)),0), 0))</f>
        <v>0</v>
      </c>
      <c r="AK43" s="398">
        <f t="shared" ca="1" si="39"/>
        <v>0</v>
      </c>
      <c r="AM43" s="393">
        <f t="shared" ca="1" si="34"/>
        <v>14346391.582797509</v>
      </c>
      <c r="AO43" s="393">
        <f t="shared" ca="1" si="61"/>
        <v>14346391.582797509</v>
      </c>
      <c r="AQ43" s="397">
        <f t="shared" ca="1" si="35"/>
        <v>0</v>
      </c>
      <c r="AR43" s="398">
        <f t="shared" ca="1" si="37"/>
        <v>-35463847.709007196</v>
      </c>
      <c r="AT43" s="393">
        <f t="shared" ca="1" si="38"/>
        <v>0</v>
      </c>
      <c r="AV43" s="397">
        <f t="shared" si="40"/>
        <v>661.45545185043284</v>
      </c>
      <c r="AW43" s="390">
        <f t="shared" si="41"/>
        <v>121.62421940326044</v>
      </c>
      <c r="AX43" s="390">
        <f t="shared" si="42"/>
        <v>0</v>
      </c>
      <c r="AY43" s="390">
        <f t="shared" si="43"/>
        <v>0</v>
      </c>
      <c r="AZ43" s="393">
        <f t="shared" si="44"/>
        <v>783.07967125369328</v>
      </c>
      <c r="BA43" s="371"/>
      <c r="BB43" s="400">
        <f t="shared" si="45"/>
        <v>-38.249529824891184</v>
      </c>
      <c r="BC43" s="415">
        <f t="shared" ca="1" si="46"/>
        <v>-1160.4217663365396</v>
      </c>
      <c r="BD43" s="415">
        <f t="shared" si="47"/>
        <v>0</v>
      </c>
      <c r="BE43" s="415">
        <f t="shared" si="48"/>
        <v>0</v>
      </c>
      <c r="BF43" s="415">
        <f t="shared" si="49"/>
        <v>-5.8970274941420273</v>
      </c>
      <c r="BG43" s="415">
        <f t="shared" si="50"/>
        <v>-11.257571408795956</v>
      </c>
      <c r="BH43" s="415">
        <f t="shared" si="51"/>
        <v>-28.687147368668384</v>
      </c>
      <c r="BI43" s="415">
        <f t="shared" si="52"/>
        <v>-3.5689580844733184</v>
      </c>
      <c r="BJ43" s="398">
        <f t="shared" si="53"/>
        <v>0</v>
      </c>
      <c r="BK43" s="393">
        <f t="shared" ca="1" si="54"/>
        <v>-1248.0820005175103</v>
      </c>
      <c r="BL43" s="371"/>
      <c r="BM43" s="400">
        <f t="shared" si="55"/>
        <v>0</v>
      </c>
      <c r="BN43" s="401">
        <f t="shared" si="56"/>
        <v>0</v>
      </c>
      <c r="BO43" s="371"/>
      <c r="BP43" s="400">
        <f t="shared" si="57"/>
        <v>-21.5022566561228</v>
      </c>
      <c r="BQ43" s="401">
        <f t="shared" si="58"/>
        <v>0</v>
      </c>
      <c r="BR43" s="371"/>
      <c r="BS43" s="393">
        <f t="shared" ca="1" si="59"/>
        <v>-3.9832164273637609</v>
      </c>
    </row>
    <row r="44" spans="1:71" x14ac:dyDescent="0.25">
      <c r="A44" s="197">
        <f t="shared" si="36"/>
        <v>44348</v>
      </c>
      <c r="B44" s="388">
        <f>IF($A44&lt;=baseData, INDEX(Indicadores!B:B, MATCH($A44,Indicadores!A:A, 0)), INDEX(Indicadores!B:B, MATCH(baseData,Indicadores!A:A, 0)))</f>
        <v>839.38199999999995</v>
      </c>
      <c r="C44" s="389">
        <f>IF($A44&lt;=baseData, INDEX(Indicadores!E:E, MATCH($A44, Indicadores!A:A, 0)), INDEX(Indicadores!E:E, MATCH(baseData, Indicadores!A:A, 0)))</f>
        <v>5486.52</v>
      </c>
      <c r="E44" s="393">
        <f t="shared" ca="1" si="60"/>
        <v>14346391.582797509</v>
      </c>
      <c r="G44" s="397">
        <f>IF(tipoCarteira="Carteira",INDEX('M-FLUXO DE CAIXA'!$W:$W, MATCH($A44, 'M-FLUXO DE CAIXA'!$V:$V, 0)),IF(DATEDIF(baseData,$A44,"m")&lt;=prazoRepasseCarteira,vlrCarteira/prazoRepasseCarteira,0))+IF(DATEDIF(baseData,$A44,"m")&lt;=curvaInad,vlrInad/curvaInad*(1-PDD),0)</f>
        <v>1957935.5055980489</v>
      </c>
      <c r="H44" s="390">
        <f>IF($A44&gt;baseData, SUMPRODUCT('Tabela Vendas'!$R:$R,'Tabela Vendas'!$V:$V)*INDEX(Curvas!$Z:$Z,MATCH($A44,Curvas!$B:$B,0)), 0)</f>
        <v>108814.95457614918</v>
      </c>
      <c r="I44" s="390">
        <f>IFERROR(INDEX(Permutas!AJ:AJ, MATCH('Fluxo Projeto'!A44, Permutas!N:N, 0)), 0)</f>
        <v>0</v>
      </c>
      <c r="J44" s="390">
        <v>0</v>
      </c>
      <c r="K44" s="393">
        <f t="shared" si="30"/>
        <v>2066750.460174198</v>
      </c>
      <c r="M44" s="400">
        <f>IF($A44&lt;=baseData,INDEX('LDI - Fluxo de Caixa'!$BD$18:$BT$374,MATCH('Fluxo Projeto'!$A44,'LDI - Fluxo de Caixa'!$C$18:$C$374,0),MATCH('Fluxo Projeto'!M$1,'LDI - Fluxo de Caixa'!$BD$14:$BT$14,0)),-pctImpostoSPE*K43)</f>
        <v>-25519.031650002209</v>
      </c>
      <c r="N44" s="415">
        <f ca="1">IF($A44&lt;=baseData,INDEX('LDI - Fluxo de Caixa'!$BD$18:$BT$374,MATCH($A44,'LDI - Fluxo de Caixa'!$C$18:$C$374,0),MATCH('Fluxo Projeto'!N$1,'LDI - Fluxo de Caixa'!$BD$14:$BT$14,0)),INDEX(Obra!AA:AA,MATCH($A44,Obra!F:F,0)))</f>
        <v>-874240.80130472244</v>
      </c>
      <c r="O44" s="415">
        <f>IF($A44&lt;=baseData,INDEX('LDI - Fluxo de Caixa'!$BD$18:$BT$374,MATCH($A44,'LDI - Fluxo de Caixa'!$C$18:$C$374,0),MATCH('Fluxo Projeto'!O$1,'LDI - Fluxo de Caixa'!$BD$14:$BT$14,0)),IF($A44=entrega,assistTecnicaObra*SUM($N$2:$N$86),0))</f>
        <v>0</v>
      </c>
      <c r="P44" s="415">
        <f>IF($A44&lt;=baseData, INDEX('LDI - Fluxo de Caixa'!$BD$18:$BT$374, MATCH('Fluxo Projeto'!$A44, 'LDI - Fluxo de Caixa'!$C$18:$C$374, 0), MATCH('Fluxo Projeto'!P$1, 'LDI - Fluxo de Caixa'!$BD$14:$BT$14, 0)), -IF($A44&gt;=entrega, INDEX(Curvas!R:R,MATCH($A44,Curvas!B:B,0))*(IPTU+condominio)*'Tabela Vendas'!$Y$22, 0))</f>
        <v>0</v>
      </c>
      <c r="Q44" s="415">
        <f>IF($A44&lt;=baseData, INDEX('LDI - Fluxo de Caixa'!$BD$18:$BT$374, MATCH('Fluxo Projeto'!$A44, 'LDI - Fluxo de Caixa'!$C$18:$C$374, 0), MATCH('Fluxo Projeto'!Q$1, 'LDI - Fluxo de Caixa'!$BD$14:$BT$14, 0)), (-pctIncorporaçaoSPE*SUM($G$4:$H$86)-SUMIF($A$4:$A$86, "&lt;="&amp;baseData, Q$4:Q$86))*(SUM($G44:$H44)/(SUMIF($A$4:$A$86, "&gt;"&amp;baseData, $G$4:$G$86)+SUMIF($A$4:$A$86, "&gt;"&amp;baseData, $H$4:$H$86))))</f>
        <v>-15563.785824839148</v>
      </c>
      <c r="R44" s="415">
        <f>IF($A44&lt;=baseData, INDEX('LDI - Fluxo de Caixa'!$BD$18:$BT$374, MATCH('Fluxo Projeto'!$A44, 'LDI - Fluxo de Caixa'!$C$18:$C$374, 0), MATCH('Fluxo Projeto'!R$1, 'LDI - Fluxo de Caixa'!$BD$14:$BT$14, 0)), (-pctMarketingSPE*SUM($G$4:$H$86)-SUMIF($A$4:$A$86, "&lt;="&amp;baseData, R$4:R$86))*(SUM($G44:$H44)/(SUMIF($A$4:$A$86, "&gt;"&amp;baseData, $G$4:$G$86)+SUMIF($A$4:$A$86, "&gt;"&amp;baseData, $H$4:$H$86))))</f>
        <v>-29711.652266906167</v>
      </c>
      <c r="S44" s="415">
        <f>IF($A44&lt;=baseData,INDEX('LDI - Fluxo de Caixa'!$BD$18:$BT$374,MATCH($A44,'LDI - Fluxo de Caixa'!$C$18:$C$374,0),MATCH(S$1,'LDI - Fluxo de Caixa'!$BD$14:$BT$14,0)),-pctGestaoSPE*K43)</f>
        <v>-19139.273737501655</v>
      </c>
      <c r="T44" s="415">
        <f>IF($A44&lt;=baseData, INDEX('LDI - Fluxo de Caixa'!$BD$18:$BT$374, MATCH('Fluxo Projeto'!$A44, 'LDI - Fluxo de Caixa'!$C$18:$C$374, 0), MATCH('Fluxo Projeto'!T$1, 'LDI - Fluxo de Caixa'!$BD$14:$BT$14, 0)), (-pctOutrasSPE*SUM($G$4:$H$86)-SUMIF($A$4:$A$86, "&lt;="&amp;baseData, T$4:T$86))*(SUM($G44:$H44)/(SUMIF($A$4:$A$86, "&gt;"&amp;baseData, $G$4:$G$86)+SUMIF($A$4:$A$86, "&gt;"&amp;baseData, $H$4:$H$86))))</f>
        <v>-9419.4065229896805</v>
      </c>
      <c r="U44" s="398">
        <f>IF($A44&lt;=baseData, INDEX('LDI - Fluxo de Caixa'!$BD$18:$BT$374, MATCH('Fluxo Projeto'!$A44, 'LDI - Fluxo de Caixa'!$C$18:$C$374, 0), MATCH('Fluxo Projeto'!U$1, 'LDI - Fluxo de Caixa'!$BD$14:$BT$14, 0)), 0)</f>
        <v>0</v>
      </c>
      <c r="V44" s="393">
        <f t="shared" ca="1" si="31"/>
        <v>-973593.95130696124</v>
      </c>
      <c r="X44" s="416">
        <v>0</v>
      </c>
      <c r="Y44" s="417">
        <v>0</v>
      </c>
      <c r="AA44" s="400">
        <f>INDEX('LDI - Fluxo de Caixa'!$BD$18:$BT$374, MATCH('Fluxo Projeto'!$A44, 'LDI - Fluxo de Caixa'!$C$18:$C$374, 0), MATCH('Fluxo Projeto'!AA$1, 'LDI - Fluxo de Caixa'!$BD$14:$BT$14, 0))</f>
        <v>-17517.909999999902</v>
      </c>
      <c r="AB44" s="417">
        <v>0</v>
      </c>
      <c r="AD44" s="393">
        <f t="shared" ca="1" si="32"/>
        <v>1075638.5988672369</v>
      </c>
      <c r="AF44" s="393">
        <f ca="1">IF($A44&lt;=baseData, INDEX('LDI - Fluxo de Caixa'!$BD$18:$BT$374, MATCH('Fluxo Projeto'!$A44, 'LDI - Fluxo de Caixa'!$C$18:$C$374, 0), MATCH('Fluxo Projeto'!AF$1, 'LDI - Fluxo de Caixa'!$BD$14:$BT$14, 0)), $E44*CDI)</f>
        <v>-3157.1907821619034</v>
      </c>
      <c r="AH44" s="393">
        <f t="shared" ca="1" si="33"/>
        <v>15418872.990882583</v>
      </c>
      <c r="AJ44" s="397">
        <f ca="1">IF($A44&lt;=baseData, INDEX('LDI - Fluxo de Caixa'!$BD$18:$BT$374, MATCH($A44, 'LDI - Fluxo de Caixa'!$C$18:$C$374, 0), MATCH(AJ$1, 'LDI - Fluxo de Caixa'!$BD$14:$BT$14, 0))-J44-I44, IF($A44&lt;inicioDistribuicoes,-IF(AH44&lt;cxMinSPEpreObra,IF(SUM($AD45:$AD56)-cxMinSPEpreObra+AH44&lt;0,SUM($AD45:$AD56)-cxMinSPEpreObra+AH44,IF(AH44&lt;0, AH44-cxMinSPEpreObra, 0)),0), 0))</f>
        <v>0</v>
      </c>
      <c r="AK44" s="398">
        <f t="shared" ca="1" si="39"/>
        <v>0</v>
      </c>
      <c r="AM44" s="393">
        <f t="shared" ca="1" si="34"/>
        <v>15418872.990882583</v>
      </c>
      <c r="AO44" s="393">
        <f t="shared" ca="1" si="61"/>
        <v>15418872.990882583</v>
      </c>
      <c r="AQ44" s="397">
        <f t="shared" ca="1" si="35"/>
        <v>0</v>
      </c>
      <c r="AR44" s="398">
        <f t="shared" ca="1" si="37"/>
        <v>-35463847.709007196</v>
      </c>
      <c r="AT44" s="393">
        <f t="shared" ca="1" si="38"/>
        <v>0</v>
      </c>
      <c r="AV44" s="397">
        <f t="shared" si="40"/>
        <v>2403.2565390223517</v>
      </c>
      <c r="AW44" s="390">
        <f t="shared" si="41"/>
        <v>133.5642825725624</v>
      </c>
      <c r="AX44" s="390">
        <f t="shared" si="42"/>
        <v>0</v>
      </c>
      <c r="AY44" s="390">
        <f t="shared" si="43"/>
        <v>0</v>
      </c>
      <c r="AZ44" s="393">
        <f t="shared" si="44"/>
        <v>2536.8208215949139</v>
      </c>
      <c r="BA44" s="371"/>
      <c r="BB44" s="400">
        <f t="shared" si="45"/>
        <v>-31.323186850147732</v>
      </c>
      <c r="BC44" s="415">
        <f t="shared" ca="1" si="46"/>
        <v>-1073.0817825247821</v>
      </c>
      <c r="BD44" s="415">
        <f t="shared" si="47"/>
        <v>0</v>
      </c>
      <c r="BE44" s="415">
        <f t="shared" si="48"/>
        <v>0</v>
      </c>
      <c r="BF44" s="415">
        <f t="shared" si="49"/>
        <v>-19.1036783124596</v>
      </c>
      <c r="BG44" s="415">
        <f t="shared" si="50"/>
        <v>-36.469394620733453</v>
      </c>
      <c r="BH44" s="415">
        <f t="shared" si="51"/>
        <v>-23.492390137610798</v>
      </c>
      <c r="BI44" s="415">
        <f t="shared" si="52"/>
        <v>-11.56179570540564</v>
      </c>
      <c r="BJ44" s="398">
        <f t="shared" si="53"/>
        <v>0</v>
      </c>
      <c r="BK44" s="393">
        <f t="shared" ca="1" si="54"/>
        <v>-1195.0322281511392</v>
      </c>
      <c r="BL44" s="371"/>
      <c r="BM44" s="400">
        <f t="shared" si="55"/>
        <v>0</v>
      </c>
      <c r="BN44" s="401">
        <f t="shared" si="56"/>
        <v>0</v>
      </c>
      <c r="BO44" s="371"/>
      <c r="BP44" s="400">
        <f t="shared" si="57"/>
        <v>-21.5022566561228</v>
      </c>
      <c r="BQ44" s="401">
        <f t="shared" si="58"/>
        <v>0</v>
      </c>
      <c r="BR44" s="371"/>
      <c r="BS44" s="393">
        <f t="shared" ca="1" si="59"/>
        <v>-3.8752754472645834</v>
      </c>
    </row>
    <row r="45" spans="1:71" x14ac:dyDescent="0.25">
      <c r="A45" s="197">
        <f t="shared" si="36"/>
        <v>44378</v>
      </c>
      <c r="B45" s="388">
        <f>IF($A45&lt;=baseData, INDEX(Indicadores!B:B, MATCH($A45,Indicadores!A:A, 0)), INDEX(Indicadores!B:B, MATCH(baseData,Indicadores!A:A, 0)))</f>
        <v>839.38199999999995</v>
      </c>
      <c r="C45" s="389">
        <f>IF($A45&lt;=baseData, INDEX(Indicadores!E:E, MATCH($A45, Indicadores!A:A, 0)), INDEX(Indicadores!E:E, MATCH(baseData, Indicadores!A:A, 0)))</f>
        <v>5486.52</v>
      </c>
      <c r="E45" s="393">
        <f t="shared" ca="1" si="60"/>
        <v>15418872.990882583</v>
      </c>
      <c r="G45" s="397">
        <f>IF(tipoCarteira="Carteira",INDEX('M-FLUXO DE CAIXA'!$W:$W, MATCH($A45, 'M-FLUXO DE CAIXA'!$V:$V, 0)),IF(DATEDIF(baseData,$A45,"m")&lt;=prazoRepasseCarteira,vlrCarteira/prazoRepasseCarteira,0))+IF(DATEDIF(baseData,$A45,"m")&lt;=curvaInad,vlrInad/curvaInad*(1-PDD),0)</f>
        <v>1547088.5212612576</v>
      </c>
      <c r="H45" s="390">
        <f>IF($A45&gt;baseData, SUMPRODUCT('Tabela Vendas'!$R:$R,'Tabela Vendas'!$V:$V)*INDEX(Curvas!$Z:$Z,MATCH($A45,Curvas!$B:$B,0)), 0)</f>
        <v>118984.69877133779</v>
      </c>
      <c r="I45" s="390">
        <f>IFERROR(INDEX(Permutas!AJ:AJ, MATCH('Fluxo Projeto'!A45, Permutas!N:N, 0)), 0)</f>
        <v>0</v>
      </c>
      <c r="J45" s="390">
        <v>0</v>
      </c>
      <c r="K45" s="393">
        <f t="shared" si="30"/>
        <v>1666073.2200325953</v>
      </c>
      <c r="M45" s="400">
        <f>IF($A45&lt;=baseData,INDEX('LDI - Fluxo de Caixa'!$BD$18:$BT$374,MATCH('Fluxo Projeto'!$A45,'LDI - Fluxo de Caixa'!$C$18:$C$374,0),MATCH('Fluxo Projeto'!M$1,'LDI - Fluxo de Caixa'!$BD$14:$BT$14,0)),-pctImpostoSPE*K44)</f>
        <v>-82670.018406967924</v>
      </c>
      <c r="N45" s="415">
        <f ca="1">IF($A45&lt;=baseData,INDEX('LDI - Fluxo de Caixa'!$BD$18:$BT$374,MATCH($A45,'LDI - Fluxo de Caixa'!$C$18:$C$374,0),MATCH('Fluxo Projeto'!N$1,'LDI - Fluxo de Caixa'!$BD$14:$BT$14,0)),INDEX(Obra!AA:AA,MATCH($A45,Obra!F:F,0)))</f>
        <v>-734319.53492649004</v>
      </c>
      <c r="O45" s="415">
        <f>IF($A45&lt;=baseData,INDEX('LDI - Fluxo de Caixa'!$BD$18:$BT$374,MATCH($A45,'LDI - Fluxo de Caixa'!$C$18:$C$374,0),MATCH('Fluxo Projeto'!O$1,'LDI - Fluxo de Caixa'!$BD$14:$BT$14,0)),IF($A45=entrega,assistTecnicaObra*SUM($N$2:$N$86),0))</f>
        <v>0</v>
      </c>
      <c r="P45" s="415">
        <f>IF($A45&lt;=baseData, INDEX('LDI - Fluxo de Caixa'!$BD$18:$BT$374, MATCH('Fluxo Projeto'!$A45, 'LDI - Fluxo de Caixa'!$C$18:$C$374, 0), MATCH('Fluxo Projeto'!P$1, 'LDI - Fluxo de Caixa'!$BD$14:$BT$14, 0)), -IF($A45&gt;=entrega, INDEX(Curvas!R:R,MATCH($A45,Curvas!B:B,0))*(IPTU+condominio)*'Tabela Vendas'!$Y$22, 0))</f>
        <v>0</v>
      </c>
      <c r="Q45" s="415">
        <f>IF($A45&lt;=baseData, INDEX('LDI - Fluxo de Caixa'!$BD$18:$BT$374, MATCH('Fluxo Projeto'!$A45, 'LDI - Fluxo de Caixa'!$C$18:$C$374, 0), MATCH('Fluxo Projeto'!Q$1, 'LDI - Fluxo de Caixa'!$BD$14:$BT$14, 0)), (-pctIncorporaçaoSPE*SUM($G$4:$H$86)-SUMIF($A$4:$A$86, "&lt;="&amp;baseData, Q$4:Q$86))*(SUM($G45:$H45)/(SUMIF($A$4:$A$86, "&gt;"&amp;baseData, $G$4:$G$86)+SUMIF($A$4:$A$86, "&gt;"&amp;baseData, $H$4:$H$86))))</f>
        <v>-12546.462315969124</v>
      </c>
      <c r="R45" s="415">
        <f>IF($A45&lt;=baseData, INDEX('LDI - Fluxo de Caixa'!$BD$18:$BT$374, MATCH('Fluxo Projeto'!$A45, 'LDI - Fluxo de Caixa'!$C$18:$C$374, 0), MATCH('Fluxo Projeto'!R$1, 'LDI - Fluxo de Caixa'!$BD$14:$BT$14, 0)), (-pctMarketingSPE*SUM($G$4:$H$86)-SUMIF($A$4:$A$86, "&lt;="&amp;baseData, R$4:R$86))*(SUM($G45:$H45)/(SUMIF($A$4:$A$86, "&gt;"&amp;baseData, $G$4:$G$86)+SUMIF($A$4:$A$86, "&gt;"&amp;baseData, $H$4:$H$86))))</f>
        <v>-23951.507024530099</v>
      </c>
      <c r="S45" s="415">
        <f>IF($A45&lt;=baseData,INDEX('LDI - Fluxo de Caixa'!$BD$18:$BT$374,MATCH($A45,'LDI - Fluxo de Caixa'!$C$18:$C$374,0),MATCH(S$1,'LDI - Fluxo de Caixa'!$BD$14:$BT$14,0)),-pctGestaoSPE*K44)</f>
        <v>-62002.513805225935</v>
      </c>
      <c r="T45" s="415">
        <f>IF($A45&lt;=baseData, INDEX('LDI - Fluxo de Caixa'!$BD$18:$BT$374, MATCH('Fluxo Projeto'!$A45, 'LDI - Fluxo de Caixa'!$C$18:$C$374, 0), MATCH('Fluxo Projeto'!T$1, 'LDI - Fluxo de Caixa'!$BD$14:$BT$14, 0)), (-pctOutrasSPE*SUM($G$4:$H$86)-SUMIF($A$4:$A$86, "&lt;="&amp;baseData, T$4:T$86))*(SUM($G45:$H45)/(SUMIF($A$4:$A$86, "&gt;"&amp;baseData, $G$4:$G$86)+SUMIF($A$4:$A$86, "&gt;"&amp;baseData, $H$4:$H$86))))</f>
        <v>-7593.2829139085889</v>
      </c>
      <c r="U45" s="398">
        <f>IF($A45&lt;=baseData, INDEX('LDI - Fluxo de Caixa'!$BD$18:$BT$374, MATCH('Fluxo Projeto'!$A45, 'LDI - Fluxo de Caixa'!$C$18:$C$374, 0), MATCH('Fluxo Projeto'!U$1, 'LDI - Fluxo de Caixa'!$BD$14:$BT$14, 0)), 0)</f>
        <v>0</v>
      </c>
      <c r="V45" s="393">
        <f t="shared" ca="1" si="31"/>
        <v>-923083.31939309184</v>
      </c>
      <c r="X45" s="416">
        <v>0</v>
      </c>
      <c r="Y45" s="417">
        <v>0</v>
      </c>
      <c r="AA45" s="400">
        <f>INDEX('LDI - Fluxo de Caixa'!$BD$18:$BT$374, MATCH('Fluxo Projeto'!$A45, 'LDI - Fluxo de Caixa'!$C$18:$C$374, 0), MATCH('Fluxo Projeto'!AA$1, 'LDI - Fluxo de Caixa'!$BD$14:$BT$14, 0))</f>
        <v>-17517.909999999902</v>
      </c>
      <c r="AB45" s="417">
        <v>414000</v>
      </c>
      <c r="AD45" s="393">
        <f t="shared" ca="1" si="32"/>
        <v>1139471.9906395036</v>
      </c>
      <c r="AF45" s="393">
        <f ca="1">IF($A45&lt;=baseData, INDEX('LDI - Fluxo de Caixa'!$BD$18:$BT$374, MATCH('Fluxo Projeto'!$A45, 'LDI - Fluxo de Caixa'!$C$18:$C$374, 0), MATCH('Fluxo Projeto'!AF$1, 'LDI - Fluxo de Caixa'!$BD$14:$BT$14, 0)), $E45*CDI)</f>
        <v>-3393.2102994115467</v>
      </c>
      <c r="AH45" s="393">
        <f t="shared" ca="1" si="33"/>
        <v>16554951.771222675</v>
      </c>
      <c r="AJ45" s="397">
        <f ca="1">IF($A45&lt;=baseData, INDEX('LDI - Fluxo de Caixa'!$BD$18:$BT$374, MATCH($A45, 'LDI - Fluxo de Caixa'!$C$18:$C$374, 0), MATCH(AJ$1, 'LDI - Fluxo de Caixa'!$BD$14:$BT$14, 0))-J45-I45, IF($A45&lt;inicioDistribuicoes,-IF(AH45&lt;cxMinSPEpreObra,IF(SUM($AD46:$AD57)-cxMinSPEpreObra+AH45&lt;0,SUM($AD46:$AD57)-cxMinSPEpreObra+AH45,IF(AH45&lt;0, AH45-cxMinSPEpreObra, 0)),0), 0))</f>
        <v>0</v>
      </c>
      <c r="AK45" s="398">
        <f t="shared" ca="1" si="39"/>
        <v>0</v>
      </c>
      <c r="AM45" s="393">
        <f t="shared" ca="1" si="34"/>
        <v>16554951.771222675</v>
      </c>
      <c r="AO45" s="393">
        <f t="shared" ca="1" si="61"/>
        <v>16554951.771222675</v>
      </c>
      <c r="AQ45" s="397">
        <f t="shared" ca="1" si="35"/>
        <v>0</v>
      </c>
      <c r="AR45" s="398">
        <f t="shared" ca="1" si="37"/>
        <v>-35463847.709007196</v>
      </c>
      <c r="AT45" s="393">
        <f t="shared" ca="1" si="38"/>
        <v>0</v>
      </c>
      <c r="AV45" s="397">
        <f t="shared" si="40"/>
        <v>1898.9647996765163</v>
      </c>
      <c r="AW45" s="390">
        <f t="shared" si="41"/>
        <v>146.04707588592353</v>
      </c>
      <c r="AX45" s="390">
        <f t="shared" si="42"/>
        <v>0</v>
      </c>
      <c r="AY45" s="390">
        <f t="shared" si="43"/>
        <v>0</v>
      </c>
      <c r="AZ45" s="393">
        <f t="shared" si="44"/>
        <v>2045.0118755624399</v>
      </c>
      <c r="BA45" s="371"/>
      <c r="BB45" s="400">
        <f t="shared" si="45"/>
        <v>-101.47283286379655</v>
      </c>
      <c r="BC45" s="415">
        <f t="shared" ca="1" si="46"/>
        <v>-901.33623860347541</v>
      </c>
      <c r="BD45" s="415">
        <f t="shared" si="47"/>
        <v>0</v>
      </c>
      <c r="BE45" s="415">
        <f t="shared" si="48"/>
        <v>0</v>
      </c>
      <c r="BF45" s="415">
        <f t="shared" si="49"/>
        <v>-15.400082135616776</v>
      </c>
      <c r="BG45" s="415">
        <f t="shared" si="50"/>
        <v>-29.399137873318061</v>
      </c>
      <c r="BH45" s="415">
        <f t="shared" si="51"/>
        <v>-76.104624647847416</v>
      </c>
      <c r="BI45" s="415">
        <f t="shared" si="52"/>
        <v>-9.320330911473766</v>
      </c>
      <c r="BJ45" s="398">
        <f t="shared" si="53"/>
        <v>0</v>
      </c>
      <c r="BK45" s="393">
        <f t="shared" ca="1" si="54"/>
        <v>-1133.0332470355279</v>
      </c>
      <c r="BL45" s="371"/>
      <c r="BM45" s="400">
        <f t="shared" si="55"/>
        <v>0</v>
      </c>
      <c r="BN45" s="401">
        <f t="shared" si="56"/>
        <v>0</v>
      </c>
      <c r="BO45" s="371"/>
      <c r="BP45" s="400">
        <f t="shared" si="57"/>
        <v>-21.5022566561228</v>
      </c>
      <c r="BQ45" s="401">
        <f t="shared" si="58"/>
        <v>508.16189006764444</v>
      </c>
      <c r="BR45" s="371"/>
      <c r="BS45" s="393">
        <f t="shared" ca="1" si="59"/>
        <v>-4.1649762298211819</v>
      </c>
    </row>
    <row r="46" spans="1:71" x14ac:dyDescent="0.25">
      <c r="A46" s="197">
        <f t="shared" si="36"/>
        <v>44409</v>
      </c>
      <c r="B46" s="388">
        <f>IF($A46&lt;=baseData, INDEX(Indicadores!B:B, MATCH($A46,Indicadores!A:A, 0)), INDEX(Indicadores!B:B, MATCH(baseData,Indicadores!A:A, 0)))</f>
        <v>839.38199999999995</v>
      </c>
      <c r="C46" s="389">
        <f>IF($A46&lt;=baseData, INDEX(Indicadores!E:E, MATCH($A46, Indicadores!A:A, 0)), INDEX(Indicadores!E:E, MATCH(baseData, Indicadores!A:A, 0)))</f>
        <v>5486.52</v>
      </c>
      <c r="E46" s="393">
        <f t="shared" ca="1" si="60"/>
        <v>16554951.771222675</v>
      </c>
      <c r="G46" s="397">
        <f>IF(tipoCarteira="Carteira",INDEX('M-FLUXO DE CAIXA'!$W:$W, MATCH($A46, 'M-FLUXO DE CAIXA'!$V:$V, 0)),IF(DATEDIF(baseData,$A46,"m")&lt;=prazoRepasseCarteira,vlrCarteira/prazoRepasseCarteira,0))+IF(DATEDIF(baseData,$A46,"m")&lt;=curvaInad,vlrInad/curvaInad*(1-PDD),0)</f>
        <v>2009524.7878642941</v>
      </c>
      <c r="H46" s="390">
        <f>IF($A46&gt;baseData, SUMPRODUCT('Tabela Vendas'!$R:$R,'Tabela Vendas'!$V:$V)*INDEX(Curvas!$Z:$Z,MATCH($A46,Curvas!$B:$B,0)), 0)</f>
        <v>129638.71649963064</v>
      </c>
      <c r="I46" s="390">
        <f>IFERROR(INDEX(Permutas!AJ:AJ, MATCH('Fluxo Projeto'!A46, Permutas!N:N, 0)), 0)</f>
        <v>0</v>
      </c>
      <c r="J46" s="390">
        <v>0</v>
      </c>
      <c r="K46" s="393">
        <f t="shared" si="30"/>
        <v>2139163.5043639247</v>
      </c>
      <c r="M46" s="400">
        <f>IF($A46&lt;=baseData,INDEX('LDI - Fluxo de Caixa'!$BD$18:$BT$374,MATCH('Fluxo Projeto'!$A46,'LDI - Fluxo de Caixa'!$C$18:$C$374,0),MATCH('Fluxo Projeto'!M$1,'LDI - Fluxo de Caixa'!$BD$14:$BT$14,0)),-pctImpostoSPE*K45)</f>
        <v>-66642.928801303817</v>
      </c>
      <c r="N46" s="415">
        <f ca="1">IF($A46&lt;=baseData,INDEX('LDI - Fluxo de Caixa'!$BD$18:$BT$374,MATCH($A46,'LDI - Fluxo de Caixa'!$C$18:$C$374,0),MATCH('Fluxo Projeto'!N$1,'LDI - Fluxo de Caixa'!$BD$14:$BT$14,0)),INDEX(Obra!AA:AA,MATCH($A46,Obra!F:F,0)))</f>
        <v>-792062.40971882374</v>
      </c>
      <c r="O46" s="415">
        <f>IF($A46&lt;=baseData,INDEX('LDI - Fluxo de Caixa'!$BD$18:$BT$374,MATCH($A46,'LDI - Fluxo de Caixa'!$C$18:$C$374,0),MATCH('Fluxo Projeto'!O$1,'LDI - Fluxo de Caixa'!$BD$14:$BT$14,0)),IF($A46=entrega,assistTecnicaObra*SUM($N$2:$N$86),0))</f>
        <v>0</v>
      </c>
      <c r="P46" s="415">
        <f>IF($A46&lt;=baseData, INDEX('LDI - Fluxo de Caixa'!$BD$18:$BT$374, MATCH('Fluxo Projeto'!$A46, 'LDI - Fluxo de Caixa'!$C$18:$C$374, 0), MATCH('Fluxo Projeto'!P$1, 'LDI - Fluxo de Caixa'!$BD$14:$BT$14, 0)), -IF($A46&gt;=entrega, INDEX(Curvas!R:R,MATCH($A46,Curvas!B:B,0))*(IPTU+condominio)*'Tabela Vendas'!$Y$22, 0))</f>
        <v>0</v>
      </c>
      <c r="Q46" s="415">
        <f>IF($A46&lt;=baseData, INDEX('LDI - Fluxo de Caixa'!$BD$18:$BT$374, MATCH('Fluxo Projeto'!$A46, 'LDI - Fluxo de Caixa'!$C$18:$C$374, 0), MATCH('Fluxo Projeto'!Q$1, 'LDI - Fluxo de Caixa'!$BD$14:$BT$14, 0)), (-pctIncorporaçaoSPE*SUM($G$4:$H$86)-SUMIF($A$4:$A$86, "&lt;="&amp;baseData, Q$4:Q$86))*(SUM($G46:$H46)/(SUMIF($A$4:$A$86, "&gt;"&amp;baseData, $G$4:$G$86)+SUMIF($A$4:$A$86, "&gt;"&amp;baseData, $H$4:$H$86))))</f>
        <v>-16109.096510580343</v>
      </c>
      <c r="R46" s="415">
        <f>IF($A46&lt;=baseData, INDEX('LDI - Fluxo de Caixa'!$BD$18:$BT$374, MATCH('Fluxo Projeto'!$A46, 'LDI - Fluxo de Caixa'!$C$18:$C$374, 0), MATCH('Fluxo Projeto'!R$1, 'LDI - Fluxo de Caixa'!$BD$14:$BT$14, 0)), (-pctMarketingSPE*SUM($G$4:$H$86)-SUMIF($A$4:$A$86, "&lt;="&amp;baseData, R$4:R$86))*(SUM($G46:$H46)/(SUMIF($A$4:$A$86, "&gt;"&amp;baseData, $G$4:$G$86)+SUMIF($A$4:$A$86, "&gt;"&amp;baseData, $H$4:$H$86))))</f>
        <v>-30752.663859748358</v>
      </c>
      <c r="S46" s="415">
        <f>IF($A46&lt;=baseData,INDEX('LDI - Fluxo de Caixa'!$BD$18:$BT$374,MATCH($A46,'LDI - Fluxo de Caixa'!$C$18:$C$374,0),MATCH(S$1,'LDI - Fluxo de Caixa'!$BD$14:$BT$14,0)),-pctGestaoSPE*K45)</f>
        <v>-49982.196600977855</v>
      </c>
      <c r="T46" s="415">
        <f>IF($A46&lt;=baseData, INDEX('LDI - Fluxo de Caixa'!$BD$18:$BT$374, MATCH('Fluxo Projeto'!$A46, 'LDI - Fluxo de Caixa'!$C$18:$C$374, 0), MATCH('Fluxo Projeto'!T$1, 'LDI - Fluxo de Caixa'!$BD$14:$BT$14, 0)), (-pctOutrasSPE*SUM($G$4:$H$86)-SUMIF($A$4:$A$86, "&lt;="&amp;baseData, T$4:T$86))*(SUM($G46:$H46)/(SUMIF($A$4:$A$86, "&gt;"&amp;baseData, $G$4:$G$86)+SUMIF($A$4:$A$86, "&gt;"&amp;baseData, $H$4:$H$86))))</f>
        <v>-9749.4356745171281</v>
      </c>
      <c r="U46" s="398">
        <f>IF($A46&lt;=baseData, INDEX('LDI - Fluxo de Caixa'!$BD$18:$BT$374, MATCH('Fluxo Projeto'!$A46, 'LDI - Fluxo de Caixa'!$C$18:$C$374, 0), MATCH('Fluxo Projeto'!U$1, 'LDI - Fluxo de Caixa'!$BD$14:$BT$14, 0)), 0)</f>
        <v>0</v>
      </c>
      <c r="V46" s="393">
        <f t="shared" ca="1" si="31"/>
        <v>-965298.73116595135</v>
      </c>
      <c r="X46" s="416">
        <v>0</v>
      </c>
      <c r="Y46" s="417">
        <v>0</v>
      </c>
      <c r="AA46" s="400">
        <f>INDEX('LDI - Fluxo de Caixa'!$BD$18:$BT$374, MATCH('Fluxo Projeto'!$A46, 'LDI - Fluxo de Caixa'!$C$18:$C$374, 0), MATCH('Fluxo Projeto'!AA$1, 'LDI - Fluxo de Caixa'!$BD$14:$BT$14, 0))</f>
        <v>-17517.909999999902</v>
      </c>
      <c r="AB46" s="417">
        <v>0</v>
      </c>
      <c r="AD46" s="393">
        <f t="shared" ca="1" si="32"/>
        <v>1156346.8631979735</v>
      </c>
      <c r="AF46" s="393">
        <f ca="1">IF($A46&lt;=baseData, INDEX('LDI - Fluxo de Caixa'!$BD$18:$BT$374, MATCH('Fluxo Projeto'!$A46, 'LDI - Fluxo de Caixa'!$C$18:$C$374, 0), MATCH('Fluxo Projeto'!AF$1, 'LDI - Fluxo de Caixa'!$BD$14:$BT$14, 0)), $E46*CDI)</f>
        <v>-3643.2256034271127</v>
      </c>
      <c r="AH46" s="393">
        <f t="shared" ca="1" si="33"/>
        <v>17707655.40881722</v>
      </c>
      <c r="AJ46" s="397">
        <f ca="1">IF($A46&lt;=baseData, INDEX('LDI - Fluxo de Caixa'!$BD$18:$BT$374, MATCH($A46, 'LDI - Fluxo de Caixa'!$C$18:$C$374, 0), MATCH(AJ$1, 'LDI - Fluxo de Caixa'!$BD$14:$BT$14, 0))-J46-I46, IF($A46&lt;inicioDistribuicoes,-IF(AH46&lt;cxMinSPEpreObra,IF(SUM($AD47:$AD58)-cxMinSPEpreObra+AH46&lt;0,SUM($AD47:$AD58)-cxMinSPEpreObra+AH46,IF(AH46&lt;0, AH46-cxMinSPEpreObra, 0)),0), 0))</f>
        <v>0</v>
      </c>
      <c r="AK46" s="398">
        <f t="shared" ca="1" si="39"/>
        <v>0</v>
      </c>
      <c r="AM46" s="393">
        <f t="shared" ca="1" si="34"/>
        <v>17707655.40881722</v>
      </c>
      <c r="AO46" s="393">
        <f t="shared" ca="1" si="61"/>
        <v>17707655.40881722</v>
      </c>
      <c r="AQ46" s="397">
        <f t="shared" ca="1" si="35"/>
        <v>0</v>
      </c>
      <c r="AR46" s="398">
        <f t="shared" ca="1" si="37"/>
        <v>-35463847.709007196</v>
      </c>
      <c r="AT46" s="393">
        <f t="shared" ca="1" si="38"/>
        <v>0</v>
      </c>
      <c r="AV46" s="397">
        <f t="shared" si="40"/>
        <v>2466.5795032340625</v>
      </c>
      <c r="AW46" s="390">
        <f t="shared" si="41"/>
        <v>159.12428792849235</v>
      </c>
      <c r="AX46" s="390">
        <f t="shared" si="42"/>
        <v>0</v>
      </c>
      <c r="AY46" s="390">
        <f t="shared" si="43"/>
        <v>0</v>
      </c>
      <c r="AZ46" s="393">
        <f t="shared" si="44"/>
        <v>2625.7037911625548</v>
      </c>
      <c r="BA46" s="371"/>
      <c r="BB46" s="400">
        <f t="shared" si="45"/>
        <v>-81.800475022497594</v>
      </c>
      <c r="BC46" s="415">
        <f t="shared" ca="1" si="46"/>
        <v>-972.21239414070158</v>
      </c>
      <c r="BD46" s="415">
        <f t="shared" si="47"/>
        <v>0</v>
      </c>
      <c r="BE46" s="415">
        <f t="shared" si="48"/>
        <v>0</v>
      </c>
      <c r="BF46" s="415">
        <f t="shared" si="49"/>
        <v>-19.773016739368604</v>
      </c>
      <c r="BG46" s="415">
        <f t="shared" si="50"/>
        <v>-37.747178240542674</v>
      </c>
      <c r="BH46" s="415">
        <f t="shared" si="51"/>
        <v>-61.350356266873192</v>
      </c>
      <c r="BI46" s="415">
        <f t="shared" si="52"/>
        <v>-11.966888066317738</v>
      </c>
      <c r="BJ46" s="398">
        <f t="shared" si="53"/>
        <v>0</v>
      </c>
      <c r="BK46" s="393">
        <f t="shared" ca="1" si="54"/>
        <v>-1184.8503084763015</v>
      </c>
      <c r="BL46" s="371"/>
      <c r="BM46" s="400">
        <f t="shared" si="55"/>
        <v>0</v>
      </c>
      <c r="BN46" s="401">
        <f t="shared" si="56"/>
        <v>0</v>
      </c>
      <c r="BO46" s="371"/>
      <c r="BP46" s="400">
        <f t="shared" si="57"/>
        <v>-21.5022566561228</v>
      </c>
      <c r="BQ46" s="401">
        <f t="shared" si="58"/>
        <v>0</v>
      </c>
      <c r="BR46" s="371"/>
      <c r="BS46" s="393">
        <f t="shared" ca="1" si="59"/>
        <v>-4.4718560593728407</v>
      </c>
    </row>
    <row r="47" spans="1:71" x14ac:dyDescent="0.25">
      <c r="A47" s="197">
        <f t="shared" si="36"/>
        <v>44440</v>
      </c>
      <c r="B47" s="388">
        <f>IF($A47&lt;=baseData, INDEX(Indicadores!B:B, MATCH($A47,Indicadores!A:A, 0)), INDEX(Indicadores!B:B, MATCH(baseData,Indicadores!A:A, 0)))</f>
        <v>839.38199999999995</v>
      </c>
      <c r="C47" s="389">
        <f>IF($A47&lt;=baseData, INDEX(Indicadores!E:E, MATCH($A47, Indicadores!A:A, 0)), INDEX(Indicadores!E:E, MATCH(baseData, Indicadores!A:A, 0)))</f>
        <v>5486.52</v>
      </c>
      <c r="E47" s="393">
        <f t="shared" ca="1" si="60"/>
        <v>17707655.40881722</v>
      </c>
      <c r="G47" s="397">
        <f>IF(tipoCarteira="Carteira",INDEX('M-FLUXO DE CAIXA'!$W:$W, MATCH($A47, 'M-FLUXO DE CAIXA'!$V:$V, 0)),IF(DATEDIF(baseData,$A47,"m")&lt;=prazoRepasseCarteira,vlrCarteira/prazoRepasseCarteira,0))+IF(DATEDIF(baseData,$A47,"m")&lt;=curvaInad,vlrInad/curvaInad*(1-PDD),0)</f>
        <v>374350.72702182201</v>
      </c>
      <c r="H47" s="390">
        <f>IF($A47&gt;baseData, SUMPRODUCT('Tabela Vendas'!$R:$R,'Tabela Vendas'!$V:$V)*INDEX(Curvas!$Z:$Z,MATCH($A47,Curvas!$B:$B,0)), 0)</f>
        <v>140825.43511433815</v>
      </c>
      <c r="I47" s="390">
        <f>IFERROR(INDEX(Permutas!AJ:AJ, MATCH('Fluxo Projeto'!A47, Permutas!N:N, 0)), 0)</f>
        <v>0</v>
      </c>
      <c r="J47" s="390">
        <v>0</v>
      </c>
      <c r="K47" s="393">
        <f t="shared" si="30"/>
        <v>515176.16213616019</v>
      </c>
      <c r="M47" s="400">
        <f>IF($A47&lt;=baseData,INDEX('LDI - Fluxo de Caixa'!$BD$18:$BT$374,MATCH('Fluxo Projeto'!$A47,'LDI - Fluxo de Caixa'!$C$18:$C$374,0),MATCH('Fluxo Projeto'!M$1,'LDI - Fluxo de Caixa'!$BD$14:$BT$14,0)),-pctImpostoSPE*K46)</f>
        <v>-85566.540174556998</v>
      </c>
      <c r="N47" s="415">
        <f ca="1">IF($A47&lt;=baseData,INDEX('LDI - Fluxo de Caixa'!$BD$18:$BT$374,MATCH($A47,'LDI - Fluxo de Caixa'!$C$18:$C$374,0),MATCH('Fluxo Projeto'!N$1,'LDI - Fluxo de Caixa'!$BD$14:$BT$14,0)),INDEX(Obra!AA:AA,MATCH($A47,Obra!F:F,0)))</f>
        <v>-847356.31594558363</v>
      </c>
      <c r="O47" s="415">
        <f>IF($A47&lt;=baseData,INDEX('LDI - Fluxo de Caixa'!$BD$18:$BT$374,MATCH($A47,'LDI - Fluxo de Caixa'!$C$18:$C$374,0),MATCH('Fluxo Projeto'!O$1,'LDI - Fluxo de Caixa'!$BD$14:$BT$14,0)),IF($A47=entrega,assistTecnicaObra*SUM($N$2:$N$86),0))</f>
        <v>0</v>
      </c>
      <c r="P47" s="415">
        <f>IF($A47&lt;=baseData, INDEX('LDI - Fluxo de Caixa'!$BD$18:$BT$374, MATCH('Fluxo Projeto'!$A47, 'LDI - Fluxo de Caixa'!$C$18:$C$374, 0), MATCH('Fluxo Projeto'!P$1, 'LDI - Fluxo de Caixa'!$BD$14:$BT$14, 0)), -IF($A47&gt;=entrega, INDEX(Curvas!R:R,MATCH($A47,Curvas!B:B,0))*(IPTU+condominio)*'Tabela Vendas'!$Y$22, 0))</f>
        <v>0</v>
      </c>
      <c r="Q47" s="415">
        <f>IF($A47&lt;=baseData, INDEX('LDI - Fluxo de Caixa'!$BD$18:$BT$374, MATCH('Fluxo Projeto'!$A47, 'LDI - Fluxo de Caixa'!$C$18:$C$374, 0), MATCH('Fluxo Projeto'!Q$1, 'LDI - Fluxo de Caixa'!$BD$14:$BT$14, 0)), (-pctIncorporaçaoSPE*SUM($G$4:$H$86)-SUMIF($A$4:$A$86, "&lt;="&amp;baseData, Q$4:Q$86))*(SUM($G47:$H47)/(SUMIF($A$4:$A$86, "&gt;"&amp;baseData, $G$4:$G$86)+SUMIF($A$4:$A$86, "&gt;"&amp;baseData, $H$4:$H$86))))</f>
        <v>-3879.5643712468282</v>
      </c>
      <c r="R47" s="415">
        <f>IF($A47&lt;=baseData, INDEX('LDI - Fluxo de Caixa'!$BD$18:$BT$374, MATCH('Fluxo Projeto'!$A47, 'LDI - Fluxo de Caixa'!$C$18:$C$374, 0), MATCH('Fluxo Projeto'!R$1, 'LDI - Fluxo de Caixa'!$BD$14:$BT$14, 0)), (-pctMarketingSPE*SUM($G$4:$H$86)-SUMIF($A$4:$A$86, "&lt;="&amp;baseData, R$4:R$86))*(SUM($G47:$H47)/(SUMIF($A$4:$A$86, "&gt;"&amp;baseData, $G$4:$G$86)+SUMIF($A$4:$A$86, "&gt;"&amp;baseData, $H$4:$H$86))))</f>
        <v>-7406.1843848815315</v>
      </c>
      <c r="S47" s="415">
        <f>IF($A47&lt;=baseData,INDEX('LDI - Fluxo de Caixa'!$BD$18:$BT$374,MATCH($A47,'LDI - Fluxo de Caixa'!$C$18:$C$374,0),MATCH(S$1,'LDI - Fluxo de Caixa'!$BD$14:$BT$14,0)),-pctGestaoSPE*K46)</f>
        <v>-64174.905130917738</v>
      </c>
      <c r="T47" s="415">
        <f>IF($A47&lt;=baseData, INDEX('LDI - Fluxo de Caixa'!$BD$18:$BT$374, MATCH('Fluxo Projeto'!$A47, 'LDI - Fluxo de Caixa'!$C$18:$C$374, 0), MATCH('Fluxo Projeto'!T$1, 'LDI - Fluxo de Caixa'!$BD$14:$BT$14, 0)), (-pctOutrasSPE*SUM($G$4:$H$86)-SUMIF($A$4:$A$86, "&lt;="&amp;baseData, T$4:T$86))*(SUM($G47:$H47)/(SUMIF($A$4:$A$86, "&gt;"&amp;baseData, $G$4:$G$86)+SUMIF($A$4:$A$86, "&gt;"&amp;baseData, $H$4:$H$86))))</f>
        <v>-2347.9630442202138</v>
      </c>
      <c r="U47" s="398">
        <f>IF($A47&lt;=baseData, INDEX('LDI - Fluxo de Caixa'!$BD$18:$BT$374, MATCH('Fluxo Projeto'!$A47, 'LDI - Fluxo de Caixa'!$C$18:$C$374, 0), MATCH('Fluxo Projeto'!U$1, 'LDI - Fluxo de Caixa'!$BD$14:$BT$14, 0)), 0)</f>
        <v>0</v>
      </c>
      <c r="V47" s="393">
        <f t="shared" ca="1" si="31"/>
        <v>-1010731.473051407</v>
      </c>
      <c r="X47" s="416">
        <v>0</v>
      </c>
      <c r="Y47" s="417">
        <v>0</v>
      </c>
      <c r="AA47" s="400">
        <f>INDEX('LDI - Fluxo de Caixa'!$BD$18:$BT$374, MATCH('Fluxo Projeto'!$A47, 'LDI - Fluxo de Caixa'!$C$18:$C$374, 0), MATCH('Fluxo Projeto'!AA$1, 'LDI - Fluxo de Caixa'!$BD$14:$BT$14, 0))</f>
        <v>-17517.909999999902</v>
      </c>
      <c r="AB47" s="417">
        <v>0</v>
      </c>
      <c r="AD47" s="393">
        <f t="shared" ca="1" si="32"/>
        <v>-513073.22091524675</v>
      </c>
      <c r="AF47" s="393">
        <f ca="1">IF($A47&lt;=baseData, INDEX('LDI - Fluxo de Caixa'!$BD$18:$BT$374, MATCH('Fluxo Projeto'!$A47, 'LDI - Fluxo de Caixa'!$C$18:$C$374, 0), MATCH('Fluxo Projeto'!AF$1, 'LDI - Fluxo de Caixa'!$BD$14:$BT$14, 0)), $E47*CDI)</f>
        <v>-3896.8995170502299</v>
      </c>
      <c r="AH47" s="393">
        <f t="shared" ca="1" si="33"/>
        <v>17190685.288384922</v>
      </c>
      <c r="AJ47" s="397">
        <f ca="1">IF($A47&lt;=baseData, INDEX('LDI - Fluxo de Caixa'!$BD$18:$BT$374, MATCH($A47, 'LDI - Fluxo de Caixa'!$C$18:$C$374, 0), MATCH(AJ$1, 'LDI - Fluxo de Caixa'!$BD$14:$BT$14, 0))-J47-I47, IF($A47&lt;inicioDistribuicoes,-IF(AH47&lt;cxMinSPEpreObra,IF(SUM($AD48:$AD59)-cxMinSPEpreObra+AH47&lt;0,SUM($AD48:$AD59)-cxMinSPEpreObra+AH47,IF(AH47&lt;0, AH47-cxMinSPEpreObra, 0)),0), 0))</f>
        <v>0</v>
      </c>
      <c r="AK47" s="398">
        <f t="shared" ca="1" si="39"/>
        <v>0</v>
      </c>
      <c r="AM47" s="393">
        <f t="shared" ca="1" si="34"/>
        <v>17190685.288384922</v>
      </c>
      <c r="AO47" s="393">
        <f t="shared" ca="1" si="61"/>
        <v>17190685.288384922</v>
      </c>
      <c r="AQ47" s="397">
        <f t="shared" ca="1" si="35"/>
        <v>0</v>
      </c>
      <c r="AR47" s="398">
        <f t="shared" ca="1" si="37"/>
        <v>-35463847.709007196</v>
      </c>
      <c r="AT47" s="393">
        <f t="shared" ca="1" si="38"/>
        <v>0</v>
      </c>
      <c r="AV47" s="397">
        <f t="shared" si="40"/>
        <v>459.49462075267121</v>
      </c>
      <c r="AW47" s="390">
        <f t="shared" si="41"/>
        <v>172.85536057318961</v>
      </c>
      <c r="AX47" s="390">
        <f t="shared" si="42"/>
        <v>0</v>
      </c>
      <c r="AY47" s="390">
        <f t="shared" si="43"/>
        <v>0</v>
      </c>
      <c r="AZ47" s="393">
        <f t="shared" si="44"/>
        <v>632.34998132586088</v>
      </c>
      <c r="BA47" s="371"/>
      <c r="BB47" s="400">
        <f t="shared" si="45"/>
        <v>-105.02815164650221</v>
      </c>
      <c r="BC47" s="415">
        <f t="shared" ca="1" si="46"/>
        <v>-1040.0825774677871</v>
      </c>
      <c r="BD47" s="415">
        <f t="shared" si="47"/>
        <v>0</v>
      </c>
      <c r="BE47" s="415">
        <f t="shared" si="48"/>
        <v>0</v>
      </c>
      <c r="BF47" s="415">
        <f t="shared" si="49"/>
        <v>-4.7619487041832871</v>
      </c>
      <c r="BG47" s="415">
        <f t="shared" si="50"/>
        <v>-9.0906779111373766</v>
      </c>
      <c r="BH47" s="415">
        <f t="shared" si="51"/>
        <v>-78.77111373487665</v>
      </c>
      <c r="BI47" s="415">
        <f t="shared" si="52"/>
        <v>-2.8819935709176909</v>
      </c>
      <c r="BJ47" s="398">
        <f t="shared" si="53"/>
        <v>0</v>
      </c>
      <c r="BK47" s="393">
        <f t="shared" ca="1" si="54"/>
        <v>-1240.6164630354046</v>
      </c>
      <c r="BL47" s="371"/>
      <c r="BM47" s="400">
        <f t="shared" si="55"/>
        <v>0</v>
      </c>
      <c r="BN47" s="401">
        <f t="shared" si="56"/>
        <v>0</v>
      </c>
      <c r="BO47" s="371"/>
      <c r="BP47" s="400">
        <f t="shared" si="57"/>
        <v>-21.5022566561228</v>
      </c>
      <c r="BQ47" s="401">
        <f t="shared" si="58"/>
        <v>0</v>
      </c>
      <c r="BR47" s="371"/>
      <c r="BS47" s="393">
        <f t="shared" ca="1" si="59"/>
        <v>-4.7832266279901825</v>
      </c>
    </row>
    <row r="48" spans="1:71" x14ac:dyDescent="0.25">
      <c r="A48" s="197">
        <f t="shared" si="36"/>
        <v>44470</v>
      </c>
      <c r="B48" s="388">
        <f>IF($A48&lt;=baseData, INDEX(Indicadores!B:B, MATCH($A48,Indicadores!A:A, 0)), INDEX(Indicadores!B:B, MATCH(baseData,Indicadores!A:A, 0)))</f>
        <v>839.38199999999995</v>
      </c>
      <c r="C48" s="389">
        <f>IF($A48&lt;=baseData, INDEX(Indicadores!E:E, MATCH($A48, Indicadores!A:A, 0)), INDEX(Indicadores!E:E, MATCH(baseData, Indicadores!A:A, 0)))</f>
        <v>5486.52</v>
      </c>
      <c r="E48" s="393">
        <f t="shared" ca="1" si="60"/>
        <v>17190685.288384922</v>
      </c>
      <c r="G48" s="397">
        <f>IF(tipoCarteira="Carteira",INDEX('M-FLUXO DE CAIXA'!$W:$W, MATCH($A48, 'M-FLUXO DE CAIXA'!$V:$V, 0)),IF(DATEDIF(baseData,$A48,"m")&lt;=prazoRepasseCarteira,vlrCarteira/prazoRepasseCarteira,0))+IF(DATEDIF(baseData,$A48,"m")&lt;=curvaInad,vlrInad/curvaInad*(1-PDD),0)</f>
        <v>962231.54520631966</v>
      </c>
      <c r="H48" s="390">
        <f>IF($A48&gt;baseData, SUMPRODUCT('Tabela Vendas'!$R:$R,'Tabela Vendas'!$V:$V)*INDEX(Curvas!$Z:$Z,MATCH($A48,Curvas!$B:$B,0)), 0)</f>
        <v>152600.9283929776</v>
      </c>
      <c r="I48" s="390">
        <f>IFERROR(INDEX(Permutas!AJ:AJ, MATCH('Fluxo Projeto'!A48, Permutas!N:N, 0)), 0)</f>
        <v>0</v>
      </c>
      <c r="J48" s="390">
        <v>0</v>
      </c>
      <c r="K48" s="393">
        <f t="shared" si="30"/>
        <v>1114832.4735992972</v>
      </c>
      <c r="M48" s="400">
        <f>IF($A48&lt;=baseData,INDEX('LDI - Fluxo de Caixa'!$BD$18:$BT$374,MATCH('Fluxo Projeto'!$A48,'LDI - Fluxo de Caixa'!$C$18:$C$374,0),MATCH('Fluxo Projeto'!M$1,'LDI - Fluxo de Caixa'!$BD$14:$BT$14,0)),-pctImpostoSPE*K47)</f>
        <v>-20607.046485446408</v>
      </c>
      <c r="N48" s="415">
        <f ca="1">IF($A48&lt;=baseData,INDEX('LDI - Fluxo de Caixa'!$BD$18:$BT$374,MATCH($A48,'LDI - Fluxo de Caixa'!$C$18:$C$374,0),MATCH('Fluxo Projeto'!N$1,'LDI - Fluxo de Caixa'!$BD$14:$BT$14,0)),INDEX(Obra!AA:AA,MATCH($A48,Obra!F:F,0)))</f>
        <v>-950739.464834071</v>
      </c>
      <c r="O48" s="415">
        <f>IF($A48&lt;=baseData,INDEX('LDI - Fluxo de Caixa'!$BD$18:$BT$374,MATCH($A48,'LDI - Fluxo de Caixa'!$C$18:$C$374,0),MATCH('Fluxo Projeto'!O$1,'LDI - Fluxo de Caixa'!$BD$14:$BT$14,0)),IF($A48=entrega,assistTecnicaObra*SUM($N$2:$N$86),0))</f>
        <v>0</v>
      </c>
      <c r="P48" s="415">
        <f>IF($A48&lt;=baseData, INDEX('LDI - Fluxo de Caixa'!$BD$18:$BT$374, MATCH('Fluxo Projeto'!$A48, 'LDI - Fluxo de Caixa'!$C$18:$C$374, 0), MATCH('Fluxo Projeto'!P$1, 'LDI - Fluxo de Caixa'!$BD$14:$BT$14, 0)), -IF($A48&gt;=entrega, INDEX(Curvas!R:R,MATCH($A48,Curvas!B:B,0))*(IPTU+condominio)*'Tabela Vendas'!$Y$22, 0))</f>
        <v>0</v>
      </c>
      <c r="Q48" s="415">
        <f>IF($A48&lt;=baseData, INDEX('LDI - Fluxo de Caixa'!$BD$18:$BT$374, MATCH('Fluxo Projeto'!$A48, 'LDI - Fluxo de Caixa'!$C$18:$C$374, 0), MATCH('Fluxo Projeto'!Q$1, 'LDI - Fluxo de Caixa'!$BD$14:$BT$14, 0)), (-pctIncorporaçaoSPE*SUM($G$4:$H$86)-SUMIF($A$4:$A$86, "&lt;="&amp;baseData, Q$4:Q$86))*(SUM($G48:$H48)/(SUMIF($A$4:$A$86, "&gt;"&amp;baseData, $G$4:$G$86)+SUMIF($A$4:$A$86, "&gt;"&amp;baseData, $H$4:$H$86))))</f>
        <v>-8395.3114727806369</v>
      </c>
      <c r="R48" s="415">
        <f>IF($A48&lt;=baseData, INDEX('LDI - Fluxo de Caixa'!$BD$18:$BT$374, MATCH('Fluxo Projeto'!$A48, 'LDI - Fluxo de Caixa'!$C$18:$C$374, 0), MATCH('Fluxo Projeto'!R$1, 'LDI - Fluxo de Caixa'!$BD$14:$BT$14, 0)), (-pctMarketingSPE*SUM($G$4:$H$86)-SUMIF($A$4:$A$86, "&lt;="&amp;baseData, R$4:R$86))*(SUM($G48:$H48)/(SUMIF($A$4:$A$86, "&gt;"&amp;baseData, $G$4:$G$86)+SUMIF($A$4:$A$86, "&gt;"&amp;baseData, $H$4:$H$86))))</f>
        <v>-16026.857344280124</v>
      </c>
      <c r="S48" s="415">
        <f>IF($A48&lt;=baseData,INDEX('LDI - Fluxo de Caixa'!$BD$18:$BT$374,MATCH($A48,'LDI - Fluxo de Caixa'!$C$18:$C$374,0),MATCH(S$1,'LDI - Fluxo de Caixa'!$BD$14:$BT$14,0)),-pctGestaoSPE*K47)</f>
        <v>-15455.284864084804</v>
      </c>
      <c r="T48" s="415">
        <f>IF($A48&lt;=baseData, INDEX('LDI - Fluxo de Caixa'!$BD$18:$BT$374, MATCH('Fluxo Projeto'!$A48, 'LDI - Fluxo de Caixa'!$C$18:$C$374, 0), MATCH('Fluxo Projeto'!T$1, 'LDI - Fluxo de Caixa'!$BD$14:$BT$14, 0)), (-pctOutrasSPE*SUM($G$4:$H$86)-SUMIF($A$4:$A$86, "&lt;="&amp;baseData, T$4:T$86))*(SUM($G48:$H48)/(SUMIF($A$4:$A$86, "&gt;"&amp;baseData, $G$4:$G$86)+SUMIF($A$4:$A$86, "&gt;"&amp;baseData, $H$4:$H$86))))</f>
        <v>-5080.9521885757076</v>
      </c>
      <c r="U48" s="398">
        <f>IF($A48&lt;=baseData, INDEX('LDI - Fluxo de Caixa'!$BD$18:$BT$374, MATCH('Fluxo Projeto'!$A48, 'LDI - Fluxo de Caixa'!$C$18:$C$374, 0), MATCH('Fluxo Projeto'!U$1, 'LDI - Fluxo de Caixa'!$BD$14:$BT$14, 0)), 0)</f>
        <v>0</v>
      </c>
      <c r="V48" s="393">
        <f t="shared" ca="1" si="31"/>
        <v>-1016304.9171892387</v>
      </c>
      <c r="X48" s="416">
        <v>0</v>
      </c>
      <c r="Y48" s="417">
        <v>0</v>
      </c>
      <c r="AA48" s="400">
        <f>INDEX('LDI - Fluxo de Caixa'!$BD$18:$BT$374, MATCH('Fluxo Projeto'!$A48, 'LDI - Fluxo de Caixa'!$C$18:$C$374, 0), MATCH('Fluxo Projeto'!AA$1, 'LDI - Fluxo de Caixa'!$BD$14:$BT$14, 0))</f>
        <v>-17517.909999999902</v>
      </c>
      <c r="AB48" s="417">
        <v>0</v>
      </c>
      <c r="AD48" s="393">
        <f t="shared" ca="1" si="32"/>
        <v>81009.646410058616</v>
      </c>
      <c r="AF48" s="393">
        <f ca="1">IF($A48&lt;=baseData, INDEX('LDI - Fluxo de Caixa'!$BD$18:$BT$374, MATCH('Fluxo Projeto'!$A48, 'LDI - Fluxo de Caixa'!$C$18:$C$374, 0), MATCH('Fluxo Projeto'!AF$1, 'LDI - Fluxo de Caixa'!$BD$14:$BT$14, 0)), $E48*CDI)</f>
        <v>-3783.1306094150104</v>
      </c>
      <c r="AH48" s="393">
        <f t="shared" ca="1" si="33"/>
        <v>17267911.804185562</v>
      </c>
      <c r="AJ48" s="397">
        <f ca="1">IF($A48&lt;=baseData, INDEX('LDI - Fluxo de Caixa'!$BD$18:$BT$374, MATCH($A48, 'LDI - Fluxo de Caixa'!$C$18:$C$374, 0), MATCH(AJ$1, 'LDI - Fluxo de Caixa'!$BD$14:$BT$14, 0))-J48-I48, IF($A48&lt;inicioDistribuicoes,-IF(AH48&lt;cxMinSPEpreObra,IF(SUM($AD49:$AD60)-cxMinSPEpreObra+AH48&lt;0,SUM($AD49:$AD60)-cxMinSPEpreObra+AH48,IF(AH48&lt;0, AH48-cxMinSPEpreObra, 0)),0), 0))</f>
        <v>0</v>
      </c>
      <c r="AK48" s="398">
        <f t="shared" ca="1" si="39"/>
        <v>0</v>
      </c>
      <c r="AM48" s="393">
        <f t="shared" ca="1" si="34"/>
        <v>17267911.804185562</v>
      </c>
      <c r="AO48" s="393">
        <f t="shared" ca="1" si="61"/>
        <v>17267911.804185562</v>
      </c>
      <c r="AQ48" s="397">
        <f t="shared" ca="1" si="35"/>
        <v>0</v>
      </c>
      <c r="AR48" s="398">
        <f t="shared" ca="1" si="37"/>
        <v>-35463847.709007196</v>
      </c>
      <c r="AT48" s="393">
        <f t="shared" ca="1" si="38"/>
        <v>0</v>
      </c>
      <c r="AV48" s="397">
        <f t="shared" si="40"/>
        <v>1181.0855089245251</v>
      </c>
      <c r="AW48" s="390">
        <f t="shared" si="41"/>
        <v>187.30912125181825</v>
      </c>
      <c r="AX48" s="390">
        <f t="shared" si="42"/>
        <v>0</v>
      </c>
      <c r="AY48" s="390">
        <f t="shared" si="43"/>
        <v>0</v>
      </c>
      <c r="AZ48" s="393">
        <f t="shared" si="44"/>
        <v>1368.3946301763433</v>
      </c>
      <c r="BA48" s="371"/>
      <c r="BB48" s="400">
        <f t="shared" si="45"/>
        <v>-25.293999253034436</v>
      </c>
      <c r="BC48" s="415">
        <f t="shared" ca="1" si="46"/>
        <v>-1166.9796217680732</v>
      </c>
      <c r="BD48" s="415">
        <f t="shared" si="47"/>
        <v>0</v>
      </c>
      <c r="BE48" s="415">
        <f t="shared" si="48"/>
        <v>0</v>
      </c>
      <c r="BF48" s="415">
        <f t="shared" si="49"/>
        <v>-10.304776197378715</v>
      </c>
      <c r="BG48" s="415">
        <f t="shared" si="50"/>
        <v>-19.672072753415208</v>
      </c>
      <c r="BH48" s="415">
        <f t="shared" si="51"/>
        <v>-18.970499439775825</v>
      </c>
      <c r="BI48" s="415">
        <f t="shared" si="52"/>
        <v>-6.2365851871738309</v>
      </c>
      <c r="BJ48" s="398">
        <f t="shared" si="53"/>
        <v>0</v>
      </c>
      <c r="BK48" s="393">
        <f t="shared" ca="1" si="54"/>
        <v>-1247.4575545988512</v>
      </c>
      <c r="BL48" s="371"/>
      <c r="BM48" s="400">
        <f t="shared" si="55"/>
        <v>0</v>
      </c>
      <c r="BN48" s="401">
        <f t="shared" si="56"/>
        <v>0</v>
      </c>
      <c r="BO48" s="371"/>
      <c r="BP48" s="400">
        <f t="shared" si="57"/>
        <v>-21.5022566561228</v>
      </c>
      <c r="BQ48" s="401">
        <f t="shared" si="58"/>
        <v>0</v>
      </c>
      <c r="BR48" s="371"/>
      <c r="BS48" s="393">
        <f t="shared" ca="1" si="59"/>
        <v>-4.6435816445726843</v>
      </c>
    </row>
    <row r="49" spans="1:71" x14ac:dyDescent="0.25">
      <c r="A49" s="197">
        <f t="shared" si="36"/>
        <v>44501</v>
      </c>
      <c r="B49" s="388">
        <f>IF($A49&lt;=baseData, INDEX(Indicadores!B:B, MATCH($A49,Indicadores!A:A, 0)), INDEX(Indicadores!B:B, MATCH(baseData,Indicadores!A:A, 0)))</f>
        <v>839.38199999999995</v>
      </c>
      <c r="C49" s="389">
        <f>IF($A49&lt;=baseData, INDEX(Indicadores!E:E, MATCH($A49, Indicadores!A:A, 0)), INDEX(Indicadores!E:E, MATCH(baseData, Indicadores!A:A, 0)))</f>
        <v>5486.52</v>
      </c>
      <c r="E49" s="393">
        <f t="shared" ca="1" si="60"/>
        <v>17267911.804185562</v>
      </c>
      <c r="G49" s="397">
        <f>IF(tipoCarteira="Carteira",INDEX('M-FLUXO DE CAIXA'!$W:$W, MATCH($A49, 'M-FLUXO DE CAIXA'!$V:$V, 0)),IF(DATEDIF(baseData,$A49,"m")&lt;=prazoRepasseCarteira,vlrCarteira/prazoRepasseCarteira,0))+IF(DATEDIF(baseData,$A49,"m")&lt;=curvaInad,vlrInad/curvaInad*(1-PDD),0)</f>
        <v>629299.30114169919</v>
      </c>
      <c r="H49" s="390">
        <f>IF($A49&gt;baseData, SUMPRODUCT('Tabela Vendas'!$R:$R,'Tabela Vendas'!$V:$V)*INDEX(Curvas!$Z:$Z,MATCH($A49,Curvas!$B:$B,0)), 0)</f>
        <v>165030.61574265262</v>
      </c>
      <c r="I49" s="390">
        <f>IFERROR(INDEX(Permutas!AJ:AJ, MATCH('Fluxo Projeto'!A49, Permutas!N:N, 0)), 0)</f>
        <v>0</v>
      </c>
      <c r="J49" s="390">
        <v>0</v>
      </c>
      <c r="K49" s="393">
        <f t="shared" si="30"/>
        <v>794329.91688435175</v>
      </c>
      <c r="M49" s="400">
        <f>IF($A49&lt;=baseData,INDEX('LDI - Fluxo de Caixa'!$BD$18:$BT$374,MATCH('Fluxo Projeto'!$A49,'LDI - Fluxo de Caixa'!$C$18:$C$374,0),MATCH('Fluxo Projeto'!M$1,'LDI - Fluxo de Caixa'!$BD$14:$BT$14,0)),-pctImpostoSPE*K48)</f>
        <v>-44593.298943971888</v>
      </c>
      <c r="N49" s="415">
        <f ca="1">IF($A49&lt;=baseData,INDEX('LDI - Fluxo de Caixa'!$BD$18:$BT$374,MATCH($A49,'LDI - Fluxo de Caixa'!$C$18:$C$374,0),MATCH('Fluxo Projeto'!N$1,'LDI - Fluxo de Caixa'!$BD$14:$BT$14,0)),INDEX(Obra!AA:AA,MATCH($A49,Obra!F:F,0)))</f>
        <v>-1484876.7446189814</v>
      </c>
      <c r="O49" s="415">
        <f>IF($A49&lt;=baseData,INDEX('LDI - Fluxo de Caixa'!$BD$18:$BT$374,MATCH($A49,'LDI - Fluxo de Caixa'!$C$18:$C$374,0),MATCH('Fluxo Projeto'!O$1,'LDI - Fluxo de Caixa'!$BD$14:$BT$14,0)),IF($A49=entrega,assistTecnicaObra*SUM($N$2:$N$86),0))</f>
        <v>0</v>
      </c>
      <c r="P49" s="415">
        <f>IF($A49&lt;=baseData, INDEX('LDI - Fluxo de Caixa'!$BD$18:$BT$374, MATCH('Fluxo Projeto'!$A49, 'LDI - Fluxo de Caixa'!$C$18:$C$374, 0), MATCH('Fluxo Projeto'!P$1, 'LDI - Fluxo de Caixa'!$BD$14:$BT$14, 0)), -IF($A49&gt;=entrega, INDEX(Curvas!R:R,MATCH($A49,Curvas!B:B,0))*(IPTU+condominio)*'Tabela Vendas'!$Y$22, 0))</f>
        <v>0</v>
      </c>
      <c r="Q49" s="415">
        <f>IF($A49&lt;=baseData, INDEX('LDI - Fluxo de Caixa'!$BD$18:$BT$374, MATCH('Fluxo Projeto'!$A49, 'LDI - Fluxo de Caixa'!$C$18:$C$374, 0), MATCH('Fluxo Projeto'!Q$1, 'LDI - Fluxo de Caixa'!$BD$14:$BT$14, 0)), (-pctIncorporaçaoSPE*SUM($G$4:$H$86)-SUMIF($A$4:$A$86, "&lt;="&amp;baseData, Q$4:Q$86))*(SUM($G49:$H49)/(SUMIF($A$4:$A$86, "&gt;"&amp;baseData, $G$4:$G$86)+SUMIF($A$4:$A$86, "&gt;"&amp;baseData, $H$4:$H$86))))</f>
        <v>-5981.7481301580665</v>
      </c>
      <c r="R49" s="415">
        <f>IF($A49&lt;=baseData, INDEX('LDI - Fluxo de Caixa'!$BD$18:$BT$374, MATCH('Fluxo Projeto'!$A49, 'LDI - Fluxo de Caixa'!$C$18:$C$374, 0), MATCH('Fluxo Projeto'!R$1, 'LDI - Fluxo de Caixa'!$BD$14:$BT$14, 0)), (-pctMarketingSPE*SUM($G$4:$H$86)-SUMIF($A$4:$A$86, "&lt;="&amp;baseData, R$4:R$86))*(SUM($G49:$H49)/(SUMIF($A$4:$A$86, "&gt;"&amp;baseData, $G$4:$G$86)+SUMIF($A$4:$A$86, "&gt;"&amp;baseData, $H$4:$H$86))))</f>
        <v>-11419.305199370376</v>
      </c>
      <c r="S49" s="415">
        <f>IF($A49&lt;=baseData,INDEX('LDI - Fluxo de Caixa'!$BD$18:$BT$374,MATCH($A49,'LDI - Fluxo de Caixa'!$C$18:$C$374,0),MATCH(S$1,'LDI - Fluxo de Caixa'!$BD$14:$BT$14,0)),-pctGestaoSPE*K48)</f>
        <v>-33444.974207978914</v>
      </c>
      <c r="T49" s="415">
        <f>IF($A49&lt;=baseData, INDEX('LDI - Fluxo de Caixa'!$BD$18:$BT$374, MATCH('Fluxo Projeto'!$A49, 'LDI - Fluxo de Caixa'!$C$18:$C$374, 0), MATCH('Fluxo Projeto'!T$1, 'LDI - Fluxo de Caixa'!$BD$14:$BT$14, 0)), (-pctOutrasSPE*SUM($G$4:$H$86)-SUMIF($A$4:$A$86, "&lt;="&amp;baseData, T$4:T$86))*(SUM($G49:$H49)/(SUMIF($A$4:$A$86, "&gt;"&amp;baseData, $G$4:$G$86)+SUMIF($A$4:$A$86, "&gt;"&amp;baseData, $H$4:$H$86))))</f>
        <v>-3620.2321202704252</v>
      </c>
      <c r="U49" s="398">
        <f>IF($A49&lt;=baseData, INDEX('LDI - Fluxo de Caixa'!$BD$18:$BT$374, MATCH('Fluxo Projeto'!$A49, 'LDI - Fluxo de Caixa'!$C$18:$C$374, 0), MATCH('Fluxo Projeto'!U$1, 'LDI - Fluxo de Caixa'!$BD$14:$BT$14, 0)), 0)</f>
        <v>0</v>
      </c>
      <c r="V49" s="393">
        <f t="shared" ca="1" si="31"/>
        <v>-1583936.3032207312</v>
      </c>
      <c r="X49" s="416">
        <v>0</v>
      </c>
      <c r="Y49" s="417">
        <v>0</v>
      </c>
      <c r="AA49" s="400">
        <f>INDEX('LDI - Fluxo de Caixa'!$BD$18:$BT$374, MATCH('Fluxo Projeto'!$A49, 'LDI - Fluxo de Caixa'!$C$18:$C$374, 0), MATCH('Fluxo Projeto'!AA$1, 'LDI - Fluxo de Caixa'!$BD$14:$BT$14, 0))</f>
        <v>-17517.909999999902</v>
      </c>
      <c r="AB49" s="417">
        <v>0</v>
      </c>
      <c r="AD49" s="393">
        <f t="shared" ca="1" si="32"/>
        <v>-807124.29633637937</v>
      </c>
      <c r="AF49" s="393">
        <f ca="1">IF($A49&lt;=baseData, INDEX('LDI - Fluxo de Caixa'!$BD$18:$BT$374, MATCH('Fluxo Projeto'!$A49, 'LDI - Fluxo de Caixa'!$C$18:$C$374, 0), MATCH('Fluxo Projeto'!AF$1, 'LDI - Fluxo de Caixa'!$BD$14:$BT$14, 0)), $E49*CDI)</f>
        <v>-3800.1257431681292</v>
      </c>
      <c r="AH49" s="393">
        <f t="shared" ca="1" si="33"/>
        <v>16456987.382106015</v>
      </c>
      <c r="AJ49" s="397">
        <f ca="1">IF($A49&lt;=baseData, INDEX('LDI - Fluxo de Caixa'!$BD$18:$BT$374, MATCH($A49, 'LDI - Fluxo de Caixa'!$C$18:$C$374, 0), MATCH(AJ$1, 'LDI - Fluxo de Caixa'!$BD$14:$BT$14, 0))-J49-I49, IF($A49&lt;inicioDistribuicoes,-IF(AH49&lt;cxMinSPEpreObra,IF(SUM($AD50:$AD61)-cxMinSPEpreObra+AH49&lt;0,SUM($AD50:$AD61)-cxMinSPEpreObra+AH49,IF(AH49&lt;0, AH49-cxMinSPEpreObra, 0)),0), 0))</f>
        <v>0</v>
      </c>
      <c r="AK49" s="398">
        <f t="shared" ca="1" si="39"/>
        <v>0</v>
      </c>
      <c r="AM49" s="393">
        <f t="shared" ca="1" si="34"/>
        <v>16456987.382106015</v>
      </c>
      <c r="AO49" s="393">
        <f t="shared" ca="1" si="61"/>
        <v>16456987.382106015</v>
      </c>
      <c r="AQ49" s="397">
        <f t="shared" ca="1" si="35"/>
        <v>0</v>
      </c>
      <c r="AR49" s="398">
        <f t="shared" ca="1" si="37"/>
        <v>-35463847.709007196</v>
      </c>
      <c r="AT49" s="393">
        <f t="shared" ca="1" si="38"/>
        <v>0</v>
      </c>
      <c r="AV49" s="397">
        <f t="shared" si="40"/>
        <v>772.42976397684447</v>
      </c>
      <c r="AW49" s="390">
        <f t="shared" si="41"/>
        <v>202.56586863481525</v>
      </c>
      <c r="AX49" s="390">
        <f t="shared" si="42"/>
        <v>0</v>
      </c>
      <c r="AY49" s="390">
        <f t="shared" si="43"/>
        <v>0</v>
      </c>
      <c r="AZ49" s="393">
        <f t="shared" si="44"/>
        <v>974.99563261165974</v>
      </c>
      <c r="BA49" s="371"/>
      <c r="BB49" s="400">
        <f t="shared" si="45"/>
        <v>-54.735785207053738</v>
      </c>
      <c r="BC49" s="415">
        <f t="shared" ca="1" si="46"/>
        <v>-1822.60331657747</v>
      </c>
      <c r="BD49" s="415">
        <f t="shared" si="47"/>
        <v>0</v>
      </c>
      <c r="BE49" s="415">
        <f t="shared" si="48"/>
        <v>0</v>
      </c>
      <c r="BF49" s="415">
        <f t="shared" si="49"/>
        <v>-7.3422619220524661</v>
      </c>
      <c r="BG49" s="415">
        <f t="shared" si="50"/>
        <v>-14.016559694133646</v>
      </c>
      <c r="BH49" s="415">
        <f t="shared" si="51"/>
        <v>-41.051838905290303</v>
      </c>
      <c r="BI49" s="415">
        <f t="shared" si="52"/>
        <v>-4.4436328423193601</v>
      </c>
      <c r="BJ49" s="398">
        <f t="shared" si="53"/>
        <v>0</v>
      </c>
      <c r="BK49" s="393">
        <f t="shared" ca="1" si="54"/>
        <v>-1944.1933951483195</v>
      </c>
      <c r="BL49" s="371"/>
      <c r="BM49" s="400">
        <f t="shared" si="55"/>
        <v>0</v>
      </c>
      <c r="BN49" s="401">
        <f t="shared" si="56"/>
        <v>0</v>
      </c>
      <c r="BO49" s="371"/>
      <c r="BP49" s="400">
        <f t="shared" si="57"/>
        <v>-21.5022566561228</v>
      </c>
      <c r="BQ49" s="401">
        <f t="shared" si="58"/>
        <v>0</v>
      </c>
      <c r="BR49" s="371"/>
      <c r="BS49" s="393">
        <f t="shared" ca="1" si="59"/>
        <v>-4.6644422225677014</v>
      </c>
    </row>
    <row r="50" spans="1:71" x14ac:dyDescent="0.25">
      <c r="A50" s="197">
        <f t="shared" si="36"/>
        <v>44531</v>
      </c>
      <c r="B50" s="388">
        <f>IF($A50&lt;=baseData, INDEX(Indicadores!B:B, MATCH($A50,Indicadores!A:A, 0)), INDEX(Indicadores!B:B, MATCH(baseData,Indicadores!A:A, 0)))</f>
        <v>839.38199999999995</v>
      </c>
      <c r="C50" s="389">
        <f>IF($A50&lt;=baseData, INDEX(Indicadores!E:E, MATCH($A50, Indicadores!A:A, 0)), INDEX(Indicadores!E:E, MATCH(baseData, Indicadores!A:A, 0)))</f>
        <v>5486.52</v>
      </c>
      <c r="E50" s="393">
        <f t="shared" ca="1" si="60"/>
        <v>16456987.382106015</v>
      </c>
      <c r="G50" s="397">
        <f>IF(tipoCarteira="Carteira",INDEX('M-FLUXO DE CAIXA'!$W:$W, MATCH($A50, 'M-FLUXO DE CAIXA'!$V:$V, 0)),IF(DATEDIF(baseData,$A50,"m")&lt;=prazoRepasseCarteira,vlrCarteira/prazoRepasseCarteira,0))+IF(DATEDIF(baseData,$A50,"m")&lt;=curvaInad,vlrInad/curvaInad*(1-PDD),0)</f>
        <v>1691900.1623361709</v>
      </c>
      <c r="H50" s="390">
        <f>IF($A50&gt;baseData, SUMPRODUCT('Tabela Vendas'!$R:$R,'Tabela Vendas'!$V:$V)*INDEX(Curvas!$Z:$Z,MATCH($A50,Curvas!$B:$B,0)), 0)</f>
        <v>178191.46117172026</v>
      </c>
      <c r="I50" s="390">
        <f>IFERROR(INDEX(Permutas!AJ:AJ, MATCH('Fluxo Projeto'!A50, Permutas!N:N, 0)), 0)</f>
        <v>0</v>
      </c>
      <c r="J50" s="390">
        <v>0</v>
      </c>
      <c r="K50" s="393">
        <f t="shared" si="30"/>
        <v>1870091.6235078911</v>
      </c>
      <c r="M50" s="400">
        <f>IF($A50&lt;=baseData,INDEX('LDI - Fluxo de Caixa'!$BD$18:$BT$374,MATCH('Fluxo Projeto'!$A50,'LDI - Fluxo de Caixa'!$C$18:$C$374,0),MATCH('Fluxo Projeto'!M$1,'LDI - Fluxo de Caixa'!$BD$14:$BT$14,0)),-pctImpostoSPE*K49)</f>
        <v>-31773.196675374071</v>
      </c>
      <c r="N50" s="415">
        <f ca="1">IF($A50&lt;=baseData,INDEX('LDI - Fluxo de Caixa'!$BD$18:$BT$374,MATCH($A50,'LDI - Fluxo de Caixa'!$C$18:$C$374,0),MATCH('Fluxo Projeto'!N$1,'LDI - Fluxo de Caixa'!$BD$14:$BT$14,0)),INDEX(Obra!AA:AA,MATCH($A50,Obra!F:F,0)))</f>
        <v>-1766496.4445428662</v>
      </c>
      <c r="O50" s="415">
        <f>IF($A50&lt;=baseData,INDEX('LDI - Fluxo de Caixa'!$BD$18:$BT$374,MATCH($A50,'LDI - Fluxo de Caixa'!$C$18:$C$374,0),MATCH('Fluxo Projeto'!O$1,'LDI - Fluxo de Caixa'!$BD$14:$BT$14,0)),IF($A50=entrega,assistTecnicaObra*SUM($N$2:$N$86),0))</f>
        <v>0</v>
      </c>
      <c r="P50" s="415">
        <f>IF($A50&lt;=baseData, INDEX('LDI - Fluxo de Caixa'!$BD$18:$BT$374, MATCH('Fluxo Projeto'!$A50, 'LDI - Fluxo de Caixa'!$C$18:$C$374, 0), MATCH('Fluxo Projeto'!P$1, 'LDI - Fluxo de Caixa'!$BD$14:$BT$14, 0)), -IF($A50&gt;=entrega, INDEX(Curvas!R:R,MATCH($A50,Curvas!B:B,0))*(IPTU+condominio)*'Tabela Vendas'!$Y$22, 0))</f>
        <v>0</v>
      </c>
      <c r="Q50" s="415">
        <f>IF($A50&lt;=baseData, INDEX('LDI - Fluxo de Caixa'!$BD$18:$BT$374, MATCH('Fluxo Projeto'!$A50, 'LDI - Fluxo de Caixa'!$C$18:$C$374, 0), MATCH('Fluxo Projeto'!Q$1, 'LDI - Fluxo de Caixa'!$BD$14:$BT$14, 0)), (-pctIncorporaçaoSPE*SUM($G$4:$H$86)-SUMIF($A$4:$A$86, "&lt;="&amp;baseData, Q$4:Q$86))*(SUM($G50:$H50)/(SUMIF($A$4:$A$86, "&gt;"&amp;baseData, $G$4:$G$86)+SUMIF($A$4:$A$86, "&gt;"&amp;baseData, $H$4:$H$86))))</f>
        <v>-14082.834895630962</v>
      </c>
      <c r="R50" s="415">
        <f>IF($A50&lt;=baseData, INDEX('LDI - Fluxo de Caixa'!$BD$18:$BT$374, MATCH('Fluxo Projeto'!$A50, 'LDI - Fluxo de Caixa'!$C$18:$C$374, 0), MATCH('Fluxo Projeto'!R$1, 'LDI - Fluxo de Caixa'!$BD$14:$BT$14, 0)), (-pctMarketingSPE*SUM($G$4:$H$86)-SUMIF($A$4:$A$86, "&lt;="&amp;baseData, R$4:R$86))*(SUM($G50:$H50)/(SUMIF($A$4:$A$86, "&gt;"&amp;baseData, $G$4:$G$86)+SUMIF($A$4:$A$86, "&gt;"&amp;baseData, $H$4:$H$86))))</f>
        <v>-26884.480296783018</v>
      </c>
      <c r="S50" s="415">
        <f>IF($A50&lt;=baseData,INDEX('LDI - Fluxo de Caixa'!$BD$18:$BT$374,MATCH($A50,'LDI - Fluxo de Caixa'!$C$18:$C$374,0),MATCH(S$1,'LDI - Fluxo de Caixa'!$BD$14:$BT$14,0)),-pctGestaoSPE*K49)</f>
        <v>-23829.897506530553</v>
      </c>
      <c r="T50" s="415">
        <f>IF($A50&lt;=baseData, INDEX('LDI - Fluxo de Caixa'!$BD$18:$BT$374, MATCH('Fluxo Projeto'!$A50, 'LDI - Fluxo de Caixa'!$C$18:$C$374, 0), MATCH('Fluxo Projeto'!T$1, 'LDI - Fluxo de Caixa'!$BD$14:$BT$14, 0)), (-pctOutrasSPE*SUM($G$4:$H$86)-SUMIF($A$4:$A$86, "&lt;="&amp;baseData, T$4:T$86))*(SUM($G50:$H50)/(SUMIF($A$4:$A$86, "&gt;"&amp;baseData, $G$4:$G$86)+SUMIF($A$4:$A$86, "&gt;"&amp;baseData, $H$4:$H$86))))</f>
        <v>-8523.1156719200062</v>
      </c>
      <c r="U50" s="398">
        <f>IF($A50&lt;=baseData, INDEX('LDI - Fluxo de Caixa'!$BD$18:$BT$374, MATCH('Fluxo Projeto'!$A50, 'LDI - Fluxo de Caixa'!$C$18:$C$374, 0), MATCH('Fluxo Projeto'!U$1, 'LDI - Fluxo de Caixa'!$BD$14:$BT$14, 0)), 0)</f>
        <v>0</v>
      </c>
      <c r="V50" s="393">
        <f t="shared" ca="1" si="31"/>
        <v>-1871589.9695891049</v>
      </c>
      <c r="X50" s="416">
        <v>0</v>
      </c>
      <c r="Y50" s="417">
        <v>0</v>
      </c>
      <c r="AA50" s="400">
        <f>INDEX('LDI - Fluxo de Caixa'!$BD$18:$BT$374, MATCH('Fluxo Projeto'!$A50, 'LDI - Fluxo de Caixa'!$C$18:$C$374, 0), MATCH('Fluxo Projeto'!AA$1, 'LDI - Fluxo de Caixa'!$BD$14:$BT$14, 0))</f>
        <v>-4999.99999999999</v>
      </c>
      <c r="AB50" s="417">
        <v>0</v>
      </c>
      <c r="AD50" s="393">
        <f t="shared" ca="1" si="32"/>
        <v>-6498.3460812137828</v>
      </c>
      <c r="AF50" s="393">
        <f ca="1">IF($A50&lt;=baseData, INDEX('LDI - Fluxo de Caixa'!$BD$18:$BT$374, MATCH('Fluxo Projeto'!$A50, 'LDI - Fluxo de Caixa'!$C$18:$C$374, 0), MATCH('Fluxo Projeto'!AF$1, 'LDI - Fluxo de Caixa'!$BD$14:$BT$14, 0)), $E50*CDI)</f>
        <v>-3621.6667142448246</v>
      </c>
      <c r="AH50" s="393">
        <f t="shared" ca="1" si="33"/>
        <v>16446867.369310558</v>
      </c>
      <c r="AJ50" s="397">
        <f ca="1">IF($A50&lt;=baseData, INDEX('LDI - Fluxo de Caixa'!$BD$18:$BT$374, MATCH($A50, 'LDI - Fluxo de Caixa'!$C$18:$C$374, 0), MATCH(AJ$1, 'LDI - Fluxo de Caixa'!$BD$14:$BT$14, 0))-J50-I50, IF($A50&lt;inicioDistribuicoes,-IF(AH50&lt;cxMinSPEpreObra,IF(SUM($AD51:$AD62)-cxMinSPEpreObra+AH50&lt;0,SUM($AD51:$AD62)-cxMinSPEpreObra+AH50,IF(AH50&lt;0, AH50-cxMinSPEpreObra, 0)),0), 0))</f>
        <v>0</v>
      </c>
      <c r="AK50" s="398">
        <f t="shared" ca="1" si="39"/>
        <v>0</v>
      </c>
      <c r="AM50" s="393">
        <f t="shared" ca="1" si="34"/>
        <v>16446867.369310558</v>
      </c>
      <c r="AO50" s="393">
        <f t="shared" ca="1" si="61"/>
        <v>16446867.369310558</v>
      </c>
      <c r="AQ50" s="397">
        <f t="shared" ca="1" si="35"/>
        <v>0</v>
      </c>
      <c r="AR50" s="398">
        <f t="shared" ca="1" si="37"/>
        <v>-35463847.709007196</v>
      </c>
      <c r="AT50" s="393">
        <f t="shared" ca="1" si="38"/>
        <v>0</v>
      </c>
      <c r="AV50" s="397">
        <f t="shared" si="40"/>
        <v>2076.7130055519397</v>
      </c>
      <c r="AW50" s="390">
        <f t="shared" si="41"/>
        <v>218.72007174622377</v>
      </c>
      <c r="AX50" s="390">
        <f t="shared" si="42"/>
        <v>0</v>
      </c>
      <c r="AY50" s="390">
        <f t="shared" si="43"/>
        <v>0</v>
      </c>
      <c r="AZ50" s="393">
        <f t="shared" si="44"/>
        <v>2295.4330772981634</v>
      </c>
      <c r="BA50" s="371"/>
      <c r="BB50" s="400">
        <f t="shared" si="45"/>
        <v>-38.999825304466384</v>
      </c>
      <c r="BC50" s="415">
        <f t="shared" ca="1" si="46"/>
        <v>-2168.2757779146782</v>
      </c>
      <c r="BD50" s="415">
        <f t="shared" si="47"/>
        <v>0</v>
      </c>
      <c r="BE50" s="415">
        <f t="shared" si="48"/>
        <v>0</v>
      </c>
      <c r="BF50" s="415">
        <f t="shared" si="49"/>
        <v>-17.285893715155574</v>
      </c>
      <c r="BG50" s="415">
        <f t="shared" si="50"/>
        <v>-32.99919884323576</v>
      </c>
      <c r="BH50" s="415">
        <f t="shared" si="51"/>
        <v>-29.249868978349792</v>
      </c>
      <c r="BI50" s="415">
        <f t="shared" si="52"/>
        <v>-10.461648717652251</v>
      </c>
      <c r="BJ50" s="398">
        <f t="shared" si="53"/>
        <v>0</v>
      </c>
      <c r="BK50" s="393">
        <f t="shared" ca="1" si="54"/>
        <v>-2297.2722134735377</v>
      </c>
      <c r="BL50" s="371"/>
      <c r="BM50" s="400">
        <f t="shared" si="55"/>
        <v>0</v>
      </c>
      <c r="BN50" s="401">
        <f t="shared" si="56"/>
        <v>0</v>
      </c>
      <c r="BO50" s="371"/>
      <c r="BP50" s="400">
        <f t="shared" si="57"/>
        <v>-6.1372208945367559</v>
      </c>
      <c r="BQ50" s="401">
        <f t="shared" si="58"/>
        <v>0</v>
      </c>
      <c r="BR50" s="371"/>
      <c r="BS50" s="393">
        <f t="shared" ca="1" si="59"/>
        <v>-4.4453937263423322</v>
      </c>
    </row>
    <row r="51" spans="1:71" x14ac:dyDescent="0.25">
      <c r="A51" s="197">
        <f t="shared" si="36"/>
        <v>44562</v>
      </c>
      <c r="B51" s="388">
        <f>IF($A51&lt;=baseData, INDEX(Indicadores!B:B, MATCH($A51,Indicadores!A:A, 0)), INDEX(Indicadores!B:B, MATCH(baseData,Indicadores!A:A, 0)))</f>
        <v>839.38199999999995</v>
      </c>
      <c r="C51" s="389">
        <f>IF($A51&lt;=baseData, INDEX(Indicadores!E:E, MATCH($A51, Indicadores!A:A, 0)), INDEX(Indicadores!E:E, MATCH(baseData, Indicadores!A:A, 0)))</f>
        <v>5486.52</v>
      </c>
      <c r="E51" s="393">
        <f t="shared" ca="1" si="60"/>
        <v>16446867.369310558</v>
      </c>
      <c r="G51" s="397">
        <f>IF(tipoCarteira="Carteira",INDEX('M-FLUXO DE CAIXA'!$W:$W, MATCH($A51, 'M-FLUXO DE CAIXA'!$V:$V, 0)),IF(DATEDIF(baseData,$A51,"m")&lt;=prazoRepasseCarteira,vlrCarteira/prazoRepasseCarteira,0))+IF(DATEDIF(baseData,$A51,"m")&lt;=curvaInad,vlrInad/curvaInad*(1-PDD),0)</f>
        <v>970976.24989335181</v>
      </c>
      <c r="H51" s="390">
        <f>IF($A51&gt;baseData, SUMPRODUCT('Tabela Vendas'!$R:$R,'Tabela Vendas'!$V:$V)*INDEX(Curvas!$Z:$Z,MATCH($A51,Curvas!$B:$B,0)), 0)</f>
        <v>192174.85944010463</v>
      </c>
      <c r="I51" s="390">
        <f>IFERROR(INDEX(Permutas!AJ:AJ, MATCH('Fluxo Projeto'!A51, Permutas!N:N, 0)), 0)</f>
        <v>3003946.7367434842</v>
      </c>
      <c r="J51" s="390">
        <v>0</v>
      </c>
      <c r="K51" s="393">
        <f t="shared" si="30"/>
        <v>4167097.8460769407</v>
      </c>
      <c r="M51" s="400">
        <f>IF($A51&lt;=baseData,INDEX('LDI - Fluxo de Caixa'!$BD$18:$BT$374,MATCH('Fluxo Projeto'!$A51,'LDI - Fluxo de Caixa'!$C$18:$C$374,0),MATCH('Fluxo Projeto'!M$1,'LDI - Fluxo de Caixa'!$BD$14:$BT$14,0)),-pctImpostoSPE*K50)</f>
        <v>-74803.664940315648</v>
      </c>
      <c r="N51" s="415">
        <f ca="1">IF($A51&lt;=baseData,INDEX('LDI - Fluxo de Caixa'!$BD$18:$BT$374,MATCH($A51,'LDI - Fluxo de Caixa'!$C$18:$C$374,0),MATCH('Fluxo Projeto'!N$1,'LDI - Fluxo de Caixa'!$BD$14:$BT$14,0)),INDEX(Obra!AA:AA,MATCH($A51,Obra!F:F,0)))</f>
        <v>-1811848.2138132565</v>
      </c>
      <c r="O51" s="415">
        <f>IF($A51&lt;=baseData,INDEX('LDI - Fluxo de Caixa'!$BD$18:$BT$374,MATCH($A51,'LDI - Fluxo de Caixa'!$C$18:$C$374,0),MATCH('Fluxo Projeto'!O$1,'LDI - Fluxo de Caixa'!$BD$14:$BT$14,0)),IF($A51=entrega,assistTecnicaObra*SUM($N$2:$N$86),0))</f>
        <v>0</v>
      </c>
      <c r="P51" s="415">
        <f>IF($A51&lt;=baseData, INDEX('LDI - Fluxo de Caixa'!$BD$18:$BT$374, MATCH('Fluxo Projeto'!$A51, 'LDI - Fluxo de Caixa'!$C$18:$C$374, 0), MATCH('Fluxo Projeto'!P$1, 'LDI - Fluxo de Caixa'!$BD$14:$BT$14, 0)), -IF($A51&gt;=entrega, INDEX(Curvas!R:R,MATCH($A51,Curvas!B:B,0))*(IPTU+condominio)*'Tabela Vendas'!$Y$22, 0))</f>
        <v>0</v>
      </c>
      <c r="Q51" s="415">
        <f>IF($A51&lt;=baseData, INDEX('LDI - Fluxo de Caixa'!$BD$18:$BT$374, MATCH('Fluxo Projeto'!$A51, 'LDI - Fluxo de Caixa'!$C$18:$C$374, 0), MATCH('Fluxo Projeto'!Q$1, 'LDI - Fluxo de Caixa'!$BD$14:$BT$14, 0)), (-pctIncorporaçaoSPE*SUM($G$4:$H$86)-SUMIF($A$4:$A$86, "&lt;="&amp;baseData, Q$4:Q$86))*(SUM($G51:$H51)/(SUMIF($A$4:$A$86, "&gt;"&amp;baseData, $G$4:$G$86)+SUMIF($A$4:$A$86, "&gt;"&amp;baseData, $H$4:$H$86))))</f>
        <v>-8759.1777993672986</v>
      </c>
      <c r="R51" s="415">
        <f>IF($A51&lt;=baseData, INDEX('LDI - Fluxo de Caixa'!$BD$18:$BT$374, MATCH('Fluxo Projeto'!$A51, 'LDI - Fluxo de Caixa'!$C$18:$C$374, 0), MATCH('Fluxo Projeto'!R$1, 'LDI - Fluxo de Caixa'!$BD$14:$BT$14, 0)), (-pctMarketingSPE*SUM($G$4:$H$86)-SUMIF($A$4:$A$86, "&lt;="&amp;baseData, R$4:R$86))*(SUM($G51:$H51)/(SUMIF($A$4:$A$86, "&gt;"&amp;baseData, $G$4:$G$86)+SUMIF($A$4:$A$86, "&gt;"&amp;baseData, $H$4:$H$86))))</f>
        <v>-16721.487165639228</v>
      </c>
      <c r="S51" s="415">
        <f>IF($A51&lt;=baseData,INDEX('LDI - Fluxo de Caixa'!$BD$18:$BT$374,MATCH($A51,'LDI - Fluxo de Caixa'!$C$18:$C$374,0),MATCH(S$1,'LDI - Fluxo de Caixa'!$BD$14:$BT$14,0)),-pctGestaoSPE*K50)</f>
        <v>-56102.748705236729</v>
      </c>
      <c r="T51" s="415">
        <f>IF($A51&lt;=baseData, INDEX('LDI - Fluxo de Caixa'!$BD$18:$BT$374, MATCH('Fluxo Projeto'!$A51, 'LDI - Fluxo de Caixa'!$C$18:$C$374, 0), MATCH('Fluxo Projeto'!T$1, 'LDI - Fluxo de Caixa'!$BD$14:$BT$14, 0)), (-pctOutrasSPE*SUM($G$4:$H$86)-SUMIF($A$4:$A$86, "&lt;="&amp;baseData, T$4:T$86))*(SUM($G51:$H51)/(SUMIF($A$4:$A$86, "&gt;"&amp;baseData, $G$4:$G$86)+SUMIF($A$4:$A$86, "&gt;"&amp;baseData, $H$4:$H$86))))</f>
        <v>-5301.1688433613763</v>
      </c>
      <c r="U51" s="398">
        <f>IF($A51&lt;=baseData, INDEX('LDI - Fluxo de Caixa'!$BD$18:$BT$374, MATCH('Fluxo Projeto'!$A51, 'LDI - Fluxo de Caixa'!$C$18:$C$374, 0), MATCH('Fluxo Projeto'!U$1, 'LDI - Fluxo de Caixa'!$BD$14:$BT$14, 0)), 0)</f>
        <v>0</v>
      </c>
      <c r="V51" s="393">
        <f t="shared" ca="1" si="31"/>
        <v>-1973536.4612671768</v>
      </c>
      <c r="X51" s="416">
        <v>0</v>
      </c>
      <c r="Y51" s="417">
        <v>0</v>
      </c>
      <c r="AA51" s="400">
        <f>INDEX('LDI - Fluxo de Caixa'!$BD$18:$BT$374, MATCH('Fluxo Projeto'!$A51, 'LDI - Fluxo de Caixa'!$C$18:$C$374, 0), MATCH('Fluxo Projeto'!AA$1, 'LDI - Fluxo de Caixa'!$BD$14:$BT$14, 0))</f>
        <v>-4999.99999999999</v>
      </c>
      <c r="AB51" s="417">
        <v>0</v>
      </c>
      <c r="AD51" s="393">
        <f t="shared" ca="1" si="32"/>
        <v>2188561.3848097641</v>
      </c>
      <c r="AF51" s="393">
        <f ca="1">IF($A51&lt;=baseData, INDEX('LDI - Fluxo de Caixa'!$BD$18:$BT$374, MATCH('Fluxo Projeto'!$A51, 'LDI - Fluxo de Caixa'!$C$18:$C$374, 0), MATCH('Fluxo Projeto'!AF$1, 'LDI - Fluxo de Caixa'!$BD$14:$BT$14, 0)), $E51*CDI)</f>
        <v>-3619.4396168643593</v>
      </c>
      <c r="AH51" s="393">
        <f t="shared" ca="1" si="33"/>
        <v>18631809.314503457</v>
      </c>
      <c r="AJ51" s="397">
        <f ca="1">IF($A51&lt;=baseData, INDEX('LDI - Fluxo de Caixa'!$BD$18:$BT$374, MATCH($A51, 'LDI - Fluxo de Caixa'!$C$18:$C$374, 0), MATCH(AJ$1, 'LDI - Fluxo de Caixa'!$BD$14:$BT$14, 0))-J51-I51, IF($A51&lt;inicioDistribuicoes,-IF(AH51&lt;cxMinSPEpreObra,IF(SUM($AD52:$AD63)-cxMinSPEpreObra+AH51&lt;0,SUM($AD52:$AD63)-cxMinSPEpreObra+AH51,IF(AH51&lt;0, AH51-cxMinSPEpreObra, 0)),0), 0))</f>
        <v>0</v>
      </c>
      <c r="AK51" s="398">
        <f t="shared" ca="1" si="39"/>
        <v>0</v>
      </c>
      <c r="AM51" s="393">
        <f t="shared" ca="1" si="34"/>
        <v>18631809.314503457</v>
      </c>
      <c r="AO51" s="393">
        <f t="shared" ca="1" si="61"/>
        <v>18631809.314503457</v>
      </c>
      <c r="AQ51" s="397">
        <f t="shared" ca="1" si="35"/>
        <v>0</v>
      </c>
      <c r="AR51" s="398">
        <f t="shared" ca="1" si="37"/>
        <v>-35463847.709007196</v>
      </c>
      <c r="AT51" s="393">
        <f t="shared" ca="1" si="38"/>
        <v>0</v>
      </c>
      <c r="AV51" s="397">
        <f t="shared" si="40"/>
        <v>1191.8191457888868</v>
      </c>
      <c r="AW51" s="390">
        <f t="shared" si="41"/>
        <v>235.88391255209532</v>
      </c>
      <c r="AX51" s="390">
        <f t="shared" si="42"/>
        <v>3687.1769357635303</v>
      </c>
      <c r="AY51" s="390">
        <f t="shared" si="43"/>
        <v>0</v>
      </c>
      <c r="AZ51" s="393">
        <f t="shared" si="44"/>
        <v>5114.8799941045127</v>
      </c>
      <c r="BA51" s="371"/>
      <c r="BB51" s="400">
        <f t="shared" si="45"/>
        <v>-91.817323091926539</v>
      </c>
      <c r="BC51" s="415">
        <f t="shared" ca="1" si="46"/>
        <v>-2223.9425431087679</v>
      </c>
      <c r="BD51" s="415">
        <f t="shared" si="47"/>
        <v>0</v>
      </c>
      <c r="BE51" s="415">
        <f t="shared" si="48"/>
        <v>0</v>
      </c>
      <c r="BF51" s="415">
        <f t="shared" si="49"/>
        <v>-10.751401801847916</v>
      </c>
      <c r="BG51" s="415">
        <f t="shared" si="50"/>
        <v>-20.524692084137897</v>
      </c>
      <c r="BH51" s="415">
        <f t="shared" si="51"/>
        <v>-68.862992318944904</v>
      </c>
      <c r="BI51" s="415">
        <f t="shared" si="52"/>
        <v>-6.5068888381889503</v>
      </c>
      <c r="BJ51" s="398">
        <f t="shared" si="53"/>
        <v>0</v>
      </c>
      <c r="BK51" s="393">
        <f t="shared" ca="1" si="54"/>
        <v>-2422.4058412438139</v>
      </c>
      <c r="BL51" s="371"/>
      <c r="BM51" s="400">
        <f t="shared" si="55"/>
        <v>0</v>
      </c>
      <c r="BN51" s="401">
        <f t="shared" si="56"/>
        <v>0</v>
      </c>
      <c r="BO51" s="371"/>
      <c r="BP51" s="400">
        <f t="shared" si="57"/>
        <v>-6.1372208945367559</v>
      </c>
      <c r="BQ51" s="401">
        <f t="shared" si="58"/>
        <v>0</v>
      </c>
      <c r="BR51" s="371"/>
      <c r="BS51" s="393">
        <f t="shared" ca="1" si="59"/>
        <v>-4.4426600886268206</v>
      </c>
    </row>
    <row r="52" spans="1:71" x14ac:dyDescent="0.25">
      <c r="A52" s="197">
        <f t="shared" si="36"/>
        <v>44593</v>
      </c>
      <c r="B52" s="388">
        <f>IF($A52&lt;=baseData, INDEX(Indicadores!B:B, MATCH($A52,Indicadores!A:A, 0)), INDEX(Indicadores!B:B, MATCH(baseData,Indicadores!A:A, 0)))</f>
        <v>839.38199999999995</v>
      </c>
      <c r="C52" s="389">
        <f>IF($A52&lt;=baseData, INDEX(Indicadores!E:E, MATCH($A52, Indicadores!A:A, 0)), INDEX(Indicadores!E:E, MATCH(baseData, Indicadores!A:A, 0)))</f>
        <v>5486.52</v>
      </c>
      <c r="E52" s="393">
        <f t="shared" ca="1" si="60"/>
        <v>18631809.314503457</v>
      </c>
      <c r="G52" s="397">
        <f>IF(tipoCarteira="Carteira",INDEX('M-FLUXO DE CAIXA'!$W:$W, MATCH($A52, 'M-FLUXO DE CAIXA'!$V:$V, 0)),IF(DATEDIF(baseData,$A52,"m")&lt;=prazoRepasseCarteira,vlrCarteira/prazoRepasseCarteira,0))+IF(DATEDIF(baseData,$A52,"m")&lt;=curvaInad,vlrInad/curvaInad*(1-PDD),0)</f>
        <v>374350.72702182201</v>
      </c>
      <c r="H52" s="390">
        <f>IF($A52&gt;baseData, SUMPRODUCT('Tabela Vendas'!$R:$R,'Tabela Vendas'!$V:$V)*INDEX(Curvas!$Z:$Z,MATCH($A52,Curvas!$B:$B,0)), 0)</f>
        <v>207090.48425971463</v>
      </c>
      <c r="I52" s="390">
        <f>IFERROR(INDEX(Permutas!AJ:AJ, MATCH('Fluxo Projeto'!A52, Permutas!N:N, 0)), 0)</f>
        <v>0</v>
      </c>
      <c r="J52" s="390">
        <v>0</v>
      </c>
      <c r="K52" s="393">
        <f t="shared" si="30"/>
        <v>581441.21128153661</v>
      </c>
      <c r="M52" s="400">
        <f>IF($A52&lt;=baseData,INDEX('LDI - Fluxo de Caixa'!$BD$18:$BT$374,MATCH('Fluxo Projeto'!$A52,'LDI - Fluxo de Caixa'!$C$18:$C$374,0),MATCH('Fluxo Projeto'!M$1,'LDI - Fluxo de Caixa'!$BD$14:$BT$14,0)),-pctImpostoSPE*K51)</f>
        <v>-166683.91384307764</v>
      </c>
      <c r="N52" s="415">
        <f ca="1">IF($A52&lt;=baseData,INDEX('LDI - Fluxo de Caixa'!$BD$18:$BT$374,MATCH($A52,'LDI - Fluxo de Caixa'!$C$18:$C$374,0),MATCH('Fluxo Projeto'!N$1,'LDI - Fluxo de Caixa'!$BD$14:$BT$14,0)),INDEX(Obra!AA:AA,MATCH($A52,Obra!F:F,0)))</f>
        <v>-1601811.8721513799</v>
      </c>
      <c r="O52" s="415">
        <f>IF($A52&lt;=baseData,INDEX('LDI - Fluxo de Caixa'!$BD$18:$BT$374,MATCH($A52,'LDI - Fluxo de Caixa'!$C$18:$C$374,0),MATCH('Fluxo Projeto'!O$1,'LDI - Fluxo de Caixa'!$BD$14:$BT$14,0)),IF($A52=entrega,assistTecnicaObra*SUM($N$2:$N$86),0))</f>
        <v>0</v>
      </c>
      <c r="P52" s="415">
        <f>IF($A52&lt;=baseData, INDEX('LDI - Fluxo de Caixa'!$BD$18:$BT$374, MATCH('Fluxo Projeto'!$A52, 'LDI - Fluxo de Caixa'!$C$18:$C$374, 0), MATCH('Fluxo Projeto'!P$1, 'LDI - Fluxo de Caixa'!$BD$14:$BT$14, 0)), -IF($A52&gt;=entrega, INDEX(Curvas!R:R,MATCH($A52,Curvas!B:B,0))*(IPTU+condominio)*'Tabela Vendas'!$Y$22, 0))</f>
        <v>0</v>
      </c>
      <c r="Q52" s="415">
        <f>IF($A52&lt;=baseData, INDEX('LDI - Fluxo de Caixa'!$BD$18:$BT$374, MATCH('Fluxo Projeto'!$A52, 'LDI - Fluxo de Caixa'!$C$18:$C$374, 0), MATCH('Fluxo Projeto'!Q$1, 'LDI - Fluxo de Caixa'!$BD$14:$BT$14, 0)), (-pctIncorporaçaoSPE*SUM($G$4:$H$86)-SUMIF($A$4:$A$86, "&lt;="&amp;baseData, Q$4:Q$86))*(SUM($G52:$H52)/(SUMIF($A$4:$A$86, "&gt;"&amp;baseData, $G$4:$G$86)+SUMIF($A$4:$A$86, "&gt;"&amp;baseData, $H$4:$H$86))))</f>
        <v>-4378.5772189247</v>
      </c>
      <c r="R52" s="415">
        <f>IF($A52&lt;=baseData, INDEX('LDI - Fluxo de Caixa'!$BD$18:$BT$374, MATCH('Fluxo Projeto'!$A52, 'LDI - Fluxo de Caixa'!$C$18:$C$374, 0), MATCH('Fluxo Projeto'!R$1, 'LDI - Fluxo de Caixa'!$BD$14:$BT$14, 0)), (-pctMarketingSPE*SUM($G$4:$H$86)-SUMIF($A$4:$A$86, "&lt;="&amp;baseData, R$4:R$86))*(SUM($G52:$H52)/(SUMIF($A$4:$A$86, "&gt;"&amp;baseData, $G$4:$G$86)+SUMIF($A$4:$A$86, "&gt;"&amp;baseData, $H$4:$H$86))))</f>
        <v>-8358.8122592166474</v>
      </c>
      <c r="S52" s="415">
        <f>IF($A52&lt;=baseData,INDEX('LDI - Fluxo de Caixa'!$BD$18:$BT$374,MATCH($A52,'LDI - Fluxo de Caixa'!$C$18:$C$374,0),MATCH(S$1,'LDI - Fluxo de Caixa'!$BD$14:$BT$14,0)),-pctGestaoSPE*K51)</f>
        <v>-125012.93538230822</v>
      </c>
      <c r="T52" s="415">
        <f>IF($A52&lt;=baseData, INDEX('LDI - Fluxo de Caixa'!$BD$18:$BT$374, MATCH('Fluxo Projeto'!$A52, 'LDI - Fluxo de Caixa'!$C$18:$C$374, 0), MATCH('Fluxo Projeto'!T$1, 'LDI - Fluxo de Caixa'!$BD$14:$BT$14, 0)), (-pctOutrasSPE*SUM($G$4:$H$86)-SUMIF($A$4:$A$86, "&lt;="&amp;baseData, T$4:T$86))*(SUM($G52:$H52)/(SUMIF($A$4:$A$86, "&gt;"&amp;baseData, $G$4:$G$86)+SUMIF($A$4:$A$86, "&gt;"&amp;baseData, $H$4:$H$86))))</f>
        <v>-2649.972139267702</v>
      </c>
      <c r="U52" s="398">
        <f>IF($A52&lt;=baseData, INDEX('LDI - Fluxo de Caixa'!$BD$18:$BT$374, MATCH('Fluxo Projeto'!$A52, 'LDI - Fluxo de Caixa'!$C$18:$C$374, 0), MATCH('Fluxo Projeto'!U$1, 'LDI - Fluxo de Caixa'!$BD$14:$BT$14, 0)), 0)</f>
        <v>0</v>
      </c>
      <c r="V52" s="393">
        <f t="shared" ca="1" si="31"/>
        <v>-1908896.0829941747</v>
      </c>
      <c r="X52" s="416">
        <v>0</v>
      </c>
      <c r="Y52" s="417">
        <v>0</v>
      </c>
      <c r="AA52" s="400">
        <f>INDEX('LDI - Fluxo de Caixa'!$BD$18:$BT$374, MATCH('Fluxo Projeto'!$A52, 'LDI - Fluxo de Caixa'!$C$18:$C$374, 0), MATCH('Fluxo Projeto'!AA$1, 'LDI - Fluxo de Caixa'!$BD$14:$BT$14, 0))</f>
        <v>-17517.909999999902</v>
      </c>
      <c r="AB52" s="417">
        <v>0</v>
      </c>
      <c r="AD52" s="393">
        <f t="shared" ca="1" si="32"/>
        <v>-1344972.781712638</v>
      </c>
      <c r="AF52" s="393">
        <f ca="1">IF($A52&lt;=baseData, INDEX('LDI - Fluxo de Caixa'!$BD$18:$BT$374, MATCH('Fluxo Projeto'!$A52, 'LDI - Fluxo de Caixa'!$C$18:$C$374, 0), MATCH('Fluxo Projeto'!AF$1, 'LDI - Fluxo de Caixa'!$BD$14:$BT$14, 0)), $E52*CDI)</f>
        <v>-4100.276803630788</v>
      </c>
      <c r="AH52" s="393">
        <f t="shared" ca="1" si="33"/>
        <v>17282736.25598719</v>
      </c>
      <c r="AJ52" s="397">
        <f ca="1">IF($A52&lt;=baseData, INDEX('LDI - Fluxo de Caixa'!$BD$18:$BT$374, MATCH($A52, 'LDI - Fluxo de Caixa'!$C$18:$C$374, 0), MATCH(AJ$1, 'LDI - Fluxo de Caixa'!$BD$14:$BT$14, 0))-J52-I52, IF($A52&lt;inicioDistribuicoes,-IF(AH52&lt;cxMinSPEpreObra,IF(SUM($AD53:$AD64)-cxMinSPEpreObra+AH52&lt;0,SUM($AD53:$AD64)-cxMinSPEpreObra+AH52,IF(AH52&lt;0, AH52-cxMinSPEpreObra, 0)),0), 0))</f>
        <v>0</v>
      </c>
      <c r="AK52" s="398">
        <f t="shared" ca="1" si="39"/>
        <v>0</v>
      </c>
      <c r="AM52" s="393">
        <f t="shared" ca="1" si="34"/>
        <v>17282736.25598719</v>
      </c>
      <c r="AO52" s="393">
        <f t="shared" ca="1" si="61"/>
        <v>17282736.25598719</v>
      </c>
      <c r="AQ52" s="397">
        <f t="shared" ca="1" si="35"/>
        <v>0</v>
      </c>
      <c r="AR52" s="398">
        <f t="shared" ca="1" si="37"/>
        <v>-35463847.709007196</v>
      </c>
      <c r="AT52" s="393">
        <f t="shared" ca="1" si="38"/>
        <v>0</v>
      </c>
      <c r="AV52" s="397">
        <f t="shared" si="40"/>
        <v>459.49462075267121</v>
      </c>
      <c r="AW52" s="390">
        <f t="shared" si="41"/>
        <v>254.19200941169169</v>
      </c>
      <c r="AX52" s="390">
        <f t="shared" si="42"/>
        <v>0</v>
      </c>
      <c r="AY52" s="390">
        <f t="shared" si="43"/>
        <v>0</v>
      </c>
      <c r="AZ52" s="393">
        <f t="shared" si="44"/>
        <v>713.6866301643629</v>
      </c>
      <c r="BA52" s="371"/>
      <c r="BB52" s="400">
        <f t="shared" si="45"/>
        <v>-204.59519976418051</v>
      </c>
      <c r="BC52" s="415">
        <f t="shared" ca="1" si="46"/>
        <v>-1966.1346581769017</v>
      </c>
      <c r="BD52" s="415">
        <f t="shared" si="47"/>
        <v>0</v>
      </c>
      <c r="BE52" s="415">
        <f t="shared" si="48"/>
        <v>0</v>
      </c>
      <c r="BF52" s="415">
        <f t="shared" si="49"/>
        <v>-5.3744591192654729</v>
      </c>
      <c r="BG52" s="415">
        <f t="shared" si="50"/>
        <v>-10.259975450154901</v>
      </c>
      <c r="BH52" s="415">
        <f t="shared" si="51"/>
        <v>-153.44639982313538</v>
      </c>
      <c r="BI52" s="415">
        <f t="shared" si="52"/>
        <v>-3.2526928766108081</v>
      </c>
      <c r="BJ52" s="398">
        <f t="shared" si="53"/>
        <v>0</v>
      </c>
      <c r="BK52" s="393">
        <f t="shared" ca="1" si="54"/>
        <v>-2343.0633852102483</v>
      </c>
      <c r="BL52" s="371"/>
      <c r="BM52" s="400">
        <f t="shared" si="55"/>
        <v>0</v>
      </c>
      <c r="BN52" s="401">
        <f t="shared" si="56"/>
        <v>0</v>
      </c>
      <c r="BO52" s="371"/>
      <c r="BP52" s="400">
        <f t="shared" si="57"/>
        <v>-21.5022566561228</v>
      </c>
      <c r="BQ52" s="401">
        <f t="shared" si="58"/>
        <v>0</v>
      </c>
      <c r="BR52" s="371"/>
      <c r="BS52" s="393">
        <f t="shared" ca="1" si="59"/>
        <v>-5.0328608945254611</v>
      </c>
    </row>
    <row r="53" spans="1:71" x14ac:dyDescent="0.25">
      <c r="A53" s="197">
        <f t="shared" si="36"/>
        <v>44621</v>
      </c>
      <c r="B53" s="388">
        <f>IF($A53&lt;=baseData, INDEX(Indicadores!B:B, MATCH($A53,Indicadores!A:A, 0)), INDEX(Indicadores!B:B, MATCH(baseData,Indicadores!A:A, 0)))</f>
        <v>839.38199999999995</v>
      </c>
      <c r="C53" s="389">
        <f>IF($A53&lt;=baseData, INDEX(Indicadores!E:E, MATCH($A53, Indicadores!A:A, 0)), INDEX(Indicadores!E:E, MATCH(baseData, Indicadores!A:A, 0)))</f>
        <v>5486.52</v>
      </c>
      <c r="E53" s="393">
        <f t="shared" ca="1" si="60"/>
        <v>17282736.25598719</v>
      </c>
      <c r="G53" s="397">
        <f>IF(tipoCarteira="Carteira",INDEX('M-FLUXO DE CAIXA'!$W:$W, MATCH($A53, 'M-FLUXO DE CAIXA'!$V:$V, 0)),IF(DATEDIF(baseData,$A53,"m")&lt;=prazoRepasseCarteira,vlrCarteira/prazoRepasseCarteira,0))+IF(DATEDIF(baseData,$A53,"m")&lt;=curvaInad,vlrInad/curvaInad*(1-PDD),0)</f>
        <v>986227.30490952742</v>
      </c>
      <c r="H53" s="390">
        <f>IF($A53&gt;baseData, SUMPRODUCT('Tabela Vendas'!$R:$R,'Tabela Vendas'!$V:$V)*INDEX(Curvas!$Z:$Z,MATCH($A53,Curvas!$B:$B,0)), 0)</f>
        <v>223071.51085215391</v>
      </c>
      <c r="I53" s="390">
        <f>IFERROR(INDEX(Permutas!AJ:AJ, MATCH('Fluxo Projeto'!A53, Permutas!N:N, 0)), 0)</f>
        <v>0</v>
      </c>
      <c r="J53" s="390">
        <v>1012520</v>
      </c>
      <c r="K53" s="393">
        <f t="shared" si="30"/>
        <v>2221818.8157616816</v>
      </c>
      <c r="M53" s="400">
        <f>IF($A53&lt;=baseData,INDEX('LDI - Fluxo de Caixa'!$BD$18:$BT$374,MATCH('Fluxo Projeto'!$A53,'LDI - Fluxo de Caixa'!$C$18:$C$374,0),MATCH('Fluxo Projeto'!M$1,'LDI - Fluxo de Caixa'!$BD$14:$BT$14,0)),-pctImpostoSPE*K52)</f>
        <v>-23257.648451261466</v>
      </c>
      <c r="N53" s="415">
        <f ca="1">IF($A53&lt;=baseData,INDEX('LDI - Fluxo de Caixa'!$BD$18:$BT$374,MATCH($A53,'LDI - Fluxo de Caixa'!$C$18:$C$374,0),MATCH('Fluxo Projeto'!N$1,'LDI - Fluxo de Caixa'!$BD$14:$BT$14,0)),INDEX(Obra!AA:AA,MATCH($A53,Obra!F:F,0)))</f>
        <v>-1834236.4327481564</v>
      </c>
      <c r="O53" s="415">
        <f>IF($A53&lt;=baseData,INDEX('LDI - Fluxo de Caixa'!$BD$18:$BT$374,MATCH($A53,'LDI - Fluxo de Caixa'!$C$18:$C$374,0),MATCH('Fluxo Projeto'!O$1,'LDI - Fluxo de Caixa'!$BD$14:$BT$14,0)),IF($A53=entrega,assistTecnicaObra*SUM($N$2:$N$86),0))</f>
        <v>0</v>
      </c>
      <c r="P53" s="415">
        <f>IF($A53&lt;=baseData, INDEX('LDI - Fluxo de Caixa'!$BD$18:$BT$374, MATCH('Fluxo Projeto'!$A53, 'LDI - Fluxo de Caixa'!$C$18:$C$374, 0), MATCH('Fluxo Projeto'!P$1, 'LDI - Fluxo de Caixa'!$BD$14:$BT$14, 0)), -IF($A53&gt;=entrega, INDEX(Curvas!R:R,MATCH($A53,Curvas!B:B,0))*(IPTU+condominio)*'Tabela Vendas'!$Y$22, 0))</f>
        <v>0</v>
      </c>
      <c r="Q53" s="415">
        <f>IF($A53&lt;=baseData, INDEX('LDI - Fluxo de Caixa'!$BD$18:$BT$374, MATCH('Fluxo Projeto'!$A53, 'LDI - Fluxo de Caixa'!$C$18:$C$374, 0), MATCH('Fluxo Projeto'!Q$1, 'LDI - Fluxo de Caixa'!$BD$14:$BT$14, 0)), (-pctIncorporaçaoSPE*SUM($G$4:$H$86)-SUMIF($A$4:$A$86, "&lt;="&amp;baseData, Q$4:Q$86))*(SUM($G53:$H53)/(SUMIF($A$4:$A$86, "&gt;"&amp;baseData, $G$4:$G$86)+SUMIF($A$4:$A$86, "&gt;"&amp;baseData, $H$4:$H$86))))</f>
        <v>-9106.6958152074421</v>
      </c>
      <c r="R53" s="415">
        <f>IF($A53&lt;=baseData, INDEX('LDI - Fluxo de Caixa'!$BD$18:$BT$374, MATCH('Fluxo Projeto'!$A53, 'LDI - Fluxo de Caixa'!$C$18:$C$374, 0), MATCH('Fluxo Projeto'!R$1, 'LDI - Fluxo de Caixa'!$BD$14:$BT$14, 0)), (-pctMarketingSPE*SUM($G$4:$H$86)-SUMIF($A$4:$A$86, "&lt;="&amp;baseData, R$4:R$86))*(SUM($G53:$H53)/(SUMIF($A$4:$A$86, "&gt;"&amp;baseData, $G$4:$G$86)+SUMIF($A$4:$A$86, "&gt;"&amp;baseData, $H$4:$H$86))))</f>
        <v>-17384.907657242806</v>
      </c>
      <c r="S53" s="415">
        <f>IF($A53&lt;=baseData,INDEX('LDI - Fluxo de Caixa'!$BD$18:$BT$374,MATCH($A53,'LDI - Fluxo de Caixa'!$C$18:$C$374,0),MATCH(S$1,'LDI - Fluxo de Caixa'!$BD$14:$BT$14,0)),-pctGestaoSPE*K52)</f>
        <v>-17443.236338446099</v>
      </c>
      <c r="T53" s="415">
        <f>IF($A53&lt;=baseData, INDEX('LDI - Fluxo de Caixa'!$BD$18:$BT$374, MATCH('Fluxo Projeto'!$A53, 'LDI - Fluxo de Caixa'!$C$18:$C$374, 0), MATCH('Fluxo Projeto'!T$1, 'LDI - Fluxo de Caixa'!$BD$14:$BT$14, 0)), (-pctOutrasSPE*SUM($G$4:$H$86)-SUMIF($A$4:$A$86, "&lt;="&amp;baseData, T$4:T$86))*(SUM($G53:$H53)/(SUMIF($A$4:$A$86, "&gt;"&amp;baseData, $G$4:$G$86)+SUMIF($A$4:$A$86, "&gt;"&amp;baseData, $H$4:$H$86))))</f>
        <v>-5511.4912868915908</v>
      </c>
      <c r="U53" s="398">
        <f>IF($A53&lt;=baseData, INDEX('LDI - Fluxo de Caixa'!$BD$18:$BT$374, MATCH('Fluxo Projeto'!$A53, 'LDI - Fluxo de Caixa'!$C$18:$C$374, 0), MATCH('Fluxo Projeto'!U$1, 'LDI - Fluxo de Caixa'!$BD$14:$BT$14, 0)), 0)</f>
        <v>0</v>
      </c>
      <c r="V53" s="393">
        <f t="shared" ca="1" si="31"/>
        <v>-1906940.4122972058</v>
      </c>
      <c r="X53" s="416">
        <v>0</v>
      </c>
      <c r="Y53" s="417">
        <v>0</v>
      </c>
      <c r="AA53" s="400">
        <f>INDEX('LDI - Fluxo de Caixa'!$BD$18:$BT$374, MATCH('Fluxo Projeto'!$A53, 'LDI - Fluxo de Caixa'!$C$18:$C$374, 0), MATCH('Fluxo Projeto'!AA$1, 'LDI - Fluxo de Caixa'!$BD$14:$BT$14, 0))</f>
        <v>-17517.909999999902</v>
      </c>
      <c r="AB53" s="417">
        <v>0</v>
      </c>
      <c r="AD53" s="393">
        <f t="shared" ca="1" si="32"/>
        <v>297360.49346447596</v>
      </c>
      <c r="AF53" s="393">
        <f ca="1">IF($A53&lt;=baseData, INDEX('LDI - Fluxo de Caixa'!$BD$18:$BT$374, MATCH('Fluxo Projeto'!$A53, 'LDI - Fluxo de Caixa'!$C$18:$C$374, 0), MATCH('Fluxo Projeto'!AF$1, 'LDI - Fluxo de Caixa'!$BD$14:$BT$14, 0)), $E53*CDI)</f>
        <v>-3803.3881400090759</v>
      </c>
      <c r="AH53" s="393">
        <f t="shared" ca="1" si="33"/>
        <v>17576293.361311659</v>
      </c>
      <c r="AJ53" s="397">
        <f ca="1">IF($A53&lt;=baseData, INDEX('LDI - Fluxo de Caixa'!$BD$18:$BT$374, MATCH($A53, 'LDI - Fluxo de Caixa'!$C$18:$C$374, 0), MATCH(AJ$1, 'LDI - Fluxo de Caixa'!$BD$14:$BT$14, 0))-J53-I53, IF($A53&lt;inicioDistribuicoes,-IF(AH53&lt;cxMinSPEpreObra,IF(SUM($AD54:$AD65)-cxMinSPEpreObra+AH53&lt;0,SUM($AD54:$AD65)-cxMinSPEpreObra+AH53,IF(AH53&lt;0, AH53-cxMinSPEpreObra, 0)),0), 0))</f>
        <v>0</v>
      </c>
      <c r="AK53" s="398">
        <f t="shared" ca="1" si="39"/>
        <v>0</v>
      </c>
      <c r="AM53" s="393">
        <f t="shared" ca="1" si="34"/>
        <v>17576293.361311659</v>
      </c>
      <c r="AO53" s="393">
        <f t="shared" ca="1" si="61"/>
        <v>17576293.361311659</v>
      </c>
      <c r="AQ53" s="397">
        <f t="shared" ca="1" si="35"/>
        <v>0</v>
      </c>
      <c r="AR53" s="398">
        <f t="shared" ca="1" si="37"/>
        <v>-35463847.709007196</v>
      </c>
      <c r="AT53" s="393">
        <f t="shared" ca="1" si="38"/>
        <v>0</v>
      </c>
      <c r="AV53" s="397">
        <f t="shared" si="40"/>
        <v>1210.5389644906872</v>
      </c>
      <c r="AW53" s="390">
        <f t="shared" si="41"/>
        <v>273.80782747554491</v>
      </c>
      <c r="AX53" s="390">
        <f t="shared" si="42"/>
        <v>0</v>
      </c>
      <c r="AY53" s="390">
        <f t="shared" si="43"/>
        <v>1242.8117800272737</v>
      </c>
      <c r="AZ53" s="393">
        <f t="shared" si="44"/>
        <v>2727.1585719935056</v>
      </c>
      <c r="BA53" s="371"/>
      <c r="BB53" s="400">
        <f t="shared" si="45"/>
        <v>-28.547465206574518</v>
      </c>
      <c r="BC53" s="415">
        <f t="shared" ca="1" si="46"/>
        <v>-2251.4228321165142</v>
      </c>
      <c r="BD53" s="415">
        <f t="shared" si="47"/>
        <v>0</v>
      </c>
      <c r="BE53" s="415">
        <f t="shared" si="48"/>
        <v>0</v>
      </c>
      <c r="BF53" s="415">
        <f t="shared" si="49"/>
        <v>-11.177960767456334</v>
      </c>
      <c r="BG53" s="415">
        <f t="shared" si="50"/>
        <v>-21.339003704724561</v>
      </c>
      <c r="BH53" s="415">
        <f t="shared" si="51"/>
        <v>-21.410598904930886</v>
      </c>
      <c r="BI53" s="415">
        <f t="shared" si="52"/>
        <v>-6.7650478971936829</v>
      </c>
      <c r="BJ53" s="398">
        <f t="shared" si="53"/>
        <v>0</v>
      </c>
      <c r="BK53" s="393">
        <f t="shared" ca="1" si="54"/>
        <v>-2340.6629085973941</v>
      </c>
      <c r="BL53" s="371"/>
      <c r="BM53" s="400">
        <f t="shared" si="55"/>
        <v>0</v>
      </c>
      <c r="BN53" s="401">
        <f t="shared" si="56"/>
        <v>0</v>
      </c>
      <c r="BO53" s="371"/>
      <c r="BP53" s="400">
        <f t="shared" si="57"/>
        <v>-21.5022566561228</v>
      </c>
      <c r="BQ53" s="401">
        <f t="shared" si="58"/>
        <v>0</v>
      </c>
      <c r="BR53" s="371"/>
      <c r="BS53" s="393">
        <f t="shared" ca="1" si="59"/>
        <v>-4.668446632579407</v>
      </c>
    </row>
    <row r="54" spans="1:71" x14ac:dyDescent="0.25">
      <c r="A54" s="197">
        <f t="shared" si="36"/>
        <v>44652</v>
      </c>
      <c r="B54" s="388">
        <f>IF($A54&lt;=baseData, INDEX(Indicadores!B:B, MATCH($A54,Indicadores!A:A, 0)), INDEX(Indicadores!B:B, MATCH(baseData,Indicadores!A:A, 0)))</f>
        <v>839.38199999999995</v>
      </c>
      <c r="C54" s="389">
        <f>IF($A54&lt;=baseData, INDEX(Indicadores!E:E, MATCH($A54, Indicadores!A:A, 0)), INDEX(Indicadores!E:E, MATCH(baseData, Indicadores!A:A, 0)))</f>
        <v>5486.52</v>
      </c>
      <c r="E54" s="393">
        <f t="shared" ca="1" si="60"/>
        <v>17576293.361311659</v>
      </c>
      <c r="G54" s="397">
        <f>IF(tipoCarteira="Carteira",INDEX('M-FLUXO DE CAIXA'!$W:$W, MATCH($A54, 'M-FLUXO DE CAIXA'!$V:$V, 0)),IF(DATEDIF(baseData,$A54,"m")&lt;=prazoRepasseCarteira,vlrCarteira/prazoRepasseCarteira,0))+IF(DATEDIF(baseData,$A54,"m")&lt;=curvaInad,vlrInad/curvaInad*(1-PDD),0)</f>
        <v>466903.17824092187</v>
      </c>
      <c r="H54" s="390">
        <f>IF($A54&gt;baseData, SUMPRODUCT('Tabela Vendas'!$R:$R,'Tabela Vendas'!$V:$V)*INDEX(Curvas!$Z:$Z,MATCH($A54,Curvas!$B:$B,0)), 0)</f>
        <v>240281.84718247317</v>
      </c>
      <c r="I54" s="390">
        <f>IFERROR(INDEX(Permutas!AJ:AJ, MATCH('Fluxo Projeto'!A54, Permutas!N:N, 0)), 0)</f>
        <v>0</v>
      </c>
      <c r="J54" s="390">
        <v>0</v>
      </c>
      <c r="K54" s="393">
        <f t="shared" si="30"/>
        <v>707185.02542339498</v>
      </c>
      <c r="M54" s="400">
        <f>IF($A54&lt;=baseData,INDEX('LDI - Fluxo de Caixa'!$BD$18:$BT$374,MATCH('Fluxo Projeto'!$A54,'LDI - Fluxo de Caixa'!$C$18:$C$374,0),MATCH('Fluxo Projeto'!M$1,'LDI - Fluxo de Caixa'!$BD$14:$BT$14,0)),-pctImpostoSPE*K53)</f>
        <v>-88872.752630467265</v>
      </c>
      <c r="N54" s="415">
        <f ca="1">IF($A54&lt;=baseData,INDEX('LDI - Fluxo de Caixa'!$BD$18:$BT$374,MATCH($A54,'LDI - Fluxo de Caixa'!$C$18:$C$374,0),MATCH('Fluxo Projeto'!N$1,'LDI - Fluxo de Caixa'!$BD$14:$BT$14,0)),INDEX(Obra!AA:AA,MATCH($A54,Obra!F:F,0)))</f>
        <v>-1912077.1549486637</v>
      </c>
      <c r="O54" s="415">
        <f>IF($A54&lt;=baseData,INDEX('LDI - Fluxo de Caixa'!$BD$18:$BT$374,MATCH($A54,'LDI - Fluxo de Caixa'!$C$18:$C$374,0),MATCH('Fluxo Projeto'!O$1,'LDI - Fluxo de Caixa'!$BD$14:$BT$14,0)),IF($A54=entrega,assistTecnicaObra*SUM($N$2:$N$86),0))</f>
        <v>0</v>
      </c>
      <c r="P54" s="415">
        <f>IF($A54&lt;=baseData, INDEX('LDI - Fluxo de Caixa'!$BD$18:$BT$374, MATCH('Fluxo Projeto'!$A54, 'LDI - Fluxo de Caixa'!$C$18:$C$374, 0), MATCH('Fluxo Projeto'!P$1, 'LDI - Fluxo de Caixa'!$BD$14:$BT$14, 0)), -IF($A54&gt;=entrega, INDEX(Curvas!R:R,MATCH($A54,Curvas!B:B,0))*(IPTU+condominio)*'Tabela Vendas'!$Y$22, 0))</f>
        <v>0</v>
      </c>
      <c r="Q54" s="415">
        <f>IF($A54&lt;=baseData, INDEX('LDI - Fluxo de Caixa'!$BD$18:$BT$374, MATCH('Fluxo Projeto'!$A54, 'LDI - Fluxo de Caixa'!$C$18:$C$374, 0), MATCH('Fluxo Projeto'!Q$1, 'LDI - Fluxo de Caixa'!$BD$14:$BT$14, 0)), (-pctIncorporaçaoSPE*SUM($G$4:$H$86)-SUMIF($A$4:$A$86, "&lt;="&amp;baseData, Q$4:Q$86))*(SUM($G54:$H54)/(SUMIF($A$4:$A$86, "&gt;"&amp;baseData, $G$4:$G$86)+SUMIF($A$4:$A$86, "&gt;"&amp;baseData, $H$4:$H$86))))</f>
        <v>-5325.4984025964395</v>
      </c>
      <c r="R54" s="415">
        <f>IF($A54&lt;=baseData, INDEX('LDI - Fluxo de Caixa'!$BD$18:$BT$374, MATCH('Fluxo Projeto'!$A54, 'LDI - Fluxo de Caixa'!$C$18:$C$374, 0), MATCH('Fluxo Projeto'!R$1, 'LDI - Fluxo de Caixa'!$BD$14:$BT$14, 0)), (-pctMarketingSPE*SUM($G$4:$H$86)-SUMIF($A$4:$A$86, "&lt;="&amp;baseData, R$4:R$86))*(SUM($G54:$H54)/(SUMIF($A$4:$A$86, "&gt;"&amp;baseData, $G$4:$G$86)+SUMIF($A$4:$A$86, "&gt;"&amp;baseData, $H$4:$H$86))))</f>
        <v>-10166.508230496354</v>
      </c>
      <c r="S54" s="415">
        <f>IF($A54&lt;=baseData,INDEX('LDI - Fluxo de Caixa'!$BD$18:$BT$374,MATCH($A54,'LDI - Fluxo de Caixa'!$C$18:$C$374,0),MATCH(S$1,'LDI - Fluxo de Caixa'!$BD$14:$BT$14,0)),-pctGestaoSPE*K53)</f>
        <v>-66654.564472850441</v>
      </c>
      <c r="T54" s="415">
        <f>IF($A54&lt;=baseData, INDEX('LDI - Fluxo de Caixa'!$BD$18:$BT$374, MATCH('Fluxo Projeto'!$A54, 'LDI - Fluxo de Caixa'!$C$18:$C$374, 0), MATCH('Fluxo Projeto'!T$1, 'LDI - Fluxo de Caixa'!$BD$14:$BT$14, 0)), (-pctOutrasSPE*SUM($G$4:$H$86)-SUMIF($A$4:$A$86, "&lt;="&amp;baseData, T$4:T$86))*(SUM($G54:$H54)/(SUMIF($A$4:$A$86, "&gt;"&amp;baseData, $G$4:$G$86)+SUMIF($A$4:$A$86, "&gt;"&amp;baseData, $H$4:$H$86))))</f>
        <v>-3223.0612112080044</v>
      </c>
      <c r="U54" s="398">
        <f>IF($A54&lt;=baseData, INDEX('LDI - Fluxo de Caixa'!$BD$18:$BT$374, MATCH('Fluxo Projeto'!$A54, 'LDI - Fluxo de Caixa'!$C$18:$C$374, 0), MATCH('Fluxo Projeto'!U$1, 'LDI - Fluxo de Caixa'!$BD$14:$BT$14, 0)), 0)</f>
        <v>0</v>
      </c>
      <c r="V54" s="393">
        <f t="shared" ca="1" si="31"/>
        <v>-2086319.5398962824</v>
      </c>
      <c r="X54" s="416">
        <v>0</v>
      </c>
      <c r="Y54" s="417">
        <v>0</v>
      </c>
      <c r="AA54" s="400">
        <f>INDEX('LDI - Fluxo de Caixa'!$BD$18:$BT$374, MATCH('Fluxo Projeto'!$A54, 'LDI - Fluxo de Caixa'!$C$18:$C$374, 0), MATCH('Fluxo Projeto'!AA$1, 'LDI - Fluxo de Caixa'!$BD$14:$BT$14, 0))</f>
        <v>-17517.909999999902</v>
      </c>
      <c r="AB54" s="417">
        <v>0</v>
      </c>
      <c r="AD54" s="393">
        <f t="shared" ca="1" si="32"/>
        <v>-1396652.4244728873</v>
      </c>
      <c r="AF54" s="393">
        <f ca="1">IF($A54&lt;=baseData, INDEX('LDI - Fluxo de Caixa'!$BD$18:$BT$374, MATCH('Fluxo Projeto'!$A54, 'LDI - Fluxo de Caixa'!$C$18:$C$374, 0), MATCH('Fluxo Projeto'!AF$1, 'LDI - Fluxo de Caixa'!$BD$14:$BT$14, 0)), $E54*CDI)</f>
        <v>-3867.9908508454282</v>
      </c>
      <c r="AH54" s="393">
        <f t="shared" ca="1" si="33"/>
        <v>16175772.945987927</v>
      </c>
      <c r="AJ54" s="397">
        <f ca="1">IF($A54&lt;=baseData, INDEX('LDI - Fluxo de Caixa'!$BD$18:$BT$374, MATCH($A54, 'LDI - Fluxo de Caixa'!$C$18:$C$374, 0), MATCH(AJ$1, 'LDI - Fluxo de Caixa'!$BD$14:$BT$14, 0))-J54-I54, IF($A54&lt;inicioDistribuicoes,-IF(AH54&lt;cxMinSPEpreObra,IF(SUM($AD55:$AD66)-cxMinSPEpreObra+AH54&lt;0,SUM($AD55:$AD66)-cxMinSPEpreObra+AH54,IF(AH54&lt;0, AH54-cxMinSPEpreObra, 0)),0), 0))</f>
        <v>0</v>
      </c>
      <c r="AK54" s="398">
        <f t="shared" ca="1" si="39"/>
        <v>0</v>
      </c>
      <c r="AM54" s="393">
        <f t="shared" ca="1" si="34"/>
        <v>16175772.945987927</v>
      </c>
      <c r="AO54" s="393">
        <f t="shared" ca="1" si="61"/>
        <v>16175772.945987927</v>
      </c>
      <c r="AQ54" s="397">
        <f t="shared" ca="1" si="35"/>
        <v>0</v>
      </c>
      <c r="AR54" s="398">
        <f t="shared" ca="1" si="37"/>
        <v>-35463847.709007196</v>
      </c>
      <c r="AT54" s="393">
        <f t="shared" ca="1" si="38"/>
        <v>0</v>
      </c>
      <c r="AV54" s="397">
        <f t="shared" si="40"/>
        <v>573.09758824516211</v>
      </c>
      <c r="AW54" s="390">
        <f t="shared" si="41"/>
        <v>294.93255462123301</v>
      </c>
      <c r="AX54" s="390">
        <f t="shared" si="42"/>
        <v>0</v>
      </c>
      <c r="AY54" s="390">
        <f t="shared" si="43"/>
        <v>0</v>
      </c>
      <c r="AZ54" s="393">
        <f t="shared" si="44"/>
        <v>868.03014286639518</v>
      </c>
      <c r="BA54" s="371"/>
      <c r="BB54" s="400">
        <f t="shared" si="45"/>
        <v>-109.08634287974026</v>
      </c>
      <c r="BC54" s="415">
        <f t="shared" ca="1" si="46"/>
        <v>-2346.9679734634715</v>
      </c>
      <c r="BD54" s="415">
        <f t="shared" si="47"/>
        <v>0</v>
      </c>
      <c r="BE54" s="415">
        <f t="shared" si="48"/>
        <v>0</v>
      </c>
      <c r="BF54" s="415">
        <f t="shared" si="49"/>
        <v>-6.5367520140474102</v>
      </c>
      <c r="BG54" s="415">
        <f t="shared" si="50"/>
        <v>-12.478821347336451</v>
      </c>
      <c r="BH54" s="415">
        <f t="shared" si="51"/>
        <v>-81.814757159805183</v>
      </c>
      <c r="BI54" s="415">
        <f t="shared" si="52"/>
        <v>-3.95612772195935</v>
      </c>
      <c r="BJ54" s="398">
        <f t="shared" si="53"/>
        <v>0</v>
      </c>
      <c r="BK54" s="393">
        <f t="shared" ca="1" si="54"/>
        <v>-2560.8407745863606</v>
      </c>
      <c r="BL54" s="371"/>
      <c r="BM54" s="400">
        <f t="shared" si="55"/>
        <v>0</v>
      </c>
      <c r="BN54" s="401">
        <f t="shared" si="56"/>
        <v>0</v>
      </c>
      <c r="BO54" s="371"/>
      <c r="BP54" s="400">
        <f t="shared" si="57"/>
        <v>-21.5022566561228</v>
      </c>
      <c r="BQ54" s="401">
        <f t="shared" si="58"/>
        <v>0</v>
      </c>
      <c r="BR54" s="371"/>
      <c r="BS54" s="393">
        <f t="shared" ca="1" si="59"/>
        <v>-4.7477428539371234</v>
      </c>
    </row>
    <row r="55" spans="1:71" x14ac:dyDescent="0.25">
      <c r="A55" s="197">
        <f t="shared" si="36"/>
        <v>44682</v>
      </c>
      <c r="B55" s="388">
        <f>IF($A55&lt;=baseData, INDEX(Indicadores!B:B, MATCH($A55,Indicadores!A:A, 0)), INDEX(Indicadores!B:B, MATCH(baseData,Indicadores!A:A, 0)))</f>
        <v>839.38199999999995</v>
      </c>
      <c r="C55" s="389">
        <f>IF($A55&lt;=baseData, INDEX(Indicadores!E:E, MATCH($A55, Indicadores!A:A, 0)), INDEX(Indicadores!E:E, MATCH(baseData, Indicadores!A:A, 0)))</f>
        <v>5486.52</v>
      </c>
      <c r="E55" s="393">
        <f t="shared" ca="1" si="60"/>
        <v>16175772.945987927</v>
      </c>
      <c r="G55" s="397">
        <f>IF(tipoCarteira="Carteira",INDEX('M-FLUXO DE CAIXA'!$W:$W, MATCH($A55, 'M-FLUXO DE CAIXA'!$V:$V, 0)),IF(DATEDIF(baseData,$A55,"m")&lt;=prazoRepasseCarteira,vlrCarteira/prazoRepasseCarteira,0))+IF(DATEDIF(baseData,$A55,"m")&lt;=curvaInad,vlrInad/curvaInad*(1-PDD),0)</f>
        <v>374350.72702182201</v>
      </c>
      <c r="H55" s="390">
        <f>IF($A55&gt;baseData, SUMPRODUCT('Tabela Vendas'!$R:$R,'Tabela Vendas'!$V:$V)*INDEX(Curvas!$Z:$Z,MATCH($A55,Curvas!$B:$B,0)), 0)</f>
        <v>258926.37820698562</v>
      </c>
      <c r="I55" s="390">
        <f>IFERROR(INDEX(Permutas!AJ:AJ, MATCH('Fluxo Projeto'!A55, Permutas!N:N, 0)), 0)</f>
        <v>0</v>
      </c>
      <c r="J55" s="390">
        <v>0</v>
      </c>
      <c r="K55" s="393">
        <f t="shared" si="30"/>
        <v>633277.10522880766</v>
      </c>
      <c r="M55" s="400">
        <f>IF($A55&lt;=baseData,INDEX('LDI - Fluxo de Caixa'!$BD$18:$BT$374,MATCH('Fluxo Projeto'!$A55,'LDI - Fluxo de Caixa'!$C$18:$C$374,0),MATCH('Fluxo Projeto'!M$1,'LDI - Fluxo de Caixa'!$BD$14:$BT$14,0)),-pctImpostoSPE*K54)</f>
        <v>-28287.401016935801</v>
      </c>
      <c r="N55" s="415">
        <f ca="1">IF($A55&lt;=baseData,INDEX('LDI - Fluxo de Caixa'!$BD$18:$BT$374,MATCH($A55,'LDI - Fluxo de Caixa'!$C$18:$C$374,0),MATCH('Fluxo Projeto'!N$1,'LDI - Fluxo de Caixa'!$BD$14:$BT$14,0)),INDEX(Obra!AA:AA,MATCH($A55,Obra!F:F,0)))</f>
        <v>-1686312.7893743969</v>
      </c>
      <c r="O55" s="415">
        <f>IF($A55&lt;=baseData,INDEX('LDI - Fluxo de Caixa'!$BD$18:$BT$374,MATCH($A55,'LDI - Fluxo de Caixa'!$C$18:$C$374,0),MATCH('Fluxo Projeto'!O$1,'LDI - Fluxo de Caixa'!$BD$14:$BT$14,0)),IF($A55=entrega,assistTecnicaObra*SUM($N$2:$N$86),0))</f>
        <v>0</v>
      </c>
      <c r="P55" s="415">
        <f>IF($A55&lt;=baseData, INDEX('LDI - Fluxo de Caixa'!$BD$18:$BT$374, MATCH('Fluxo Projeto'!$A55, 'LDI - Fluxo de Caixa'!$C$18:$C$374, 0), MATCH('Fluxo Projeto'!P$1, 'LDI - Fluxo de Caixa'!$BD$14:$BT$14, 0)), -IF($A55&gt;=entrega, INDEX(Curvas!R:R,MATCH($A55,Curvas!B:B,0))*(IPTU+condominio)*'Tabela Vendas'!$Y$22, 0))</f>
        <v>0</v>
      </c>
      <c r="Q55" s="415">
        <f>IF($A55&lt;=baseData, INDEX('LDI - Fluxo de Caixa'!$BD$18:$BT$374, MATCH('Fluxo Projeto'!$A55, 'LDI - Fluxo de Caixa'!$C$18:$C$374, 0), MATCH('Fluxo Projeto'!Q$1, 'LDI - Fluxo de Caixa'!$BD$14:$BT$14, 0)), (-pctIncorporaçaoSPE*SUM($G$4:$H$86)-SUMIF($A$4:$A$86, "&lt;="&amp;baseData, Q$4:Q$86))*(SUM($G55:$H55)/(SUMIF($A$4:$A$86, "&gt;"&amp;baseData, $G$4:$G$86)+SUMIF($A$4:$A$86, "&gt;"&amp;baseData, $H$4:$H$86))))</f>
        <v>-4768.9304652311766</v>
      </c>
      <c r="R55" s="415">
        <f>IF($A55&lt;=baseData, INDEX('LDI - Fluxo de Caixa'!$BD$18:$BT$374, MATCH('Fluxo Projeto'!$A55, 'LDI - Fluxo de Caixa'!$C$18:$C$374, 0), MATCH('Fluxo Projeto'!R$1, 'LDI - Fluxo de Caixa'!$BD$14:$BT$14, 0)), (-pctMarketingSPE*SUM($G$4:$H$86)-SUMIF($A$4:$A$86, "&lt;="&amp;baseData, R$4:R$86))*(SUM($G55:$H55)/(SUMIF($A$4:$A$86, "&gt;"&amp;baseData, $G$4:$G$86)+SUMIF($A$4:$A$86, "&gt;"&amp;baseData, $H$4:$H$86))))</f>
        <v>-9104.0062657421058</v>
      </c>
      <c r="S55" s="415">
        <f>IF($A55&lt;=baseData,INDEX('LDI - Fluxo de Caixa'!$BD$18:$BT$374,MATCH($A55,'LDI - Fluxo de Caixa'!$C$18:$C$374,0),MATCH(S$1,'LDI - Fluxo de Caixa'!$BD$14:$BT$14,0)),-pctGestaoSPE*K54)</f>
        <v>-21215.550762701849</v>
      </c>
      <c r="T55" s="415">
        <f>IF($A55&lt;=baseData, INDEX('LDI - Fluxo de Caixa'!$BD$18:$BT$374, MATCH('Fluxo Projeto'!$A55, 'LDI - Fluxo de Caixa'!$C$18:$C$374, 0), MATCH('Fluxo Projeto'!T$1, 'LDI - Fluxo de Caixa'!$BD$14:$BT$14, 0)), (-pctOutrasSPE*SUM($G$4:$H$86)-SUMIF($A$4:$A$86, "&lt;="&amp;baseData, T$4:T$86))*(SUM($G55:$H55)/(SUMIF($A$4:$A$86, "&gt;"&amp;baseData, $G$4:$G$86)+SUMIF($A$4:$A$86, "&gt;"&amp;baseData, $H$4:$H$86))))</f>
        <v>-2886.2190239210013</v>
      </c>
      <c r="U55" s="398">
        <f>IF($A55&lt;=baseData, INDEX('LDI - Fluxo de Caixa'!$BD$18:$BT$374, MATCH('Fluxo Projeto'!$A55, 'LDI - Fluxo de Caixa'!$C$18:$C$374, 0), MATCH('Fluxo Projeto'!U$1, 'LDI - Fluxo de Caixa'!$BD$14:$BT$14, 0)), 0)</f>
        <v>0</v>
      </c>
      <c r="V55" s="393">
        <f t="shared" ca="1" si="31"/>
        <v>-1752574.8969089286</v>
      </c>
      <c r="X55" s="416">
        <v>0</v>
      </c>
      <c r="Y55" s="417">
        <v>0</v>
      </c>
      <c r="AA55" s="400">
        <f>INDEX('LDI - Fluxo de Caixa'!$BD$18:$BT$374, MATCH('Fluxo Projeto'!$A55, 'LDI - Fluxo de Caixa'!$C$18:$C$374, 0), MATCH('Fluxo Projeto'!AA$1, 'LDI - Fluxo de Caixa'!$BD$14:$BT$14, 0))</f>
        <v>-17517.909999999902</v>
      </c>
      <c r="AB55" s="417">
        <v>0</v>
      </c>
      <c r="AD55" s="393">
        <f t="shared" ca="1" si="32"/>
        <v>-1136815.7016801208</v>
      </c>
      <c r="AF55" s="393">
        <f ca="1">IF($A55&lt;=baseData, INDEX('LDI - Fluxo de Caixa'!$BD$18:$BT$374, MATCH('Fluxo Projeto'!$A55, 'LDI - Fluxo de Caixa'!$C$18:$C$374, 0), MATCH('Fluxo Projeto'!AF$1, 'LDI - Fluxo de Caixa'!$BD$14:$BT$14, 0)), $E55*CDI)</f>
        <v>-3559.7802377466169</v>
      </c>
      <c r="AH55" s="393">
        <f t="shared" ca="1" si="33"/>
        <v>15035397.464070057</v>
      </c>
      <c r="AJ55" s="397">
        <f ca="1">IF($A55&lt;=baseData, INDEX('LDI - Fluxo de Caixa'!$BD$18:$BT$374, MATCH($A55, 'LDI - Fluxo de Caixa'!$C$18:$C$374, 0), MATCH(AJ$1, 'LDI - Fluxo de Caixa'!$BD$14:$BT$14, 0))-J55-I55, IF($A55&lt;inicioDistribuicoes,-IF(AH55&lt;cxMinSPEpreObra,IF(SUM($AD56:$AD67)-cxMinSPEpreObra+AH55&lt;0,SUM($AD56:$AD67)-cxMinSPEpreObra+AH55,IF(AH55&lt;0, AH55-cxMinSPEpreObra, 0)),0), 0))</f>
        <v>0</v>
      </c>
      <c r="AK55" s="398">
        <f t="shared" ca="1" si="39"/>
        <v>0</v>
      </c>
      <c r="AM55" s="393">
        <f t="shared" ca="1" si="34"/>
        <v>15035397.464070057</v>
      </c>
      <c r="AO55" s="393">
        <f t="shared" ca="1" si="61"/>
        <v>15035397.464070057</v>
      </c>
      <c r="AQ55" s="397">
        <f t="shared" ca="1" si="35"/>
        <v>0</v>
      </c>
      <c r="AR55" s="398">
        <f t="shared" ca="1" si="37"/>
        <v>-35463847.709007196</v>
      </c>
      <c r="AT55" s="393">
        <f t="shared" ca="1" si="38"/>
        <v>0</v>
      </c>
      <c r="AV55" s="397">
        <f t="shared" si="40"/>
        <v>459.49462075267121</v>
      </c>
      <c r="AW55" s="390">
        <f t="shared" si="41"/>
        <v>317.81767569572838</v>
      </c>
      <c r="AX55" s="390">
        <f t="shared" si="42"/>
        <v>0</v>
      </c>
      <c r="AY55" s="390">
        <f t="shared" si="43"/>
        <v>0</v>
      </c>
      <c r="AZ55" s="393">
        <f t="shared" si="44"/>
        <v>777.31229644839959</v>
      </c>
      <c r="BA55" s="371"/>
      <c r="BB55" s="400">
        <f t="shared" si="45"/>
        <v>-34.72120571465581</v>
      </c>
      <c r="BC55" s="415">
        <f t="shared" ca="1" si="46"/>
        <v>-2069.854817134626</v>
      </c>
      <c r="BD55" s="415">
        <f t="shared" si="47"/>
        <v>0</v>
      </c>
      <c r="BE55" s="415">
        <f t="shared" si="48"/>
        <v>0</v>
      </c>
      <c r="BF55" s="415">
        <f t="shared" si="49"/>
        <v>-5.8535959391619459</v>
      </c>
      <c r="BG55" s="415">
        <f t="shared" si="50"/>
        <v>-11.174659495621222</v>
      </c>
      <c r="BH55" s="415">
        <f t="shared" si="51"/>
        <v>-26.040904285991854</v>
      </c>
      <c r="BI55" s="415">
        <f t="shared" si="52"/>
        <v>-3.5426727399634972</v>
      </c>
      <c r="BJ55" s="398">
        <f t="shared" si="53"/>
        <v>0</v>
      </c>
      <c r="BK55" s="393">
        <f t="shared" ca="1" si="54"/>
        <v>-2151.1878553100205</v>
      </c>
      <c r="BL55" s="371"/>
      <c r="BM55" s="400">
        <f t="shared" si="55"/>
        <v>0</v>
      </c>
      <c r="BN55" s="401">
        <f t="shared" si="56"/>
        <v>0</v>
      </c>
      <c r="BO55" s="371"/>
      <c r="BP55" s="400">
        <f t="shared" si="57"/>
        <v>-21.5022566561228</v>
      </c>
      <c r="BQ55" s="401">
        <f t="shared" si="58"/>
        <v>0</v>
      </c>
      <c r="BR55" s="371"/>
      <c r="BS55" s="393">
        <f t="shared" ca="1" si="59"/>
        <v>-4.3694315310115206</v>
      </c>
    </row>
    <row r="56" spans="1:71" x14ac:dyDescent="0.25">
      <c r="A56" s="197">
        <f t="shared" si="36"/>
        <v>44713</v>
      </c>
      <c r="B56" s="388">
        <f>IF($A56&lt;=baseData, INDEX(Indicadores!B:B, MATCH($A56,Indicadores!A:A, 0)), INDEX(Indicadores!B:B, MATCH(baseData,Indicadores!A:A, 0)))</f>
        <v>839.38199999999995</v>
      </c>
      <c r="C56" s="389">
        <f>IF($A56&lt;=baseData, INDEX(Indicadores!E:E, MATCH($A56, Indicadores!A:A, 0)), INDEX(Indicadores!E:E, MATCH(baseData, Indicadores!A:A, 0)))</f>
        <v>5486.52</v>
      </c>
      <c r="E56" s="393">
        <f t="shared" ca="1" si="60"/>
        <v>15035397.464070057</v>
      </c>
      <c r="G56" s="397">
        <f>IF(tipoCarteira="Carteira",INDEX('M-FLUXO DE CAIXA'!$W:$W, MATCH($A56, 'M-FLUXO DE CAIXA'!$V:$V, 0)),IF(DATEDIF(baseData,$A56,"m")&lt;=prazoRepasseCarteira,vlrCarteira/prazoRepasseCarteira,0))+IF(DATEDIF(baseData,$A56,"m")&lt;=curvaInad,vlrInad/curvaInad*(1-PDD),0)</f>
        <v>1791313.1224373085</v>
      </c>
      <c r="H56" s="390">
        <f>IF($A56&gt;baseData, SUMPRODUCT('Tabela Vendas'!$R:$R,'Tabela Vendas'!$V:$V)*INDEX(Curvas!$Z:$Z,MATCH($A56,Curvas!$B:$B,0)), 0)</f>
        <v>279265.86659736291</v>
      </c>
      <c r="I56" s="390">
        <f>IFERROR(INDEX(Permutas!AJ:AJ, MATCH('Fluxo Projeto'!A56, Permutas!N:N, 0)), 0)</f>
        <v>0</v>
      </c>
      <c r="J56" s="390">
        <v>0</v>
      </c>
      <c r="K56" s="393">
        <f t="shared" si="30"/>
        <v>2070578.9890346713</v>
      </c>
      <c r="M56" s="400">
        <f>IF($A56&lt;=baseData,INDEX('LDI - Fluxo de Caixa'!$BD$18:$BT$374,MATCH('Fluxo Projeto'!$A56,'LDI - Fluxo de Caixa'!$C$18:$C$374,0),MATCH('Fluxo Projeto'!M$1,'LDI - Fluxo de Caixa'!$BD$14:$BT$14,0)),-pctImpostoSPE*K55)</f>
        <v>-25331.084209152308</v>
      </c>
      <c r="N56" s="415">
        <f ca="1">IF($A56&lt;=baseData,INDEX('LDI - Fluxo de Caixa'!$BD$18:$BT$374,MATCH($A56,'LDI - Fluxo de Caixa'!$C$18:$C$374,0),MATCH('Fluxo Projeto'!N$1,'LDI - Fluxo de Caixa'!$BD$14:$BT$14,0)),INDEX(Obra!AA:AA,MATCH($A56,Obra!F:F,0)))</f>
        <v>-1663137.1182116074</v>
      </c>
      <c r="O56" s="415">
        <f>IF($A56&lt;=baseData,INDEX('LDI - Fluxo de Caixa'!$BD$18:$BT$374,MATCH($A56,'LDI - Fluxo de Caixa'!$C$18:$C$374,0),MATCH('Fluxo Projeto'!O$1,'LDI - Fluxo de Caixa'!$BD$14:$BT$14,0)),IF($A56=entrega,assistTecnicaObra*SUM($N$2:$N$86),0))</f>
        <v>0</v>
      </c>
      <c r="P56" s="415">
        <f>IF($A56&lt;=baseData, INDEX('LDI - Fluxo de Caixa'!$BD$18:$BT$374, MATCH('Fluxo Projeto'!$A56, 'LDI - Fluxo de Caixa'!$C$18:$C$374, 0), MATCH('Fluxo Projeto'!P$1, 'LDI - Fluxo de Caixa'!$BD$14:$BT$14, 0)), -IF($A56&gt;=entrega, INDEX(Curvas!R:R,MATCH($A56,Curvas!B:B,0))*(IPTU+condominio)*'Tabela Vendas'!$Y$22, 0))</f>
        <v>0</v>
      </c>
      <c r="Q56" s="415">
        <f>IF($A56&lt;=baseData, INDEX('LDI - Fluxo de Caixa'!$BD$18:$BT$374, MATCH('Fluxo Projeto'!$A56, 'LDI - Fluxo de Caixa'!$C$18:$C$374, 0), MATCH('Fluxo Projeto'!Q$1, 'LDI - Fluxo de Caixa'!$BD$14:$BT$14, 0)), (-pctIncorporaçaoSPE*SUM($G$4:$H$86)-SUMIF($A$4:$A$86, "&lt;="&amp;baseData, Q$4:Q$86))*(SUM($G56:$H56)/(SUMIF($A$4:$A$86, "&gt;"&amp;baseData, $G$4:$G$86)+SUMIF($A$4:$A$86, "&gt;"&amp;baseData, $H$4:$H$86))))</f>
        <v>-15592.616786465547</v>
      </c>
      <c r="R56" s="415">
        <f>IF($A56&lt;=baseData, INDEX('LDI - Fluxo de Caixa'!$BD$18:$BT$374, MATCH('Fluxo Projeto'!$A56, 'LDI - Fluxo de Caixa'!$C$18:$C$374, 0), MATCH('Fluxo Projeto'!R$1, 'LDI - Fluxo de Caixa'!$BD$14:$BT$14, 0)), (-pctMarketingSPE*SUM($G$4:$H$86)-SUMIF($A$4:$A$86, "&lt;="&amp;baseData, R$4:R$86))*(SUM($G56:$H56)/(SUMIF($A$4:$A$86, "&gt;"&amp;baseData, $G$4:$G$86)+SUMIF($A$4:$A$86, "&gt;"&amp;baseData, $H$4:$H$86))))</f>
        <v>-29766.691286075715</v>
      </c>
      <c r="S56" s="415">
        <f>IF($A56&lt;=baseData,INDEX('LDI - Fluxo de Caixa'!$BD$18:$BT$374,MATCH($A56,'LDI - Fluxo de Caixa'!$C$18:$C$374,0),MATCH(S$1,'LDI - Fluxo de Caixa'!$BD$14:$BT$14,0)),-pctGestaoSPE*K55)</f>
        <v>-18998.313156864227</v>
      </c>
      <c r="T56" s="415">
        <f>IF($A56&lt;=baseData, INDEX('LDI - Fluxo de Caixa'!$BD$18:$BT$374, MATCH('Fluxo Projeto'!$A56, 'LDI - Fluxo de Caixa'!$C$18:$C$374, 0), MATCH('Fluxo Projeto'!T$1, 'LDI - Fluxo de Caixa'!$BD$14:$BT$14, 0)), (-pctOutrasSPE*SUM($G$4:$H$86)-SUMIF($A$4:$A$86, "&lt;="&amp;baseData, T$4:T$86))*(SUM($G56:$H56)/(SUMIF($A$4:$A$86, "&gt;"&amp;baseData, $G$4:$G$86)+SUMIF($A$4:$A$86, "&gt;"&amp;baseData, $H$4:$H$86))))</f>
        <v>-9436.8553976442236</v>
      </c>
      <c r="U56" s="398">
        <f>IF($A56&lt;=baseData, INDEX('LDI - Fluxo de Caixa'!$BD$18:$BT$374, MATCH('Fluxo Projeto'!$A56, 'LDI - Fluxo de Caixa'!$C$18:$C$374, 0), MATCH('Fluxo Projeto'!U$1, 'LDI - Fluxo de Caixa'!$BD$14:$BT$14, 0)), 0)</f>
        <v>0</v>
      </c>
      <c r="V56" s="393">
        <f t="shared" ca="1" si="31"/>
        <v>-1762262.6790478092</v>
      </c>
      <c r="X56" s="416">
        <v>0</v>
      </c>
      <c r="Y56" s="417">
        <v>0</v>
      </c>
      <c r="AA56" s="400">
        <f>INDEX('LDI - Fluxo de Caixa'!$BD$18:$BT$374, MATCH('Fluxo Projeto'!$A56, 'LDI - Fluxo de Caixa'!$C$18:$C$374, 0), MATCH('Fluxo Projeto'!AA$1, 'LDI - Fluxo de Caixa'!$BD$14:$BT$14, 0))</f>
        <v>-17517.909999999902</v>
      </c>
      <c r="AB56" s="417">
        <v>0</v>
      </c>
      <c r="AD56" s="393">
        <f t="shared" ca="1" si="32"/>
        <v>290798.3999868622</v>
      </c>
      <c r="AF56" s="393">
        <f ca="1">IF($A56&lt;=baseData, INDEX('LDI - Fluxo de Caixa'!$BD$18:$BT$374, MATCH('Fluxo Projeto'!$A56, 'LDI - Fluxo de Caixa'!$C$18:$C$374, 0), MATCH('Fluxo Projeto'!AF$1, 'LDI - Fluxo de Caixa'!$BD$14:$BT$14, 0)), $E56*CDI)</f>
        <v>-3308.8193644890034</v>
      </c>
      <c r="AH56" s="393">
        <f t="shared" ca="1" si="33"/>
        <v>15322887.044692429</v>
      </c>
      <c r="AJ56" s="397">
        <f ca="1">IF($A56&lt;=baseData, INDEX('LDI - Fluxo de Caixa'!$BD$18:$BT$374, MATCH($A56, 'LDI - Fluxo de Caixa'!$C$18:$C$374, 0), MATCH(AJ$1, 'LDI - Fluxo de Caixa'!$BD$14:$BT$14, 0))-J56-I56, IF($A56&lt;inicioDistribuicoes,-IF(AH56&lt;cxMinSPEpreObra,IF(SUM($AD57:$AD68)-cxMinSPEpreObra+AH56&lt;0,SUM($AD57:$AD68)-cxMinSPEpreObra+AH56,IF(AH56&lt;0, AH56-cxMinSPEpreObra, 0)),0), 0))</f>
        <v>0</v>
      </c>
      <c r="AK56" s="398">
        <f t="shared" ca="1" si="39"/>
        <v>0</v>
      </c>
      <c r="AM56" s="393">
        <f t="shared" ca="1" si="34"/>
        <v>15322887.044692429</v>
      </c>
      <c r="AO56" s="393">
        <f t="shared" ca="1" si="61"/>
        <v>15322887.044692429</v>
      </c>
      <c r="AQ56" s="397">
        <f t="shared" ca="1" si="35"/>
        <v>0</v>
      </c>
      <c r="AR56" s="398">
        <f t="shared" ca="1" si="37"/>
        <v>-35463847.709007196</v>
      </c>
      <c r="AT56" s="393">
        <f t="shared" ca="1" si="38"/>
        <v>0</v>
      </c>
      <c r="AV56" s="397">
        <f t="shared" si="40"/>
        <v>2198.7368647360299</v>
      </c>
      <c r="AW56" s="390">
        <f t="shared" si="41"/>
        <v>342.7832623224507</v>
      </c>
      <c r="AX56" s="390">
        <f t="shared" si="42"/>
        <v>0</v>
      </c>
      <c r="AY56" s="390">
        <f t="shared" si="43"/>
        <v>0</v>
      </c>
      <c r="AZ56" s="393">
        <f t="shared" si="44"/>
        <v>2541.5201270584807</v>
      </c>
      <c r="BA56" s="371"/>
      <c r="BB56" s="400">
        <f t="shared" si="45"/>
        <v>-31.09249185793599</v>
      </c>
      <c r="BC56" s="415">
        <f t="shared" ca="1" si="46"/>
        <v>-2041.4079744735889</v>
      </c>
      <c r="BD56" s="415">
        <f t="shared" si="47"/>
        <v>0</v>
      </c>
      <c r="BE56" s="415">
        <f t="shared" si="48"/>
        <v>0</v>
      </c>
      <c r="BF56" s="415">
        <f t="shared" si="49"/>
        <v>-19.139066708480225</v>
      </c>
      <c r="BG56" s="415">
        <f t="shared" si="50"/>
        <v>-36.536951944425887</v>
      </c>
      <c r="BH56" s="415">
        <f t="shared" si="51"/>
        <v>-23.319368893451987</v>
      </c>
      <c r="BI56" s="415">
        <f t="shared" si="52"/>
        <v>-11.583213225028842</v>
      </c>
      <c r="BJ56" s="398">
        <f t="shared" si="53"/>
        <v>0</v>
      </c>
      <c r="BK56" s="393">
        <f t="shared" ca="1" si="54"/>
        <v>-2163.0790671029117</v>
      </c>
      <c r="BL56" s="371"/>
      <c r="BM56" s="400">
        <f t="shared" si="55"/>
        <v>0</v>
      </c>
      <c r="BN56" s="401">
        <f t="shared" si="56"/>
        <v>0</v>
      </c>
      <c r="BO56" s="371"/>
      <c r="BP56" s="400">
        <f t="shared" si="57"/>
        <v>-21.5022566561228</v>
      </c>
      <c r="BQ56" s="401">
        <f t="shared" si="58"/>
        <v>0</v>
      </c>
      <c r="BR56" s="371"/>
      <c r="BS56" s="393">
        <f t="shared" ca="1" si="59"/>
        <v>-4.061391067997957</v>
      </c>
    </row>
    <row r="57" spans="1:71" x14ac:dyDescent="0.25">
      <c r="A57" s="197">
        <f t="shared" si="36"/>
        <v>44743</v>
      </c>
      <c r="B57" s="388">
        <f>IF($A57&lt;=baseData, INDEX(Indicadores!B:B, MATCH($A57,Indicadores!A:A, 0)), INDEX(Indicadores!B:B, MATCH(baseData,Indicadores!A:A, 0)))</f>
        <v>839.38199999999995</v>
      </c>
      <c r="C57" s="389">
        <f>IF($A57&lt;=baseData, INDEX(Indicadores!E:E, MATCH($A57, Indicadores!A:A, 0)), INDEX(Indicadores!E:E, MATCH(baseData, Indicadores!A:A, 0)))</f>
        <v>5486.52</v>
      </c>
      <c r="E57" s="393">
        <f t="shared" ca="1" si="60"/>
        <v>15322887.044692429</v>
      </c>
      <c r="G57" s="397">
        <f>IF(tipoCarteira="Carteira",INDEX('M-FLUXO DE CAIXA'!$W:$W, MATCH($A57, 'M-FLUXO DE CAIXA'!$V:$V, 0)),IF(DATEDIF(baseData,$A57,"m")&lt;=prazoRepasseCarteira,vlrCarteira/prazoRepasseCarteira,0))+IF(DATEDIF(baseData,$A57,"m")&lt;=curvaInad,vlrInad/curvaInad*(1-PDD),0)</f>
        <v>1547088.5212612576</v>
      </c>
      <c r="H57" s="390">
        <f>IF($A57&gt;baseData, SUMPRODUCT('Tabela Vendas'!$R:$R,'Tabela Vendas'!$V:$V)*INDEX(Curvas!$Z:$Z,MATCH($A57,Curvas!$B:$B,0)), 0)</f>
        <v>301639.3038267779</v>
      </c>
      <c r="I57" s="390">
        <f>IFERROR(INDEX(Permutas!AJ:AJ, MATCH('Fluxo Projeto'!A57, Permutas!N:N, 0)), 0)</f>
        <v>0</v>
      </c>
      <c r="J57" s="390">
        <v>0</v>
      </c>
      <c r="K57" s="393">
        <f t="shared" si="30"/>
        <v>1848727.8250880355</v>
      </c>
      <c r="M57" s="400">
        <f>IF($A57&lt;=baseData,INDEX('LDI - Fluxo de Caixa'!$BD$18:$BT$374,MATCH('Fluxo Projeto'!$A57,'LDI - Fluxo de Caixa'!$C$18:$C$374,0),MATCH('Fluxo Projeto'!M$1,'LDI - Fluxo de Caixa'!$BD$14:$BT$14,0)),-pctImpostoSPE*K56)</f>
        <v>-82823.159561386856</v>
      </c>
      <c r="N57" s="415">
        <f ca="1">IF($A57&lt;=baseData,INDEX('LDI - Fluxo de Caixa'!$BD$18:$BT$374,MATCH($A57,'LDI - Fluxo de Caixa'!$C$18:$C$374,0),MATCH('Fluxo Projeto'!N$1,'LDI - Fluxo de Caixa'!$BD$14:$BT$14,0)),INDEX(Obra!AA:AA,MATCH($A57,Obra!F:F,0)))</f>
        <v>-1713081.1816563618</v>
      </c>
      <c r="O57" s="415">
        <f>IF($A57&lt;=baseData,INDEX('LDI - Fluxo de Caixa'!$BD$18:$BT$374,MATCH($A57,'LDI - Fluxo de Caixa'!$C$18:$C$374,0),MATCH('Fluxo Projeto'!O$1,'LDI - Fluxo de Caixa'!$BD$14:$BT$14,0)),IF($A57=entrega,assistTecnicaObra*SUM($N$2:$N$86),0))</f>
        <v>0</v>
      </c>
      <c r="P57" s="415">
        <f>IF($A57&lt;=baseData, INDEX('LDI - Fluxo de Caixa'!$BD$18:$BT$374, MATCH('Fluxo Projeto'!$A57, 'LDI - Fluxo de Caixa'!$C$18:$C$374, 0), MATCH('Fluxo Projeto'!P$1, 'LDI - Fluxo de Caixa'!$BD$14:$BT$14, 0)), -IF($A57&gt;=entrega, INDEX(Curvas!R:R,MATCH($A57,Curvas!B:B,0))*(IPTU+condominio)*'Tabela Vendas'!$Y$22, 0))</f>
        <v>0</v>
      </c>
      <c r="Q57" s="415">
        <f>IF($A57&lt;=baseData, INDEX('LDI - Fluxo de Caixa'!$BD$18:$BT$374, MATCH('Fluxo Projeto'!$A57, 'LDI - Fluxo de Caixa'!$C$18:$C$374, 0), MATCH('Fluxo Projeto'!Q$1, 'LDI - Fluxo de Caixa'!$BD$14:$BT$14, 0)), (-pctIncorporaçaoSPE*SUM($G$4:$H$86)-SUMIF($A$4:$A$86, "&lt;="&amp;baseData, Q$4:Q$86))*(SUM($G57:$H57)/(SUMIF($A$4:$A$86, "&gt;"&amp;baseData, $G$4:$G$86)+SUMIF($A$4:$A$86, "&gt;"&amp;baseData, $H$4:$H$86))))</f>
        <v>-13921.95355585681</v>
      </c>
      <c r="R57" s="415">
        <f>IF($A57&lt;=baseData, INDEX('LDI - Fluxo de Caixa'!$BD$18:$BT$374, MATCH('Fluxo Projeto'!$A57, 'LDI - Fluxo de Caixa'!$C$18:$C$374, 0), MATCH('Fluxo Projeto'!R$1, 'LDI - Fluxo de Caixa'!$BD$14:$BT$14, 0)), (-pctMarketingSPE*SUM($G$4:$H$86)-SUMIF($A$4:$A$86, "&lt;="&amp;baseData, R$4:R$86))*(SUM($G57:$H57)/(SUMIF($A$4:$A$86, "&gt;"&amp;baseData, $G$4:$G$86)+SUMIF($A$4:$A$86, "&gt;"&amp;baseData, $H$4:$H$86))))</f>
        <v>-26577.353838130857</v>
      </c>
      <c r="S57" s="415">
        <f>IF($A57&lt;=baseData,INDEX('LDI - Fluxo de Caixa'!$BD$18:$BT$374,MATCH($A57,'LDI - Fluxo de Caixa'!$C$18:$C$374,0),MATCH(S$1,'LDI - Fluxo de Caixa'!$BD$14:$BT$14,0)),-pctGestaoSPE*K56)</f>
        <v>-62117.369671040135</v>
      </c>
      <c r="T57" s="415">
        <f>IF($A57&lt;=baseData, INDEX('LDI - Fluxo de Caixa'!$BD$18:$BT$374, MATCH('Fluxo Projeto'!$A57, 'LDI - Fluxo de Caixa'!$C$18:$C$374, 0), MATCH('Fluxo Projeto'!T$1, 'LDI - Fluxo de Caixa'!$BD$14:$BT$14, 0)), (-pctOutrasSPE*SUM($G$4:$H$86)-SUMIF($A$4:$A$86, "&lt;="&amp;baseData, T$4:T$86))*(SUM($G57:$H57)/(SUMIF($A$4:$A$86, "&gt;"&amp;baseData, $G$4:$G$86)+SUMIF($A$4:$A$86, "&gt;"&amp;baseData, $H$4:$H$86))))</f>
        <v>-8425.7481831643181</v>
      </c>
      <c r="U57" s="398">
        <f>IF($A57&lt;=baseData, INDEX('LDI - Fluxo de Caixa'!$BD$18:$BT$374, MATCH('Fluxo Projeto'!$A57, 'LDI - Fluxo de Caixa'!$C$18:$C$374, 0), MATCH('Fluxo Projeto'!U$1, 'LDI - Fluxo de Caixa'!$BD$14:$BT$14, 0)), 0)</f>
        <v>0</v>
      </c>
      <c r="V57" s="393">
        <f t="shared" ca="1" si="31"/>
        <v>-1906946.7664659407</v>
      </c>
      <c r="X57" s="416">
        <v>0</v>
      </c>
      <c r="Y57" s="417">
        <v>0</v>
      </c>
      <c r="AA57" s="400">
        <f>INDEX('LDI - Fluxo de Caixa'!$BD$18:$BT$374, MATCH('Fluxo Projeto'!$A57, 'LDI - Fluxo de Caixa'!$C$18:$C$374, 0), MATCH('Fluxo Projeto'!AA$1, 'LDI - Fluxo de Caixa'!$BD$14:$BT$14, 0))</f>
        <v>-17517.909999999902</v>
      </c>
      <c r="AB57" s="417">
        <v>0</v>
      </c>
      <c r="AD57" s="393">
        <f t="shared" ca="1" si="32"/>
        <v>-75736.851377905099</v>
      </c>
      <c r="AF57" s="393">
        <f ca="1">IF($A57&lt;=baseData, INDEX('LDI - Fluxo de Caixa'!$BD$18:$BT$374, MATCH('Fluxo Projeto'!$A57, 'LDI - Fluxo de Caixa'!$C$18:$C$374, 0), MATCH('Fluxo Projeto'!AF$1, 'LDI - Fluxo de Caixa'!$BD$14:$BT$14, 0)), $E57*CDI)</f>
        <v>-3372.086803459295</v>
      </c>
      <c r="AH57" s="393">
        <f t="shared" ca="1" si="33"/>
        <v>15243778.106511066</v>
      </c>
      <c r="AJ57" s="397">
        <f ca="1">IF($A57&lt;=baseData, INDEX('LDI - Fluxo de Caixa'!$BD$18:$BT$374, MATCH($A57, 'LDI - Fluxo de Caixa'!$C$18:$C$374, 0), MATCH(AJ$1, 'LDI - Fluxo de Caixa'!$BD$14:$BT$14, 0))-J57-I57, IF($A57&lt;inicioDistribuicoes,-IF(AH57&lt;cxMinSPEpreObra,IF(SUM($AD58:$AD69)-cxMinSPEpreObra+AH57&lt;0,SUM($AD58:$AD69)-cxMinSPEpreObra+AH57,IF(AH57&lt;0, AH57-cxMinSPEpreObra, 0)),0), 0))</f>
        <v>0</v>
      </c>
      <c r="AK57" s="398">
        <f t="shared" ca="1" si="39"/>
        <v>0</v>
      </c>
      <c r="AM57" s="393">
        <f t="shared" ca="1" si="34"/>
        <v>15243778.106511066</v>
      </c>
      <c r="AO57" s="393">
        <f t="shared" ca="1" si="61"/>
        <v>15243778.106511066</v>
      </c>
      <c r="AQ57" s="397">
        <f t="shared" ca="1" si="35"/>
        <v>0</v>
      </c>
      <c r="AR57" s="398">
        <f t="shared" ca="1" si="37"/>
        <v>-35463847.709007196</v>
      </c>
      <c r="AT57" s="393">
        <f t="shared" ca="1" si="38"/>
        <v>0</v>
      </c>
      <c r="AV57" s="397">
        <f t="shared" si="40"/>
        <v>1898.9647996765163</v>
      </c>
      <c r="AW57" s="390">
        <f t="shared" si="41"/>
        <v>370.24540761184522</v>
      </c>
      <c r="AX57" s="390">
        <f t="shared" si="42"/>
        <v>0</v>
      </c>
      <c r="AY57" s="390">
        <f t="shared" si="43"/>
        <v>0</v>
      </c>
      <c r="AZ57" s="393">
        <f t="shared" si="44"/>
        <v>2269.2102072883617</v>
      </c>
      <c r="BA57" s="371"/>
      <c r="BB57" s="400">
        <f t="shared" si="45"/>
        <v>-101.66080508233924</v>
      </c>
      <c r="BC57" s="415">
        <f t="shared" ca="1" si="46"/>
        <v>-2102.7115244198321</v>
      </c>
      <c r="BD57" s="415">
        <f t="shared" si="47"/>
        <v>0</v>
      </c>
      <c r="BE57" s="415">
        <f t="shared" si="48"/>
        <v>0</v>
      </c>
      <c r="BF57" s="415">
        <f t="shared" si="49"/>
        <v>-17.088420851154975</v>
      </c>
      <c r="BG57" s="415">
        <f t="shared" si="50"/>
        <v>-32.622218259374733</v>
      </c>
      <c r="BH57" s="415">
        <f t="shared" si="51"/>
        <v>-76.245603811754421</v>
      </c>
      <c r="BI57" s="415">
        <f t="shared" si="52"/>
        <v>-10.342135560364254</v>
      </c>
      <c r="BJ57" s="398">
        <f t="shared" si="53"/>
        <v>0</v>
      </c>
      <c r="BK57" s="393">
        <f t="shared" ca="1" si="54"/>
        <v>-2340.6707079848193</v>
      </c>
      <c r="BL57" s="371"/>
      <c r="BM57" s="400">
        <f t="shared" si="55"/>
        <v>0</v>
      </c>
      <c r="BN57" s="401">
        <f t="shared" si="56"/>
        <v>0</v>
      </c>
      <c r="BO57" s="371"/>
      <c r="BP57" s="400">
        <f t="shared" si="57"/>
        <v>-21.5022566561228</v>
      </c>
      <c r="BQ57" s="401">
        <f t="shared" si="58"/>
        <v>0</v>
      </c>
      <c r="BR57" s="371"/>
      <c r="BS57" s="393">
        <f t="shared" ca="1" si="59"/>
        <v>-4.1390483176764175</v>
      </c>
    </row>
    <row r="58" spans="1:71" x14ac:dyDescent="0.25">
      <c r="A58" s="197">
        <f t="shared" si="36"/>
        <v>44774</v>
      </c>
      <c r="B58" s="388">
        <f>IF($A58&lt;=baseData, INDEX(Indicadores!B:B, MATCH($A58,Indicadores!A:A, 0)), INDEX(Indicadores!B:B, MATCH(baseData,Indicadores!A:A, 0)))</f>
        <v>839.38199999999995</v>
      </c>
      <c r="C58" s="389">
        <f>IF($A58&lt;=baseData, INDEX(Indicadores!E:E, MATCH($A58, Indicadores!A:A, 0)), INDEX(Indicadores!E:E, MATCH(baseData, Indicadores!A:A, 0)))</f>
        <v>5486.52</v>
      </c>
      <c r="E58" s="393">
        <f t="shared" ca="1" si="60"/>
        <v>15243778.106511066</v>
      </c>
      <c r="G58" s="397">
        <f>IF(tipoCarteira="Carteira",INDEX('M-FLUXO DE CAIXA'!$W:$W, MATCH($A58, 'M-FLUXO DE CAIXA'!$V:$V, 0)),IF(DATEDIF(baseData,$A58,"m")&lt;=prazoRepasseCarteira,vlrCarteira/prazoRepasseCarteira,0))+IF(DATEDIF(baseData,$A58,"m")&lt;=curvaInad,vlrInad/curvaInad*(1-PDD),0)</f>
        <v>2009524.7878642941</v>
      </c>
      <c r="H58" s="390">
        <f>IF($A58&gt;baseData, SUMPRODUCT('Tabela Vendas'!$R:$R,'Tabela Vendas'!$V:$V)*INDEX(Curvas!$Z:$Z,MATCH($A58,Curvas!$B:$B,0)), 0)</f>
        <v>326498.67852612794</v>
      </c>
      <c r="I58" s="390">
        <f>IFERROR(INDEX(Permutas!AJ:AJ, MATCH('Fluxo Projeto'!A58, Permutas!N:N, 0)), 0)</f>
        <v>0</v>
      </c>
      <c r="J58" s="390">
        <v>0</v>
      </c>
      <c r="K58" s="393">
        <f t="shared" si="30"/>
        <v>2336023.4663904221</v>
      </c>
      <c r="M58" s="400">
        <f>IF($A58&lt;=baseData,INDEX('LDI - Fluxo de Caixa'!$BD$18:$BT$374,MATCH('Fluxo Projeto'!$A58,'LDI - Fluxo de Caixa'!$C$18:$C$374,0),MATCH('Fluxo Projeto'!M$1,'LDI - Fluxo de Caixa'!$BD$14:$BT$14,0)),-pctImpostoSPE*K57)</f>
        <v>-73949.11300352143</v>
      </c>
      <c r="N58" s="415">
        <f ca="1">IF($A58&lt;=baseData,INDEX('LDI - Fluxo de Caixa'!$BD$18:$BT$374,MATCH($A58,'LDI - Fluxo de Caixa'!$C$18:$C$374,0),MATCH('Fluxo Projeto'!N$1,'LDI - Fluxo de Caixa'!$BD$14:$BT$14,0)),INDEX(Obra!AA:AA,MATCH($A58,Obra!F:F,0)))</f>
        <v>-1977293.3137831967</v>
      </c>
      <c r="O58" s="415">
        <f>IF($A58&lt;=baseData,INDEX('LDI - Fluxo de Caixa'!$BD$18:$BT$374,MATCH($A58,'LDI - Fluxo de Caixa'!$C$18:$C$374,0),MATCH('Fluxo Projeto'!O$1,'LDI - Fluxo de Caixa'!$BD$14:$BT$14,0)),IF($A58=entrega,assistTecnicaObra*SUM($N$2:$N$86),0))</f>
        <v>0</v>
      </c>
      <c r="P58" s="415">
        <f>IF($A58&lt;=baseData, INDEX('LDI - Fluxo de Caixa'!$BD$18:$BT$374, MATCH('Fluxo Projeto'!$A58, 'LDI - Fluxo de Caixa'!$C$18:$C$374, 0), MATCH('Fluxo Projeto'!P$1, 'LDI - Fluxo de Caixa'!$BD$14:$BT$14, 0)), -IF($A58&gt;=entrega, INDEX(Curvas!R:R,MATCH($A58,Curvas!B:B,0))*(IPTU+condominio)*'Tabela Vendas'!$Y$22, 0))</f>
        <v>0</v>
      </c>
      <c r="Q58" s="415">
        <f>IF($A58&lt;=baseData, INDEX('LDI - Fluxo de Caixa'!$BD$18:$BT$374, MATCH('Fluxo Projeto'!$A58, 'LDI - Fluxo de Caixa'!$C$18:$C$374, 0), MATCH('Fluxo Projeto'!Q$1, 'LDI - Fluxo de Caixa'!$BD$14:$BT$14, 0)), (-pctIncorporaçaoSPE*SUM($G$4:$H$86)-SUMIF($A$4:$A$86, "&lt;="&amp;baseData, Q$4:Q$86))*(SUM($G58:$H58)/(SUMIF($A$4:$A$86, "&gt;"&amp;baseData, $G$4:$G$86)+SUMIF($A$4:$A$86, "&gt;"&amp;baseData, $H$4:$H$86))))</f>
        <v>-17591.562026135678</v>
      </c>
      <c r="R58" s="415">
        <f>IF($A58&lt;=baseData, INDEX('LDI - Fluxo de Caixa'!$BD$18:$BT$374, MATCH('Fluxo Projeto'!$A58, 'LDI - Fluxo de Caixa'!$C$18:$C$374, 0), MATCH('Fluxo Projeto'!R$1, 'LDI - Fluxo de Caixa'!$BD$14:$BT$14, 0)), (-pctMarketingSPE*SUM($G$4:$H$86)-SUMIF($A$4:$A$86, "&lt;="&amp;baseData, R$4:R$86))*(SUM($G58:$H58)/(SUMIF($A$4:$A$86, "&gt;"&amp;baseData, $G$4:$G$86)+SUMIF($A$4:$A$86, "&gt;"&amp;baseData, $H$4:$H$86))))</f>
        <v>-33582.72721268679</v>
      </c>
      <c r="S58" s="415">
        <f>IF($A58&lt;=baseData,INDEX('LDI - Fluxo de Caixa'!$BD$18:$BT$374,MATCH($A58,'LDI - Fluxo de Caixa'!$C$18:$C$374,0),MATCH(S$1,'LDI - Fluxo de Caixa'!$BD$14:$BT$14,0)),-pctGestaoSPE*K57)</f>
        <v>-55461.834752641065</v>
      </c>
      <c r="T58" s="415">
        <f>IF($A58&lt;=baseData, INDEX('LDI - Fluxo de Caixa'!$BD$18:$BT$374, MATCH('Fluxo Projeto'!$A58, 'LDI - Fluxo de Caixa'!$C$18:$C$374, 0), MATCH('Fluxo Projeto'!T$1, 'LDI - Fluxo de Caixa'!$BD$14:$BT$14, 0)), (-pctOutrasSPE*SUM($G$4:$H$86)-SUMIF($A$4:$A$86, "&lt;="&amp;baseData, T$4:T$86))*(SUM($G58:$H58)/(SUMIF($A$4:$A$86, "&gt;"&amp;baseData, $G$4:$G$86)+SUMIF($A$4:$A$86, "&gt;"&amp;baseData, $H$4:$H$86))))</f>
        <v>-10646.64317303226</v>
      </c>
      <c r="U58" s="398">
        <f>IF($A58&lt;=baseData, INDEX('LDI - Fluxo de Caixa'!$BD$18:$BT$374, MATCH('Fluxo Projeto'!$A58, 'LDI - Fluxo de Caixa'!$C$18:$C$374, 0), MATCH('Fluxo Projeto'!U$1, 'LDI - Fluxo de Caixa'!$BD$14:$BT$14, 0)), 0)</f>
        <v>0</v>
      </c>
      <c r="V58" s="393">
        <f t="shared" ca="1" si="31"/>
        <v>-2168525.1939512142</v>
      </c>
      <c r="X58" s="416">
        <v>0</v>
      </c>
      <c r="Y58" s="417">
        <v>0</v>
      </c>
      <c r="AA58" s="400">
        <f>INDEX('LDI - Fluxo de Caixa'!$BD$18:$BT$374, MATCH('Fluxo Projeto'!$A58, 'LDI - Fluxo de Caixa'!$C$18:$C$374, 0), MATCH('Fluxo Projeto'!AA$1, 'LDI - Fluxo de Caixa'!$BD$14:$BT$14, 0))</f>
        <v>-17517.909999999902</v>
      </c>
      <c r="AB58" s="417">
        <v>0</v>
      </c>
      <c r="AD58" s="393">
        <f t="shared" ca="1" si="32"/>
        <v>149980.36243920797</v>
      </c>
      <c r="AF58" s="393">
        <f ca="1">IF($A58&lt;=baseData, INDEX('LDI - Fluxo de Caixa'!$BD$18:$BT$374, MATCH('Fluxo Projeto'!$A58, 'LDI - Fluxo de Caixa'!$C$18:$C$374, 0), MATCH('Fluxo Projeto'!AF$1, 'LDI - Fluxo de Caixa'!$BD$14:$BT$14, 0)), $E58*CDI)</f>
        <v>-3354.6774075863773</v>
      </c>
      <c r="AH58" s="393">
        <f t="shared" ca="1" si="33"/>
        <v>15390403.791542687</v>
      </c>
      <c r="AJ58" s="397">
        <f ca="1">IF($A58&lt;=baseData, INDEX('LDI - Fluxo de Caixa'!$BD$18:$BT$374, MATCH($A58, 'LDI - Fluxo de Caixa'!$C$18:$C$374, 0), MATCH(AJ$1, 'LDI - Fluxo de Caixa'!$BD$14:$BT$14, 0))-J58-I58, IF($A58&lt;inicioDistribuicoes,-IF(AH58&lt;cxMinSPEpreObra,IF(SUM($AD59:$AD70)-cxMinSPEpreObra+AH58&lt;0,SUM($AD59:$AD70)-cxMinSPEpreObra+AH58,IF(AH58&lt;0, AH58-cxMinSPEpreObra, 0)),0), 0))</f>
        <v>0</v>
      </c>
      <c r="AK58" s="398">
        <f t="shared" ca="1" si="39"/>
        <v>0</v>
      </c>
      <c r="AM58" s="393">
        <f t="shared" ca="1" si="34"/>
        <v>15390403.791542687</v>
      </c>
      <c r="AO58" s="393">
        <f t="shared" ca="1" si="61"/>
        <v>15390403.791542687</v>
      </c>
      <c r="AQ58" s="397">
        <f t="shared" ca="1" si="35"/>
        <v>0</v>
      </c>
      <c r="AR58" s="398">
        <f t="shared" ca="1" si="37"/>
        <v>-35463847.709007196</v>
      </c>
      <c r="AT58" s="393">
        <f t="shared" ca="1" si="38"/>
        <v>0</v>
      </c>
      <c r="AV58" s="397">
        <f t="shared" si="40"/>
        <v>2466.5795032340625</v>
      </c>
      <c r="AW58" s="390">
        <f t="shared" si="41"/>
        <v>400.75890237783915</v>
      </c>
      <c r="AX58" s="390">
        <f t="shared" si="42"/>
        <v>0</v>
      </c>
      <c r="AY58" s="390">
        <f t="shared" si="43"/>
        <v>0</v>
      </c>
      <c r="AZ58" s="393">
        <f t="shared" si="44"/>
        <v>2867.3384056119016</v>
      </c>
      <c r="BA58" s="371"/>
      <c r="BB58" s="400">
        <f t="shared" si="45"/>
        <v>-90.76840829153447</v>
      </c>
      <c r="BC58" s="415">
        <f t="shared" ca="1" si="46"/>
        <v>-2427.0171679956165</v>
      </c>
      <c r="BD58" s="415">
        <f t="shared" si="47"/>
        <v>0</v>
      </c>
      <c r="BE58" s="415">
        <f t="shared" si="48"/>
        <v>0</v>
      </c>
      <c r="BF58" s="415">
        <f t="shared" si="49"/>
        <v>-21.592660406867889</v>
      </c>
      <c r="BG58" s="415">
        <f t="shared" si="50"/>
        <v>-41.220923029045977</v>
      </c>
      <c r="BH58" s="415">
        <f t="shared" si="51"/>
        <v>-68.076306218650842</v>
      </c>
      <c r="BI58" s="415">
        <f t="shared" si="52"/>
        <v>-13.068160187642166</v>
      </c>
      <c r="BJ58" s="398">
        <f t="shared" si="53"/>
        <v>0</v>
      </c>
      <c r="BK58" s="393">
        <f t="shared" ca="1" si="54"/>
        <v>-2661.7436261293574</v>
      </c>
      <c r="BL58" s="371"/>
      <c r="BM58" s="400">
        <f t="shared" si="55"/>
        <v>0</v>
      </c>
      <c r="BN58" s="401">
        <f t="shared" si="56"/>
        <v>0</v>
      </c>
      <c r="BO58" s="371"/>
      <c r="BP58" s="400">
        <f t="shared" si="57"/>
        <v>-21.5022566561228</v>
      </c>
      <c r="BQ58" s="401">
        <f t="shared" si="58"/>
        <v>0</v>
      </c>
      <c r="BR58" s="371"/>
      <c r="BS58" s="393">
        <f t="shared" ca="1" si="59"/>
        <v>-4.1176792560539104</v>
      </c>
    </row>
    <row r="59" spans="1:71" x14ac:dyDescent="0.25">
      <c r="A59" s="197">
        <f t="shared" si="36"/>
        <v>44805</v>
      </c>
      <c r="B59" s="388">
        <f>IF($A59&lt;=baseData, INDEX(Indicadores!B:B, MATCH($A59,Indicadores!A:A, 0)), INDEX(Indicadores!B:B, MATCH(baseData,Indicadores!A:A, 0)))</f>
        <v>839.38199999999995</v>
      </c>
      <c r="C59" s="389">
        <f>IF($A59&lt;=baseData, INDEX(Indicadores!E:E, MATCH($A59, Indicadores!A:A, 0)), INDEX(Indicadores!E:E, MATCH(baseData, Indicadores!A:A, 0)))</f>
        <v>5486.52</v>
      </c>
      <c r="E59" s="393">
        <f t="shared" ca="1" si="60"/>
        <v>15390403.791542687</v>
      </c>
      <c r="G59" s="397">
        <f>IF(tipoCarteira="Carteira",INDEX('M-FLUXO DE CAIXA'!$W:$W, MATCH($A59, 'M-FLUXO DE CAIXA'!$V:$V, 0)),IF(DATEDIF(baseData,$A59,"m")&lt;=prazoRepasseCarteira,vlrCarteira/prazoRepasseCarteira,0))+IF(DATEDIF(baseData,$A59,"m")&lt;=curvaInad,vlrInad/curvaInad*(1-PDD),0)</f>
        <v>374350.72702182201</v>
      </c>
      <c r="H59" s="390">
        <f>IF($A59&gt;baseData, SUMPRODUCT('Tabela Vendas'!$R:$R,'Tabela Vendas'!$V:$V)*INDEX(Curvas!$Z:$Z,MATCH($A59,Curvas!$B:$B,0)), 0)</f>
        <v>354465.47506289667</v>
      </c>
      <c r="I59" s="390">
        <f>IFERROR(INDEX(Permutas!AJ:AJ, MATCH('Fluxo Projeto'!A59, Permutas!N:N, 0)), 0)</f>
        <v>0</v>
      </c>
      <c r="J59" s="390">
        <v>0</v>
      </c>
      <c r="K59" s="393">
        <f t="shared" si="30"/>
        <v>728816.20208471874</v>
      </c>
      <c r="M59" s="400">
        <f>IF($A59&lt;=baseData,INDEX('LDI - Fluxo de Caixa'!$BD$18:$BT$374,MATCH('Fluxo Projeto'!$A59,'LDI - Fluxo de Caixa'!$C$18:$C$374,0),MATCH('Fluxo Projeto'!M$1,'LDI - Fluxo de Caixa'!$BD$14:$BT$14,0)),-pctImpostoSPE*K58)</f>
        <v>-93440.93865561689</v>
      </c>
      <c r="N59" s="415">
        <f ca="1">IF($A59&lt;=baseData,INDEX('LDI - Fluxo de Caixa'!$BD$18:$BT$374,MATCH($A59,'LDI - Fluxo de Caixa'!$C$18:$C$374,0),MATCH('Fluxo Projeto'!N$1,'LDI - Fluxo de Caixa'!$BD$14:$BT$14,0)),INDEX(Obra!AA:AA,MATCH($A59,Obra!F:F,0)))</f>
        <v>-2475320.4922825596</v>
      </c>
      <c r="O59" s="415">
        <f>IF($A59&lt;=baseData,INDEX('LDI - Fluxo de Caixa'!$BD$18:$BT$374,MATCH($A59,'LDI - Fluxo de Caixa'!$C$18:$C$374,0),MATCH('Fluxo Projeto'!O$1,'LDI - Fluxo de Caixa'!$BD$14:$BT$14,0)),IF($A59=entrega,assistTecnicaObra*SUM($N$2:$N$86),0))</f>
        <v>0</v>
      </c>
      <c r="P59" s="415">
        <f>IF($A59&lt;=baseData, INDEX('LDI - Fluxo de Caixa'!$BD$18:$BT$374, MATCH('Fluxo Projeto'!$A59, 'LDI - Fluxo de Caixa'!$C$18:$C$374, 0), MATCH('Fluxo Projeto'!P$1, 'LDI - Fluxo de Caixa'!$BD$14:$BT$14, 0)), -IF($A59&gt;=entrega, INDEX(Curvas!R:R,MATCH($A59,Curvas!B:B,0))*(IPTU+condominio)*'Tabela Vendas'!$Y$22, 0))</f>
        <v>0</v>
      </c>
      <c r="Q59" s="415">
        <f>IF($A59&lt;=baseData, INDEX('LDI - Fluxo de Caixa'!$BD$18:$BT$374, MATCH('Fluxo Projeto'!$A59, 'LDI - Fluxo de Caixa'!$C$18:$C$374, 0), MATCH('Fluxo Projeto'!Q$1, 'LDI - Fluxo de Caixa'!$BD$14:$BT$14, 0)), (-pctIncorporaçaoSPE*SUM($G$4:$H$86)-SUMIF($A$4:$A$86, "&lt;="&amp;baseData, Q$4:Q$86))*(SUM($G59:$H59)/(SUMIF($A$4:$A$86, "&gt;"&amp;baseData, $G$4:$G$86)+SUMIF($A$4:$A$86, "&gt;"&amp;baseData, $H$4:$H$86))))</f>
        <v>-5488.3932499345774</v>
      </c>
      <c r="R59" s="415">
        <f>IF($A59&lt;=baseData, INDEX('LDI - Fluxo de Caixa'!$BD$18:$BT$374, MATCH('Fluxo Projeto'!$A59, 'LDI - Fluxo de Caixa'!$C$18:$C$374, 0), MATCH('Fluxo Projeto'!R$1, 'LDI - Fluxo de Caixa'!$BD$14:$BT$14, 0)), (-pctMarketingSPE*SUM($G$4:$H$86)-SUMIF($A$4:$A$86, "&lt;="&amp;baseData, R$4:R$86))*(SUM($G59:$H59)/(SUMIF($A$4:$A$86, "&gt;"&amp;baseData, $G$4:$G$86)+SUMIF($A$4:$A$86, "&gt;"&amp;baseData, $H$4:$H$86))))</f>
        <v>-10477.478524912593</v>
      </c>
      <c r="S59" s="415">
        <f>IF($A59&lt;=baseData,INDEX('LDI - Fluxo de Caixa'!$BD$18:$BT$374,MATCH($A59,'LDI - Fluxo de Caixa'!$C$18:$C$374,0),MATCH(S$1,'LDI - Fluxo de Caixa'!$BD$14:$BT$14,0)),-pctGestaoSPE*K58)</f>
        <v>-70080.703991712653</v>
      </c>
      <c r="T59" s="415">
        <f>IF($A59&lt;=baseData, INDEX('LDI - Fluxo de Caixa'!$BD$18:$BT$374, MATCH('Fluxo Projeto'!$A59, 'LDI - Fluxo de Caixa'!$C$18:$C$374, 0), MATCH('Fluxo Projeto'!T$1, 'LDI - Fluxo de Caixa'!$BD$14:$BT$14, 0)), (-pctOutrasSPE*SUM($G$4:$H$86)-SUMIF($A$4:$A$86, "&lt;="&amp;baseData, T$4:T$86))*(SUM($G59:$H59)/(SUMIF($A$4:$A$86, "&gt;"&amp;baseData, $G$4:$G$86)+SUMIF($A$4:$A$86, "&gt;"&amp;baseData, $H$4:$H$86))))</f>
        <v>-3321.647301048014</v>
      </c>
      <c r="U59" s="398">
        <f>IF($A59&lt;=baseData, INDEX('LDI - Fluxo de Caixa'!$BD$18:$BT$374, MATCH('Fluxo Projeto'!$A59, 'LDI - Fluxo de Caixa'!$C$18:$C$374, 0), MATCH('Fluxo Projeto'!U$1, 'LDI - Fluxo de Caixa'!$BD$14:$BT$14, 0)), 0)</f>
        <v>0</v>
      </c>
      <c r="V59" s="393">
        <f t="shared" ca="1" si="31"/>
        <v>-2658129.6540057841</v>
      </c>
      <c r="X59" s="416">
        <v>0</v>
      </c>
      <c r="Y59" s="417">
        <v>0</v>
      </c>
      <c r="AA59" s="400">
        <f>INDEX('LDI - Fluxo de Caixa'!$BD$18:$BT$374, MATCH('Fluxo Projeto'!$A59, 'LDI - Fluxo de Caixa'!$C$18:$C$374, 0), MATCH('Fluxo Projeto'!AA$1, 'LDI - Fluxo de Caixa'!$BD$14:$BT$14, 0))</f>
        <v>-17517.909999999902</v>
      </c>
      <c r="AB59" s="417">
        <v>0</v>
      </c>
      <c r="AD59" s="393">
        <f t="shared" ca="1" si="32"/>
        <v>-1946831.3619210653</v>
      </c>
      <c r="AF59" s="393">
        <f ca="1">IF($A59&lt;=baseData, INDEX('LDI - Fluxo de Caixa'!$BD$18:$BT$374, MATCH('Fluxo Projeto'!$A59, 'LDI - Fluxo de Caixa'!$C$18:$C$374, 0), MATCH('Fluxo Projeto'!AF$1, 'LDI - Fluxo de Caixa'!$BD$14:$BT$14, 0)), $E59*CDI)</f>
        <v>-3386.9451216340749</v>
      </c>
      <c r="AH59" s="393">
        <f t="shared" ca="1" si="33"/>
        <v>13440185.484499985</v>
      </c>
      <c r="AJ59" s="397">
        <f ca="1">IF($A59&lt;=baseData, INDEX('LDI - Fluxo de Caixa'!$BD$18:$BT$374, MATCH($A59, 'LDI - Fluxo de Caixa'!$C$18:$C$374, 0), MATCH(AJ$1, 'LDI - Fluxo de Caixa'!$BD$14:$BT$14, 0))-J59-I59, IF($A59&lt;inicioDistribuicoes,-IF(AH59&lt;cxMinSPEpreObra,IF(SUM($AD60:$AD71)-cxMinSPEpreObra+AH59&lt;0,SUM($AD60:$AD71)-cxMinSPEpreObra+AH59,IF(AH59&lt;0, AH59-cxMinSPEpreObra, 0)),0), 0))</f>
        <v>0</v>
      </c>
      <c r="AK59" s="398">
        <f t="shared" ca="1" si="39"/>
        <v>0</v>
      </c>
      <c r="AM59" s="393">
        <f t="shared" ca="1" si="34"/>
        <v>13440185.484499985</v>
      </c>
      <c r="AO59" s="393">
        <f t="shared" ca="1" si="61"/>
        <v>13440185.484499985</v>
      </c>
      <c r="AQ59" s="397">
        <f t="shared" ca="1" si="35"/>
        <v>0</v>
      </c>
      <c r="AR59" s="398">
        <f t="shared" ca="1" si="37"/>
        <v>-35463847.709007196</v>
      </c>
      <c r="AT59" s="393">
        <f t="shared" ca="1" si="38"/>
        <v>0</v>
      </c>
      <c r="AV59" s="397">
        <f t="shared" si="40"/>
        <v>459.49462075267121</v>
      </c>
      <c r="AW59" s="390">
        <f t="shared" si="41"/>
        <v>435.08658398958227</v>
      </c>
      <c r="AX59" s="390">
        <f t="shared" si="42"/>
        <v>0</v>
      </c>
      <c r="AY59" s="390">
        <f t="shared" si="43"/>
        <v>0</v>
      </c>
      <c r="AZ59" s="393">
        <f t="shared" si="44"/>
        <v>894.58120474225348</v>
      </c>
      <c r="BA59" s="371"/>
      <c r="BB59" s="400">
        <f t="shared" si="45"/>
        <v>-114.69353622447608</v>
      </c>
      <c r="BC59" s="415">
        <f t="shared" ca="1" si="46"/>
        <v>-3038.3177291823131</v>
      </c>
      <c r="BD59" s="415">
        <f t="shared" si="47"/>
        <v>0</v>
      </c>
      <c r="BE59" s="415">
        <f t="shared" si="48"/>
        <v>0</v>
      </c>
      <c r="BF59" s="415">
        <f t="shared" si="49"/>
        <v>-6.7366963461866103</v>
      </c>
      <c r="BG59" s="415">
        <f t="shared" si="50"/>
        <v>-12.860520025030768</v>
      </c>
      <c r="BH59" s="415">
        <f t="shared" si="51"/>
        <v>-86.020152168357043</v>
      </c>
      <c r="BI59" s="415">
        <f t="shared" si="52"/>
        <v>-4.0771366440547068</v>
      </c>
      <c r="BJ59" s="398">
        <f t="shared" si="53"/>
        <v>0</v>
      </c>
      <c r="BK59" s="393">
        <f t="shared" ca="1" si="54"/>
        <v>-3262.705770590419</v>
      </c>
      <c r="BL59" s="371"/>
      <c r="BM59" s="400">
        <f t="shared" si="55"/>
        <v>0</v>
      </c>
      <c r="BN59" s="401">
        <f t="shared" si="56"/>
        <v>0</v>
      </c>
      <c r="BO59" s="371"/>
      <c r="BP59" s="400">
        <f t="shared" si="57"/>
        <v>-21.5022566561228</v>
      </c>
      <c r="BQ59" s="401">
        <f t="shared" si="58"/>
        <v>0</v>
      </c>
      <c r="BR59" s="371"/>
      <c r="BS59" s="393">
        <f t="shared" ca="1" si="59"/>
        <v>-4.1572860738284039</v>
      </c>
    </row>
    <row r="60" spans="1:71" x14ac:dyDescent="0.25">
      <c r="A60" s="197">
        <f t="shared" si="36"/>
        <v>44835</v>
      </c>
      <c r="B60" s="388">
        <f>IF($A60&lt;=baseData, INDEX(Indicadores!B:B, MATCH($A60,Indicadores!A:A, 0)), INDEX(Indicadores!B:B, MATCH(baseData,Indicadores!A:A, 0)))</f>
        <v>839.38199999999995</v>
      </c>
      <c r="C60" s="389">
        <f>IF($A60&lt;=baseData, INDEX(Indicadores!E:E, MATCH($A60, Indicadores!A:A, 0)), INDEX(Indicadores!E:E, MATCH(baseData, Indicadores!A:A, 0)))</f>
        <v>5486.52</v>
      </c>
      <c r="E60" s="393">
        <f t="shared" ca="1" si="60"/>
        <v>13440185.484499985</v>
      </c>
      <c r="G60" s="397">
        <f>IF(tipoCarteira="Carteira",INDEX('M-FLUXO DE CAIXA'!$W:$W, MATCH($A60, 'M-FLUXO DE CAIXA'!$V:$V, 0)),IF(DATEDIF(baseData,$A60,"m")&lt;=prazoRepasseCarteira,vlrCarteira/prazoRepasseCarteira,0))+IF(DATEDIF(baseData,$A60,"m")&lt;=curvaInad,vlrInad/curvaInad*(1-PDD),0)</f>
        <v>1994646.9850041263</v>
      </c>
      <c r="H60" s="390">
        <f>IF($A60&gt;baseData, SUMPRODUCT('Tabela Vendas'!$R:$R,'Tabela Vendas'!$V:$V)*INDEX(Curvas!$Z:$Z,MATCH($A60,Curvas!$B:$B,0)), 0)</f>
        <v>386427.52824777522</v>
      </c>
      <c r="I60" s="390">
        <f>IFERROR(INDEX(Permutas!AJ:AJ, MATCH('Fluxo Projeto'!A60, Permutas!N:N, 0)), 0)</f>
        <v>0</v>
      </c>
      <c r="J60" s="390">
        <v>0</v>
      </c>
      <c r="K60" s="393">
        <f t="shared" si="30"/>
        <v>2381074.5132519016</v>
      </c>
      <c r="M60" s="400">
        <f>IF($A60&lt;=baseData,INDEX('LDI - Fluxo de Caixa'!$BD$18:$BT$374,MATCH('Fluxo Projeto'!$A60,'LDI - Fluxo de Caixa'!$C$18:$C$374,0),MATCH('Fluxo Projeto'!M$1,'LDI - Fluxo de Caixa'!$BD$14:$BT$14,0)),-pctImpostoSPE*K59)</f>
        <v>-29152.648083388751</v>
      </c>
      <c r="N60" s="415">
        <f ca="1">IF($A60&lt;=baseData,INDEX('LDI - Fluxo de Caixa'!$BD$18:$BT$374,MATCH($A60,'LDI - Fluxo de Caixa'!$C$18:$C$374,0),MATCH('Fluxo Projeto'!N$1,'LDI - Fluxo de Caixa'!$BD$14:$BT$14,0)),INDEX(Obra!AA:AA,MATCH($A60,Obra!F:F,0)))</f>
        <v>-2067683.2513031636</v>
      </c>
      <c r="O60" s="415">
        <f>IF($A60&lt;=baseData,INDEX('LDI - Fluxo de Caixa'!$BD$18:$BT$374,MATCH($A60,'LDI - Fluxo de Caixa'!$C$18:$C$374,0),MATCH('Fluxo Projeto'!O$1,'LDI - Fluxo de Caixa'!$BD$14:$BT$14,0)),IF($A60=entrega,assistTecnicaObra*SUM($N$2:$N$86),0))</f>
        <v>0</v>
      </c>
      <c r="P60" s="415">
        <f>IF($A60&lt;=baseData, INDEX('LDI - Fluxo de Caixa'!$BD$18:$BT$374, MATCH('Fluxo Projeto'!$A60, 'LDI - Fluxo de Caixa'!$C$18:$C$374, 0), MATCH('Fluxo Projeto'!P$1, 'LDI - Fluxo de Caixa'!$BD$14:$BT$14, 0)), -IF($A60&gt;=entrega, INDEX(Curvas!R:R,MATCH($A60,Curvas!B:B,0))*(IPTU+condominio)*'Tabela Vendas'!$Y$22, 0))</f>
        <v>0</v>
      </c>
      <c r="Q60" s="415">
        <f>IF($A60&lt;=baseData, INDEX('LDI - Fluxo de Caixa'!$BD$18:$BT$374, MATCH('Fluxo Projeto'!$A60, 'LDI - Fluxo de Caixa'!$C$18:$C$374, 0), MATCH('Fluxo Projeto'!Q$1, 'LDI - Fluxo de Caixa'!$BD$14:$BT$14, 0)), (-pctIncorporaçaoSPE*SUM($G$4:$H$86)-SUMIF($A$4:$A$86, "&lt;="&amp;baseData, Q$4:Q$86))*(SUM($G60:$H60)/(SUMIF($A$4:$A$86, "&gt;"&amp;baseData, $G$4:$G$86)+SUMIF($A$4:$A$86, "&gt;"&amp;baseData, $H$4:$H$86))))</f>
        <v>-17930.82158264632</v>
      </c>
      <c r="R60" s="415">
        <f>IF($A60&lt;=baseData, INDEX('LDI - Fluxo de Caixa'!$BD$18:$BT$374, MATCH('Fluxo Projeto'!$A60, 'LDI - Fluxo de Caixa'!$C$18:$C$374, 0), MATCH('Fluxo Projeto'!R$1, 'LDI - Fluxo de Caixa'!$BD$14:$BT$14, 0)), (-pctMarketingSPE*SUM($G$4:$H$86)-SUMIF($A$4:$A$86, "&lt;="&amp;baseData, R$4:R$86))*(SUM($G60:$H60)/(SUMIF($A$4:$A$86, "&gt;"&amp;baseData, $G$4:$G$86)+SUMIF($A$4:$A$86, "&gt;"&amp;baseData, $H$4:$H$86))))</f>
        <v>-34230.382101074021</v>
      </c>
      <c r="S60" s="415">
        <f>IF($A60&lt;=baseData,INDEX('LDI - Fluxo de Caixa'!$BD$18:$BT$374,MATCH($A60,'LDI - Fluxo de Caixa'!$C$18:$C$374,0),MATCH(S$1,'LDI - Fluxo de Caixa'!$BD$14:$BT$14,0)),-pctGestaoSPE*K59)</f>
        <v>-21864.48606254156</v>
      </c>
      <c r="T60" s="415">
        <f>IF($A60&lt;=baseData, INDEX('LDI - Fluxo de Caixa'!$BD$18:$BT$374, MATCH('Fluxo Projeto'!$A60, 'LDI - Fluxo de Caixa'!$C$18:$C$374, 0), MATCH('Fluxo Projeto'!T$1, 'LDI - Fluxo de Caixa'!$BD$14:$BT$14, 0)), (-pctOutrasSPE*SUM($G$4:$H$86)-SUMIF($A$4:$A$86, "&lt;="&amp;baseData, T$4:T$86))*(SUM($G60:$H60)/(SUMIF($A$4:$A$86, "&gt;"&amp;baseData, $G$4:$G$86)+SUMIF($A$4:$A$86, "&gt;"&amp;baseData, $H$4:$H$86))))</f>
        <v>-10851.967489078992</v>
      </c>
      <c r="U60" s="398">
        <f>IF($A60&lt;=baseData, INDEX('LDI - Fluxo de Caixa'!$BD$18:$BT$374, MATCH('Fluxo Projeto'!$A60, 'LDI - Fluxo de Caixa'!$C$18:$C$374, 0), MATCH('Fluxo Projeto'!U$1, 'LDI - Fluxo de Caixa'!$BD$14:$BT$14, 0)), 0)</f>
        <v>0</v>
      </c>
      <c r="V60" s="393">
        <f t="shared" ca="1" si="31"/>
        <v>-2181713.5566218933</v>
      </c>
      <c r="X60" s="416">
        <v>0</v>
      </c>
      <c r="Y60" s="417">
        <v>0</v>
      </c>
      <c r="AA60" s="400">
        <f>INDEX('LDI - Fluxo de Caixa'!$BD$18:$BT$374, MATCH('Fluxo Projeto'!$A60, 'LDI - Fluxo de Caixa'!$C$18:$C$374, 0), MATCH('Fluxo Projeto'!AA$1, 'LDI - Fluxo de Caixa'!$BD$14:$BT$14, 0))</f>
        <v>-17517.909999999902</v>
      </c>
      <c r="AB60" s="417">
        <v>0</v>
      </c>
      <c r="AD60" s="393">
        <f t="shared" ca="1" si="32"/>
        <v>181843.04663000838</v>
      </c>
      <c r="AF60" s="393">
        <f ca="1">IF($A60&lt;=baseData, INDEX('LDI - Fluxo de Caixa'!$BD$18:$BT$374, MATCH('Fluxo Projeto'!$A60, 'LDI - Fluxo de Caixa'!$C$18:$C$374, 0), MATCH('Fluxo Projeto'!AF$1, 'LDI - Fluxo de Caixa'!$BD$14:$BT$14, 0)), $E60*CDI)</f>
        <v>-2957.7632450162914</v>
      </c>
      <c r="AH60" s="393">
        <f t="shared" ca="1" si="33"/>
        <v>13619070.767884977</v>
      </c>
      <c r="AJ60" s="397">
        <f ca="1">IF($A60&lt;=baseData, INDEX('LDI - Fluxo de Caixa'!$BD$18:$BT$374, MATCH($A60, 'LDI - Fluxo de Caixa'!$C$18:$C$374, 0), MATCH(AJ$1, 'LDI - Fluxo de Caixa'!$BD$14:$BT$14, 0))-J60-I60, IF($A60&lt;inicioDistribuicoes,-IF(AH60&lt;cxMinSPEpreObra,IF(SUM($AD61:$AD72)-cxMinSPEpreObra+AH60&lt;0,SUM($AD61:$AD72)-cxMinSPEpreObra+AH60,IF(AH60&lt;0, AH60-cxMinSPEpreObra, 0)),0), 0))</f>
        <v>0</v>
      </c>
      <c r="AK60" s="398">
        <f t="shared" ca="1" si="39"/>
        <v>0</v>
      </c>
      <c r="AM60" s="393">
        <f t="shared" ca="1" si="34"/>
        <v>13619070.767884977</v>
      </c>
      <c r="AO60" s="393">
        <f t="shared" ca="1" si="61"/>
        <v>13619070.767884977</v>
      </c>
      <c r="AQ60" s="397">
        <f t="shared" ca="1" si="35"/>
        <v>0</v>
      </c>
      <c r="AR60" s="398">
        <f t="shared" ca="1" si="37"/>
        <v>-35463847.709007196</v>
      </c>
      <c r="AT60" s="393">
        <f t="shared" ca="1" si="38"/>
        <v>0</v>
      </c>
      <c r="AV60" s="397">
        <f t="shared" si="40"/>
        <v>2448.3178307184185</v>
      </c>
      <c r="AW60" s="390">
        <f t="shared" si="41"/>
        <v>474.31822011728866</v>
      </c>
      <c r="AX60" s="390">
        <f t="shared" si="42"/>
        <v>0</v>
      </c>
      <c r="AY60" s="390">
        <f t="shared" si="43"/>
        <v>0</v>
      </c>
      <c r="AZ60" s="393">
        <f t="shared" si="44"/>
        <v>2922.636050835707</v>
      </c>
      <c r="BA60" s="371"/>
      <c r="BB60" s="400">
        <f t="shared" si="45"/>
        <v>-35.783248189690141</v>
      </c>
      <c r="BC60" s="415">
        <f t="shared" ca="1" si="46"/>
        <v>-2537.9657706362991</v>
      </c>
      <c r="BD60" s="415">
        <f t="shared" si="47"/>
        <v>0</v>
      </c>
      <c r="BE60" s="415">
        <f t="shared" si="48"/>
        <v>0</v>
      </c>
      <c r="BF60" s="415">
        <f t="shared" si="49"/>
        <v>-22.009082574645568</v>
      </c>
      <c r="BG60" s="415">
        <f t="shared" si="50"/>
        <v>-42.015883251737776</v>
      </c>
      <c r="BH60" s="415">
        <f t="shared" si="51"/>
        <v>-26.837436142267606</v>
      </c>
      <c r="BI60" s="415">
        <f t="shared" si="52"/>
        <v>-13.320184324161859</v>
      </c>
      <c r="BJ60" s="398">
        <f t="shared" si="53"/>
        <v>0</v>
      </c>
      <c r="BK60" s="393">
        <f t="shared" ca="1" si="54"/>
        <v>-2677.9316051188021</v>
      </c>
      <c r="BL60" s="371"/>
      <c r="BM60" s="400">
        <f t="shared" si="55"/>
        <v>0</v>
      </c>
      <c r="BN60" s="401">
        <f t="shared" si="56"/>
        <v>0</v>
      </c>
      <c r="BO60" s="371"/>
      <c r="BP60" s="400">
        <f t="shared" si="57"/>
        <v>-21.5022566561228</v>
      </c>
      <c r="BQ60" s="401">
        <f t="shared" si="58"/>
        <v>0</v>
      </c>
      <c r="BR60" s="371"/>
      <c r="BS60" s="393">
        <f t="shared" ca="1" si="59"/>
        <v>-3.630489277681372</v>
      </c>
    </row>
    <row r="61" spans="1:71" x14ac:dyDescent="0.25">
      <c r="A61" s="197">
        <f t="shared" si="36"/>
        <v>44866</v>
      </c>
      <c r="B61" s="388">
        <f>IF($A61&lt;=baseData, INDEX(Indicadores!B:B, MATCH($A61,Indicadores!A:A, 0)), INDEX(Indicadores!B:B, MATCH(baseData,Indicadores!A:A, 0)))</f>
        <v>839.38199999999995</v>
      </c>
      <c r="C61" s="389">
        <f>IF($A61&lt;=baseData, INDEX(Indicadores!E:E, MATCH($A61, Indicadores!A:A, 0)), INDEX(Indicadores!E:E, MATCH(baseData, Indicadores!A:A, 0)))</f>
        <v>5486.52</v>
      </c>
      <c r="E61" s="393">
        <f t="shared" ca="1" si="60"/>
        <v>13619070.767884977</v>
      </c>
      <c r="G61" s="397">
        <f>IF(tipoCarteira="Carteira",INDEX('M-FLUXO DE CAIXA'!$W:$W, MATCH($A61, 'M-FLUXO DE CAIXA'!$V:$V, 0)),IF(DATEDIF(baseData,$A61,"m")&lt;=prazoRepasseCarteira,vlrCarteira/prazoRepasseCarteira,0))+IF(DATEDIF(baseData,$A61,"m")&lt;=curvaInad,vlrInad/curvaInad*(1-PDD),0)</f>
        <v>374350.72702182201</v>
      </c>
      <c r="H61" s="390">
        <f>IF($A61&gt;baseData, SUMPRODUCT('Tabela Vendas'!$R:$R,'Tabela Vendas'!$V:$V)*INDEX(Curvas!$Z:$Z,MATCH($A61,Curvas!$B:$B,0)), 0)</f>
        <v>423716.59029680025</v>
      </c>
      <c r="I61" s="390">
        <f>IFERROR(INDEX(Permutas!AJ:AJ, MATCH('Fluxo Projeto'!A61, Permutas!N:N, 0)), 0)</f>
        <v>0</v>
      </c>
      <c r="J61" s="390">
        <v>0</v>
      </c>
      <c r="K61" s="393">
        <f t="shared" si="30"/>
        <v>798067.31731862226</v>
      </c>
      <c r="M61" s="400">
        <f>IF($A61&lt;=baseData,INDEX('LDI - Fluxo de Caixa'!$BD$18:$BT$374,MATCH('Fluxo Projeto'!$A61,'LDI - Fluxo de Caixa'!$C$18:$C$374,0),MATCH('Fluxo Projeto'!M$1,'LDI - Fluxo de Caixa'!$BD$14:$BT$14,0)),-pctImpostoSPE*K60)</f>
        <v>-95242.980530076064</v>
      </c>
      <c r="N61" s="415">
        <f ca="1">IF($A61&lt;=baseData,INDEX('LDI - Fluxo de Caixa'!$BD$18:$BT$374,MATCH($A61,'LDI - Fluxo de Caixa'!$C$18:$C$374,0),MATCH('Fluxo Projeto'!N$1,'LDI - Fluxo de Caixa'!$BD$14:$BT$14,0)),INDEX(Obra!AA:AA,MATCH($A61,Obra!F:F,0)))</f>
        <v>-2019743.1608976037</v>
      </c>
      <c r="O61" s="415">
        <f>IF($A61&lt;=baseData,INDEX('LDI - Fluxo de Caixa'!$BD$18:$BT$374,MATCH($A61,'LDI - Fluxo de Caixa'!$C$18:$C$374,0),MATCH('Fluxo Projeto'!O$1,'LDI - Fluxo de Caixa'!$BD$14:$BT$14,0)),IF($A61=entrega,assistTecnicaObra*SUM($N$2:$N$86),0))</f>
        <v>0</v>
      </c>
      <c r="P61" s="415">
        <f>IF($A61&lt;=baseData, INDEX('LDI - Fluxo de Caixa'!$BD$18:$BT$374, MATCH('Fluxo Projeto'!$A61, 'LDI - Fluxo de Caixa'!$C$18:$C$374, 0), MATCH('Fluxo Projeto'!P$1, 'LDI - Fluxo de Caixa'!$BD$14:$BT$14, 0)), -IF($A61&gt;=entrega, INDEX(Curvas!R:R,MATCH($A61,Curvas!B:B,0))*(IPTU+condominio)*'Tabela Vendas'!$Y$22, 0))</f>
        <v>0</v>
      </c>
      <c r="Q61" s="415">
        <f>IF($A61&lt;=baseData, INDEX('LDI - Fluxo de Caixa'!$BD$18:$BT$374, MATCH('Fluxo Projeto'!$A61, 'LDI - Fluxo de Caixa'!$C$18:$C$374, 0), MATCH('Fluxo Projeto'!Q$1, 'LDI - Fluxo de Caixa'!$BD$14:$BT$14, 0)), (-pctIncorporaçaoSPE*SUM($G$4:$H$86)-SUMIF($A$4:$A$86, "&lt;="&amp;baseData, Q$4:Q$86))*(SUM($G61:$H61)/(SUMIF($A$4:$A$86, "&gt;"&amp;baseData, $G$4:$G$86)+SUMIF($A$4:$A$86, "&gt;"&amp;baseData, $H$4:$H$86))))</f>
        <v>-6009.8928438143757</v>
      </c>
      <c r="R61" s="415">
        <f>IF($A61&lt;=baseData, INDEX('LDI - Fluxo de Caixa'!$BD$18:$BT$374, MATCH('Fluxo Projeto'!$A61, 'LDI - Fluxo de Caixa'!$C$18:$C$374, 0), MATCH('Fluxo Projeto'!R$1, 'LDI - Fluxo de Caixa'!$BD$14:$BT$14, 0)), (-pctMarketingSPE*SUM($G$4:$H$86)-SUMIF($A$4:$A$86, "&lt;="&amp;baseData, R$4:R$86))*(SUM($G61:$H61)/(SUMIF($A$4:$A$86, "&gt;"&amp;baseData, $G$4:$G$86)+SUMIF($A$4:$A$86, "&gt;"&amp;baseData, $H$4:$H$86))))</f>
        <v>-11473.034154183755</v>
      </c>
      <c r="S61" s="415">
        <f>IF($A61&lt;=baseData,INDEX('LDI - Fluxo de Caixa'!$BD$18:$BT$374,MATCH($A61,'LDI - Fluxo de Caixa'!$C$18:$C$374,0),MATCH(S$1,'LDI - Fluxo de Caixa'!$BD$14:$BT$14,0)),-pctGestaoSPE*K60)</f>
        <v>-71432.235397557044</v>
      </c>
      <c r="T61" s="415">
        <f>IF($A61&lt;=baseData, INDEX('LDI - Fluxo de Caixa'!$BD$18:$BT$374, MATCH('Fluxo Projeto'!$A61, 'LDI - Fluxo de Caixa'!$C$18:$C$374, 0), MATCH('Fluxo Projeto'!T$1, 'LDI - Fluxo de Caixa'!$BD$14:$BT$14, 0)), (-pctOutrasSPE*SUM($G$4:$H$86)-SUMIF($A$4:$A$86, "&lt;="&amp;baseData, T$4:T$86))*(SUM($G61:$H61)/(SUMIF($A$4:$A$86, "&gt;"&amp;baseData, $G$4:$G$86)+SUMIF($A$4:$A$86, "&gt;"&amp;baseData, $H$4:$H$86))))</f>
        <v>-3637.2656686875985</v>
      </c>
      <c r="U61" s="398">
        <f>IF($A61&lt;=baseData, INDEX('LDI - Fluxo de Caixa'!$BD$18:$BT$374, MATCH('Fluxo Projeto'!$A61, 'LDI - Fluxo de Caixa'!$C$18:$C$374, 0), MATCH('Fluxo Projeto'!U$1, 'LDI - Fluxo de Caixa'!$BD$14:$BT$14, 0)), 0)</f>
        <v>0</v>
      </c>
      <c r="V61" s="393">
        <f t="shared" ca="1" si="31"/>
        <v>-2207538.5694919229</v>
      </c>
      <c r="X61" s="416">
        <v>0</v>
      </c>
      <c r="Y61" s="417">
        <v>0</v>
      </c>
      <c r="AA61" s="400">
        <f>INDEX('LDI - Fluxo de Caixa'!$BD$18:$BT$374, MATCH('Fluxo Projeto'!$A61, 'LDI - Fluxo de Caixa'!$C$18:$C$374, 0), MATCH('Fluxo Projeto'!AA$1, 'LDI - Fluxo de Caixa'!$BD$14:$BT$14, 0))</f>
        <v>-1012517.90999999</v>
      </c>
      <c r="AB61" s="417">
        <v>0</v>
      </c>
      <c r="AD61" s="393">
        <f t="shared" ca="1" si="32"/>
        <v>-2421989.1621732907</v>
      </c>
      <c r="AF61" s="393">
        <f ca="1">IF($A61&lt;=baseData, INDEX('LDI - Fluxo de Caixa'!$BD$18:$BT$374, MATCH('Fluxo Projeto'!$A61, 'LDI - Fluxo de Caixa'!$C$18:$C$374, 0), MATCH('Fluxo Projeto'!AF$1, 'LDI - Fluxo de Caixa'!$BD$14:$BT$14, 0)), $E61*CDI)</f>
        <v>-2997.1302847703664</v>
      </c>
      <c r="AH61" s="393">
        <f t="shared" ca="1" si="33"/>
        <v>11194084.475426916</v>
      </c>
      <c r="AJ61" s="397">
        <f ca="1">IF($A61&lt;=baseData, INDEX('LDI - Fluxo de Caixa'!$BD$18:$BT$374, MATCH($A61, 'LDI - Fluxo de Caixa'!$C$18:$C$374, 0), MATCH(AJ$1, 'LDI - Fluxo de Caixa'!$BD$14:$BT$14, 0))-J61-I61, IF($A61&lt;inicioDistribuicoes,-IF(AH61&lt;cxMinSPEpreObra,IF(SUM($AD62:$AD73)-cxMinSPEpreObra+AH61&lt;0,SUM($AD62:$AD73)-cxMinSPEpreObra+AH61,IF(AH61&lt;0, AH61-cxMinSPEpreObra, 0)),0), 0))</f>
        <v>0</v>
      </c>
      <c r="AK61" s="398">
        <f t="shared" ca="1" si="39"/>
        <v>0</v>
      </c>
      <c r="AM61" s="393">
        <f t="shared" ca="1" si="34"/>
        <v>11194084.475426916</v>
      </c>
      <c r="AO61" s="393">
        <f t="shared" ca="1" si="61"/>
        <v>11194084.475426916</v>
      </c>
      <c r="AQ61" s="397">
        <f t="shared" ca="1" si="35"/>
        <v>0</v>
      </c>
      <c r="AR61" s="398">
        <f t="shared" ca="1" si="37"/>
        <v>-35463847.709007196</v>
      </c>
      <c r="AT61" s="393">
        <f t="shared" ca="1" si="38"/>
        <v>0</v>
      </c>
      <c r="AV61" s="397">
        <f t="shared" si="40"/>
        <v>459.49462075267121</v>
      </c>
      <c r="AW61" s="390">
        <f t="shared" si="41"/>
        <v>520.08846226627952</v>
      </c>
      <c r="AX61" s="390">
        <f t="shared" si="42"/>
        <v>0</v>
      </c>
      <c r="AY61" s="390">
        <f t="shared" si="43"/>
        <v>0</v>
      </c>
      <c r="AZ61" s="393">
        <f t="shared" si="44"/>
        <v>979.58308301895067</v>
      </c>
      <c r="BA61" s="371"/>
      <c r="BB61" s="400">
        <f t="shared" si="45"/>
        <v>-116.90544203342829</v>
      </c>
      <c r="BC61" s="415">
        <f t="shared" ca="1" si="46"/>
        <v>-2479.1219857317024</v>
      </c>
      <c r="BD61" s="415">
        <f t="shared" si="47"/>
        <v>0</v>
      </c>
      <c r="BE61" s="415">
        <f t="shared" si="48"/>
        <v>0</v>
      </c>
      <c r="BF61" s="415">
        <f t="shared" si="49"/>
        <v>-7.3768079869969174</v>
      </c>
      <c r="BG61" s="415">
        <f t="shared" si="50"/>
        <v>-14.082508986958105</v>
      </c>
      <c r="BH61" s="415">
        <f t="shared" si="51"/>
        <v>-87.679081525071211</v>
      </c>
      <c r="BI61" s="415">
        <f t="shared" si="52"/>
        <v>-4.4645405721701561</v>
      </c>
      <c r="BJ61" s="398">
        <f t="shared" si="53"/>
        <v>0</v>
      </c>
      <c r="BK61" s="393">
        <f t="shared" ca="1" si="54"/>
        <v>-2709.6303668363271</v>
      </c>
      <c r="BL61" s="371"/>
      <c r="BM61" s="400">
        <f t="shared" si="55"/>
        <v>0</v>
      </c>
      <c r="BN61" s="401">
        <f t="shared" si="56"/>
        <v>0</v>
      </c>
      <c r="BO61" s="371"/>
      <c r="BP61" s="400">
        <f t="shared" si="57"/>
        <v>-1242.8092146689276</v>
      </c>
      <c r="BQ61" s="401">
        <f t="shared" si="58"/>
        <v>0</v>
      </c>
      <c r="BR61" s="371"/>
      <c r="BS61" s="393">
        <f t="shared" ca="1" si="59"/>
        <v>-3.6788101214683255</v>
      </c>
    </row>
    <row r="62" spans="1:71" x14ac:dyDescent="0.25">
      <c r="A62" s="197">
        <f t="shared" si="36"/>
        <v>44896</v>
      </c>
      <c r="B62" s="388">
        <f>IF($A62&lt;=baseData, INDEX(Indicadores!B:B, MATCH($A62,Indicadores!A:A, 0)), INDEX(Indicadores!B:B, MATCH(baseData,Indicadores!A:A, 0)))</f>
        <v>839.38199999999995</v>
      </c>
      <c r="C62" s="389">
        <f>IF($A62&lt;=baseData, INDEX(Indicadores!E:E, MATCH($A62, Indicadores!A:A, 0)), INDEX(Indicadores!E:E, MATCH(baseData, Indicadores!A:A, 0)))</f>
        <v>5486.52</v>
      </c>
      <c r="E62" s="393">
        <f t="shared" ca="1" si="60"/>
        <v>11194084.475426916</v>
      </c>
      <c r="G62" s="397">
        <f>IF(tipoCarteira="Carteira",INDEX('M-FLUXO DE CAIXA'!$W:$W, MATCH($A62, 'M-FLUXO DE CAIXA'!$V:$V, 0)),IF(DATEDIF(baseData,$A62,"m")&lt;=prazoRepasseCarteira,vlrCarteira/prazoRepasseCarteira,0))+IF(DATEDIF(baseData,$A62,"m")&lt;=curvaInad,vlrInad/curvaInad*(1-PDD),0)</f>
        <v>735428.68956363259</v>
      </c>
      <c r="H62" s="390">
        <f>IF($A62&gt;baseData, SUMPRODUCT('Tabela Vendas'!$R:$R,'Tabela Vendas'!$V:$V)*INDEX(Curvas!$Z:$Z,MATCH($A62,Curvas!$B:$B,0)), 0)</f>
        <v>468463.46475563024</v>
      </c>
      <c r="I62" s="390">
        <f>IFERROR(INDEX(Permutas!AJ:AJ, MATCH('Fluxo Projeto'!A62, Permutas!N:N, 0)), 0)</f>
        <v>0</v>
      </c>
      <c r="J62" s="390">
        <v>0</v>
      </c>
      <c r="K62" s="393">
        <f t="shared" si="30"/>
        <v>1203892.1543192628</v>
      </c>
      <c r="M62" s="400">
        <f>IF($A62&lt;=baseData,INDEX('LDI - Fluxo de Caixa'!$BD$18:$BT$374,MATCH('Fluxo Projeto'!$A62,'LDI - Fluxo de Caixa'!$C$18:$C$374,0),MATCH('Fluxo Projeto'!M$1,'LDI - Fluxo de Caixa'!$BD$14:$BT$14,0)),-pctImpostoSPE*K61)</f>
        <v>-31922.692692744891</v>
      </c>
      <c r="N62" s="415">
        <f ca="1">IF($A62&lt;=baseData,INDEX('LDI - Fluxo de Caixa'!$BD$18:$BT$374,MATCH($A62,'LDI - Fluxo de Caixa'!$C$18:$C$374,0),MATCH('Fluxo Projeto'!N$1,'LDI - Fluxo de Caixa'!$BD$14:$BT$14,0)),INDEX(Obra!AA:AA,MATCH($A62,Obra!F:F,0)))</f>
        <v>-1560014.2966866852</v>
      </c>
      <c r="O62" s="415">
        <f>IF($A62&lt;=baseData,INDEX('LDI - Fluxo de Caixa'!$BD$18:$BT$374,MATCH($A62,'LDI - Fluxo de Caixa'!$C$18:$C$374,0),MATCH('Fluxo Projeto'!O$1,'LDI - Fluxo de Caixa'!$BD$14:$BT$14,0)),IF($A62=entrega,assistTecnicaObra*SUM($N$2:$N$86),0))</f>
        <v>0</v>
      </c>
      <c r="P62" s="415">
        <f>IF($A62&lt;=baseData, INDEX('LDI - Fluxo de Caixa'!$BD$18:$BT$374, MATCH('Fluxo Projeto'!$A62, 'LDI - Fluxo de Caixa'!$C$18:$C$374, 0), MATCH('Fluxo Projeto'!P$1, 'LDI - Fluxo de Caixa'!$BD$14:$BT$14, 0)), -IF($A62&gt;=entrega, INDEX(Curvas!R:R,MATCH($A62,Curvas!B:B,0))*(IPTU+condominio)*'Tabela Vendas'!$Y$22, 0))</f>
        <v>0</v>
      </c>
      <c r="Q62" s="415">
        <f>IF($A62&lt;=baseData, INDEX('LDI - Fluxo de Caixa'!$BD$18:$BT$374, MATCH('Fluxo Projeto'!$A62, 'LDI - Fluxo de Caixa'!$C$18:$C$374, 0), MATCH('Fluxo Projeto'!Q$1, 'LDI - Fluxo de Caixa'!$BD$14:$BT$14, 0)), (-pctIncorporaçaoSPE*SUM($G$4:$H$86)-SUMIF($A$4:$A$86, "&lt;="&amp;baseData, Q$4:Q$86))*(SUM($G62:$H62)/(SUMIF($A$4:$A$86, "&gt;"&amp;baseData, $G$4:$G$86)+SUMIF($A$4:$A$86, "&gt;"&amp;baseData, $H$4:$H$86))))</f>
        <v>-9065.980633409381</v>
      </c>
      <c r="R62" s="415">
        <f>IF($A62&lt;=baseData, INDEX('LDI - Fluxo de Caixa'!$BD$18:$BT$374, MATCH('Fluxo Projeto'!$A62, 'LDI - Fluxo de Caixa'!$C$18:$C$374, 0), MATCH('Fluxo Projeto'!R$1, 'LDI - Fluxo de Caixa'!$BD$14:$BT$14, 0)), (-pctMarketingSPE*SUM($G$4:$H$86)-SUMIF($A$4:$A$86, "&lt;="&amp;baseData, R$4:R$86))*(SUM($G62:$H62)/(SUMIF($A$4:$A$86, "&gt;"&amp;baseData, $G$4:$G$86)+SUMIF($A$4:$A$86, "&gt;"&amp;baseData, $H$4:$H$86))))</f>
        <v>-17307.181367689449</v>
      </c>
      <c r="S62" s="415">
        <f>IF($A62&lt;=baseData,INDEX('LDI - Fluxo de Caixa'!$BD$18:$BT$374,MATCH($A62,'LDI - Fluxo de Caixa'!$C$18:$C$374,0),MATCH(S$1,'LDI - Fluxo de Caixa'!$BD$14:$BT$14,0)),-pctGestaoSPE*K61)</f>
        <v>-23942.019519558668</v>
      </c>
      <c r="T62" s="415">
        <f>IF($A62&lt;=baseData, INDEX('LDI - Fluxo de Caixa'!$BD$18:$BT$374, MATCH('Fluxo Projeto'!$A62, 'LDI - Fluxo de Caixa'!$C$18:$C$374, 0), MATCH('Fluxo Projeto'!T$1, 'LDI - Fluxo de Caixa'!$BD$14:$BT$14, 0)), (-pctOutrasSPE*SUM($G$4:$H$86)-SUMIF($A$4:$A$86, "&lt;="&amp;baseData, T$4:T$86))*(SUM($G62:$H62)/(SUMIF($A$4:$A$86, "&gt;"&amp;baseData, $G$4:$G$86)+SUMIF($A$4:$A$86, "&gt;"&amp;baseData, $H$4:$H$86))))</f>
        <v>-5486.8499269211079</v>
      </c>
      <c r="U62" s="398">
        <f>IF($A62&lt;=baseData, INDEX('LDI - Fluxo de Caixa'!$BD$18:$BT$374, MATCH('Fluxo Projeto'!$A62, 'LDI - Fluxo de Caixa'!$C$18:$C$374, 0), MATCH('Fluxo Projeto'!U$1, 'LDI - Fluxo de Caixa'!$BD$14:$BT$14, 0)), 0)</f>
        <v>0</v>
      </c>
      <c r="V62" s="393">
        <f t="shared" ca="1" si="31"/>
        <v>-1647739.0208270086</v>
      </c>
      <c r="X62" s="416">
        <v>0</v>
      </c>
      <c r="Y62" s="417">
        <v>0</v>
      </c>
      <c r="AA62" s="400">
        <f>INDEX('LDI - Fluxo de Caixa'!$BD$18:$BT$374, MATCH('Fluxo Projeto'!$A62, 'LDI - Fluxo de Caixa'!$C$18:$C$374, 0), MATCH('Fluxo Projeto'!AA$1, 'LDI - Fluxo de Caixa'!$BD$14:$BT$14, 0))</f>
        <v>0</v>
      </c>
      <c r="AB62" s="417">
        <v>0</v>
      </c>
      <c r="AD62" s="393">
        <f t="shared" ca="1" si="32"/>
        <v>-443846.86650774581</v>
      </c>
      <c r="AF62" s="393">
        <f ca="1">IF($A62&lt;=baseData, INDEX('LDI - Fluxo de Caixa'!$BD$18:$BT$374, MATCH('Fluxo Projeto'!$A62, 'LDI - Fluxo de Caixa'!$C$18:$C$374, 0), MATCH('Fluxo Projeto'!AF$1, 'LDI - Fluxo de Caixa'!$BD$14:$BT$14, 0)), $E62*CDI)</f>
        <v>-2463.4668666744947</v>
      </c>
      <c r="AH62" s="393">
        <f t="shared" ca="1" si="33"/>
        <v>10747774.142052496</v>
      </c>
      <c r="AJ62" s="397">
        <f ca="1">IF($A62&lt;=baseData, INDEX('LDI - Fluxo de Caixa'!$BD$18:$BT$374, MATCH($A62, 'LDI - Fluxo de Caixa'!$C$18:$C$374, 0), MATCH(AJ$1, 'LDI - Fluxo de Caixa'!$BD$14:$BT$14, 0))-J62-I62, IF($A62&lt;inicioDistribuicoes,-IF(AH62&lt;cxMinSPEpreObra,IF(SUM($AD63:$AD74)-cxMinSPEpreObra+AH62&lt;0,SUM($AD63:$AD74)-cxMinSPEpreObra+AH62,IF(AH62&lt;0, AH62-cxMinSPEpreObra, 0)),0), 0))</f>
        <v>0</v>
      </c>
      <c r="AK62" s="398">
        <f t="shared" ca="1" si="39"/>
        <v>0</v>
      </c>
      <c r="AM62" s="393">
        <f t="shared" ca="1" si="34"/>
        <v>10747774.142052496</v>
      </c>
      <c r="AO62" s="393">
        <f t="shared" ca="1" si="61"/>
        <v>10747774.142052496</v>
      </c>
      <c r="AQ62" s="397">
        <f t="shared" ca="1" si="35"/>
        <v>0</v>
      </c>
      <c r="AR62" s="398">
        <f t="shared" ca="1" si="37"/>
        <v>-35463847.709007196</v>
      </c>
      <c r="AT62" s="393">
        <f t="shared" ca="1" si="38"/>
        <v>0</v>
      </c>
      <c r="AV62" s="397">
        <f t="shared" si="40"/>
        <v>902.6976640063441</v>
      </c>
      <c r="AW62" s="390">
        <f t="shared" si="41"/>
        <v>575.01275284506858</v>
      </c>
      <c r="AX62" s="390">
        <f t="shared" si="42"/>
        <v>0</v>
      </c>
      <c r="AY62" s="390">
        <f t="shared" si="43"/>
        <v>0</v>
      </c>
      <c r="AZ62" s="393">
        <f t="shared" si="44"/>
        <v>1477.7104168514127</v>
      </c>
      <c r="BA62" s="371"/>
      <c r="BB62" s="400">
        <f t="shared" si="45"/>
        <v>-39.183323320758035</v>
      </c>
      <c r="BC62" s="415">
        <f t="shared" ca="1" si="46"/>
        <v>-1914.8304674803212</v>
      </c>
      <c r="BD62" s="415">
        <f t="shared" si="47"/>
        <v>0</v>
      </c>
      <c r="BE62" s="415">
        <f t="shared" si="48"/>
        <v>0</v>
      </c>
      <c r="BF62" s="415">
        <f t="shared" si="49"/>
        <v>-11.127985154565149</v>
      </c>
      <c r="BG62" s="415">
        <f t="shared" si="50"/>
        <v>-21.243599023064228</v>
      </c>
      <c r="BH62" s="415">
        <f t="shared" si="51"/>
        <v>-29.387492490568523</v>
      </c>
      <c r="BI62" s="415">
        <f t="shared" si="52"/>
        <v>-6.7348020033375526</v>
      </c>
      <c r="BJ62" s="398">
        <f t="shared" si="53"/>
        <v>0</v>
      </c>
      <c r="BK62" s="393">
        <f t="shared" ca="1" si="54"/>
        <v>-2022.5076694726147</v>
      </c>
      <c r="BL62" s="371"/>
      <c r="BM62" s="400">
        <f t="shared" si="55"/>
        <v>0</v>
      </c>
      <c r="BN62" s="401">
        <f t="shared" si="56"/>
        <v>0</v>
      </c>
      <c r="BO62" s="371"/>
      <c r="BP62" s="400">
        <f t="shared" si="57"/>
        <v>0</v>
      </c>
      <c r="BQ62" s="401">
        <f t="shared" si="58"/>
        <v>0</v>
      </c>
      <c r="BR62" s="371"/>
      <c r="BS62" s="393">
        <f t="shared" ca="1" si="59"/>
        <v>-3.0237680654307466</v>
      </c>
    </row>
    <row r="63" spans="1:71" x14ac:dyDescent="0.25">
      <c r="A63" s="197">
        <f t="shared" si="36"/>
        <v>44927</v>
      </c>
      <c r="B63" s="388">
        <f>IF($A63&lt;=baseData, INDEX(Indicadores!B:B, MATCH($A63,Indicadores!A:A, 0)), INDEX(Indicadores!B:B, MATCH(baseData,Indicadores!A:A, 0)))</f>
        <v>839.38199999999995</v>
      </c>
      <c r="C63" s="389">
        <f>IF($A63&lt;=baseData, INDEX(Indicadores!E:E, MATCH($A63, Indicadores!A:A, 0)), INDEX(Indicadores!E:E, MATCH(baseData, Indicadores!A:A, 0)))</f>
        <v>5486.52</v>
      </c>
      <c r="E63" s="393">
        <f t="shared" ca="1" si="60"/>
        <v>10747774.142052496</v>
      </c>
      <c r="G63" s="397">
        <f>IF(tipoCarteira="Carteira",INDEX('M-FLUXO DE CAIXA'!$W:$W, MATCH($A63, 'M-FLUXO DE CAIXA'!$V:$V, 0)),IF(DATEDIF(baseData,$A63,"m")&lt;=prazoRepasseCarteira,vlrCarteira/prazoRepasseCarteira,0))+IF(DATEDIF(baseData,$A63,"m")&lt;=curvaInad,vlrInad/curvaInad*(1-PDD),0)</f>
        <v>960692.64420234051</v>
      </c>
      <c r="H63" s="390">
        <f>IF($A63&gt;baseData, SUMPRODUCT('Tabela Vendas'!$R:$R,'Tabela Vendas'!$V:$V)*INDEX(Curvas!$Z:$Z,MATCH($A63,Curvas!$B:$B,0)), 0)</f>
        <v>524397.05782916769</v>
      </c>
      <c r="I63" s="390">
        <f>IFERROR(INDEX(Permutas!AJ:AJ, MATCH('Fluxo Projeto'!A63, Permutas!N:N, 0)), 0)</f>
        <v>0</v>
      </c>
      <c r="J63" s="390">
        <v>0</v>
      </c>
      <c r="K63" s="393">
        <f t="shared" si="30"/>
        <v>1485089.7020315081</v>
      </c>
      <c r="M63" s="400">
        <f>IF($A63&lt;=baseData,INDEX('LDI - Fluxo de Caixa'!$BD$18:$BT$374,MATCH('Fluxo Projeto'!$A63,'LDI - Fluxo de Caixa'!$C$18:$C$374,0),MATCH('Fluxo Projeto'!M$1,'LDI - Fluxo de Caixa'!$BD$14:$BT$14,0)),-pctImpostoSPE*K62)</f>
        <v>-48155.686172770511</v>
      </c>
      <c r="N63" s="415">
        <f ca="1">IF($A63&lt;=baseData,INDEX('LDI - Fluxo de Caixa'!$BD$18:$BT$374,MATCH($A63,'LDI - Fluxo de Caixa'!$C$18:$C$374,0),MATCH('Fluxo Projeto'!N$1,'LDI - Fluxo de Caixa'!$BD$14:$BT$14,0)),INDEX(Obra!AA:AA,MATCH($A63,Obra!F:F,0)))</f>
        <v>-1272837.6951601198</v>
      </c>
      <c r="O63" s="415">
        <f>IF($A63&lt;=baseData,INDEX('LDI - Fluxo de Caixa'!$BD$18:$BT$374,MATCH($A63,'LDI - Fluxo de Caixa'!$C$18:$C$374,0),MATCH('Fluxo Projeto'!O$1,'LDI - Fluxo de Caixa'!$BD$14:$BT$14,0)),IF($A63=entrega,assistTecnicaObra*SUM($N$2:$N$86),0))</f>
        <v>0</v>
      </c>
      <c r="P63" s="415">
        <f>IF($A63&lt;=baseData, INDEX('LDI - Fluxo de Caixa'!$BD$18:$BT$374, MATCH('Fluxo Projeto'!$A63, 'LDI - Fluxo de Caixa'!$C$18:$C$374, 0), MATCH('Fluxo Projeto'!P$1, 'LDI - Fluxo de Caixa'!$BD$14:$BT$14, 0)), -IF($A63&gt;=entrega, INDEX(Curvas!R:R,MATCH($A63,Curvas!B:B,0))*(IPTU+condominio)*'Tabela Vendas'!$Y$22, 0))</f>
        <v>0</v>
      </c>
      <c r="Q63" s="415">
        <f>IF($A63&lt;=baseData, INDEX('LDI - Fluxo de Caixa'!$BD$18:$BT$374, MATCH('Fluxo Projeto'!$A63, 'LDI - Fluxo de Caixa'!$C$18:$C$374, 0), MATCH('Fluxo Projeto'!Q$1, 'LDI - Fluxo de Caixa'!$BD$14:$BT$14, 0)), (-pctIncorporaçaoSPE*SUM($G$4:$H$86)-SUMIF($A$4:$A$86, "&lt;="&amp;baseData, Q$4:Q$86))*(SUM($G63:$H63)/(SUMIF($A$4:$A$86, "&gt;"&amp;baseData, $G$4:$G$86)+SUMIF($A$4:$A$86, "&gt;"&amp;baseData, $H$4:$H$86))))</f>
        <v>-11183.555295371472</v>
      </c>
      <c r="R63" s="415">
        <f>IF($A63&lt;=baseData, INDEX('LDI - Fluxo de Caixa'!$BD$18:$BT$374, MATCH('Fluxo Projeto'!$A63, 'LDI - Fluxo de Caixa'!$C$18:$C$374, 0), MATCH('Fluxo Projeto'!R$1, 'LDI - Fluxo de Caixa'!$BD$14:$BT$14, 0)), (-pctMarketingSPE*SUM($G$4:$H$86)-SUMIF($A$4:$A$86, "&lt;="&amp;baseData, R$4:R$86))*(SUM($G63:$H63)/(SUMIF($A$4:$A$86, "&gt;"&amp;baseData, $G$4:$G$86)+SUMIF($A$4:$A$86, "&gt;"&amp;baseData, $H$4:$H$86))))</f>
        <v>-21349.68379695166</v>
      </c>
      <c r="S63" s="415">
        <f>IF($A63&lt;=baseData,INDEX('LDI - Fluxo de Caixa'!$BD$18:$BT$374,MATCH($A63,'LDI - Fluxo de Caixa'!$C$18:$C$374,0),MATCH(S$1,'LDI - Fluxo de Caixa'!$BD$14:$BT$14,0)),-pctGestaoSPE*K62)</f>
        <v>-36116.764629577883</v>
      </c>
      <c r="T63" s="415">
        <f>IF($A63&lt;=baseData, INDEX('LDI - Fluxo de Caixa'!$BD$18:$BT$374, MATCH('Fluxo Projeto'!$A63, 'LDI - Fluxo de Caixa'!$C$18:$C$374, 0), MATCH('Fluxo Projeto'!T$1, 'LDI - Fluxo de Caixa'!$BD$14:$BT$14, 0)), (-pctOutrasSPE*SUM($G$4:$H$86)-SUMIF($A$4:$A$86, "&lt;="&amp;baseData, T$4:T$86))*(SUM($G63:$H63)/(SUMIF($A$4:$A$86, "&gt;"&amp;baseData, $G$4:$G$86)+SUMIF($A$4:$A$86, "&gt;"&amp;baseData, $H$4:$H$86))))</f>
        <v>-6768.4337785807693</v>
      </c>
      <c r="U63" s="398">
        <f>IF($A63&lt;=baseData, INDEX('LDI - Fluxo de Caixa'!$BD$18:$BT$374, MATCH('Fluxo Projeto'!$A63, 'LDI - Fluxo de Caixa'!$C$18:$C$374, 0), MATCH('Fluxo Projeto'!U$1, 'LDI - Fluxo de Caixa'!$BD$14:$BT$14, 0)), 0)</f>
        <v>0</v>
      </c>
      <c r="V63" s="393">
        <f t="shared" ca="1" si="31"/>
        <v>-1396411.8188333721</v>
      </c>
      <c r="X63" s="416">
        <v>0</v>
      </c>
      <c r="Y63" s="417">
        <v>0</v>
      </c>
      <c r="AA63" s="400">
        <f>INDEX('LDI - Fluxo de Caixa'!$BD$18:$BT$374, MATCH('Fluxo Projeto'!$A63, 'LDI - Fluxo de Caixa'!$C$18:$C$374, 0), MATCH('Fluxo Projeto'!AA$1, 'LDI - Fluxo de Caixa'!$BD$14:$BT$14, 0))</f>
        <v>0</v>
      </c>
      <c r="AB63" s="417">
        <v>0</v>
      </c>
      <c r="AD63" s="393">
        <f t="shared" ca="1" si="32"/>
        <v>88677.883198135998</v>
      </c>
      <c r="AF63" s="393">
        <f ca="1">IF($A63&lt;=baseData, INDEX('LDI - Fluxo de Caixa'!$BD$18:$BT$374, MATCH('Fluxo Projeto'!$A63, 'LDI - Fluxo de Caixa'!$C$18:$C$374, 0), MATCH('Fluxo Projeto'!AF$1, 'LDI - Fluxo de Caixa'!$BD$14:$BT$14, 0)), $E63*CDI)</f>
        <v>-2365.2479617755839</v>
      </c>
      <c r="AH63" s="393">
        <f t="shared" ca="1" si="33"/>
        <v>10834086.777288856</v>
      </c>
      <c r="AJ63" s="397">
        <f ca="1">IF($A63&lt;=baseData, INDEX('LDI - Fluxo de Caixa'!$BD$18:$BT$374, MATCH($A63, 'LDI - Fluxo de Caixa'!$C$18:$C$374, 0), MATCH(AJ$1, 'LDI - Fluxo de Caixa'!$BD$14:$BT$14, 0))-J63-I63, IF($A63&lt;inicioDistribuicoes,-IF(AH63&lt;cxMinSPEpreObra,IF(SUM($AD64:$AD75)-cxMinSPEpreObra+AH63&lt;0,SUM($AD64:$AD75)-cxMinSPEpreObra+AH63,IF(AH63&lt;0, AH63-cxMinSPEpreObra, 0)),0), 0))</f>
        <v>0</v>
      </c>
      <c r="AK63" s="398">
        <f t="shared" ca="1" si="39"/>
        <v>0</v>
      </c>
      <c r="AM63" s="393">
        <f t="shared" ca="1" si="34"/>
        <v>10834086.777288856</v>
      </c>
      <c r="AO63" s="393">
        <f t="shared" ca="1" si="61"/>
        <v>10834086.777288856</v>
      </c>
      <c r="AQ63" s="397">
        <f t="shared" ca="1" si="35"/>
        <v>0</v>
      </c>
      <c r="AR63" s="398">
        <f t="shared" ca="1" si="37"/>
        <v>-35463847.709007196</v>
      </c>
      <c r="AT63" s="393">
        <f t="shared" ca="1" si="38"/>
        <v>0</v>
      </c>
      <c r="AV63" s="397">
        <f t="shared" si="40"/>
        <v>1179.1965938452763</v>
      </c>
      <c r="AW63" s="390">
        <f t="shared" si="41"/>
        <v>643.66811606855481</v>
      </c>
      <c r="AX63" s="390">
        <f t="shared" si="42"/>
        <v>0</v>
      </c>
      <c r="AY63" s="390">
        <f t="shared" si="43"/>
        <v>0</v>
      </c>
      <c r="AZ63" s="393">
        <f t="shared" si="44"/>
        <v>1822.8647099138311</v>
      </c>
      <c r="BA63" s="371"/>
      <c r="BB63" s="400">
        <f t="shared" si="45"/>
        <v>-59.108416674056507</v>
      </c>
      <c r="BC63" s="415">
        <f t="shared" ca="1" si="46"/>
        <v>-1562.3372196181417</v>
      </c>
      <c r="BD63" s="415">
        <f t="shared" si="47"/>
        <v>0</v>
      </c>
      <c r="BE63" s="415">
        <f t="shared" si="48"/>
        <v>0</v>
      </c>
      <c r="BF63" s="415">
        <f t="shared" si="49"/>
        <v>-13.727189846792225</v>
      </c>
      <c r="BG63" s="415">
        <f t="shared" si="50"/>
        <v>-26.205545098080965</v>
      </c>
      <c r="BH63" s="415">
        <f t="shared" si="51"/>
        <v>-44.331312505542378</v>
      </c>
      <c r="BI63" s="415">
        <f t="shared" si="52"/>
        <v>-8.30787464183887</v>
      </c>
      <c r="BJ63" s="398">
        <f t="shared" si="53"/>
        <v>0</v>
      </c>
      <c r="BK63" s="393">
        <f t="shared" ca="1" si="54"/>
        <v>-1714.017558384453</v>
      </c>
      <c r="BL63" s="371"/>
      <c r="BM63" s="400">
        <f t="shared" si="55"/>
        <v>0</v>
      </c>
      <c r="BN63" s="401">
        <f t="shared" si="56"/>
        <v>0</v>
      </c>
      <c r="BO63" s="371"/>
      <c r="BP63" s="400">
        <f t="shared" si="57"/>
        <v>0</v>
      </c>
      <c r="BQ63" s="401">
        <f t="shared" si="58"/>
        <v>0</v>
      </c>
      <c r="BR63" s="371"/>
      <c r="BS63" s="393">
        <f t="shared" ca="1" si="59"/>
        <v>-2.9032098423539234</v>
      </c>
    </row>
    <row r="64" spans="1:71" x14ac:dyDescent="0.25">
      <c r="A64" s="197">
        <f t="shared" si="36"/>
        <v>44958</v>
      </c>
      <c r="B64" s="388">
        <f>IF($A64&lt;=baseData, INDEX(Indicadores!B:B, MATCH($A64,Indicadores!A:A, 0)), INDEX(Indicadores!B:B, MATCH(baseData,Indicadores!A:A, 0)))</f>
        <v>839.38199999999995</v>
      </c>
      <c r="C64" s="389">
        <f>IF($A64&lt;=baseData, INDEX(Indicadores!E:E, MATCH($A64, Indicadores!A:A, 0)), INDEX(Indicadores!E:E, MATCH(baseData, Indicadores!A:A, 0)))</f>
        <v>5486.52</v>
      </c>
      <c r="E64" s="393">
        <f t="shared" ca="1" si="60"/>
        <v>10834086.777288856</v>
      </c>
      <c r="G64" s="397">
        <f>IF(tipoCarteira="Carteira",INDEX('M-FLUXO DE CAIXA'!$W:$W, MATCH($A64, 'M-FLUXO DE CAIXA'!$V:$V, 0)),IF(DATEDIF(baseData,$A64,"m")&lt;=prazoRepasseCarteira,vlrCarteira/prazoRepasseCarteira,0))+IF(DATEDIF(baseData,$A64,"m")&lt;=curvaInad,vlrInad/curvaInad*(1-PDD),0)</f>
        <v>359940.51604461879</v>
      </c>
      <c r="H64" s="390">
        <f>IF($A64&gt;baseData, SUMPRODUCT('Tabela Vendas'!$R:$R,'Tabela Vendas'!$V:$V)*INDEX(Curvas!$Z:$Z,MATCH($A64,Curvas!$B:$B,0)), 0)</f>
        <v>598975.18192721764</v>
      </c>
      <c r="I64" s="390">
        <f>IFERROR(INDEX(Permutas!AJ:AJ, MATCH('Fluxo Projeto'!A64, Permutas!N:N, 0)), 0)</f>
        <v>0</v>
      </c>
      <c r="J64" s="390">
        <v>0</v>
      </c>
      <c r="K64" s="393">
        <f t="shared" si="30"/>
        <v>958915.69797183643</v>
      </c>
      <c r="M64" s="400">
        <f>IF($A64&lt;=baseData,INDEX('LDI - Fluxo de Caixa'!$BD$18:$BT$374,MATCH('Fluxo Projeto'!$A64,'LDI - Fluxo de Caixa'!$C$18:$C$374,0),MATCH('Fluxo Projeto'!M$1,'LDI - Fluxo de Caixa'!$BD$14:$BT$14,0)),-pctImpostoSPE*K63)</f>
        <v>-59403.588081260328</v>
      </c>
      <c r="N64" s="415">
        <f ca="1">IF($A64&lt;=baseData,INDEX('LDI - Fluxo de Caixa'!$BD$18:$BT$374,MATCH($A64,'LDI - Fluxo de Caixa'!$C$18:$C$374,0),MATCH('Fluxo Projeto'!N$1,'LDI - Fluxo de Caixa'!$BD$14:$BT$14,0)),INDEX(Obra!AA:AA,MATCH($A64,Obra!F:F,0)))</f>
        <v>-872435.47389188036</v>
      </c>
      <c r="O64" s="415">
        <f>IF($A64&lt;=baseData,INDEX('LDI - Fluxo de Caixa'!$BD$18:$BT$374,MATCH($A64,'LDI - Fluxo de Caixa'!$C$18:$C$374,0),MATCH('Fluxo Projeto'!O$1,'LDI - Fluxo de Caixa'!$BD$14:$BT$14,0)),IF($A64=entrega,assistTecnicaObra*SUM($N$2:$N$86),0))</f>
        <v>0</v>
      </c>
      <c r="P64" s="415">
        <f>IF($A64&lt;=baseData, INDEX('LDI - Fluxo de Caixa'!$BD$18:$BT$374, MATCH('Fluxo Projeto'!$A64, 'LDI - Fluxo de Caixa'!$C$18:$C$374, 0), MATCH('Fluxo Projeto'!P$1, 'LDI - Fluxo de Caixa'!$BD$14:$BT$14, 0)), -IF($A64&gt;=entrega, INDEX(Curvas!R:R,MATCH($A64,Curvas!B:B,0))*(IPTU+condominio)*'Tabela Vendas'!$Y$22, 0))</f>
        <v>0</v>
      </c>
      <c r="Q64" s="415">
        <f>IF($A64&lt;=baseData, INDEX('LDI - Fluxo de Caixa'!$BD$18:$BT$374, MATCH('Fluxo Projeto'!$A64, 'LDI - Fluxo de Caixa'!$C$18:$C$374, 0), MATCH('Fluxo Projeto'!Q$1, 'LDI - Fluxo de Caixa'!$BD$14:$BT$14, 0)), (-pctIncorporaçaoSPE*SUM($G$4:$H$86)-SUMIF($A$4:$A$86, "&lt;="&amp;baseData, Q$4:Q$86))*(SUM($G64:$H64)/(SUMIF($A$4:$A$86, "&gt;"&amp;baseData, $G$4:$G$86)+SUMIF($A$4:$A$86, "&gt;"&amp;baseData, $H$4:$H$86))))</f>
        <v>-7221.1710290616757</v>
      </c>
      <c r="R64" s="415">
        <f>IF($A64&lt;=baseData, INDEX('LDI - Fluxo de Caixa'!$BD$18:$BT$374, MATCH('Fluxo Projeto'!$A64, 'LDI - Fluxo de Caixa'!$C$18:$C$374, 0), MATCH('Fluxo Projeto'!R$1, 'LDI - Fluxo de Caixa'!$BD$14:$BT$14, 0)), (-pctMarketingSPE*SUM($G$4:$H$86)-SUMIF($A$4:$A$86, "&lt;="&amp;baseData, R$4:R$86))*(SUM($G64:$H64)/(SUMIF($A$4:$A$86, "&gt;"&amp;baseData, $G$4:$G$86)+SUMIF($A$4:$A$86, "&gt;"&amp;baseData, $H$4:$H$86))))</f>
        <v>-13785.394183009126</v>
      </c>
      <c r="S64" s="415">
        <f>IF($A64&lt;=baseData,INDEX('LDI - Fluxo de Caixa'!$BD$18:$BT$374,MATCH($A64,'LDI - Fluxo de Caixa'!$C$18:$C$374,0),MATCH(S$1,'LDI - Fluxo de Caixa'!$BD$14:$BT$14,0)),-pctGestaoSPE*K63)</f>
        <v>-44552.691060945239</v>
      </c>
      <c r="T64" s="415">
        <f>IF($A64&lt;=baseData, INDEX('LDI - Fluxo de Caixa'!$BD$18:$BT$374, MATCH('Fluxo Projeto'!$A64, 'LDI - Fluxo de Caixa'!$C$18:$C$374, 0), MATCH('Fluxo Projeto'!T$1, 'LDI - Fluxo de Caixa'!$BD$14:$BT$14, 0)), (-pctOutrasSPE*SUM($G$4:$H$86)-SUMIF($A$4:$A$86, "&lt;="&amp;baseData, T$4:T$86))*(SUM($G64:$H64)/(SUMIF($A$4:$A$86, "&gt;"&amp;baseData, $G$4:$G$86)+SUMIF($A$4:$A$86, "&gt;"&amp;baseData, $H$4:$H$86))))</f>
        <v>-4370.3470518215408</v>
      </c>
      <c r="U64" s="398">
        <f>IF($A64&lt;=baseData, INDEX('LDI - Fluxo de Caixa'!$BD$18:$BT$374, MATCH('Fluxo Projeto'!$A64, 'LDI - Fluxo de Caixa'!$C$18:$C$374, 0), MATCH('Fluxo Projeto'!U$1, 'LDI - Fluxo de Caixa'!$BD$14:$BT$14, 0)), 0)</f>
        <v>0</v>
      </c>
      <c r="V64" s="393">
        <f t="shared" ca="1" si="31"/>
        <v>-1001768.6652979783</v>
      </c>
      <c r="X64" s="416">
        <v>0</v>
      </c>
      <c r="Y64" s="417">
        <v>0</v>
      </c>
      <c r="AA64" s="400">
        <f>INDEX('LDI - Fluxo de Caixa'!$BD$18:$BT$374, MATCH('Fluxo Projeto'!$A64, 'LDI - Fluxo de Caixa'!$C$18:$C$374, 0), MATCH('Fluxo Projeto'!AA$1, 'LDI - Fluxo de Caixa'!$BD$14:$BT$14, 0))</f>
        <v>-12517.91</v>
      </c>
      <c r="AB64" s="417">
        <v>0</v>
      </c>
      <c r="AD64" s="393">
        <f t="shared" ca="1" si="32"/>
        <v>-55370.877326141897</v>
      </c>
      <c r="AF64" s="393">
        <f ca="1">IF($A64&lt;=baseData, INDEX('LDI - Fluxo de Caixa'!$BD$18:$BT$374, MATCH('Fluxo Projeto'!$A64, 'LDI - Fluxo de Caixa'!$C$18:$C$374, 0), MATCH('Fluxo Projeto'!AF$1, 'LDI - Fluxo de Caixa'!$BD$14:$BT$14, 0)), $E64*CDI)</f>
        <v>-2384.2426654109631</v>
      </c>
      <c r="AH64" s="393">
        <f t="shared" ca="1" si="33"/>
        <v>10776331.657297304</v>
      </c>
      <c r="AJ64" s="397">
        <f ca="1">IF($A64&lt;=baseData, INDEX('LDI - Fluxo de Caixa'!$BD$18:$BT$374, MATCH($A64, 'LDI - Fluxo de Caixa'!$C$18:$C$374, 0), MATCH(AJ$1, 'LDI - Fluxo de Caixa'!$BD$14:$BT$14, 0))-J64-I64, IF($A64&lt;inicioDistribuicoes,-IF(AH64&lt;cxMinSPEpreObra,IF(SUM($AD65:$AD76)-cxMinSPEpreObra+AH64&lt;0,SUM($AD65:$AD76)-cxMinSPEpreObra+AH64,IF(AH64&lt;0, AH64-cxMinSPEpreObra, 0)),0), 0))</f>
        <v>0</v>
      </c>
      <c r="AK64" s="398">
        <f t="shared" ca="1" si="39"/>
        <v>0</v>
      </c>
      <c r="AM64" s="393">
        <f t="shared" ca="1" si="34"/>
        <v>10776331.657297304</v>
      </c>
      <c r="AO64" s="393">
        <f t="shared" ca="1" si="61"/>
        <v>10776331.657297304</v>
      </c>
      <c r="AQ64" s="397">
        <f t="shared" ca="1" si="35"/>
        <v>0</v>
      </c>
      <c r="AR64" s="398">
        <f t="shared" ca="1" si="37"/>
        <v>-35463847.709007196</v>
      </c>
      <c r="AT64" s="393">
        <f t="shared" ca="1" si="38"/>
        <v>0</v>
      </c>
      <c r="AV64" s="397">
        <f t="shared" si="40"/>
        <v>441.80689117187632</v>
      </c>
      <c r="AW64" s="390">
        <f t="shared" si="41"/>
        <v>735.20860036653642</v>
      </c>
      <c r="AX64" s="390">
        <f t="shared" si="42"/>
        <v>0</v>
      </c>
      <c r="AY64" s="390">
        <f t="shared" si="43"/>
        <v>0</v>
      </c>
      <c r="AZ64" s="393">
        <f t="shared" si="44"/>
        <v>1177.0154915384128</v>
      </c>
      <c r="BA64" s="371"/>
      <c r="BB64" s="400">
        <f t="shared" si="45"/>
        <v>-72.914588396553242</v>
      </c>
      <c r="BC64" s="415">
        <f t="shared" ca="1" si="46"/>
        <v>-1070.865843900867</v>
      </c>
      <c r="BD64" s="415">
        <f t="shared" si="47"/>
        <v>0</v>
      </c>
      <c r="BE64" s="415">
        <f t="shared" si="48"/>
        <v>0</v>
      </c>
      <c r="BF64" s="415">
        <f t="shared" si="49"/>
        <v>-8.8635843445161786</v>
      </c>
      <c r="BG64" s="415">
        <f t="shared" si="50"/>
        <v>-16.920801843877847</v>
      </c>
      <c r="BH64" s="415">
        <f t="shared" si="51"/>
        <v>-54.685941297414928</v>
      </c>
      <c r="BI64" s="415">
        <f t="shared" si="52"/>
        <v>-5.3643570485632655</v>
      </c>
      <c r="BJ64" s="398">
        <f t="shared" si="53"/>
        <v>0</v>
      </c>
      <c r="BK64" s="393">
        <f t="shared" ca="1" si="54"/>
        <v>-1229.6151168317924</v>
      </c>
      <c r="BL64" s="371"/>
      <c r="BM64" s="400">
        <f t="shared" si="55"/>
        <v>0</v>
      </c>
      <c r="BN64" s="401">
        <f t="shared" si="56"/>
        <v>0</v>
      </c>
      <c r="BO64" s="371"/>
      <c r="BP64" s="400">
        <f t="shared" si="57"/>
        <v>-15.365035761586151</v>
      </c>
      <c r="BQ64" s="401">
        <f t="shared" si="58"/>
        <v>0</v>
      </c>
      <c r="BR64" s="371"/>
      <c r="BS64" s="393">
        <f t="shared" ca="1" si="59"/>
        <v>-2.9265247807612402</v>
      </c>
    </row>
    <row r="65" spans="1:71" x14ac:dyDescent="0.25">
      <c r="A65" s="197">
        <f t="shared" si="36"/>
        <v>44986</v>
      </c>
      <c r="B65" s="388">
        <f>IF($A65&lt;=baseData, INDEX(Indicadores!B:B, MATCH($A65,Indicadores!A:A, 0)), INDEX(Indicadores!B:B, MATCH(baseData,Indicadores!A:A, 0)))</f>
        <v>839.38199999999995</v>
      </c>
      <c r="C65" s="389">
        <f>IF($A65&lt;=baseData, INDEX(Indicadores!E:E, MATCH($A65, Indicadores!A:A, 0)), INDEX(Indicadores!E:E, MATCH(baseData, Indicadores!A:A, 0)))</f>
        <v>5486.52</v>
      </c>
      <c r="E65" s="393">
        <f t="shared" ca="1" si="60"/>
        <v>10776331.657297304</v>
      </c>
      <c r="G65" s="397">
        <f>IF(tipoCarteira="Carteira",INDEX('M-FLUXO DE CAIXA'!$W:$W, MATCH($A65, 'M-FLUXO DE CAIXA'!$V:$V, 0)),IF(DATEDIF(baseData,$A65,"m")&lt;=prazoRepasseCarteira,vlrCarteira/prazoRepasseCarteira,0))+IF(DATEDIF(baseData,$A65,"m")&lt;=curvaInad,vlrInad/curvaInad*(1-PDD),0)</f>
        <v>359940.51604461879</v>
      </c>
      <c r="H65" s="390">
        <f>IF($A65&gt;baseData, SUMPRODUCT('Tabela Vendas'!$R:$R,'Tabela Vendas'!$V:$V)*INDEX(Curvas!$Z:$Z,MATCH($A65,Curvas!$B:$B,0)), 0)</f>
        <v>710842.36807429267</v>
      </c>
      <c r="I65" s="390">
        <f>IFERROR(INDEX(Permutas!AJ:AJ, MATCH('Fluxo Projeto'!A65, Permutas!N:N, 0)), 0)</f>
        <v>0</v>
      </c>
      <c r="J65" s="390">
        <v>0</v>
      </c>
      <c r="K65" s="393">
        <f t="shared" si="30"/>
        <v>1070782.8841189113</v>
      </c>
      <c r="M65" s="400">
        <f>IF($A65&lt;=baseData,INDEX('LDI - Fluxo de Caixa'!$BD$18:$BT$374,MATCH('Fluxo Projeto'!$A65,'LDI - Fluxo de Caixa'!$C$18:$C$374,0),MATCH('Fluxo Projeto'!M$1,'LDI - Fluxo de Caixa'!$BD$14:$BT$14,0)),-pctImpostoSPE*K64)</f>
        <v>-38356.627918873455</v>
      </c>
      <c r="N65" s="415">
        <f ca="1">IF($A65&lt;=baseData,INDEX('LDI - Fluxo de Caixa'!$BD$18:$BT$374,MATCH($A65,'LDI - Fluxo de Caixa'!$C$18:$C$374,0),MATCH('Fluxo Projeto'!N$1,'LDI - Fluxo de Caixa'!$BD$14:$BT$14,0)),INDEX(Obra!AA:AA,MATCH($A65,Obra!F:F,0)))</f>
        <v>-400701.78385644691</v>
      </c>
      <c r="O65" s="415">
        <f>IF($A65&lt;=baseData,INDEX('LDI - Fluxo de Caixa'!$BD$18:$BT$374,MATCH($A65,'LDI - Fluxo de Caixa'!$C$18:$C$374,0),MATCH('Fluxo Projeto'!O$1,'LDI - Fluxo de Caixa'!$BD$14:$BT$14,0)),IF($A65=entrega,assistTecnicaObra*SUM($N$2:$N$86),0))</f>
        <v>0</v>
      </c>
      <c r="P65" s="415">
        <f>IF($A65&lt;=baseData, INDEX('LDI - Fluxo de Caixa'!$BD$18:$BT$374, MATCH('Fluxo Projeto'!$A65, 'LDI - Fluxo de Caixa'!$C$18:$C$374, 0), MATCH('Fluxo Projeto'!P$1, 'LDI - Fluxo de Caixa'!$BD$14:$BT$14, 0)), -IF($A65&gt;=entrega, INDEX(Curvas!R:R,MATCH($A65,Curvas!B:B,0))*(IPTU+condominio)*'Tabela Vendas'!$Y$22, 0))</f>
        <v>0</v>
      </c>
      <c r="Q65" s="415">
        <f>IF($A65&lt;=baseData, INDEX('LDI - Fluxo de Caixa'!$BD$18:$BT$374, MATCH('Fluxo Projeto'!$A65, 'LDI - Fluxo de Caixa'!$C$18:$C$374, 0), MATCH('Fluxo Projeto'!Q$1, 'LDI - Fluxo de Caixa'!$BD$14:$BT$14, 0)), (-pctIncorporaçaoSPE*SUM($G$4:$H$86)-SUMIF($A$4:$A$86, "&lt;="&amp;baseData, Q$4:Q$86))*(SUM($G65:$H65)/(SUMIF($A$4:$A$86, "&gt;"&amp;baseData, $G$4:$G$86)+SUMIF($A$4:$A$86, "&gt;"&amp;baseData, $H$4:$H$86))))</f>
        <v>-8063.5934499444265</v>
      </c>
      <c r="R65" s="415">
        <f>IF($A65&lt;=baseData, INDEX('LDI - Fluxo de Caixa'!$BD$18:$BT$374, MATCH('Fluxo Projeto'!$A65, 'LDI - Fluxo de Caixa'!$C$18:$C$374, 0), MATCH('Fluxo Projeto'!R$1, 'LDI - Fluxo de Caixa'!$BD$14:$BT$14, 0)), (-pctMarketingSPE*SUM($G$4:$H$86)-SUMIF($A$4:$A$86, "&lt;="&amp;baseData, R$4:R$86))*(SUM($G65:$H65)/(SUMIF($A$4:$A$86, "&gt;"&amp;baseData, $G$4:$G$86)+SUMIF($A$4:$A$86, "&gt;"&amp;baseData, $H$4:$H$86))))</f>
        <v>-15393.599430293314</v>
      </c>
      <c r="S65" s="415">
        <f>IF($A65&lt;=baseData,INDEX('LDI - Fluxo de Caixa'!$BD$18:$BT$374,MATCH($A65,'LDI - Fluxo de Caixa'!$C$18:$C$374,0),MATCH(S$1,'LDI - Fluxo de Caixa'!$BD$14:$BT$14,0)),-pctGestaoSPE*K64)</f>
        <v>-28767.470939155093</v>
      </c>
      <c r="T65" s="415">
        <f>IF($A65&lt;=baseData, INDEX('LDI - Fluxo de Caixa'!$BD$18:$BT$374, MATCH('Fluxo Projeto'!$A65, 'LDI - Fluxo de Caixa'!$C$18:$C$374, 0), MATCH('Fluxo Projeto'!T$1, 'LDI - Fluxo de Caixa'!$BD$14:$BT$14, 0)), (-pctOutrasSPE*SUM($G$4:$H$86)-SUMIF($A$4:$A$86, "&lt;="&amp;baseData, T$4:T$86))*(SUM($G65:$H65)/(SUMIF($A$4:$A$86, "&gt;"&amp;baseData, $G$4:$G$86)+SUMIF($A$4:$A$86, "&gt;"&amp;baseData, $H$4:$H$86))))</f>
        <v>-4880.1921072393316</v>
      </c>
      <c r="U65" s="398">
        <f>IF($A65&lt;=baseData, INDEX('LDI - Fluxo de Caixa'!$BD$18:$BT$374, MATCH('Fluxo Projeto'!$A65, 'LDI - Fluxo de Caixa'!$C$18:$C$374, 0), MATCH('Fluxo Projeto'!U$1, 'LDI - Fluxo de Caixa'!$BD$14:$BT$14, 0)), 0)</f>
        <v>0</v>
      </c>
      <c r="V65" s="393">
        <f t="shared" ca="1" si="31"/>
        <v>-496163.26770195254</v>
      </c>
      <c r="X65" s="416">
        <v>0</v>
      </c>
      <c r="Y65" s="417">
        <v>0</v>
      </c>
      <c r="AA65" s="400">
        <f>INDEX('LDI - Fluxo de Caixa'!$BD$18:$BT$374, MATCH('Fluxo Projeto'!$A65, 'LDI - Fluxo de Caixa'!$C$18:$C$374, 0), MATCH('Fluxo Projeto'!AA$1, 'LDI - Fluxo de Caixa'!$BD$14:$BT$14, 0))</f>
        <v>-12517.91</v>
      </c>
      <c r="AB65" s="417">
        <v>0</v>
      </c>
      <c r="AD65" s="393">
        <f t="shared" ca="1" si="32"/>
        <v>562101.70641695883</v>
      </c>
      <c r="AF65" s="393">
        <f ca="1">IF($A65&lt;=baseData, INDEX('LDI - Fluxo de Caixa'!$BD$18:$BT$374, MATCH('Fluxo Projeto'!$A65, 'LDI - Fluxo de Caixa'!$C$18:$C$374, 0), MATCH('Fluxo Projeto'!AF$1, 'LDI - Fluxo de Caixa'!$BD$14:$BT$14, 0)), $E65*CDI)</f>
        <v>-2371.5325751135097</v>
      </c>
      <c r="AH65" s="393">
        <f t="shared" ca="1" si="33"/>
        <v>11336061.831139149</v>
      </c>
      <c r="AJ65" s="397">
        <f ca="1">IF($A65&lt;=baseData, INDEX('LDI - Fluxo de Caixa'!$BD$18:$BT$374, MATCH($A65, 'LDI - Fluxo de Caixa'!$C$18:$C$374, 0), MATCH(AJ$1, 'LDI - Fluxo de Caixa'!$BD$14:$BT$14, 0))-J65-I65, IF($A65&lt;inicioDistribuicoes,-IF(AH65&lt;cxMinSPEpreObra,IF(SUM($AD66:$AD77)-cxMinSPEpreObra+AH65&lt;0,SUM($AD66:$AD77)-cxMinSPEpreObra+AH65,IF(AH65&lt;0, AH65-cxMinSPEpreObra, 0)),0), 0))</f>
        <v>0</v>
      </c>
      <c r="AK65" s="398">
        <f t="shared" ca="1" si="39"/>
        <v>0</v>
      </c>
      <c r="AM65" s="393">
        <f t="shared" ca="1" si="34"/>
        <v>11336061.831139149</v>
      </c>
      <c r="AO65" s="393">
        <f t="shared" ca="1" si="61"/>
        <v>11336061.831139149</v>
      </c>
      <c r="AQ65" s="397">
        <f t="shared" ca="1" si="35"/>
        <v>0</v>
      </c>
      <c r="AR65" s="398">
        <f t="shared" ca="1" si="37"/>
        <v>-35463847.709007196</v>
      </c>
      <c r="AT65" s="393">
        <f t="shared" ca="1" si="38"/>
        <v>0</v>
      </c>
      <c r="AV65" s="397">
        <f t="shared" si="40"/>
        <v>441.80689117187632</v>
      </c>
      <c r="AW65" s="390">
        <f t="shared" si="41"/>
        <v>872.51932681350911</v>
      </c>
      <c r="AX65" s="390">
        <f t="shared" si="42"/>
        <v>0</v>
      </c>
      <c r="AY65" s="390">
        <f t="shared" si="43"/>
        <v>0</v>
      </c>
      <c r="AZ65" s="393">
        <f t="shared" si="44"/>
        <v>1314.3262179853855</v>
      </c>
      <c r="BA65" s="371"/>
      <c r="BB65" s="400">
        <f t="shared" si="45"/>
        <v>-47.08061966153651</v>
      </c>
      <c r="BC65" s="415">
        <f t="shared" ca="1" si="46"/>
        <v>-491.83907207238838</v>
      </c>
      <c r="BD65" s="415">
        <f t="shared" si="47"/>
        <v>0</v>
      </c>
      <c r="BE65" s="415">
        <f t="shared" si="48"/>
        <v>0</v>
      </c>
      <c r="BF65" s="415">
        <f t="shared" si="49"/>
        <v>-9.8976108412097528</v>
      </c>
      <c r="BG65" s="415">
        <f t="shared" si="50"/>
        <v>-18.894784013145085</v>
      </c>
      <c r="BH65" s="415">
        <f t="shared" si="51"/>
        <v>-35.310464746152384</v>
      </c>
      <c r="BI65" s="415">
        <f t="shared" si="52"/>
        <v>-5.9901633939805299</v>
      </c>
      <c r="BJ65" s="398">
        <f t="shared" si="53"/>
        <v>0</v>
      </c>
      <c r="BK65" s="393">
        <f t="shared" ca="1" si="54"/>
        <v>-609.01271472841267</v>
      </c>
      <c r="BL65" s="371"/>
      <c r="BM65" s="400">
        <f t="shared" si="55"/>
        <v>0</v>
      </c>
      <c r="BN65" s="401">
        <f t="shared" si="56"/>
        <v>0</v>
      </c>
      <c r="BO65" s="371"/>
      <c r="BP65" s="400">
        <f t="shared" si="57"/>
        <v>-15.365035761586151</v>
      </c>
      <c r="BQ65" s="401">
        <f t="shared" si="58"/>
        <v>0</v>
      </c>
      <c r="BR65" s="371"/>
      <c r="BS65" s="393">
        <f t="shared" ca="1" si="59"/>
        <v>-2.910923854412244</v>
      </c>
    </row>
    <row r="66" spans="1:71" x14ac:dyDescent="0.25">
      <c r="A66" s="197">
        <f t="shared" si="36"/>
        <v>45017</v>
      </c>
      <c r="B66" s="388">
        <f>IF($A66&lt;=baseData, INDEX(Indicadores!B:B, MATCH($A66,Indicadores!A:A, 0)), INDEX(Indicadores!B:B, MATCH(baseData,Indicadores!A:A, 0)))</f>
        <v>839.38199999999995</v>
      </c>
      <c r="C66" s="389">
        <f>IF($A66&lt;=baseData, INDEX(Indicadores!E:E, MATCH($A66, Indicadores!A:A, 0)), INDEX(Indicadores!E:E, MATCH(baseData, Indicadores!A:A, 0)))</f>
        <v>5486.52</v>
      </c>
      <c r="E66" s="393">
        <f t="shared" ca="1" si="60"/>
        <v>11336061.831139149</v>
      </c>
      <c r="G66" s="397">
        <f>IF(tipoCarteira="Carteira",INDEX('M-FLUXO DE CAIXA'!$W:$W, MATCH($A66, 'M-FLUXO DE CAIXA'!$V:$V, 0)),IF(DATEDIF(baseData,$A66,"m")&lt;=prazoRepasseCarteira,vlrCarteira/prazoRepasseCarteira,0))+IF(DATEDIF(baseData,$A66,"m")&lt;=curvaInad,vlrInad/curvaInad*(1-PDD),0)</f>
        <v>28372787.360802181</v>
      </c>
      <c r="H66" s="390">
        <f>IF($A66&gt;baseData, SUMPRODUCT('Tabela Vendas'!$R:$R,'Tabela Vendas'!$V:$V)*INDEX(Curvas!$Z:$Z,MATCH($A66,Curvas!$B:$B,0)), 0)</f>
        <v>1158311.1126625927</v>
      </c>
      <c r="I66" s="390">
        <f>IFERROR(INDEX(Permutas!AJ:AJ, MATCH('Fluxo Projeto'!A66, Permutas!N:N, 0)), 0)</f>
        <v>0</v>
      </c>
      <c r="J66" s="390">
        <v>0</v>
      </c>
      <c r="K66" s="393">
        <f t="shared" ref="K66:K97" si="62">SUM(G66:J66)</f>
        <v>29531098.473464772</v>
      </c>
      <c r="M66" s="400">
        <f>IF($A66&lt;=baseData,INDEX('LDI - Fluxo de Caixa'!$BD$18:$BT$374,MATCH('Fluxo Projeto'!$A66,'LDI - Fluxo de Caixa'!$C$18:$C$374,0),MATCH('Fluxo Projeto'!M$1,'LDI - Fluxo de Caixa'!$BD$14:$BT$14,0)),-pctImpostoSPE*K65)</f>
        <v>-42831.315364756454</v>
      </c>
      <c r="N66" s="415">
        <f ca="1">IF($A66&lt;=baseData,INDEX('LDI - Fluxo de Caixa'!$BD$18:$BT$374,MATCH($A66,'LDI - Fluxo de Caixa'!$C$18:$C$374,0),MATCH('Fluxo Projeto'!N$1,'LDI - Fluxo de Caixa'!$BD$14:$BT$14,0)),INDEX(Obra!AA:AA,MATCH($A66,Obra!F:F,0)))</f>
        <v>-103319.62645678941</v>
      </c>
      <c r="O66" s="415">
        <f ca="1">IF($A66&lt;=baseData,INDEX('LDI - Fluxo de Caixa'!$BD$18:$BT$374,MATCH($A66,'LDI - Fluxo de Caixa'!$C$18:$C$374,0),MATCH('Fluxo Projeto'!O$1,'LDI - Fluxo de Caixa'!$BD$14:$BT$14,0)),IF($A66=entrega,assistTecnicaObra*SUM($N$2:$N$86),0))</f>
        <v>-568144.32716227591</v>
      </c>
      <c r="P66" s="415">
        <f>IF($A66&lt;=baseData, INDEX('LDI - Fluxo de Caixa'!$BD$18:$BT$374, MATCH('Fluxo Projeto'!$A66, 'LDI - Fluxo de Caixa'!$C$18:$C$374, 0), MATCH('Fluxo Projeto'!P$1, 'LDI - Fluxo de Caixa'!$BD$14:$BT$14, 0)), -IF($A66&gt;=entrega, INDEX(Curvas!R:R,MATCH($A66,Curvas!B:B,0))*(IPTU+condominio)*'Tabela Vendas'!$Y$22, 0))</f>
        <v>-91210.409367585249</v>
      </c>
      <c r="Q66" s="415">
        <f>IF($A66&lt;=baseData, INDEX('LDI - Fluxo de Caixa'!$BD$18:$BT$374, MATCH('Fluxo Projeto'!$A66, 'LDI - Fluxo de Caixa'!$C$18:$C$374, 0), MATCH('Fluxo Projeto'!Q$1, 'LDI - Fluxo de Caixa'!$BD$14:$BT$14, 0)), (-pctIncorporaçaoSPE*SUM($G$4:$H$86)-SUMIF($A$4:$A$86, "&lt;="&amp;baseData, Q$4:Q$86))*(SUM($G66:$H66)/(SUMIF($A$4:$A$86, "&gt;"&amp;baseData, $G$4:$G$86)+SUMIF($A$4:$A$86, "&gt;"&amp;baseData, $H$4:$H$86))))</f>
        <v>-222385.67290533028</v>
      </c>
      <c r="R66" s="415">
        <f>IF($A66&lt;=baseData, INDEX('LDI - Fluxo de Caixa'!$BD$18:$BT$374, MATCH('Fluxo Projeto'!$A66, 'LDI - Fluxo de Caixa'!$C$18:$C$374, 0), MATCH('Fluxo Projeto'!R$1, 'LDI - Fluxo de Caixa'!$BD$14:$BT$14, 0)), (-pctMarketingSPE*SUM($G$4:$H$86)-SUMIF($A$4:$A$86, "&lt;="&amp;baseData, R$4:R$86))*(SUM($G66:$H66)/(SUMIF($A$4:$A$86, "&gt;"&amp;baseData, $G$4:$G$86)+SUMIF($A$4:$A$86, "&gt;"&amp;baseData, $H$4:$H$86))))</f>
        <v>-424539.75252986996</v>
      </c>
      <c r="S66" s="415">
        <f>IF($A66&lt;=baseData,INDEX('LDI - Fluxo de Caixa'!$BD$18:$BT$374,MATCH($A66,'LDI - Fluxo de Caixa'!$C$18:$C$374,0),MATCH(S$1,'LDI - Fluxo de Caixa'!$BD$14:$BT$14,0)),-pctGestaoSPE*K65)</f>
        <v>-32123.486523567339</v>
      </c>
      <c r="T66" s="415">
        <f>IF($A66&lt;=baseData, INDEX('LDI - Fluxo de Caixa'!$BD$18:$BT$374, MATCH('Fluxo Projeto'!$A66, 'LDI - Fluxo de Caixa'!$C$18:$C$374, 0), MATCH('Fluxo Projeto'!T$1, 'LDI - Fluxo de Caixa'!$BD$14:$BT$14, 0)), (-pctOutrasSPE*SUM($G$4:$H$86)-SUMIF($A$4:$A$86, "&lt;="&amp;baseData, T$4:T$86))*(SUM($G66:$H66)/(SUMIF($A$4:$A$86, "&gt;"&amp;baseData, $G$4:$G$86)+SUMIF($A$4:$A$86, "&gt;"&amp;baseData, $H$4:$H$86))))</f>
        <v>-134590.71472448553</v>
      </c>
      <c r="U66" s="398">
        <f>IF($A66&lt;=baseData, INDEX('LDI - Fluxo de Caixa'!$BD$18:$BT$374, MATCH('Fluxo Projeto'!$A66, 'LDI - Fluxo de Caixa'!$C$18:$C$374, 0), MATCH('Fluxo Projeto'!U$1, 'LDI - Fluxo de Caixa'!$BD$14:$BT$14, 0)), 0)</f>
        <v>0</v>
      </c>
      <c r="V66" s="393">
        <f t="shared" ref="V66:V97" ca="1" si="63">SUM(M66:U66)</f>
        <v>-1619145.30503466</v>
      </c>
      <c r="X66" s="416">
        <v>0</v>
      </c>
      <c r="Y66" s="417">
        <v>0</v>
      </c>
      <c r="AA66" s="400">
        <f>INDEX('LDI - Fluxo de Caixa'!$BD$18:$BT$374, MATCH('Fluxo Projeto'!$A66, 'LDI - Fluxo de Caixa'!$C$18:$C$374, 0), MATCH('Fluxo Projeto'!AA$1, 'LDI - Fluxo de Caixa'!$BD$14:$BT$14, 0))</f>
        <v>-12517.91</v>
      </c>
      <c r="AB66" s="417">
        <v>0</v>
      </c>
      <c r="AD66" s="393">
        <f t="shared" ref="AD66:AD86" ca="1" si="64">K66+V66+X66+Y66+AA66+AB66</f>
        <v>27899435.258430112</v>
      </c>
      <c r="AF66" s="393">
        <f ca="1">IF($A66&lt;=baseData, INDEX('LDI - Fluxo de Caixa'!$BD$18:$BT$374, MATCH('Fluxo Projeto'!$A66, 'LDI - Fluxo de Caixa'!$C$18:$C$374, 0), MATCH('Fluxo Projeto'!AF$1, 'LDI - Fluxo de Caixa'!$BD$14:$BT$14, 0)), $E66*CDI)</f>
        <v>-2494.7116292437718</v>
      </c>
      <c r="AH66" s="393">
        <f t="shared" ref="AH66:AH86" ca="1" si="65">E66+K66+V66+X66+Y66+AA66+AB66+AF66</f>
        <v>39233002.377940021</v>
      </c>
      <c r="AJ66" s="397">
        <f ca="1">IF($A66&lt;=baseData, INDEX('LDI - Fluxo de Caixa'!$BD$18:$BT$374, MATCH($A66, 'LDI - Fluxo de Caixa'!$C$18:$C$374, 0), MATCH(AJ$1, 'LDI - Fluxo de Caixa'!$BD$14:$BT$14, 0))-J66-I66, IF($A66&lt;inicioDistribuicoes,-IF(AH66&lt;cxMinSPEpreObra,IF(SUM($AD67:$AD78)-cxMinSPEpreObra+AH66&lt;0,SUM($AD67:$AD78)-cxMinSPEpreObra+AH66,IF(AH66&lt;0, AH66-cxMinSPEpreObra, 0)),0), 0))</f>
        <v>0</v>
      </c>
      <c r="AK66" s="398">
        <f t="shared" ca="1" si="39"/>
        <v>0</v>
      </c>
      <c r="AM66" s="393">
        <f t="shared" ref="AM66:AM86" ca="1" si="66">AH66+AJ66+AK66</f>
        <v>39233002.377940021</v>
      </c>
      <c r="AO66" s="393">
        <f t="shared" ca="1" si="61"/>
        <v>39233002.377940021</v>
      </c>
      <c r="AQ66" s="397">
        <f t="shared" ref="AQ66:AQ86" ca="1" si="67">-SUM(AJ66:AK66)</f>
        <v>0</v>
      </c>
      <c r="AR66" s="398">
        <f t="shared" ca="1" si="37"/>
        <v>-35463847.709007196</v>
      </c>
      <c r="AT66" s="393">
        <f t="shared" ca="1" si="38"/>
        <v>0</v>
      </c>
      <c r="AV66" s="397">
        <f t="shared" si="40"/>
        <v>34826.01268539278</v>
      </c>
      <c r="AW66" s="390">
        <f t="shared" si="41"/>
        <v>1421.7622326013993</v>
      </c>
      <c r="AX66" s="390">
        <f t="shared" si="42"/>
        <v>0</v>
      </c>
      <c r="AY66" s="390">
        <f t="shared" si="43"/>
        <v>0</v>
      </c>
      <c r="AZ66" s="393">
        <f t="shared" si="44"/>
        <v>36247.774917994182</v>
      </c>
      <c r="BA66" s="371"/>
      <c r="BB66" s="400">
        <f t="shared" si="45"/>
        <v>-52.573048719415411</v>
      </c>
      <c r="BC66" s="415">
        <f t="shared" ca="1" si="46"/>
        <v>-126.81907406126838</v>
      </c>
      <c r="BD66" s="415">
        <f t="shared" ca="1" si="47"/>
        <v>-697.36544715457069</v>
      </c>
      <c r="BE66" s="415">
        <f t="shared" si="48"/>
        <v>-111.95568603399929</v>
      </c>
      <c r="BF66" s="415">
        <f t="shared" si="49"/>
        <v>-272.96599968004244</v>
      </c>
      <c r="BG66" s="415">
        <f t="shared" si="50"/>
        <v>-521.09884795755738</v>
      </c>
      <c r="BH66" s="415">
        <f t="shared" si="51"/>
        <v>-39.429786539561555</v>
      </c>
      <c r="BI66" s="415">
        <f t="shared" si="52"/>
        <v>-165.20258932355003</v>
      </c>
      <c r="BJ66" s="398">
        <f t="shared" si="53"/>
        <v>0</v>
      </c>
      <c r="BK66" s="393">
        <f t="shared" ca="1" si="54"/>
        <v>-1987.4104794699651</v>
      </c>
      <c r="BL66" s="371"/>
      <c r="BM66" s="400">
        <f t="shared" si="55"/>
        <v>0</v>
      </c>
      <c r="BN66" s="401">
        <f t="shared" si="56"/>
        <v>0</v>
      </c>
      <c r="BO66" s="371"/>
      <c r="BP66" s="400">
        <f t="shared" si="57"/>
        <v>-15.365035761586151</v>
      </c>
      <c r="BQ66" s="401">
        <f t="shared" si="58"/>
        <v>0</v>
      </c>
      <c r="BR66" s="371"/>
      <c r="BS66" s="393">
        <f t="shared" ca="1" si="59"/>
        <v>-3.062119267367748</v>
      </c>
    </row>
    <row r="67" spans="1:71" x14ac:dyDescent="0.25">
      <c r="A67" s="197">
        <f t="shared" ref="A67:A86" si="68">DATE(YEAR(A66),MONTH(A66)+1,1)</f>
        <v>45047</v>
      </c>
      <c r="B67" s="388">
        <f>IF($A67&lt;=baseData, INDEX(Indicadores!B:B, MATCH($A67,Indicadores!A:A, 0)), INDEX(Indicadores!B:B, MATCH(baseData,Indicadores!A:A, 0)))</f>
        <v>839.38199999999995</v>
      </c>
      <c r="C67" s="389">
        <f>IF($A67&lt;=baseData, INDEX(Indicadores!E:E, MATCH($A67, Indicadores!A:A, 0)), INDEX(Indicadores!E:E, MATCH(baseData, Indicadores!A:A, 0)))</f>
        <v>5486.52</v>
      </c>
      <c r="E67" s="393">
        <f t="shared" ca="1" si="60"/>
        <v>39233002.377940021</v>
      </c>
      <c r="G67" s="397">
        <f>IF(tipoCarteira="Carteira",INDEX('M-FLUXO DE CAIXA'!$W:$W, MATCH($A67, 'M-FLUXO DE CAIXA'!$V:$V, 0)),IF(DATEDIF(baseData,$A67,"m")&lt;=prazoRepasseCarteira,vlrCarteira/prazoRepasseCarteira,0))+IF(DATEDIF(baseData,$A67,"m")&lt;=curvaInad,vlrInad/curvaInad*(1-PDD),0)</f>
        <v>25791.28303870076</v>
      </c>
      <c r="H67" s="390">
        <f>IF($A67&gt;baseData, SUMPRODUCT('Tabela Vendas'!$R:$R,'Tabela Vendas'!$V:$V)*INDEX(Curvas!$Z:$Z,MATCH($A67,Curvas!$B:$B,0)), 0)</f>
        <v>304138.91233736015</v>
      </c>
      <c r="I67" s="390">
        <f>IFERROR(INDEX(Permutas!AJ:AJ, MATCH('Fluxo Projeto'!A67, Permutas!N:N, 0)), 0)</f>
        <v>0</v>
      </c>
      <c r="J67" s="390">
        <v>0</v>
      </c>
      <c r="K67" s="393">
        <f t="shared" si="62"/>
        <v>329930.1953760609</v>
      </c>
      <c r="M67" s="400">
        <f>IF($A67&lt;=baseData,INDEX('LDI - Fluxo de Caixa'!$BD$18:$BT$374,MATCH('Fluxo Projeto'!$A67,'LDI - Fluxo de Caixa'!$C$18:$C$374,0),MATCH('Fluxo Projeto'!M$1,'LDI - Fluxo de Caixa'!$BD$14:$BT$14,0)),-pctImpostoSPE*K66)</f>
        <v>-1181243.9389385909</v>
      </c>
      <c r="N67" s="415">
        <f ca="1">IF($A67&lt;=baseData,INDEX('LDI - Fluxo de Caixa'!$BD$18:$BT$374,MATCH($A67,'LDI - Fluxo de Caixa'!$C$18:$C$374,0),MATCH('Fluxo Projeto'!N$1,'LDI - Fluxo de Caixa'!$BD$14:$BT$14,0)),INDEX(Obra!AA:AA,MATCH($A67,Obra!F:F,0)))</f>
        <v>0</v>
      </c>
      <c r="O67" s="415">
        <f>IF($A67&lt;=baseData,INDEX('LDI - Fluxo de Caixa'!$BD$18:$BT$374,MATCH($A67,'LDI - Fluxo de Caixa'!$C$18:$C$374,0),MATCH('Fluxo Projeto'!O$1,'LDI - Fluxo de Caixa'!$BD$14:$BT$14,0)),IF($A67=entrega,assistTecnicaObra*SUM($N$2:$N$86),0))</f>
        <v>0</v>
      </c>
      <c r="P67" s="415">
        <f ca="1">IF($A67&lt;=baseData, INDEX('LDI - Fluxo de Caixa'!$BD$18:$BT$374, MATCH('Fluxo Projeto'!$A67, 'LDI - Fluxo de Caixa'!$C$18:$C$374, 0), MATCH('Fluxo Projeto'!P$1, 'LDI - Fluxo de Caixa'!$BD$14:$BT$14, 0)), -IF($A67&gt;=entrega, INDEX(Curvas!R:R,MATCH($A67,Curvas!B:B,0))*(IPTU+condominio)*'Tabela Vendas'!$Y$22, 0))</f>
        <v>-91210.409367585249</v>
      </c>
      <c r="Q67" s="415">
        <f>IF($A67&lt;=baseData, INDEX('LDI - Fluxo de Caixa'!$BD$18:$BT$374, MATCH('Fluxo Projeto'!$A67, 'LDI - Fluxo de Caixa'!$C$18:$C$374, 0), MATCH('Fluxo Projeto'!Q$1, 'LDI - Fluxo de Caixa'!$BD$14:$BT$14, 0)), (-pctIncorporaçaoSPE*SUM($G$4:$H$86)-SUMIF($A$4:$A$86, "&lt;="&amp;baseData, Q$4:Q$86))*(SUM($G67:$H67)/(SUMIF($A$4:$A$86, "&gt;"&amp;baseData, $G$4:$G$86)+SUMIF($A$4:$A$86, "&gt;"&amp;baseData, $H$4:$H$86))))</f>
        <v>-2484.5587297208308</v>
      </c>
      <c r="R67" s="415">
        <f>IF($A67&lt;=baseData, INDEX('LDI - Fluxo de Caixa'!$BD$18:$BT$374, MATCH('Fluxo Projeto'!$A67, 'LDI - Fluxo de Caixa'!$C$18:$C$374, 0), MATCH('Fluxo Projeto'!R$1, 'LDI - Fluxo de Caixa'!$BD$14:$BT$14, 0)), (-pctMarketingSPE*SUM($G$4:$H$86)-SUMIF($A$4:$A$86, "&lt;="&amp;baseData, R$4:R$86))*(SUM($G67:$H67)/(SUMIF($A$4:$A$86, "&gt;"&amp;baseData, $G$4:$G$86)+SUMIF($A$4:$A$86, "&gt;"&amp;baseData, $H$4:$H$86))))</f>
        <v>-4743.0840956676011</v>
      </c>
      <c r="S67" s="415">
        <f>IF($A67&lt;=baseData,INDEX('LDI - Fluxo de Caixa'!$BD$18:$BT$374,MATCH($A67,'LDI - Fluxo de Caixa'!$C$18:$C$374,0),MATCH(S$1,'LDI - Fluxo de Caixa'!$BD$14:$BT$14,0)),-pctGestaoSPE*K66)</f>
        <v>-885932.95420394314</v>
      </c>
      <c r="T67" s="415">
        <f>IF($A67&lt;=baseData, INDEX('LDI - Fluxo de Caixa'!$BD$18:$BT$374, MATCH('Fluxo Projeto'!$A67, 'LDI - Fluxo de Caixa'!$C$18:$C$374, 0), MATCH('Fluxo Projeto'!T$1, 'LDI - Fluxo de Caixa'!$BD$14:$BT$14, 0)), (-pctOutrasSPE*SUM($G$4:$H$86)-SUMIF($A$4:$A$86, "&lt;="&amp;baseData, T$4:T$86))*(SUM($G67:$H67)/(SUMIF($A$4:$A$86, "&gt;"&amp;baseData, $G$4:$G$86)+SUMIF($A$4:$A$86, "&gt;"&amp;baseData, $H$4:$H$86))))</f>
        <v>-1503.6874041361475</v>
      </c>
      <c r="U67" s="398">
        <f>IF($A67&lt;=baseData, INDEX('LDI - Fluxo de Caixa'!$BD$18:$BT$374, MATCH('Fluxo Projeto'!$A67, 'LDI - Fluxo de Caixa'!$C$18:$C$374, 0), MATCH('Fluxo Projeto'!U$1, 'LDI - Fluxo de Caixa'!$BD$14:$BT$14, 0)), 0)</f>
        <v>0</v>
      </c>
      <c r="V67" s="393">
        <f t="shared" ca="1" si="63"/>
        <v>-2167118.632739644</v>
      </c>
      <c r="X67" s="416">
        <v>0</v>
      </c>
      <c r="Y67" s="417">
        <v>0</v>
      </c>
      <c r="AA67" s="400">
        <f>INDEX('LDI - Fluxo de Caixa'!$BD$18:$BT$374, MATCH('Fluxo Projeto'!$A67, 'LDI - Fluxo de Caixa'!$C$18:$C$374, 0), MATCH('Fluxo Projeto'!AA$1, 'LDI - Fluxo de Caixa'!$BD$14:$BT$14, 0))</f>
        <v>0</v>
      </c>
      <c r="AB67" s="417">
        <v>0</v>
      </c>
      <c r="AD67" s="393">
        <f t="shared" ca="1" si="64"/>
        <v>-1837188.4373635831</v>
      </c>
      <c r="AF67" s="393">
        <f ca="1">IF($A67&lt;=baseData, INDEX('LDI - Fluxo de Caixa'!$BD$18:$BT$374, MATCH('Fluxo Projeto'!$A67, 'LDI - Fluxo de Caixa'!$C$18:$C$374, 0), MATCH('Fluxo Projeto'!AF$1, 'LDI - Fluxo de Caixa'!$BD$14:$BT$14, 0)), $E67*CDI)</f>
        <v>-8633.9531964744201</v>
      </c>
      <c r="AH67" s="393">
        <f t="shared" ca="1" si="65"/>
        <v>37387179.987379968</v>
      </c>
      <c r="AJ67" s="397">
        <f>IF($A67&lt;=baseData, INDEX('LDI - Fluxo de Caixa'!$BD$18:$BT$374, MATCH($A67, 'LDI - Fluxo de Caixa'!$C$18:$C$374, 0), MATCH(AJ$1, 'LDI - Fluxo de Caixa'!$BD$14:$BT$14, 0))-J67-I67, IF($A67&lt;inicioDistribuicoes,-IF(AH67&lt;cxMinSPEpreObra,IF(SUM($AD68:$AD79)-cxMinSPEpreObra+AH67&lt;0,SUM($AD68:$AD79)-cxMinSPEpreObra+AH67,IF(AH67&lt;0, AH67-cxMinSPEpreObra, 0)),0), 0))</f>
        <v>0</v>
      </c>
      <c r="AK67" s="398">
        <f t="shared" ca="1" si="39"/>
        <v>-36887179.987379968</v>
      </c>
      <c r="AM67" s="393">
        <f t="shared" ca="1" si="66"/>
        <v>500000</v>
      </c>
      <c r="AO67" s="393">
        <f t="shared" ca="1" si="61"/>
        <v>500000</v>
      </c>
      <c r="AQ67" s="397">
        <f t="shared" ca="1" si="67"/>
        <v>36887179.987379968</v>
      </c>
      <c r="AR67" s="398">
        <f t="shared" ref="AR67:AR98" ca="1" si="69">+AR66+AQ67</f>
        <v>1423332.278372772</v>
      </c>
      <c r="AT67" s="393">
        <f t="shared" ref="AT67:AT86" ca="1" si="70">AQ67*IF(A67&gt;baseData,1,ipcaData/C67)</f>
        <v>36887179.987379968</v>
      </c>
      <c r="AV67" s="397">
        <f t="shared" si="40"/>
        <v>31.657360232405214</v>
      </c>
      <c r="AW67" s="390">
        <f t="shared" si="41"/>
        <v>373.31353752770667</v>
      </c>
      <c r="AX67" s="390">
        <f t="shared" si="42"/>
        <v>0</v>
      </c>
      <c r="AY67" s="390">
        <f t="shared" si="43"/>
        <v>0</v>
      </c>
      <c r="AZ67" s="393">
        <f t="shared" si="44"/>
        <v>404.97089776011188</v>
      </c>
      <c r="BA67" s="371"/>
      <c r="BB67" s="400">
        <f t="shared" si="45"/>
        <v>-1449.9109967197669</v>
      </c>
      <c r="BC67" s="415">
        <f t="shared" ca="1" si="46"/>
        <v>0</v>
      </c>
      <c r="BD67" s="415">
        <f t="shared" si="47"/>
        <v>0</v>
      </c>
      <c r="BE67" s="415">
        <f t="shared" ca="1" si="48"/>
        <v>-111.95568603399929</v>
      </c>
      <c r="BF67" s="415">
        <f t="shared" si="49"/>
        <v>-3.0496571499492831</v>
      </c>
      <c r="BG67" s="415">
        <f t="shared" si="50"/>
        <v>-5.8218709632952468</v>
      </c>
      <c r="BH67" s="415">
        <f t="shared" si="51"/>
        <v>-1087.4332475398253</v>
      </c>
      <c r="BI67" s="415">
        <f t="shared" si="52"/>
        <v>-1.8456923511032237</v>
      </c>
      <c r="BJ67" s="398">
        <f t="shared" si="53"/>
        <v>0</v>
      </c>
      <c r="BK67" s="393">
        <f t="shared" ca="1" si="54"/>
        <v>-2660.0171507579389</v>
      </c>
      <c r="BL67" s="371"/>
      <c r="BM67" s="400">
        <f t="shared" si="55"/>
        <v>0</v>
      </c>
      <c r="BN67" s="401">
        <f t="shared" si="56"/>
        <v>0</v>
      </c>
      <c r="BO67" s="371"/>
      <c r="BP67" s="400">
        <f t="shared" si="57"/>
        <v>0</v>
      </c>
      <c r="BQ67" s="401">
        <f t="shared" si="58"/>
        <v>0</v>
      </c>
      <c r="BR67" s="371"/>
      <c r="BS67" s="393">
        <f t="shared" ca="1" si="59"/>
        <v>-10.597695591971066</v>
      </c>
    </row>
    <row r="68" spans="1:71" x14ac:dyDescent="0.25">
      <c r="A68" s="197">
        <f t="shared" si="68"/>
        <v>45078</v>
      </c>
      <c r="B68" s="388">
        <f>IF($A68&lt;=baseData, INDEX(Indicadores!B:B, MATCH($A68,Indicadores!A:A, 0)), INDEX(Indicadores!B:B, MATCH(baseData,Indicadores!A:A, 0)))</f>
        <v>839.38199999999995</v>
      </c>
      <c r="C68" s="389">
        <f>IF($A68&lt;=baseData, INDEX(Indicadores!E:E, MATCH($A68, Indicadores!A:A, 0)), INDEX(Indicadores!E:E, MATCH(baseData, Indicadores!A:A, 0)))</f>
        <v>5486.52</v>
      </c>
      <c r="E68" s="393">
        <f t="shared" ca="1" si="60"/>
        <v>500000</v>
      </c>
      <c r="G68" s="397">
        <f>IF(tipoCarteira="Carteira",INDEX('M-FLUXO DE CAIXA'!$W:$W, MATCH($A68, 'M-FLUXO DE CAIXA'!$V:$V, 0)),IF(DATEDIF(baseData,$A68,"m")&lt;=prazoRepasseCarteira,vlrCarteira/prazoRepasseCarteira,0))+IF(DATEDIF(baseData,$A68,"m")&lt;=curvaInad,vlrInad/curvaInad*(1-PDD),0)</f>
        <v>25791.28303870076</v>
      </c>
      <c r="H68" s="390">
        <f>IF($A68&gt;baseData, SUMPRODUCT('Tabela Vendas'!$R:$R,'Tabela Vendas'!$V:$V)*INDEX(Curvas!$Z:$Z,MATCH($A68,Curvas!$B:$B,0)), 0)</f>
        <v>456208.36850604025</v>
      </c>
      <c r="I68" s="390">
        <f>IFERROR(INDEX(Permutas!AJ:AJ, MATCH('Fluxo Projeto'!A68, Permutas!N:N, 0)), 0)</f>
        <v>0</v>
      </c>
      <c r="J68" s="390">
        <v>0</v>
      </c>
      <c r="K68" s="393">
        <f t="shared" si="62"/>
        <v>481999.65154474101</v>
      </c>
      <c r="M68" s="400">
        <f>IF($A68&lt;=baseData,INDEX('LDI - Fluxo de Caixa'!$BD$18:$BT$374,MATCH('Fluxo Projeto'!$A68,'LDI - Fluxo de Caixa'!$C$18:$C$374,0),MATCH('Fluxo Projeto'!M$1,'LDI - Fluxo de Caixa'!$BD$14:$BT$14,0)),-pctImpostoSPE*K67)</f>
        <v>-13197.207815042437</v>
      </c>
      <c r="N68" s="415">
        <f ca="1">IF($A68&lt;=baseData,INDEX('LDI - Fluxo de Caixa'!$BD$18:$BT$374,MATCH($A68,'LDI - Fluxo de Caixa'!$C$18:$C$374,0),MATCH('Fluxo Projeto'!N$1,'LDI - Fluxo de Caixa'!$BD$14:$BT$14,0)),INDEX(Obra!AA:AA,MATCH($A68,Obra!F:F,0)))</f>
        <v>0</v>
      </c>
      <c r="O68" s="415">
        <f>IF($A68&lt;=baseData,INDEX('LDI - Fluxo de Caixa'!$BD$18:$BT$374,MATCH($A68,'LDI - Fluxo de Caixa'!$C$18:$C$374,0),MATCH('Fluxo Projeto'!O$1,'LDI - Fluxo de Caixa'!$BD$14:$BT$14,0)),IF($A68=entrega,assistTecnicaObra*SUM($N$2:$N$86),0))</f>
        <v>0</v>
      </c>
      <c r="P68" s="415">
        <f ca="1">IF($A68&lt;=baseData, INDEX('LDI - Fluxo de Caixa'!$BD$18:$BT$374, MATCH('Fluxo Projeto'!$A68, 'LDI - Fluxo de Caixa'!$C$18:$C$374, 0), MATCH('Fluxo Projeto'!P$1, 'LDI - Fluxo de Caixa'!$BD$14:$BT$14, 0)), -IF($A68&gt;=entrega, INDEX(Curvas!R:R,MATCH($A68,Curvas!B:B,0))*(IPTU+condominio)*'Tabela Vendas'!$Y$22, 0))</f>
        <v>-91210.409367585249</v>
      </c>
      <c r="Q68" s="415">
        <f>IF($A68&lt;=baseData, INDEX('LDI - Fluxo de Caixa'!$BD$18:$BT$374, MATCH('Fluxo Projeto'!$A68, 'LDI - Fluxo de Caixa'!$C$18:$C$374, 0), MATCH('Fluxo Projeto'!Q$1, 'LDI - Fluxo de Caixa'!$BD$14:$BT$14, 0)), (-pctIncorporaçaoSPE*SUM($G$4:$H$86)-SUMIF($A$4:$A$86, "&lt;="&amp;baseData, Q$4:Q$86))*(SUM($G68:$H68)/(SUMIF($A$4:$A$86, "&gt;"&amp;baseData, $G$4:$G$86)+SUMIF($A$4:$A$86, "&gt;"&amp;baseData, $H$4:$H$86))))</f>
        <v>-3629.726708108321</v>
      </c>
      <c r="R68" s="415">
        <f>IF($A68&lt;=baseData, INDEX('LDI - Fluxo de Caixa'!$BD$18:$BT$374, MATCH('Fluxo Projeto'!$A68, 'LDI - Fluxo de Caixa'!$C$18:$C$374, 0), MATCH('Fluxo Projeto'!R$1, 'LDI - Fluxo de Caixa'!$BD$14:$BT$14, 0)), (-pctMarketingSPE*SUM($G$4:$H$86)-SUMIF($A$4:$A$86, "&lt;="&amp;baseData, R$4:R$86))*(SUM($G68:$H68)/(SUMIF($A$4:$A$86, "&gt;"&amp;baseData, $G$4:$G$86)+SUMIF($A$4:$A$86, "&gt;"&amp;baseData, $H$4:$H$86))))</f>
        <v>-6929.2381036945444</v>
      </c>
      <c r="S68" s="415">
        <f>IF($A68&lt;=baseData,INDEX('LDI - Fluxo de Caixa'!$BD$18:$BT$374,MATCH($A68,'LDI - Fluxo de Caixa'!$C$18:$C$374,0),MATCH(S$1,'LDI - Fluxo de Caixa'!$BD$14:$BT$14,0)),-pctGestaoSPE*K67)</f>
        <v>-9897.9058612818262</v>
      </c>
      <c r="T68" s="415">
        <f>IF($A68&lt;=baseData, INDEX('LDI - Fluxo de Caixa'!$BD$18:$BT$374, MATCH('Fluxo Projeto'!$A68, 'LDI - Fluxo de Caixa'!$C$18:$C$374, 0), MATCH('Fluxo Projeto'!T$1, 'LDI - Fluxo de Caixa'!$BD$14:$BT$14, 0)), (-pctOutrasSPE*SUM($G$4:$H$86)-SUMIF($A$4:$A$86, "&lt;="&amp;baseData, T$4:T$86))*(SUM($G68:$H68)/(SUMIF($A$4:$A$86, "&gt;"&amp;baseData, $G$4:$G$86)+SUMIF($A$4:$A$86, "&gt;"&amp;baseData, $H$4:$H$86))))</f>
        <v>-2196.7580263447076</v>
      </c>
      <c r="U68" s="398">
        <f>IF($A68&lt;=baseData, INDEX('LDI - Fluxo de Caixa'!$BD$18:$BT$374, MATCH('Fluxo Projeto'!$A68, 'LDI - Fluxo de Caixa'!$C$18:$C$374, 0), MATCH('Fluxo Projeto'!U$1, 'LDI - Fluxo de Caixa'!$BD$14:$BT$14, 0)), 0)</f>
        <v>0</v>
      </c>
      <c r="V68" s="393">
        <f t="shared" ca="1" si="63"/>
        <v>-127061.24588205709</v>
      </c>
      <c r="X68" s="416">
        <v>0</v>
      </c>
      <c r="Y68" s="417">
        <v>0</v>
      </c>
      <c r="AA68" s="400">
        <f>INDEX('LDI - Fluxo de Caixa'!$BD$18:$BT$374, MATCH('Fluxo Projeto'!$A68, 'LDI - Fluxo de Caixa'!$C$18:$C$374, 0), MATCH('Fluxo Projeto'!AA$1, 'LDI - Fluxo de Caixa'!$BD$14:$BT$14, 0))</f>
        <v>0</v>
      </c>
      <c r="AB68" s="417">
        <v>0</v>
      </c>
      <c r="AD68" s="393">
        <f t="shared" ca="1" si="64"/>
        <v>354938.40566268389</v>
      </c>
      <c r="AF68" s="393">
        <f ca="1">IF($A68&lt;=baseData, INDEX('LDI - Fluxo de Caixa'!$BD$18:$BT$374, MATCH('Fluxo Projeto'!$A68, 'LDI - Fluxo de Caixa'!$C$18:$C$374, 0), MATCH('Fluxo Projeto'!AF$1, 'LDI - Fluxo de Caixa'!$BD$14:$BT$14, 0)), $E68*CDI)</f>
        <v>-110.03431643214145</v>
      </c>
      <c r="AH68" s="393">
        <f t="shared" ca="1" si="65"/>
        <v>854828.37134625169</v>
      </c>
      <c r="AJ68" s="397">
        <f>IF($A68&lt;=baseData, INDEX('LDI - Fluxo de Caixa'!$BD$18:$BT$374, MATCH($A68, 'LDI - Fluxo de Caixa'!$C$18:$C$374, 0), MATCH(AJ$1, 'LDI - Fluxo de Caixa'!$BD$14:$BT$14, 0))-J68-I68, IF($A68&lt;inicioDistribuicoes,-IF(AH68&lt;cxMinSPEpreObra,IF(SUM($AD69:$AD80)-cxMinSPEpreObra+AH68&lt;0,SUM($AD69:$AD80)-cxMinSPEpreObra+AH68,IF(AH68&lt;0, AH68-cxMinSPEpreObra, 0)),0), 0))</f>
        <v>0</v>
      </c>
      <c r="AK68" s="398">
        <f t="shared" ref="AK68:AK99" ca="1" si="71">IF(AJ68=0,IF(OR(A68&lt;inicioDistribuicoes,A68&gt;terminoProjeto),0,IF(A68=terminoProjeto,-AH68,IF(AH68&gt;(cxMinSPEposObra+distMin),cxMinSPEposObra-AH68,0))),0)</f>
        <v>-354828.37134625169</v>
      </c>
      <c r="AM68" s="393">
        <f t="shared" ca="1" si="66"/>
        <v>500000</v>
      </c>
      <c r="AO68" s="393">
        <f t="shared" ca="1" si="61"/>
        <v>500000</v>
      </c>
      <c r="AQ68" s="397">
        <f t="shared" ca="1" si="67"/>
        <v>354828.37134625169</v>
      </c>
      <c r="AR68" s="398">
        <f t="shared" ca="1" si="69"/>
        <v>1778160.6497190236</v>
      </c>
      <c r="AT68" s="393">
        <f t="shared" ca="1" si="70"/>
        <v>354828.37134625169</v>
      </c>
      <c r="AV68" s="397">
        <f t="shared" ref="AV68:AV86" si="72">IF($A68&lt;baseData, G68/$B68, G68/inccD2)</f>
        <v>31.657360232405214</v>
      </c>
      <c r="AW68" s="390">
        <f t="shared" ref="AW68:AW86" si="73">IF($A68&lt;baseData, H68/$B68, H68/inccD2)</f>
        <v>559.97030629156006</v>
      </c>
      <c r="AX68" s="390">
        <f t="shared" ref="AX68:AX86" si="74">IF($A68&lt;baseData, I68/$B68, I68/inccD2)</f>
        <v>0</v>
      </c>
      <c r="AY68" s="390">
        <f t="shared" ref="AY68:AY86" si="75">IF($A68&lt;baseData, J68/$B68, J68/inccD2)</f>
        <v>0</v>
      </c>
      <c r="AZ68" s="393">
        <f t="shared" ref="AZ68:AZ99" si="76">SUM(AV68:AY68)</f>
        <v>591.62766652396533</v>
      </c>
      <c r="BA68" s="371"/>
      <c r="BB68" s="400">
        <f t="shared" ref="BB68:BB86" si="77">IF($A68&lt;baseData, M68/$B68, M68/inccD2)</f>
        <v>-16.198835910404476</v>
      </c>
      <c r="BC68" s="415">
        <f t="shared" ref="BC68:BC86" ca="1" si="78">IF($A68&lt;baseData, N68/$B68, N68/inccD2)</f>
        <v>0</v>
      </c>
      <c r="BD68" s="415">
        <f t="shared" ref="BD68:BD86" si="79">IF($A68&lt;baseData, O68/$B68, O68/inccD2)</f>
        <v>0</v>
      </c>
      <c r="BE68" s="415">
        <f t="shared" ref="BE68:BE86" ca="1" si="80">IF($A68&lt;baseData, P68/$B68, P68/inccD2)</f>
        <v>-111.95568603399929</v>
      </c>
      <c r="BF68" s="415">
        <f t="shared" ref="BF68:BF86" si="81">IF($A68&lt;baseData, Q68/$B68, Q68/inccD2)</f>
        <v>-4.45528691889211</v>
      </c>
      <c r="BG68" s="415">
        <f t="shared" ref="BG68:BG86" si="82">IF($A68&lt;baseData, R68/$B68, R68/inccD2)</f>
        <v>-8.5052529746428984</v>
      </c>
      <c r="BH68" s="415">
        <f t="shared" ref="BH68:BH86" si="83">IF($A68&lt;baseData, S68/$B68, S68/inccD2)</f>
        <v>-12.149126932803355</v>
      </c>
      <c r="BI68" s="415">
        <f t="shared" ref="BI68:BI86" si="84">IF($A68&lt;baseData, T68/$B68, T68/inccD2)</f>
        <v>-2.6963978519048184</v>
      </c>
      <c r="BJ68" s="398">
        <f t="shared" ref="BJ68:BJ86" si="85">IF($A68&lt;baseData, U68/$B68, U68/inccD2)</f>
        <v>0</v>
      </c>
      <c r="BK68" s="393">
        <f t="shared" ref="BK68:BK99" ca="1" si="86">SUM(BB68:BJ68)</f>
        <v>-155.96058662264693</v>
      </c>
      <c r="BL68" s="371"/>
      <c r="BM68" s="400">
        <f t="shared" ref="BM68:BM86" si="87">IF($A68&lt;baseData, X68/$B68, X68/inccD2)</f>
        <v>0</v>
      </c>
      <c r="BN68" s="401">
        <f t="shared" ref="BN68:BN86" si="88">IF($A68&lt;baseData, Y68/$B68, Y68/inccD2)</f>
        <v>0</v>
      </c>
      <c r="BO68" s="371"/>
      <c r="BP68" s="400">
        <f t="shared" ref="BP68:BP86" si="89">IF($A68&lt;baseData, AA68/$B68, AA68/inccD2)</f>
        <v>0</v>
      </c>
      <c r="BQ68" s="401">
        <f t="shared" ref="BQ68:BQ86" si="90">IF($A68&lt;baseData, AB68/$B68, AB68/inccD2)</f>
        <v>0</v>
      </c>
      <c r="BR68" s="371"/>
      <c r="BS68" s="393">
        <f t="shared" ref="BS68:BS86" ca="1" si="91">IF($A68&lt;baseData, AF68/$B68, AF68/inccD2)</f>
        <v>-0.13506098118468179</v>
      </c>
    </row>
    <row r="69" spans="1:71" x14ac:dyDescent="0.25">
      <c r="A69" s="197">
        <f t="shared" si="68"/>
        <v>45108</v>
      </c>
      <c r="B69" s="388">
        <f>IF($A69&lt;=baseData, INDEX(Indicadores!B:B, MATCH($A69,Indicadores!A:A, 0)), INDEX(Indicadores!B:B, MATCH(baseData,Indicadores!A:A, 0)))</f>
        <v>839.38199999999995</v>
      </c>
      <c r="C69" s="389">
        <f>IF($A69&lt;=baseData, INDEX(Indicadores!E:E, MATCH($A69, Indicadores!A:A, 0)), INDEX(Indicadores!E:E, MATCH(baseData, Indicadores!A:A, 0)))</f>
        <v>5486.52</v>
      </c>
      <c r="E69" s="393">
        <f t="shared" ref="E69:E86" ca="1" si="92">AO68</f>
        <v>500000</v>
      </c>
      <c r="G69" s="397">
        <f>IF(tipoCarteira="Carteira",INDEX('M-FLUXO DE CAIXA'!$W:$W, MATCH($A69, 'M-FLUXO DE CAIXA'!$V:$V, 0)),IF(DATEDIF(baseData,$A69,"m")&lt;=prazoRepasseCarteira,vlrCarteira/prazoRepasseCarteira,0))+IF(DATEDIF(baseData,$A69,"m")&lt;=curvaInad,vlrInad/curvaInad*(1-PDD),0)</f>
        <v>5169.0889452769752</v>
      </c>
      <c r="H69" s="390">
        <f>IF($A69&gt;baseData, SUMPRODUCT('Tabela Vendas'!$R:$R,'Tabela Vendas'!$V:$V)*INDEX(Curvas!$Z:$Z,MATCH($A69,Curvas!$B:$B,0)), 0)</f>
        <v>6691056.0714219194</v>
      </c>
      <c r="I69" s="390">
        <f>IFERROR(INDEX(Permutas!AJ:AJ, MATCH('Fluxo Projeto'!A69, Permutas!N:N, 0)), 0)</f>
        <v>0</v>
      </c>
      <c r="J69" s="390">
        <v>0</v>
      </c>
      <c r="K69" s="393">
        <f t="shared" si="62"/>
        <v>6696225.1603671964</v>
      </c>
      <c r="M69" s="400">
        <f>IF($A69&lt;=baseData,INDEX('LDI - Fluxo de Caixa'!$BD$18:$BT$374,MATCH('Fluxo Projeto'!$A69,'LDI - Fluxo de Caixa'!$C$18:$C$374,0),MATCH('Fluxo Projeto'!M$1,'LDI - Fluxo de Caixa'!$BD$14:$BT$14,0)),-pctImpostoSPE*K68)</f>
        <v>-19279.986061789641</v>
      </c>
      <c r="N69" s="415">
        <f ca="1">IF($A69&lt;=baseData,INDEX('LDI - Fluxo de Caixa'!$BD$18:$BT$374,MATCH($A69,'LDI - Fluxo de Caixa'!$C$18:$C$374,0),MATCH('Fluxo Projeto'!N$1,'LDI - Fluxo de Caixa'!$BD$14:$BT$14,0)),INDEX(Obra!AA:AA,MATCH($A69,Obra!F:F,0)))</f>
        <v>0</v>
      </c>
      <c r="O69" s="415">
        <f>IF($A69&lt;=baseData,INDEX('LDI - Fluxo de Caixa'!$BD$18:$BT$374,MATCH($A69,'LDI - Fluxo de Caixa'!$C$18:$C$374,0),MATCH('Fluxo Projeto'!O$1,'LDI - Fluxo de Caixa'!$BD$14:$BT$14,0)),IF($A69=entrega,assistTecnicaObra*SUM($N$2:$N$86),0))</f>
        <v>0</v>
      </c>
      <c r="P69" s="415">
        <f ca="1">IF($A69&lt;=baseData, INDEX('LDI - Fluxo de Caixa'!$BD$18:$BT$374, MATCH('Fluxo Projeto'!$A69, 'LDI - Fluxo de Caixa'!$C$18:$C$374, 0), MATCH('Fluxo Projeto'!P$1, 'LDI - Fluxo de Caixa'!$BD$14:$BT$14, 0)), -IF($A69&gt;=entrega, INDEX(Curvas!R:R,MATCH($A69,Curvas!B:B,0))*(IPTU+condominio)*'Tabela Vendas'!$Y$22, 0))</f>
        <v>-91210.409367585249</v>
      </c>
      <c r="Q69" s="415">
        <f>IF($A69&lt;=baseData, INDEX('LDI - Fluxo de Caixa'!$BD$18:$BT$374, MATCH('Fluxo Projeto'!$A69, 'LDI - Fluxo de Caixa'!$C$18:$C$374, 0), MATCH('Fluxo Projeto'!Q$1, 'LDI - Fluxo de Caixa'!$BD$14:$BT$14, 0)), (-pctIncorporaçaoSPE*SUM($G$4:$H$86)-SUMIF($A$4:$A$86, "&lt;="&amp;baseData, Q$4:Q$86))*(SUM($G69:$H69)/(SUMIF($A$4:$A$86, "&gt;"&amp;baseData, $G$4:$G$86)+SUMIF($A$4:$A$86, "&gt;"&amp;baseData, $H$4:$H$86))))</f>
        <v>-50426.317177193254</v>
      </c>
      <c r="R69" s="415">
        <f>IF($A69&lt;=baseData, INDEX('LDI - Fluxo de Caixa'!$BD$18:$BT$374, MATCH('Fluxo Projeto'!$A69, 'LDI - Fluxo de Caixa'!$C$18:$C$374, 0), MATCH('Fluxo Projeto'!R$1, 'LDI - Fluxo de Caixa'!$BD$14:$BT$14, 0)), (-pctMarketingSPE*SUM($G$4:$H$86)-SUMIF($A$4:$A$86, "&lt;="&amp;baseData, R$4:R$86))*(SUM($G69:$H69)/(SUMIF($A$4:$A$86, "&gt;"&amp;baseData, $G$4:$G$86)+SUMIF($A$4:$A$86, "&gt;"&amp;baseData, $H$4:$H$86))))</f>
        <v>-96265.087295042351</v>
      </c>
      <c r="S69" s="415">
        <f>IF($A69&lt;=baseData,INDEX('LDI - Fluxo de Caixa'!$BD$18:$BT$374,MATCH($A69,'LDI - Fluxo de Caixa'!$C$18:$C$374,0),MATCH(S$1,'LDI - Fluxo de Caixa'!$BD$14:$BT$14,0)),-pctGestaoSPE*K68)</f>
        <v>-14459.989546342229</v>
      </c>
      <c r="T69" s="415">
        <f>IF($A69&lt;=baseData, INDEX('LDI - Fluxo de Caixa'!$BD$18:$BT$374, MATCH('Fluxo Projeto'!$A69, 'LDI - Fluxo de Caixa'!$C$18:$C$374, 0), MATCH('Fluxo Projeto'!T$1, 'LDI - Fluxo de Caixa'!$BD$14:$BT$14, 0)), (-pctOutrasSPE*SUM($G$4:$H$86)-SUMIF($A$4:$A$86, "&lt;="&amp;baseData, T$4:T$86))*(SUM($G69:$H69)/(SUMIF($A$4:$A$86, "&gt;"&amp;baseData, $G$4:$G$86)+SUMIF($A$4:$A$86, "&gt;"&amp;baseData, $H$4:$H$86))))</f>
        <v>-30518.665978501394</v>
      </c>
      <c r="U69" s="398">
        <f>IF($A69&lt;=baseData, INDEX('LDI - Fluxo de Caixa'!$BD$18:$BT$374, MATCH('Fluxo Projeto'!$A69, 'LDI - Fluxo de Caixa'!$C$18:$C$374, 0), MATCH('Fluxo Projeto'!U$1, 'LDI - Fluxo de Caixa'!$BD$14:$BT$14, 0)), 0)</f>
        <v>0</v>
      </c>
      <c r="V69" s="393">
        <f t="shared" ca="1" si="63"/>
        <v>-302160.45542645408</v>
      </c>
      <c r="X69" s="416">
        <v>0</v>
      </c>
      <c r="Y69" s="417">
        <v>0</v>
      </c>
      <c r="AA69" s="400">
        <f>INDEX('LDI - Fluxo de Caixa'!$BD$18:$BT$374, MATCH('Fluxo Projeto'!$A69, 'LDI - Fluxo de Caixa'!$C$18:$C$374, 0), MATCH('Fluxo Projeto'!AA$1, 'LDI - Fluxo de Caixa'!$BD$14:$BT$14, 0))</f>
        <v>0</v>
      </c>
      <c r="AB69" s="417">
        <v>0</v>
      </c>
      <c r="AD69" s="393">
        <f t="shared" ca="1" si="64"/>
        <v>6394064.7049407419</v>
      </c>
      <c r="AF69" s="393">
        <f ca="1">IF($A69&lt;=baseData, INDEX('LDI - Fluxo de Caixa'!$BD$18:$BT$374, MATCH('Fluxo Projeto'!$A69, 'LDI - Fluxo de Caixa'!$C$18:$C$374, 0), MATCH('Fluxo Projeto'!AF$1, 'LDI - Fluxo de Caixa'!$BD$14:$BT$14, 0)), $E69*CDI)</f>
        <v>-110.03431643214145</v>
      </c>
      <c r="AH69" s="393">
        <f t="shared" ca="1" si="65"/>
        <v>6893954.6706243102</v>
      </c>
      <c r="AJ69" s="397">
        <f>IF($A69&lt;=baseData, INDEX('LDI - Fluxo de Caixa'!$BD$18:$BT$374, MATCH($A69, 'LDI - Fluxo de Caixa'!$C$18:$C$374, 0), MATCH(AJ$1, 'LDI - Fluxo de Caixa'!$BD$14:$BT$14, 0))-J69-I69, IF($A69&lt;inicioDistribuicoes,-IF(AH69&lt;cxMinSPEpreObra,IF(SUM($AD70:$AD81)-cxMinSPEpreObra+AH69&lt;0,SUM($AD70:$AD81)-cxMinSPEpreObra+AH69,IF(AH69&lt;0, AH69-cxMinSPEpreObra, 0)),0), 0))</f>
        <v>0</v>
      </c>
      <c r="AK69" s="398">
        <f t="shared" ca="1" si="71"/>
        <v>-6393954.6706243102</v>
      </c>
      <c r="AM69" s="393">
        <f t="shared" ca="1" si="66"/>
        <v>500000</v>
      </c>
      <c r="AO69" s="393">
        <f t="shared" ca="1" si="61"/>
        <v>500000</v>
      </c>
      <c r="AQ69" s="397">
        <f t="shared" ca="1" si="67"/>
        <v>6393954.6706243102</v>
      </c>
      <c r="AR69" s="398">
        <f t="shared" ca="1" si="69"/>
        <v>8172115.3203433342</v>
      </c>
      <c r="AT69" s="393">
        <f t="shared" ca="1" si="70"/>
        <v>6393954.6706243102</v>
      </c>
      <c r="AV69" s="397">
        <f t="shared" si="72"/>
        <v>6.3447681361345758</v>
      </c>
      <c r="AW69" s="390">
        <f t="shared" si="73"/>
        <v>8212.8978256095415</v>
      </c>
      <c r="AX69" s="390">
        <f t="shared" si="74"/>
        <v>0</v>
      </c>
      <c r="AY69" s="390">
        <f t="shared" si="75"/>
        <v>0</v>
      </c>
      <c r="AZ69" s="393">
        <f t="shared" si="76"/>
        <v>8219.2425937456755</v>
      </c>
      <c r="BA69" s="371"/>
      <c r="BB69" s="400">
        <f t="shared" si="77"/>
        <v>-23.66510666095861</v>
      </c>
      <c r="BC69" s="415">
        <f t="shared" ca="1" si="78"/>
        <v>0</v>
      </c>
      <c r="BD69" s="415">
        <f t="shared" si="79"/>
        <v>0</v>
      </c>
      <c r="BE69" s="415">
        <f t="shared" ca="1" si="80"/>
        <v>-111.95568603399929</v>
      </c>
      <c r="BF69" s="415">
        <f t="shared" si="81"/>
        <v>-61.895489482881757</v>
      </c>
      <c r="BG69" s="415">
        <f t="shared" si="82"/>
        <v>-118.16002103230798</v>
      </c>
      <c r="BH69" s="415">
        <f t="shared" si="83"/>
        <v>-17.748829995718957</v>
      </c>
      <c r="BI69" s="415">
        <f t="shared" si="84"/>
        <v>-37.459958903329436</v>
      </c>
      <c r="BJ69" s="398">
        <f t="shared" si="85"/>
        <v>0</v>
      </c>
      <c r="BK69" s="393">
        <f t="shared" ca="1" si="86"/>
        <v>-370.88509210919597</v>
      </c>
      <c r="BL69" s="371"/>
      <c r="BM69" s="400">
        <f t="shared" si="87"/>
        <v>0</v>
      </c>
      <c r="BN69" s="401">
        <f t="shared" si="88"/>
        <v>0</v>
      </c>
      <c r="BO69" s="371"/>
      <c r="BP69" s="400">
        <f t="shared" si="89"/>
        <v>0</v>
      </c>
      <c r="BQ69" s="401">
        <f t="shared" si="90"/>
        <v>0</v>
      </c>
      <c r="BR69" s="371"/>
      <c r="BS69" s="393">
        <f t="shared" ca="1" si="91"/>
        <v>-0.13506098118468179</v>
      </c>
    </row>
    <row r="70" spans="1:71" x14ac:dyDescent="0.25">
      <c r="A70" s="197">
        <f t="shared" si="68"/>
        <v>45139</v>
      </c>
      <c r="B70" s="388">
        <f>IF($A70&lt;=baseData, INDEX(Indicadores!B:B, MATCH($A70,Indicadores!A:A, 0)), INDEX(Indicadores!B:B, MATCH(baseData,Indicadores!A:A, 0)))</f>
        <v>839.38199999999995</v>
      </c>
      <c r="C70" s="389">
        <f>IF($A70&lt;=baseData, INDEX(Indicadores!E:E, MATCH($A70, Indicadores!A:A, 0)), INDEX(Indicadores!E:E, MATCH(baseData, Indicadores!A:A, 0)))</f>
        <v>5486.52</v>
      </c>
      <c r="E70" s="393">
        <f t="shared" ca="1" si="92"/>
        <v>500000</v>
      </c>
      <c r="G70" s="397">
        <f>IF(tipoCarteira="Carteira",INDEX('M-FLUXO DE CAIXA'!$W:$W, MATCH($A70, 'M-FLUXO DE CAIXA'!$V:$V, 0)),IF(DATEDIF(baseData,$A70,"m")&lt;=prazoRepasseCarteira,vlrCarteira/prazoRepasseCarteira,0))+IF(DATEDIF(baseData,$A70,"m")&lt;=curvaInad,vlrInad/curvaInad*(1-PDD),0)</f>
        <v>8253.2105723842396</v>
      </c>
      <c r="H70" s="390">
        <f>IF($A70&gt;baseData, SUMPRODUCT('Tabela Vendas'!$R:$R,'Tabela Vendas'!$V:$V)*INDEX(Curvas!$Z:$Z,MATCH($A70,Curvas!$B:$B,0)), 0)</f>
        <v>8110370.9956629332</v>
      </c>
      <c r="I70" s="390">
        <f>IFERROR(INDEX(Permutas!AJ:AJ, MATCH('Fluxo Projeto'!A70, Permutas!N:N, 0)), 0)</f>
        <v>0</v>
      </c>
      <c r="J70" s="390">
        <v>0</v>
      </c>
      <c r="K70" s="393">
        <f t="shared" si="62"/>
        <v>8118624.2062353175</v>
      </c>
      <c r="M70" s="400">
        <f>IF($A70&lt;=baseData,INDEX('LDI - Fluxo de Caixa'!$BD$18:$BT$374,MATCH('Fluxo Projeto'!$A70,'LDI - Fluxo de Caixa'!$C$18:$C$374,0),MATCH('Fluxo Projeto'!M$1,'LDI - Fluxo de Caixa'!$BD$14:$BT$14,0)),-pctImpostoSPE*K69)</f>
        <v>-267849.00641468784</v>
      </c>
      <c r="N70" s="415">
        <f ca="1">IF($A70&lt;=baseData,INDEX('LDI - Fluxo de Caixa'!$BD$18:$BT$374,MATCH($A70,'LDI - Fluxo de Caixa'!$C$18:$C$374,0),MATCH('Fluxo Projeto'!N$1,'LDI - Fluxo de Caixa'!$BD$14:$BT$14,0)),INDEX(Obra!AA:AA,MATCH($A70,Obra!F:F,0)))</f>
        <v>0</v>
      </c>
      <c r="O70" s="415">
        <f>IF($A70&lt;=baseData,INDEX('LDI - Fluxo de Caixa'!$BD$18:$BT$374,MATCH($A70,'LDI - Fluxo de Caixa'!$C$18:$C$374,0),MATCH('Fluxo Projeto'!O$1,'LDI - Fluxo de Caixa'!$BD$14:$BT$14,0)),IF($A70=entrega,assistTecnicaObra*SUM($N$2:$N$86),0))</f>
        <v>0</v>
      </c>
      <c r="P70" s="415">
        <f ca="1">IF($A70&lt;=baseData, INDEX('LDI - Fluxo de Caixa'!$BD$18:$BT$374, MATCH('Fluxo Projeto'!$A70, 'LDI - Fluxo de Caixa'!$C$18:$C$374, 0), MATCH('Fluxo Projeto'!P$1, 'LDI - Fluxo de Caixa'!$BD$14:$BT$14, 0)), -IF($A70&gt;=entrega, INDEX(Curvas!R:R,MATCH($A70,Curvas!B:B,0))*(IPTU+condominio)*'Tabela Vendas'!$Y$22, 0))</f>
        <v>-71489.239774593836</v>
      </c>
      <c r="Q70" s="415">
        <f>IF($A70&lt;=baseData, INDEX('LDI - Fluxo de Caixa'!$BD$18:$BT$374, MATCH('Fluxo Projeto'!$A70, 'LDI - Fluxo de Caixa'!$C$18:$C$374, 0), MATCH('Fluxo Projeto'!Q$1, 'LDI - Fluxo de Caixa'!$BD$14:$BT$14, 0)), (-pctIncorporaçaoSPE*SUM($G$4:$H$86)-SUMIF($A$4:$A$86, "&lt;="&amp;baseData, Q$4:Q$86))*(SUM($G70:$H70)/(SUMIF($A$4:$A$86, "&gt;"&amp;baseData, $G$4:$G$86)+SUMIF($A$4:$A$86, "&gt;"&amp;baseData, $H$4:$H$86))))</f>
        <v>-61137.776801342116</v>
      </c>
      <c r="R70" s="415">
        <f>IF($A70&lt;=baseData, INDEX('LDI - Fluxo de Caixa'!$BD$18:$BT$374, MATCH('Fluxo Projeto'!$A70, 'LDI - Fluxo de Caixa'!$C$18:$C$374, 0), MATCH('Fluxo Projeto'!R$1, 'LDI - Fluxo de Caixa'!$BD$14:$BT$14, 0)), (-pctMarketingSPE*SUM($G$4:$H$86)-SUMIF($A$4:$A$86, "&lt;="&amp;baseData, R$4:R$86))*(SUM($G70:$H70)/(SUMIF($A$4:$A$86, "&gt;"&amp;baseData, $G$4:$G$86)+SUMIF($A$4:$A$86, "&gt;"&amp;baseData, $H$4:$H$86))))</f>
        <v>-116713.52877357996</v>
      </c>
      <c r="S70" s="415">
        <f>IF($A70&lt;=baseData,INDEX('LDI - Fluxo de Caixa'!$BD$18:$BT$374,MATCH($A70,'LDI - Fluxo de Caixa'!$C$18:$C$374,0),MATCH(S$1,'LDI - Fluxo de Caixa'!$BD$14:$BT$14,0)),-pctGestaoSPE*K69)</f>
        <v>-200886.75481101588</v>
      </c>
      <c r="T70" s="415">
        <f>IF($A70&lt;=baseData, INDEX('LDI - Fluxo de Caixa'!$BD$18:$BT$374, MATCH('Fluxo Projeto'!$A70, 'LDI - Fluxo de Caixa'!$C$18:$C$374, 0), MATCH('Fluxo Projeto'!T$1, 'LDI - Fluxo de Caixa'!$BD$14:$BT$14, 0)), (-pctOutrasSPE*SUM($G$4:$H$86)-SUMIF($A$4:$A$86, "&lt;="&amp;baseData, T$4:T$86))*(SUM($G70:$H70)/(SUMIF($A$4:$A$86, "&gt;"&amp;baseData, $G$4:$G$86)+SUMIF($A$4:$A$86, "&gt;"&amp;baseData, $H$4:$H$86))))</f>
        <v>-37001.381288899924</v>
      </c>
      <c r="U70" s="398">
        <f>IF($A70&lt;=baseData, INDEX('LDI - Fluxo de Caixa'!$BD$18:$BT$374, MATCH('Fluxo Projeto'!$A70, 'LDI - Fluxo de Caixa'!$C$18:$C$374, 0), MATCH('Fluxo Projeto'!U$1, 'LDI - Fluxo de Caixa'!$BD$14:$BT$14, 0)), 0)</f>
        <v>0</v>
      </c>
      <c r="V70" s="393">
        <f t="shared" ca="1" si="63"/>
        <v>-755077.68786411965</v>
      </c>
      <c r="X70" s="416">
        <v>0</v>
      </c>
      <c r="Y70" s="417">
        <v>0</v>
      </c>
      <c r="AA70" s="400">
        <f>INDEX('LDI - Fluxo de Caixa'!$BD$18:$BT$374, MATCH('Fluxo Projeto'!$A70, 'LDI - Fluxo de Caixa'!$C$18:$C$374, 0), MATCH('Fluxo Projeto'!AA$1, 'LDI - Fluxo de Caixa'!$BD$14:$BT$14, 0))</f>
        <v>0</v>
      </c>
      <c r="AB70" s="417">
        <v>0</v>
      </c>
      <c r="AD70" s="393">
        <f t="shared" ca="1" si="64"/>
        <v>7363546.5183711983</v>
      </c>
      <c r="AF70" s="393">
        <f ca="1">IF($A70&lt;=baseData, INDEX('LDI - Fluxo de Caixa'!$BD$18:$BT$374, MATCH('Fluxo Projeto'!$A70, 'LDI - Fluxo de Caixa'!$C$18:$C$374, 0), MATCH('Fluxo Projeto'!AF$1, 'LDI - Fluxo de Caixa'!$BD$14:$BT$14, 0)), $E70*CDI)</f>
        <v>-110.03431643214145</v>
      </c>
      <c r="AH70" s="393">
        <f t="shared" ca="1" si="65"/>
        <v>7863436.4840547666</v>
      </c>
      <c r="AJ70" s="397">
        <f>IF($A70&lt;=baseData, INDEX('LDI - Fluxo de Caixa'!$BD$18:$BT$374, MATCH($A70, 'LDI - Fluxo de Caixa'!$C$18:$C$374, 0), MATCH(AJ$1, 'LDI - Fluxo de Caixa'!$BD$14:$BT$14, 0))-J70-I70, IF($A70&lt;inicioDistribuicoes,-IF(AH70&lt;cxMinSPEpreObra,IF(SUM($AD71:$AD82)-cxMinSPEpreObra+AH70&lt;0,SUM($AD71:$AD82)-cxMinSPEpreObra+AH70,IF(AH70&lt;0, AH70-cxMinSPEpreObra, 0)),0), 0))</f>
        <v>0</v>
      </c>
      <c r="AK70" s="398">
        <f t="shared" ca="1" si="71"/>
        <v>-7363436.4840547666</v>
      </c>
      <c r="AM70" s="393">
        <f t="shared" ca="1" si="66"/>
        <v>500000</v>
      </c>
      <c r="AO70" s="393">
        <f t="shared" ref="AO70:AO86" ca="1" si="93">AM70</f>
        <v>500000</v>
      </c>
      <c r="AQ70" s="397">
        <f t="shared" ca="1" si="67"/>
        <v>7363436.4840547666</v>
      </c>
      <c r="AR70" s="398">
        <f t="shared" ca="1" si="69"/>
        <v>15535551.804398101</v>
      </c>
      <c r="AT70" s="393">
        <f t="shared" ca="1" si="70"/>
        <v>7363436.4840547666</v>
      </c>
      <c r="AV70" s="397">
        <f t="shared" si="72"/>
        <v>10.130355274369665</v>
      </c>
      <c r="AW70" s="390">
        <f t="shared" si="73"/>
        <v>9955.0276674055058</v>
      </c>
      <c r="AX70" s="390">
        <f t="shared" si="74"/>
        <v>0</v>
      </c>
      <c r="AY70" s="390">
        <f t="shared" si="75"/>
        <v>0</v>
      </c>
      <c r="AZ70" s="393">
        <f t="shared" si="76"/>
        <v>9965.158022679876</v>
      </c>
      <c r="BA70" s="371"/>
      <c r="BB70" s="400">
        <f t="shared" si="77"/>
        <v>-328.76970374982704</v>
      </c>
      <c r="BC70" s="415">
        <f t="shared" ca="1" si="78"/>
        <v>0</v>
      </c>
      <c r="BD70" s="415">
        <f t="shared" si="79"/>
        <v>0</v>
      </c>
      <c r="BE70" s="415">
        <f t="shared" ca="1" si="80"/>
        <v>-87.74905121583727</v>
      </c>
      <c r="BF70" s="415">
        <f t="shared" si="81"/>
        <v>-75.043208246144431</v>
      </c>
      <c r="BG70" s="415">
        <f t="shared" si="82"/>
        <v>-143.25934149286667</v>
      </c>
      <c r="BH70" s="415">
        <f t="shared" si="83"/>
        <v>-246.57727781237028</v>
      </c>
      <c r="BI70" s="415">
        <f t="shared" si="84"/>
        <v>-45.417130074591689</v>
      </c>
      <c r="BJ70" s="398">
        <f t="shared" si="85"/>
        <v>0</v>
      </c>
      <c r="BK70" s="393">
        <f t="shared" ca="1" si="86"/>
        <v>-926.81571259163741</v>
      </c>
      <c r="BL70" s="371"/>
      <c r="BM70" s="400">
        <f t="shared" si="87"/>
        <v>0</v>
      </c>
      <c r="BN70" s="401">
        <f t="shared" si="88"/>
        <v>0</v>
      </c>
      <c r="BO70" s="371"/>
      <c r="BP70" s="400">
        <f t="shared" si="89"/>
        <v>0</v>
      </c>
      <c r="BQ70" s="401">
        <f t="shared" si="90"/>
        <v>0</v>
      </c>
      <c r="BR70" s="371"/>
      <c r="BS70" s="393">
        <f t="shared" ca="1" si="91"/>
        <v>-0.13506098118468179</v>
      </c>
    </row>
    <row r="71" spans="1:71" x14ac:dyDescent="0.25">
      <c r="A71" s="197">
        <f t="shared" si="68"/>
        <v>45170</v>
      </c>
      <c r="B71" s="388">
        <f>IF($A71&lt;=baseData, INDEX(Indicadores!B:B, MATCH($A71,Indicadores!A:A, 0)), INDEX(Indicadores!B:B, MATCH(baseData,Indicadores!A:A, 0)))</f>
        <v>839.38199999999995</v>
      </c>
      <c r="C71" s="389">
        <f>IF($A71&lt;=baseData, INDEX(Indicadores!E:E, MATCH($A71, Indicadores!A:A, 0)), INDEX(Indicadores!E:E, MATCH(baseData, Indicadores!A:A, 0)))</f>
        <v>5486.52</v>
      </c>
      <c r="E71" s="393">
        <f t="shared" ca="1" si="92"/>
        <v>500000</v>
      </c>
      <c r="G71" s="397">
        <f>IF(tipoCarteira="Carteira",INDEX('M-FLUXO DE CAIXA'!$W:$W, MATCH($A71, 'M-FLUXO DE CAIXA'!$V:$V, 0)),IF(DATEDIF(baseData,$A71,"m")&lt;=prazoRepasseCarteira,vlrCarteira/prazoRepasseCarteira,0))+IF(DATEDIF(baseData,$A71,"m")&lt;=curvaInad,vlrInad/curvaInad*(1-PDD),0)</f>
        <v>3124.6735892137199</v>
      </c>
      <c r="H71" s="390">
        <f>IF($A71&gt;baseData, SUMPRODUCT('Tabela Vendas'!$R:$R,'Tabela Vendas'!$V:$V)*INDEX(Curvas!$Z:$Z,MATCH($A71,Curvas!$B:$B,0)), 0)</f>
        <v>8110370.9956629332</v>
      </c>
      <c r="I71" s="390">
        <f>IFERROR(INDEX(Permutas!AJ:AJ, MATCH('Fluxo Projeto'!A71, Permutas!N:N, 0)), 0)</f>
        <v>0</v>
      </c>
      <c r="J71" s="390">
        <v>0</v>
      </c>
      <c r="K71" s="393">
        <f t="shared" si="62"/>
        <v>8113495.669252147</v>
      </c>
      <c r="M71" s="400">
        <f>IF($A71&lt;=baseData,INDEX('LDI - Fluxo de Caixa'!$BD$18:$BT$374,MATCH('Fluxo Projeto'!$A71,'LDI - Fluxo de Caixa'!$C$18:$C$374,0),MATCH('Fluxo Projeto'!M$1,'LDI - Fluxo de Caixa'!$BD$14:$BT$14,0)),-pctImpostoSPE*K70)</f>
        <v>-324744.96824941272</v>
      </c>
      <c r="N71" s="415">
        <f ca="1">IF($A71&lt;=baseData,INDEX('LDI - Fluxo de Caixa'!$BD$18:$BT$374,MATCH($A71,'LDI - Fluxo de Caixa'!$C$18:$C$374,0),MATCH('Fluxo Projeto'!N$1,'LDI - Fluxo de Caixa'!$BD$14:$BT$14,0)),INDEX(Obra!AA:AA,MATCH($A71,Obra!F:F,0)))</f>
        <v>0</v>
      </c>
      <c r="O71" s="415">
        <f>IF($A71&lt;=baseData,INDEX('LDI - Fluxo de Caixa'!$BD$18:$BT$374,MATCH($A71,'LDI - Fluxo de Caixa'!$C$18:$C$374,0),MATCH('Fluxo Projeto'!O$1,'LDI - Fluxo de Caixa'!$BD$14:$BT$14,0)),IF($A71=entrega,assistTecnicaObra*SUM($N$2:$N$86),0))</f>
        <v>0</v>
      </c>
      <c r="P71" s="415">
        <f ca="1">IF($A71&lt;=baseData, INDEX('LDI - Fluxo de Caixa'!$BD$18:$BT$374, MATCH('Fluxo Projeto'!$A71, 'LDI - Fluxo de Caixa'!$C$18:$C$374, 0), MATCH('Fluxo Projeto'!P$1, 'LDI - Fluxo de Caixa'!$BD$14:$BT$14, 0)), -IF($A71&gt;=entrega, INDEX(Curvas!R:R,MATCH($A71,Curvas!B:B,0))*(IPTU+condominio)*'Tabela Vendas'!$Y$22, 0))</f>
        <v>-51768.070181602438</v>
      </c>
      <c r="Q71" s="415">
        <f>IF($A71&lt;=baseData, INDEX('LDI - Fluxo de Caixa'!$BD$18:$BT$374, MATCH('Fluxo Projeto'!$A71, 'LDI - Fluxo de Caixa'!$C$18:$C$374, 0), MATCH('Fluxo Projeto'!Q$1, 'LDI - Fluxo de Caixa'!$BD$14:$BT$14, 0)), (-pctIncorporaçaoSPE*SUM($G$4:$H$86)-SUMIF($A$4:$A$86, "&lt;="&amp;baseData, Q$4:Q$86))*(SUM($G71:$H71)/(SUMIF($A$4:$A$86, "&gt;"&amp;baseData, $G$4:$G$86)+SUMIF($A$4:$A$86, "&gt;"&amp;baseData, $H$4:$H$86))))</f>
        <v>-61099.156052132697</v>
      </c>
      <c r="R71" s="415">
        <f>IF($A71&lt;=baseData, INDEX('LDI - Fluxo de Caixa'!$BD$18:$BT$374, MATCH('Fluxo Projeto'!$A71, 'LDI - Fluxo de Caixa'!$C$18:$C$374, 0), MATCH('Fluxo Projeto'!R$1, 'LDI - Fluxo de Caixa'!$BD$14:$BT$14, 0)), (-pctMarketingSPE*SUM($G$4:$H$86)-SUMIF($A$4:$A$86, "&lt;="&amp;baseData, R$4:R$86))*(SUM($G71:$H71)/(SUMIF($A$4:$A$86, "&gt;"&amp;baseData, $G$4:$G$86)+SUMIF($A$4:$A$86, "&gt;"&amp;baseData, $H$4:$H$86))))</f>
        <v>-116639.80080766525</v>
      </c>
      <c r="S71" s="415">
        <f>IF($A71&lt;=baseData,INDEX('LDI - Fluxo de Caixa'!$BD$18:$BT$374,MATCH($A71,'LDI - Fluxo de Caixa'!$C$18:$C$374,0),MATCH(S$1,'LDI - Fluxo de Caixa'!$BD$14:$BT$14,0)),-pctGestaoSPE*K70)</f>
        <v>-243558.72618705951</v>
      </c>
      <c r="T71" s="415">
        <f>IF($A71&lt;=baseData, INDEX('LDI - Fluxo de Caixa'!$BD$18:$BT$374, MATCH('Fluxo Projeto'!$A71, 'LDI - Fluxo de Caixa'!$C$18:$C$374, 0), MATCH('Fluxo Projeto'!T$1, 'LDI - Fluxo de Caixa'!$BD$14:$BT$14, 0)), (-pctOutrasSPE*SUM($G$4:$H$86)-SUMIF($A$4:$A$86, "&lt;="&amp;baseData, T$4:T$86))*(SUM($G71:$H71)/(SUMIF($A$4:$A$86, "&gt;"&amp;baseData, $G$4:$G$86)+SUMIF($A$4:$A$86, "&gt;"&amp;baseData, $H$4:$H$86))))</f>
        <v>-36978.007506895978</v>
      </c>
      <c r="U71" s="398">
        <f>IF($A71&lt;=baseData, INDEX('LDI - Fluxo de Caixa'!$BD$18:$BT$374, MATCH('Fluxo Projeto'!$A71, 'LDI - Fluxo de Caixa'!$C$18:$C$374, 0), MATCH('Fluxo Projeto'!U$1, 'LDI - Fluxo de Caixa'!$BD$14:$BT$14, 0)), 0)</f>
        <v>0</v>
      </c>
      <c r="V71" s="393">
        <f t="shared" ca="1" si="63"/>
        <v>-834788.72898476862</v>
      </c>
      <c r="X71" s="416">
        <v>0</v>
      </c>
      <c r="Y71" s="417">
        <v>0</v>
      </c>
      <c r="AA71" s="400">
        <f>INDEX('LDI - Fluxo de Caixa'!$BD$18:$BT$374, MATCH('Fluxo Projeto'!$A71, 'LDI - Fluxo de Caixa'!$C$18:$C$374, 0), MATCH('Fluxo Projeto'!AA$1, 'LDI - Fluxo de Caixa'!$BD$14:$BT$14, 0))</f>
        <v>0</v>
      </c>
      <c r="AB71" s="417">
        <v>0</v>
      </c>
      <c r="AD71" s="393">
        <f t="shared" ca="1" si="64"/>
        <v>7278706.9402673785</v>
      </c>
      <c r="AF71" s="393">
        <f ca="1">IF($A71&lt;=baseData, INDEX('LDI - Fluxo de Caixa'!$BD$18:$BT$374, MATCH('Fluxo Projeto'!$A71, 'LDI - Fluxo de Caixa'!$C$18:$C$374, 0), MATCH('Fluxo Projeto'!AF$1, 'LDI - Fluxo de Caixa'!$BD$14:$BT$14, 0)), $E71*CDI)</f>
        <v>-110.03431643214145</v>
      </c>
      <c r="AH71" s="393">
        <f t="shared" ca="1" si="65"/>
        <v>7778596.9059509458</v>
      </c>
      <c r="AJ71" s="397">
        <f>IF($A71&lt;=baseData, INDEX('LDI - Fluxo de Caixa'!$BD$18:$BT$374, MATCH($A71, 'LDI - Fluxo de Caixa'!$C$18:$C$374, 0), MATCH(AJ$1, 'LDI - Fluxo de Caixa'!$BD$14:$BT$14, 0))-J71-I71, IF($A71&lt;inicioDistribuicoes,-IF(AH71&lt;cxMinSPEpreObra,IF(SUM($AD72:$AD83)-cxMinSPEpreObra+AH71&lt;0,SUM($AD72:$AD83)-cxMinSPEpreObra+AH71,IF(AH71&lt;0, AH71-cxMinSPEpreObra, 0)),0), 0))</f>
        <v>0</v>
      </c>
      <c r="AK71" s="398">
        <f t="shared" ca="1" si="71"/>
        <v>-7278596.9059509458</v>
      </c>
      <c r="AM71" s="393">
        <f t="shared" ca="1" si="66"/>
        <v>500000</v>
      </c>
      <c r="AO71" s="393">
        <f t="shared" ca="1" si="93"/>
        <v>500000</v>
      </c>
      <c r="AQ71" s="397">
        <f t="shared" ca="1" si="67"/>
        <v>7278596.9059509458</v>
      </c>
      <c r="AR71" s="398">
        <f t="shared" ca="1" si="69"/>
        <v>22814148.710349046</v>
      </c>
      <c r="AT71" s="393">
        <f t="shared" ca="1" si="70"/>
        <v>7278596.9059509458</v>
      </c>
      <c r="AV71" s="397">
        <f t="shared" si="72"/>
        <v>3.8353624080659281</v>
      </c>
      <c r="AW71" s="390">
        <f t="shared" si="73"/>
        <v>9955.0276674055058</v>
      </c>
      <c r="AX71" s="390">
        <f t="shared" si="74"/>
        <v>0</v>
      </c>
      <c r="AY71" s="390">
        <f t="shared" si="75"/>
        <v>0</v>
      </c>
      <c r="AZ71" s="393">
        <f t="shared" si="76"/>
        <v>9958.8630298135722</v>
      </c>
      <c r="BA71" s="371"/>
      <c r="BB71" s="400">
        <f t="shared" si="77"/>
        <v>-398.60632090719503</v>
      </c>
      <c r="BC71" s="415">
        <f t="shared" ca="1" si="78"/>
        <v>0</v>
      </c>
      <c r="BD71" s="415">
        <f t="shared" si="79"/>
        <v>0</v>
      </c>
      <c r="BE71" s="415">
        <f t="shared" ca="1" si="80"/>
        <v>-63.542416397675268</v>
      </c>
      <c r="BF71" s="415">
        <f t="shared" si="81"/>
        <v>-74.995803432342285</v>
      </c>
      <c r="BG71" s="415">
        <f t="shared" si="82"/>
        <v>-143.16884453028197</v>
      </c>
      <c r="BH71" s="415">
        <f t="shared" si="83"/>
        <v>-298.95474068039624</v>
      </c>
      <c r="BI71" s="415">
        <f t="shared" si="84"/>
        <v>-45.388440061931895</v>
      </c>
      <c r="BJ71" s="398">
        <f t="shared" si="85"/>
        <v>0</v>
      </c>
      <c r="BK71" s="393">
        <f t="shared" ca="1" si="86"/>
        <v>-1024.6565660098227</v>
      </c>
      <c r="BL71" s="371"/>
      <c r="BM71" s="400">
        <f t="shared" si="87"/>
        <v>0</v>
      </c>
      <c r="BN71" s="401">
        <f t="shared" si="88"/>
        <v>0</v>
      </c>
      <c r="BO71" s="371"/>
      <c r="BP71" s="400">
        <f t="shared" si="89"/>
        <v>0</v>
      </c>
      <c r="BQ71" s="401">
        <f t="shared" si="90"/>
        <v>0</v>
      </c>
      <c r="BR71" s="371"/>
      <c r="BS71" s="393">
        <f t="shared" ca="1" si="91"/>
        <v>-0.13506098118468179</v>
      </c>
    </row>
    <row r="72" spans="1:71" x14ac:dyDescent="0.25">
      <c r="A72" s="197">
        <f t="shared" si="68"/>
        <v>45200</v>
      </c>
      <c r="B72" s="388">
        <f>IF($A72&lt;=baseData, INDEX(Indicadores!B:B, MATCH($A72,Indicadores!A:A, 0)), INDEX(Indicadores!B:B, MATCH(baseData,Indicadores!A:A, 0)))</f>
        <v>839.38199999999995</v>
      </c>
      <c r="C72" s="389">
        <f>IF($A72&lt;=baseData, INDEX(Indicadores!E:E, MATCH($A72, Indicadores!A:A, 0)), INDEX(Indicadores!E:E, MATCH(baseData, Indicadores!A:A, 0)))</f>
        <v>5486.52</v>
      </c>
      <c r="E72" s="393">
        <f t="shared" ca="1" si="92"/>
        <v>500000</v>
      </c>
      <c r="G72" s="397">
        <f>IF(tipoCarteira="Carteira",INDEX('M-FLUXO DE CAIXA'!$W:$W, MATCH($A72, 'M-FLUXO DE CAIXA'!$V:$V, 0)),IF(DATEDIF(baseData,$A72,"m")&lt;=prazoRepasseCarteira,vlrCarteira/prazoRepasseCarteira,0))+IF(DATEDIF(baseData,$A72,"m")&lt;=curvaInad,vlrInad/curvaInad*(1-PDD),0)</f>
        <v>2039.5885929590179</v>
      </c>
      <c r="H72" s="390">
        <f>IF($A72&gt;baseData, SUMPRODUCT('Tabela Vendas'!$R:$R,'Tabela Vendas'!$V:$V)*INDEX(Curvas!$Z:$Z,MATCH($A72,Curvas!$B:$B,0)), 0)</f>
        <v>8110370.9956629332</v>
      </c>
      <c r="I72" s="390">
        <f>IFERROR(INDEX(Permutas!AJ:AJ, MATCH('Fluxo Projeto'!A72, Permutas!N:N, 0)), 0)</f>
        <v>0</v>
      </c>
      <c r="J72" s="390">
        <v>0</v>
      </c>
      <c r="K72" s="393">
        <f t="shared" si="62"/>
        <v>8112410.5842558919</v>
      </c>
      <c r="M72" s="400">
        <f>IF($A72&lt;=baseData,INDEX('LDI - Fluxo de Caixa'!$BD$18:$BT$374,MATCH('Fluxo Projeto'!$A72,'LDI - Fluxo de Caixa'!$C$18:$C$374,0),MATCH('Fluxo Projeto'!M$1,'LDI - Fluxo de Caixa'!$BD$14:$BT$14,0)),-pctImpostoSPE*K71)</f>
        <v>-324539.8267700859</v>
      </c>
      <c r="N72" s="415">
        <f ca="1">IF($A72&lt;=baseData,INDEX('LDI - Fluxo de Caixa'!$BD$18:$BT$374,MATCH($A72,'LDI - Fluxo de Caixa'!$C$18:$C$374,0),MATCH('Fluxo Projeto'!N$1,'LDI - Fluxo de Caixa'!$BD$14:$BT$14,0)),INDEX(Obra!AA:AA,MATCH($A72,Obra!F:F,0)))</f>
        <v>0</v>
      </c>
      <c r="O72" s="415">
        <f>IF($A72&lt;=baseData,INDEX('LDI - Fluxo de Caixa'!$BD$18:$BT$374,MATCH($A72,'LDI - Fluxo de Caixa'!$C$18:$C$374,0),MATCH('Fluxo Projeto'!O$1,'LDI - Fluxo de Caixa'!$BD$14:$BT$14,0)),IF($A72=entrega,assistTecnicaObra*SUM($N$2:$N$86),0))</f>
        <v>0</v>
      </c>
      <c r="P72" s="415">
        <f ca="1">IF($A72&lt;=baseData, INDEX('LDI - Fluxo de Caixa'!$BD$18:$BT$374, MATCH('Fluxo Projeto'!$A72, 'LDI - Fluxo de Caixa'!$C$18:$C$374, 0), MATCH('Fluxo Projeto'!P$1, 'LDI - Fluxo de Caixa'!$BD$14:$BT$14, 0)), -IF($A72&gt;=entrega, INDEX(Curvas!R:R,MATCH($A72,Curvas!B:B,0))*(IPTU+condominio)*'Tabela Vendas'!$Y$22, 0))</f>
        <v>-32046.900588611035</v>
      </c>
      <c r="Q72" s="415">
        <f>IF($A72&lt;=baseData, INDEX('LDI - Fluxo de Caixa'!$BD$18:$BT$374, MATCH('Fluxo Projeto'!$A72, 'LDI - Fluxo de Caixa'!$C$18:$C$374, 0), MATCH('Fluxo Projeto'!Q$1, 'LDI - Fluxo de Caixa'!$BD$14:$BT$14, 0)), (-pctIncorporaçaoSPE*SUM($G$4:$H$86)-SUMIF($A$4:$A$86, "&lt;="&amp;baseData, Q$4:Q$86))*(SUM($G72:$H72)/(SUMIF($A$4:$A$86, "&gt;"&amp;baseData, $G$4:$G$86)+SUMIF($A$4:$A$86, "&gt;"&amp;baseData, $H$4:$H$86))))</f>
        <v>-61090.984755786623</v>
      </c>
      <c r="R72" s="415">
        <f>IF($A72&lt;=baseData, INDEX('LDI - Fluxo de Caixa'!$BD$18:$BT$374, MATCH('Fluxo Projeto'!$A72, 'LDI - Fluxo de Caixa'!$C$18:$C$374, 0), MATCH('Fluxo Projeto'!R$1, 'LDI - Fluxo de Caixa'!$BD$14:$BT$14, 0)), (-pctMarketingSPE*SUM($G$4:$H$86)-SUMIF($A$4:$A$86, "&lt;="&amp;baseData, R$4:R$86))*(SUM($G72:$H72)/(SUMIF($A$4:$A$86, "&gt;"&amp;baseData, $G$4:$G$86)+SUMIF($A$4:$A$86, "&gt;"&amp;baseData, $H$4:$H$86))))</f>
        <v>-116624.20160074111</v>
      </c>
      <c r="S72" s="415">
        <f>IF($A72&lt;=baseData,INDEX('LDI - Fluxo de Caixa'!$BD$18:$BT$374,MATCH($A72,'LDI - Fluxo de Caixa'!$C$18:$C$374,0),MATCH(S$1,'LDI - Fluxo de Caixa'!$BD$14:$BT$14,0)),-pctGestaoSPE*K71)</f>
        <v>-243404.87007756441</v>
      </c>
      <c r="T72" s="415">
        <f>IF($A72&lt;=baseData, INDEX('LDI - Fluxo de Caixa'!$BD$18:$BT$374, MATCH('Fluxo Projeto'!$A72, 'LDI - Fluxo de Caixa'!$C$18:$C$374, 0), MATCH('Fluxo Projeto'!T$1, 'LDI - Fluxo de Caixa'!$BD$14:$BT$14, 0)), (-pctOutrasSPE*SUM($G$4:$H$86)-SUMIF($A$4:$A$86, "&lt;="&amp;baseData, T$4:T$86))*(SUM($G72:$H72)/(SUMIF($A$4:$A$86, "&gt;"&amp;baseData, $G$4:$G$86)+SUMIF($A$4:$A$86, "&gt;"&amp;baseData, $H$4:$H$86))))</f>
        <v>-36973.062131588857</v>
      </c>
      <c r="U72" s="398">
        <f>IF($A72&lt;=baseData, INDEX('LDI - Fluxo de Caixa'!$BD$18:$BT$374, MATCH('Fluxo Projeto'!$A72, 'LDI - Fluxo de Caixa'!$C$18:$C$374, 0), MATCH('Fluxo Projeto'!U$1, 'LDI - Fluxo de Caixa'!$BD$14:$BT$14, 0)), 0)</f>
        <v>0</v>
      </c>
      <c r="V72" s="393">
        <f t="shared" ca="1" si="63"/>
        <v>-814679.84592437779</v>
      </c>
      <c r="X72" s="416">
        <v>0</v>
      </c>
      <c r="Y72" s="417">
        <v>0</v>
      </c>
      <c r="AA72" s="400">
        <f>INDEX('LDI - Fluxo de Caixa'!$BD$18:$BT$374, MATCH('Fluxo Projeto'!$A72, 'LDI - Fluxo de Caixa'!$C$18:$C$374, 0), MATCH('Fluxo Projeto'!AA$1, 'LDI - Fluxo de Caixa'!$BD$14:$BT$14, 0))</f>
        <v>0</v>
      </c>
      <c r="AB72" s="417">
        <v>0</v>
      </c>
      <c r="AD72" s="393">
        <f t="shared" ca="1" si="64"/>
        <v>7297730.7383315144</v>
      </c>
      <c r="AF72" s="393">
        <f ca="1">IF($A72&lt;=baseData, INDEX('LDI - Fluxo de Caixa'!$BD$18:$BT$374, MATCH('Fluxo Projeto'!$A72, 'LDI - Fluxo de Caixa'!$C$18:$C$374, 0), MATCH('Fluxo Projeto'!AF$1, 'LDI - Fluxo de Caixa'!$BD$14:$BT$14, 0)), $E72*CDI)</f>
        <v>-110.03431643214145</v>
      </c>
      <c r="AH72" s="393">
        <f t="shared" ca="1" si="65"/>
        <v>7797620.7040150836</v>
      </c>
      <c r="AJ72" s="397">
        <f>IF($A72&lt;=baseData, INDEX('LDI - Fluxo de Caixa'!$BD$18:$BT$374, MATCH($A72, 'LDI - Fluxo de Caixa'!$C$18:$C$374, 0), MATCH(AJ$1, 'LDI - Fluxo de Caixa'!$BD$14:$BT$14, 0))-J72-I72, IF($A72&lt;inicioDistribuicoes,-IF(AH72&lt;cxMinSPEpreObra,IF(SUM($AD73:$AD84)-cxMinSPEpreObra+AH72&lt;0,SUM($AD73:$AD84)-cxMinSPEpreObra+AH72,IF(AH72&lt;0, AH72-cxMinSPEpreObra, 0)),0), 0))</f>
        <v>0</v>
      </c>
      <c r="AK72" s="398">
        <f t="shared" ca="1" si="71"/>
        <v>-7297620.7040150836</v>
      </c>
      <c r="AM72" s="393">
        <f t="shared" ca="1" si="66"/>
        <v>500000</v>
      </c>
      <c r="AO72" s="393">
        <f t="shared" ca="1" si="93"/>
        <v>500000</v>
      </c>
      <c r="AQ72" s="397">
        <f t="shared" ca="1" si="67"/>
        <v>7297620.7040150836</v>
      </c>
      <c r="AR72" s="398">
        <f t="shared" ca="1" si="69"/>
        <v>30111769.414364129</v>
      </c>
      <c r="AT72" s="393">
        <f t="shared" ca="1" si="70"/>
        <v>7297620.7040150836</v>
      </c>
      <c r="AV72" s="397">
        <f t="shared" si="72"/>
        <v>2.5034811457933865</v>
      </c>
      <c r="AW72" s="390">
        <f t="shared" si="73"/>
        <v>9955.0276674055058</v>
      </c>
      <c r="AX72" s="390">
        <f t="shared" si="74"/>
        <v>0</v>
      </c>
      <c r="AY72" s="390">
        <f t="shared" si="75"/>
        <v>0</v>
      </c>
      <c r="AZ72" s="393">
        <f t="shared" si="76"/>
        <v>9957.5311485512993</v>
      </c>
      <c r="BA72" s="371"/>
      <c r="BB72" s="400">
        <f t="shared" si="77"/>
        <v>-398.3545211925429</v>
      </c>
      <c r="BC72" s="415">
        <f t="shared" ca="1" si="78"/>
        <v>0</v>
      </c>
      <c r="BD72" s="415">
        <f t="shared" si="79"/>
        <v>0</v>
      </c>
      <c r="BE72" s="415">
        <f t="shared" ca="1" si="80"/>
        <v>-39.335781579513259</v>
      </c>
      <c r="BF72" s="415">
        <f t="shared" si="81"/>
        <v>-74.985773622208171</v>
      </c>
      <c r="BG72" s="415">
        <f t="shared" si="82"/>
        <v>-143.14969737454737</v>
      </c>
      <c r="BH72" s="415">
        <f t="shared" si="83"/>
        <v>-298.76589089440716</v>
      </c>
      <c r="BI72" s="415">
        <f t="shared" si="84"/>
        <v>-45.38236988979866</v>
      </c>
      <c r="BJ72" s="398">
        <f t="shared" si="85"/>
        <v>0</v>
      </c>
      <c r="BK72" s="393">
        <f t="shared" ca="1" si="86"/>
        <v>-999.97403455301742</v>
      </c>
      <c r="BL72" s="371"/>
      <c r="BM72" s="400">
        <f t="shared" si="87"/>
        <v>0</v>
      </c>
      <c r="BN72" s="401">
        <f t="shared" si="88"/>
        <v>0</v>
      </c>
      <c r="BO72" s="371"/>
      <c r="BP72" s="400">
        <f t="shared" si="89"/>
        <v>0</v>
      </c>
      <c r="BQ72" s="401">
        <f t="shared" si="90"/>
        <v>0</v>
      </c>
      <c r="BR72" s="371"/>
      <c r="BS72" s="393">
        <f t="shared" ca="1" si="91"/>
        <v>-0.13506098118468179</v>
      </c>
    </row>
    <row r="73" spans="1:71" x14ac:dyDescent="0.25">
      <c r="A73" s="197">
        <f t="shared" si="68"/>
        <v>45231</v>
      </c>
      <c r="B73" s="388">
        <f>IF($A73&lt;=baseData, INDEX(Indicadores!B:B, MATCH($A73,Indicadores!A:A, 0)), INDEX(Indicadores!B:B, MATCH(baseData,Indicadores!A:A, 0)))</f>
        <v>839.38199999999995</v>
      </c>
      <c r="C73" s="389">
        <f>IF($A73&lt;=baseData, INDEX(Indicadores!E:E, MATCH($A73, Indicadores!A:A, 0)), INDEX(Indicadores!E:E, MATCH(baseData, Indicadores!A:A, 0)))</f>
        <v>5486.52</v>
      </c>
      <c r="E73" s="393">
        <f t="shared" ca="1" si="92"/>
        <v>500000</v>
      </c>
      <c r="G73" s="397">
        <f>IF(tipoCarteira="Carteira",INDEX('M-FLUXO DE CAIXA'!$W:$W, MATCH($A73, 'M-FLUXO DE CAIXA'!$V:$V, 0)),IF(DATEDIF(baseData,$A73,"m")&lt;=prazoRepasseCarteira,vlrCarteira/prazoRepasseCarteira,0))+IF(DATEDIF(baseData,$A73,"m")&lt;=curvaInad,vlrInad/curvaInad*(1-PDD),0)</f>
        <v>0</v>
      </c>
      <c r="H73" s="390">
        <f>IF($A73&gt;baseData, SUMPRODUCT('Tabela Vendas'!$R:$R,'Tabela Vendas'!$V:$V)*INDEX(Curvas!$Z:$Z,MATCH($A73,Curvas!$B:$B,0)), 0)</f>
        <v>2027592.7489157342</v>
      </c>
      <c r="I73" s="390">
        <f>IFERROR(INDEX(Permutas!AJ:AJ, MATCH('Fluxo Projeto'!A73, Permutas!N:N, 0)), 0)</f>
        <v>0</v>
      </c>
      <c r="J73" s="390">
        <v>0</v>
      </c>
      <c r="K73" s="393">
        <f t="shared" si="62"/>
        <v>2027592.7489157342</v>
      </c>
      <c r="M73" s="400">
        <f>IF($A73&lt;=baseData,INDEX('LDI - Fluxo de Caixa'!$BD$18:$BT$374,MATCH('Fluxo Projeto'!$A73,'LDI - Fluxo de Caixa'!$C$18:$C$374,0),MATCH('Fluxo Projeto'!M$1,'LDI - Fluxo de Caixa'!$BD$14:$BT$14,0)),-pctImpostoSPE*K72)</f>
        <v>-324496.42337023566</v>
      </c>
      <c r="N73" s="415">
        <f ca="1">IF($A73&lt;=baseData,INDEX('LDI - Fluxo de Caixa'!$BD$18:$BT$374,MATCH($A73,'LDI - Fluxo de Caixa'!$C$18:$C$374,0),MATCH('Fluxo Projeto'!N$1,'LDI - Fluxo de Caixa'!$BD$14:$BT$14,0)),INDEX(Obra!AA:AA,MATCH($A73,Obra!F:F,0)))</f>
        <v>0</v>
      </c>
      <c r="O73" s="415">
        <f>IF($A73&lt;=baseData,INDEX('LDI - Fluxo de Caixa'!$BD$18:$BT$374,MATCH($A73,'LDI - Fluxo de Caixa'!$C$18:$C$374,0),MATCH('Fluxo Projeto'!O$1,'LDI - Fluxo de Caixa'!$BD$14:$BT$14,0)),IF($A73=entrega,assistTecnicaObra*SUM($N$2:$N$86),0))</f>
        <v>0</v>
      </c>
      <c r="P73" s="415">
        <f ca="1">IF($A73&lt;=baseData, INDEX('LDI - Fluxo de Caixa'!$BD$18:$BT$374, MATCH('Fluxo Projeto'!$A73, 'LDI - Fluxo de Caixa'!$C$18:$C$374, 0), MATCH('Fluxo Projeto'!P$1, 'LDI - Fluxo de Caixa'!$BD$14:$BT$14, 0)), -IF($A73&gt;=entrega, INDEX(Curvas!R:R,MATCH($A73,Curvas!B:B,0))*(IPTU+condominio)*'Tabela Vendas'!$Y$22, 0))</f>
        <v>-9860.5847964957029</v>
      </c>
      <c r="Q73" s="415">
        <f>IF($A73&lt;=baseData, INDEX('LDI - Fluxo de Caixa'!$BD$18:$BT$374, MATCH('Fluxo Projeto'!$A73, 'LDI - Fluxo de Caixa'!$C$18:$C$374, 0), MATCH('Fluxo Projeto'!Q$1, 'LDI - Fluxo de Caixa'!$BD$14:$BT$14, 0)), (-pctIncorporaçaoSPE*SUM($G$4:$H$86)-SUMIF($A$4:$A$86, "&lt;="&amp;baseData, Q$4:Q$86))*(SUM($G73:$H73)/(SUMIF($A$4:$A$86, "&gt;"&amp;baseData, $G$4:$G$86)+SUMIF($A$4:$A$86, "&gt;"&amp;baseData, $H$4:$H$86))))</f>
        <v>-15268.906378499867</v>
      </c>
      <c r="R73" s="415">
        <f>IF($A73&lt;=baseData, INDEX('LDI - Fluxo de Caixa'!$BD$18:$BT$374, MATCH('Fluxo Projeto'!$A73, 'LDI - Fluxo de Caixa'!$C$18:$C$374, 0), MATCH('Fluxo Projeto'!R$1, 'LDI - Fluxo de Caixa'!$BD$14:$BT$14, 0)), (-pctMarketingSPE*SUM($G$4:$H$86)-SUMIF($A$4:$A$86, "&lt;="&amp;baseData, R$4:R$86))*(SUM($G73:$H73)/(SUMIF($A$4:$A$86, "&gt;"&amp;baseData, $G$4:$G$86)+SUMIF($A$4:$A$86, "&gt;"&amp;baseData, $H$4:$H$86))))</f>
        <v>-29148.720107025903</v>
      </c>
      <c r="S73" s="415">
        <f>IF($A73&lt;=baseData,INDEX('LDI - Fluxo de Caixa'!$BD$18:$BT$374,MATCH($A73,'LDI - Fluxo de Caixa'!$C$18:$C$374,0),MATCH(S$1,'LDI - Fluxo de Caixa'!$BD$14:$BT$14,0)),-pctGestaoSPE*K72)</f>
        <v>-243372.31752767676</v>
      </c>
      <c r="T73" s="415">
        <f>IF($A73&lt;=baseData, INDEX('LDI - Fluxo de Caixa'!$BD$18:$BT$374, MATCH('Fluxo Projeto'!$A73, 'LDI - Fluxo de Caixa'!$C$18:$C$374, 0), MATCH('Fluxo Projeto'!T$1, 'LDI - Fluxo de Caixa'!$BD$14:$BT$14, 0)), (-pctOutrasSPE*SUM($G$4:$H$86)-SUMIF($A$4:$A$86, "&lt;="&amp;baseData, T$4:T$86))*(SUM($G73:$H73)/(SUMIF($A$4:$A$86, "&gt;"&amp;baseData, $G$4:$G$86)+SUMIF($A$4:$A$86, "&gt;"&amp;baseData, $H$4:$H$86))))</f>
        <v>-9240.9416294474631</v>
      </c>
      <c r="U73" s="398">
        <f>IF($A73&lt;=baseData, INDEX('LDI - Fluxo de Caixa'!$BD$18:$BT$374, MATCH('Fluxo Projeto'!$A73, 'LDI - Fluxo de Caixa'!$C$18:$C$374, 0), MATCH('Fluxo Projeto'!U$1, 'LDI - Fluxo de Caixa'!$BD$14:$BT$14, 0)), 0)</f>
        <v>0</v>
      </c>
      <c r="V73" s="393">
        <f t="shared" ca="1" si="63"/>
        <v>-631387.89380938141</v>
      </c>
      <c r="X73" s="416">
        <v>0</v>
      </c>
      <c r="Y73" s="417">
        <v>0</v>
      </c>
      <c r="AA73" s="400">
        <f>INDEX('LDI - Fluxo de Caixa'!$BD$18:$BT$374, MATCH('Fluxo Projeto'!$A73, 'LDI - Fluxo de Caixa'!$C$18:$C$374, 0), MATCH('Fluxo Projeto'!AA$1, 'LDI - Fluxo de Caixa'!$BD$14:$BT$14, 0))</f>
        <v>0</v>
      </c>
      <c r="AB73" s="417">
        <v>0</v>
      </c>
      <c r="AD73" s="393">
        <f t="shared" ca="1" si="64"/>
        <v>1396204.8551063528</v>
      </c>
      <c r="AF73" s="393">
        <f ca="1">IF($A73&lt;=baseData, INDEX('LDI - Fluxo de Caixa'!$BD$18:$BT$374, MATCH('Fluxo Projeto'!$A73, 'LDI - Fluxo de Caixa'!$C$18:$C$374, 0), MATCH('Fluxo Projeto'!AF$1, 'LDI - Fluxo de Caixa'!$BD$14:$BT$14, 0)), $E73*CDI)</f>
        <v>-110.03431643214145</v>
      </c>
      <c r="AH73" s="393">
        <f t="shared" ca="1" si="65"/>
        <v>1896094.8207899206</v>
      </c>
      <c r="AJ73" s="397">
        <f>IF($A73&lt;=baseData, INDEX('LDI - Fluxo de Caixa'!$BD$18:$BT$374, MATCH($A73, 'LDI - Fluxo de Caixa'!$C$18:$C$374, 0), MATCH(AJ$1, 'LDI - Fluxo de Caixa'!$BD$14:$BT$14, 0))-J73-I73, IF($A73&lt;inicioDistribuicoes,-IF(AH73&lt;cxMinSPEpreObra,IF(SUM($AD74:$AD85)-cxMinSPEpreObra+AH73&lt;0,SUM($AD74:$AD85)-cxMinSPEpreObra+AH73,IF(AH73&lt;0, AH73-cxMinSPEpreObra, 0)),0), 0))</f>
        <v>0</v>
      </c>
      <c r="AK73" s="398">
        <f t="shared" ca="1" si="71"/>
        <v>-1396094.8207899206</v>
      </c>
      <c r="AM73" s="393">
        <f t="shared" ca="1" si="66"/>
        <v>500000</v>
      </c>
      <c r="AO73" s="393">
        <f t="shared" ca="1" si="93"/>
        <v>500000</v>
      </c>
      <c r="AQ73" s="397">
        <f t="shared" ca="1" si="67"/>
        <v>1396094.8207899206</v>
      </c>
      <c r="AR73" s="398">
        <f t="shared" ca="1" si="69"/>
        <v>31507864.235154051</v>
      </c>
      <c r="AT73" s="393">
        <f t="shared" ca="1" si="70"/>
        <v>1396094.8207899206</v>
      </c>
      <c r="AV73" s="397">
        <f t="shared" si="72"/>
        <v>0</v>
      </c>
      <c r="AW73" s="390">
        <f t="shared" si="73"/>
        <v>2488.7569168513778</v>
      </c>
      <c r="AX73" s="390">
        <f t="shared" si="74"/>
        <v>0</v>
      </c>
      <c r="AY73" s="390">
        <f t="shared" si="75"/>
        <v>0</v>
      </c>
      <c r="AZ73" s="393">
        <f t="shared" si="76"/>
        <v>2488.7569168513778</v>
      </c>
      <c r="BA73" s="371"/>
      <c r="BB73" s="400">
        <f t="shared" si="77"/>
        <v>-398.30124594205193</v>
      </c>
      <c r="BC73" s="415">
        <f t="shared" ca="1" si="78"/>
        <v>0</v>
      </c>
      <c r="BD73" s="415">
        <f t="shared" si="79"/>
        <v>0</v>
      </c>
      <c r="BE73" s="415">
        <f t="shared" ca="1" si="80"/>
        <v>-12.103317409081004</v>
      </c>
      <c r="BF73" s="415">
        <f t="shared" si="81"/>
        <v>-18.741730252571024</v>
      </c>
      <c r="BG73" s="415">
        <f t="shared" si="82"/>
        <v>-35.778426817968679</v>
      </c>
      <c r="BH73" s="415">
        <f t="shared" si="83"/>
        <v>-298.72593445653894</v>
      </c>
      <c r="BI73" s="415">
        <f t="shared" si="84"/>
        <v>-11.342740010687924</v>
      </c>
      <c r="BJ73" s="398">
        <f t="shared" si="85"/>
        <v>0</v>
      </c>
      <c r="BK73" s="393">
        <f t="shared" ca="1" si="86"/>
        <v>-774.9933948888995</v>
      </c>
      <c r="BL73" s="371"/>
      <c r="BM73" s="400">
        <f t="shared" si="87"/>
        <v>0</v>
      </c>
      <c r="BN73" s="401">
        <f t="shared" si="88"/>
        <v>0</v>
      </c>
      <c r="BO73" s="371"/>
      <c r="BP73" s="400">
        <f t="shared" si="89"/>
        <v>0</v>
      </c>
      <c r="BQ73" s="401">
        <f t="shared" si="90"/>
        <v>0</v>
      </c>
      <c r="BR73" s="371"/>
      <c r="BS73" s="393">
        <f t="shared" ca="1" si="91"/>
        <v>-0.13506098118468179</v>
      </c>
    </row>
    <row r="74" spans="1:71" x14ac:dyDescent="0.25">
      <c r="A74" s="197">
        <f t="shared" si="68"/>
        <v>45261</v>
      </c>
      <c r="B74" s="388">
        <f>IF($A74&lt;=baseData, INDEX(Indicadores!B:B, MATCH($A74,Indicadores!A:A, 0)), INDEX(Indicadores!B:B, MATCH(baseData,Indicadores!A:A, 0)))</f>
        <v>839.38199999999995</v>
      </c>
      <c r="C74" s="389">
        <f>IF($A74&lt;=baseData, INDEX(Indicadores!E:E, MATCH($A74, Indicadores!A:A, 0)), INDEX(Indicadores!E:E, MATCH(baseData, Indicadores!A:A, 0)))</f>
        <v>5486.52</v>
      </c>
      <c r="E74" s="393">
        <f t="shared" ca="1" si="92"/>
        <v>500000</v>
      </c>
      <c r="G74" s="397">
        <f>IF(tipoCarteira="Carteira",INDEX('M-FLUXO DE CAIXA'!$W:$W, MATCH($A74, 'M-FLUXO DE CAIXA'!$V:$V, 0)),IF(DATEDIF(baseData,$A74,"m")&lt;=prazoRepasseCarteira,vlrCarteira/prazoRepasseCarteira,0))+IF(DATEDIF(baseData,$A74,"m")&lt;=curvaInad,vlrInad/curvaInad*(1-PDD),0)</f>
        <v>1000</v>
      </c>
      <c r="H74" s="390">
        <f>IF($A74&gt;baseData, SUMPRODUCT('Tabela Vendas'!$R:$R,'Tabela Vendas'!$V:$V)*INDEX(Curvas!$Z:$Z,MATCH($A74,Curvas!$B:$B,0)), 0)</f>
        <v>2027592.7489157342</v>
      </c>
      <c r="I74" s="390">
        <f>IFERROR(INDEX(Permutas!AJ:AJ, MATCH('Fluxo Projeto'!A74, Permutas!N:N, 0)), 0)</f>
        <v>0</v>
      </c>
      <c r="J74" s="390">
        <v>0</v>
      </c>
      <c r="K74" s="393">
        <f t="shared" si="62"/>
        <v>2028592.7489157342</v>
      </c>
      <c r="M74" s="400">
        <f>IF($A74&lt;=baseData,INDEX('LDI - Fluxo de Caixa'!$BD$18:$BT$374,MATCH('Fluxo Projeto'!$A74,'LDI - Fluxo de Caixa'!$C$18:$C$374,0),MATCH('Fluxo Projeto'!M$1,'LDI - Fluxo de Caixa'!$BD$14:$BT$14,0)),-pctImpostoSPE*K73)</f>
        <v>-81103.709956629376</v>
      </c>
      <c r="N74" s="415">
        <f ca="1">IF($A74&lt;=baseData,INDEX('LDI - Fluxo de Caixa'!$BD$18:$BT$374,MATCH($A74,'LDI - Fluxo de Caixa'!$C$18:$C$374,0),MATCH('Fluxo Projeto'!N$1,'LDI - Fluxo de Caixa'!$BD$14:$BT$14,0)),INDEX(Obra!AA:AA,MATCH($A74,Obra!F:F,0)))</f>
        <v>0</v>
      </c>
      <c r="O74" s="415">
        <f>IF($A74&lt;=baseData,INDEX('LDI - Fluxo de Caixa'!$BD$18:$BT$374,MATCH($A74,'LDI - Fluxo de Caixa'!$C$18:$C$374,0),MATCH('Fluxo Projeto'!O$1,'LDI - Fluxo de Caixa'!$BD$14:$BT$14,0)),IF($A74=entrega,assistTecnicaObra*SUM($N$2:$N$86),0))</f>
        <v>0</v>
      </c>
      <c r="P74" s="415">
        <f ca="1">IF($A74&lt;=baseData, INDEX('LDI - Fluxo de Caixa'!$BD$18:$BT$374, MATCH('Fluxo Projeto'!$A74, 'LDI - Fluxo de Caixa'!$C$18:$C$374, 0), MATCH('Fluxo Projeto'!P$1, 'LDI - Fluxo de Caixa'!$BD$14:$BT$14, 0)), -IF($A74&gt;=entrega, INDEX(Curvas!R:R,MATCH($A74,Curvas!B:B,0))*(IPTU+condominio)*'Tabela Vendas'!$Y$22, 0))</f>
        <v>-7395.4385973717772</v>
      </c>
      <c r="Q74" s="415">
        <f>IF($A74&lt;=baseData, INDEX('LDI - Fluxo de Caixa'!$BD$18:$BT$374, MATCH('Fluxo Projeto'!$A74, 'LDI - Fluxo de Caixa'!$C$18:$C$374, 0), MATCH('Fluxo Projeto'!Q$1, 'LDI - Fluxo de Caixa'!$BD$14:$BT$14, 0)), (-pctIncorporaçaoSPE*SUM($G$4:$H$86)-SUMIF($A$4:$A$86, "&lt;="&amp;baseData, Q$4:Q$86))*(SUM($G74:$H74)/(SUMIF($A$4:$A$86, "&gt;"&amp;baseData, $G$4:$G$86)+SUMIF($A$4:$A$86, "&gt;"&amp;baseData, $H$4:$H$86))))</f>
        <v>-15276.436937280305</v>
      </c>
      <c r="R74" s="415">
        <f>IF($A74&lt;=baseData, INDEX('LDI - Fluxo de Caixa'!$BD$18:$BT$374, MATCH('Fluxo Projeto'!$A74, 'LDI - Fluxo de Caixa'!$C$18:$C$374, 0), MATCH('Fluxo Projeto'!R$1, 'LDI - Fluxo de Caixa'!$BD$14:$BT$14, 0)), (-pctMarketingSPE*SUM($G$4:$H$86)-SUMIF($A$4:$A$86, "&lt;="&amp;baseData, R$4:R$86))*(SUM($G74:$H74)/(SUMIF($A$4:$A$86, "&gt;"&amp;baseData, $G$4:$G$86)+SUMIF($A$4:$A$86, "&gt;"&amp;baseData, $H$4:$H$86))))</f>
        <v>-29163.096130082118</v>
      </c>
      <c r="S74" s="415">
        <f>IF($A74&lt;=baseData,INDEX('LDI - Fluxo de Caixa'!$BD$18:$BT$374,MATCH($A74,'LDI - Fluxo de Caixa'!$C$18:$C$374,0),MATCH(S$1,'LDI - Fluxo de Caixa'!$BD$14:$BT$14,0)),-pctGestaoSPE*K73)</f>
        <v>-60827.782467472025</v>
      </c>
      <c r="T74" s="415">
        <f>IF($A74&lt;=baseData, INDEX('LDI - Fluxo de Caixa'!$BD$18:$BT$374, MATCH('Fluxo Projeto'!$A74, 'LDI - Fluxo de Caixa'!$C$18:$C$374, 0), MATCH('Fluxo Projeto'!T$1, 'LDI - Fluxo de Caixa'!$BD$14:$BT$14, 0)), (-pctOutrasSPE*SUM($G$4:$H$86)-SUMIF($A$4:$A$86, "&lt;="&amp;baseData, T$4:T$86))*(SUM($G74:$H74)/(SUMIF($A$4:$A$86, "&gt;"&amp;baseData, $G$4:$G$86)+SUMIF($A$4:$A$86, "&gt;"&amp;baseData, $H$4:$H$86))))</f>
        <v>-9245.499222008586</v>
      </c>
      <c r="U74" s="398">
        <f>IF($A74&lt;=baseData, INDEX('LDI - Fluxo de Caixa'!$BD$18:$BT$374, MATCH('Fluxo Projeto'!$A74, 'LDI - Fluxo de Caixa'!$C$18:$C$374, 0), MATCH('Fluxo Projeto'!U$1, 'LDI - Fluxo de Caixa'!$BD$14:$BT$14, 0)), 0)</f>
        <v>0</v>
      </c>
      <c r="V74" s="393">
        <f t="shared" ca="1" si="63"/>
        <v>-203011.96331084418</v>
      </c>
      <c r="X74" s="416">
        <v>0</v>
      </c>
      <c r="Y74" s="417">
        <v>0</v>
      </c>
      <c r="AA74" s="400">
        <f>INDEX('LDI - Fluxo de Caixa'!$BD$18:$BT$374, MATCH('Fluxo Projeto'!$A74, 'LDI - Fluxo de Caixa'!$C$18:$C$374, 0), MATCH('Fluxo Projeto'!AA$1, 'LDI - Fluxo de Caixa'!$BD$14:$BT$14, 0))</f>
        <v>0</v>
      </c>
      <c r="AB74" s="417">
        <v>0</v>
      </c>
      <c r="AD74" s="393">
        <f t="shared" ca="1" si="64"/>
        <v>1825580.78560489</v>
      </c>
      <c r="AF74" s="393">
        <f ca="1">IF($A74&lt;=baseData, INDEX('LDI - Fluxo de Caixa'!$BD$18:$BT$374, MATCH('Fluxo Projeto'!$A74, 'LDI - Fluxo de Caixa'!$C$18:$C$374, 0), MATCH('Fluxo Projeto'!AF$1, 'LDI - Fluxo de Caixa'!$BD$14:$BT$14, 0)), $E74*CDI)</f>
        <v>-110.03431643214145</v>
      </c>
      <c r="AH74" s="393">
        <f t="shared" ca="1" si="65"/>
        <v>2325470.7512884578</v>
      </c>
      <c r="AJ74" s="397">
        <f>IF($A74&lt;=baseData, INDEX('LDI - Fluxo de Caixa'!$BD$18:$BT$374, MATCH($A74, 'LDI - Fluxo de Caixa'!$C$18:$C$374, 0), MATCH(AJ$1, 'LDI - Fluxo de Caixa'!$BD$14:$BT$14, 0))-J74-I74, IF($A74&lt;inicioDistribuicoes,-IF(AH74&lt;cxMinSPEpreObra,IF(SUM($AD75:$AD86)-cxMinSPEpreObra+AH74&lt;0,SUM($AD75:$AD86)-cxMinSPEpreObra+AH74,IF(AH74&lt;0, AH74-cxMinSPEpreObra, 0)),0), 0))</f>
        <v>0</v>
      </c>
      <c r="AK74" s="398">
        <f t="shared" ca="1" si="71"/>
        <v>-1825470.7512884578</v>
      </c>
      <c r="AM74" s="393">
        <f t="shared" ca="1" si="66"/>
        <v>500000</v>
      </c>
      <c r="AO74" s="393">
        <f t="shared" ca="1" si="93"/>
        <v>500000</v>
      </c>
      <c r="AQ74" s="397">
        <f t="shared" ca="1" si="67"/>
        <v>1825470.7512884578</v>
      </c>
      <c r="AR74" s="398">
        <f t="shared" ca="1" si="69"/>
        <v>33333334.98644251</v>
      </c>
      <c r="AT74" s="393">
        <f t="shared" ca="1" si="70"/>
        <v>1825470.7512884578</v>
      </c>
      <c r="AV74" s="397">
        <f t="shared" si="72"/>
        <v>1.2274441789073538</v>
      </c>
      <c r="AW74" s="390">
        <f t="shared" si="73"/>
        <v>2488.7569168513778</v>
      </c>
      <c r="AX74" s="390">
        <f t="shared" si="74"/>
        <v>0</v>
      </c>
      <c r="AY74" s="390">
        <f t="shared" si="75"/>
        <v>0</v>
      </c>
      <c r="AZ74" s="393">
        <f t="shared" si="76"/>
        <v>2489.9843610302851</v>
      </c>
      <c r="BA74" s="371"/>
      <c r="BB74" s="400">
        <f t="shared" si="77"/>
        <v>-99.550276674055112</v>
      </c>
      <c r="BC74" s="415">
        <f t="shared" ca="1" si="78"/>
        <v>0</v>
      </c>
      <c r="BD74" s="415">
        <f t="shared" si="79"/>
        <v>0</v>
      </c>
      <c r="BE74" s="415">
        <f t="shared" ca="1" si="80"/>
        <v>-9.0774880568107523</v>
      </c>
      <c r="BF74" s="415">
        <f t="shared" si="81"/>
        <v>-18.750973593109993</v>
      </c>
      <c r="BG74" s="415">
        <f t="shared" si="82"/>
        <v>-35.79607258378487</v>
      </c>
      <c r="BH74" s="415">
        <f t="shared" si="83"/>
        <v>-74.66270750554132</v>
      </c>
      <c r="BI74" s="415">
        <f t="shared" si="84"/>
        <v>-11.348334201146907</v>
      </c>
      <c r="BJ74" s="398">
        <f t="shared" si="85"/>
        <v>0</v>
      </c>
      <c r="BK74" s="393">
        <f t="shared" ca="1" si="86"/>
        <v>-249.18585261444898</v>
      </c>
      <c r="BL74" s="371"/>
      <c r="BM74" s="400">
        <f t="shared" si="87"/>
        <v>0</v>
      </c>
      <c r="BN74" s="401">
        <f t="shared" si="88"/>
        <v>0</v>
      </c>
      <c r="BO74" s="371"/>
      <c r="BP74" s="400">
        <f t="shared" si="89"/>
        <v>0</v>
      </c>
      <c r="BQ74" s="401">
        <f t="shared" si="90"/>
        <v>0</v>
      </c>
      <c r="BR74" s="371"/>
      <c r="BS74" s="393">
        <f t="shared" ca="1" si="91"/>
        <v>-0.13506098118468179</v>
      </c>
    </row>
    <row r="75" spans="1:71" x14ac:dyDescent="0.25">
      <c r="A75" s="197">
        <f t="shared" si="68"/>
        <v>45292</v>
      </c>
      <c r="B75" s="388">
        <f>IF($A75&lt;=baseData, INDEX(Indicadores!B:B, MATCH($A75,Indicadores!A:A, 0)), INDEX(Indicadores!B:B, MATCH(baseData,Indicadores!A:A, 0)))</f>
        <v>839.38199999999995</v>
      </c>
      <c r="C75" s="389">
        <f>IF($A75&lt;=baseData, INDEX(Indicadores!E:E, MATCH($A75, Indicadores!A:A, 0)), INDEX(Indicadores!E:E, MATCH(baseData, Indicadores!A:A, 0)))</f>
        <v>5486.52</v>
      </c>
      <c r="E75" s="393">
        <f t="shared" ca="1" si="92"/>
        <v>500000</v>
      </c>
      <c r="G75" s="397">
        <f>IF(tipoCarteira="Carteira",INDEX('M-FLUXO DE CAIXA'!$W:$W, MATCH($A75, 'M-FLUXO DE CAIXA'!$V:$V, 0)),IF(DATEDIF(baseData,$A75,"m")&lt;=prazoRepasseCarteira,vlrCarteira/prazoRepasseCarteira,0))+IF(DATEDIF(baseData,$A75,"m")&lt;=curvaInad,vlrInad/curvaInad*(1-PDD),0)</f>
        <v>0</v>
      </c>
      <c r="H75" s="390">
        <f>IF($A75&gt;baseData, SUMPRODUCT('Tabela Vendas'!$R:$R,'Tabela Vendas'!$V:$V)*INDEX(Curvas!$Z:$Z,MATCH($A75,Curvas!$B:$B,0)), 0)</f>
        <v>1723453.8365783743</v>
      </c>
      <c r="I75" s="390">
        <f>IFERROR(INDEX(Permutas!AJ:AJ, MATCH('Fluxo Projeto'!A75, Permutas!N:N, 0)), 0)</f>
        <v>0</v>
      </c>
      <c r="J75" s="390">
        <v>0</v>
      </c>
      <c r="K75" s="393">
        <f t="shared" si="62"/>
        <v>1723453.8365783743</v>
      </c>
      <c r="M75" s="400">
        <f>IF($A75&lt;=baseData,INDEX('LDI - Fluxo de Caixa'!$BD$18:$BT$374,MATCH('Fluxo Projeto'!$A75,'LDI - Fluxo de Caixa'!$C$18:$C$374,0),MATCH('Fluxo Projeto'!M$1,'LDI - Fluxo de Caixa'!$BD$14:$BT$14,0)),-pctImpostoSPE*K74)</f>
        <v>-81143.709956629376</v>
      </c>
      <c r="N75" s="415">
        <f ca="1">IF($A75&lt;=baseData,INDEX('LDI - Fluxo de Caixa'!$BD$18:$BT$374,MATCH($A75,'LDI - Fluxo de Caixa'!$C$18:$C$374,0),MATCH('Fluxo Projeto'!N$1,'LDI - Fluxo de Caixa'!$BD$14:$BT$14,0)),INDEX(Obra!AA:AA,MATCH($A75,Obra!F:F,0)))</f>
        <v>0</v>
      </c>
      <c r="O75" s="415">
        <f>IF($A75&lt;=baseData,INDEX('LDI - Fluxo de Caixa'!$BD$18:$BT$374,MATCH($A75,'LDI - Fluxo de Caixa'!$C$18:$C$374,0),MATCH('Fluxo Projeto'!O$1,'LDI - Fluxo de Caixa'!$BD$14:$BT$14,0)),IF($A75=entrega,assistTecnicaObra*SUM($N$2:$N$86),0))</f>
        <v>0</v>
      </c>
      <c r="P75" s="415">
        <f ca="1">IF($A75&lt;=baseData, INDEX('LDI - Fluxo de Caixa'!$BD$18:$BT$374, MATCH('Fluxo Projeto'!$A75, 'LDI - Fluxo de Caixa'!$C$18:$C$374, 0), MATCH('Fluxo Projeto'!P$1, 'LDI - Fluxo de Caixa'!$BD$14:$BT$14, 0)), -IF($A75&gt;=entrega, INDEX(Curvas!R:R,MATCH($A75,Curvas!B:B,0))*(IPTU+condominio)*'Tabela Vendas'!$Y$22, 0))</f>
        <v>-4930.2923982478515</v>
      </c>
      <c r="Q75" s="415">
        <f>IF($A75&lt;=baseData, INDEX('LDI - Fluxo de Caixa'!$BD$18:$BT$374, MATCH('Fluxo Projeto'!$A75, 'LDI - Fluxo de Caixa'!$C$18:$C$374, 0), MATCH('Fluxo Projeto'!Q$1, 'LDI - Fluxo de Caixa'!$BD$14:$BT$14, 0)), (-pctIncorporaçaoSPE*SUM($G$4:$H$86)-SUMIF($A$4:$A$86, "&lt;="&amp;baseData, Q$4:Q$86))*(SUM($G75:$H75)/(SUMIF($A$4:$A$86, "&gt;"&amp;baseData, $G$4:$G$86)+SUMIF($A$4:$A$86, "&gt;"&amp;baseData, $H$4:$H$86))))</f>
        <v>-12978.570421724888</v>
      </c>
      <c r="R75" s="415">
        <f>IF($A75&lt;=baseData, INDEX('LDI - Fluxo de Caixa'!$BD$18:$BT$374, MATCH('Fluxo Projeto'!$A75, 'LDI - Fluxo de Caixa'!$C$18:$C$374, 0), MATCH('Fluxo Projeto'!R$1, 'LDI - Fluxo de Caixa'!$BD$14:$BT$14, 0)), (-pctMarketingSPE*SUM($G$4:$H$86)-SUMIF($A$4:$A$86, "&lt;="&amp;baseData, R$4:R$86))*(SUM($G75:$H75)/(SUMIF($A$4:$A$86, "&gt;"&amp;baseData, $G$4:$G$86)+SUMIF($A$4:$A$86, "&gt;"&amp;baseData, $H$4:$H$86))))</f>
        <v>-24776.412090972019</v>
      </c>
      <c r="S75" s="415">
        <f>IF($A75&lt;=baseData,INDEX('LDI - Fluxo de Caixa'!$BD$18:$BT$374,MATCH($A75,'LDI - Fluxo de Caixa'!$C$18:$C$374,0),MATCH(S$1,'LDI - Fluxo de Caixa'!$BD$14:$BT$14,0)),-pctGestaoSPE*K74)</f>
        <v>-60857.782467472025</v>
      </c>
      <c r="T75" s="415">
        <f>IF($A75&lt;=baseData, INDEX('LDI - Fluxo de Caixa'!$BD$18:$BT$374, MATCH('Fluxo Projeto'!$A75, 'LDI - Fluxo de Caixa'!$C$18:$C$374, 0), MATCH('Fluxo Projeto'!T$1, 'LDI - Fluxo de Caixa'!$BD$14:$BT$14, 0)), (-pctOutrasSPE*SUM($G$4:$H$86)-SUMIF($A$4:$A$86, "&lt;="&amp;baseData, T$4:T$86))*(SUM($G75:$H75)/(SUMIF($A$4:$A$86, "&gt;"&amp;baseData, $G$4:$G$86)+SUMIF($A$4:$A$86, "&gt;"&amp;baseData, $H$4:$H$86))))</f>
        <v>-7854.8003850303439</v>
      </c>
      <c r="U75" s="398">
        <f>IF($A75&lt;=baseData, INDEX('LDI - Fluxo de Caixa'!$BD$18:$BT$374, MATCH('Fluxo Projeto'!$A75, 'LDI - Fluxo de Caixa'!$C$18:$C$374, 0), MATCH('Fluxo Projeto'!U$1, 'LDI - Fluxo de Caixa'!$BD$14:$BT$14, 0)), 0)</f>
        <v>0</v>
      </c>
      <c r="V75" s="393">
        <f t="shared" ca="1" si="63"/>
        <v>-192541.56772007651</v>
      </c>
      <c r="X75" s="416">
        <v>0</v>
      </c>
      <c r="Y75" s="417">
        <v>0</v>
      </c>
      <c r="AA75" s="400">
        <f>INDEX('LDI - Fluxo de Caixa'!$BD$18:$BT$374, MATCH('Fluxo Projeto'!$A75, 'LDI - Fluxo de Caixa'!$C$18:$C$374, 0), MATCH('Fluxo Projeto'!AA$1, 'LDI - Fluxo de Caixa'!$BD$14:$BT$14, 0))</f>
        <v>0</v>
      </c>
      <c r="AB75" s="417">
        <v>0</v>
      </c>
      <c r="AD75" s="393">
        <f t="shared" ca="1" si="64"/>
        <v>1530912.2688582977</v>
      </c>
      <c r="AF75" s="393">
        <f ca="1">IF($A75&lt;=baseData, INDEX('LDI - Fluxo de Caixa'!$BD$18:$BT$374, MATCH('Fluxo Projeto'!$A75, 'LDI - Fluxo de Caixa'!$C$18:$C$374, 0), MATCH('Fluxo Projeto'!AF$1, 'LDI - Fluxo de Caixa'!$BD$14:$BT$14, 0)), $E75*CDI)</f>
        <v>-110.03431643214145</v>
      </c>
      <c r="AH75" s="393">
        <f t="shared" ca="1" si="65"/>
        <v>2030802.2345418655</v>
      </c>
      <c r="AJ75" s="397">
        <f>IF($A75&lt;=baseData, INDEX('LDI - Fluxo de Caixa'!$BD$18:$BT$374, MATCH($A75, 'LDI - Fluxo de Caixa'!$C$18:$C$374, 0), MATCH(AJ$1, 'LDI - Fluxo de Caixa'!$BD$14:$BT$14, 0))-J75-I75, IF($A75&lt;inicioDistribuicoes,-IF(AH75&lt;cxMinSPEpreObra,IF(SUM($AD76:$AD87)-cxMinSPEpreObra+AH75&lt;0,SUM($AD76:$AD87)-cxMinSPEpreObra+AH75,IF(AH75&lt;0, AH75-cxMinSPEpreObra, 0)),0), 0))</f>
        <v>0</v>
      </c>
      <c r="AK75" s="398">
        <f t="shared" ca="1" si="71"/>
        <v>-1530802.2345418655</v>
      </c>
      <c r="AM75" s="393">
        <f t="shared" ca="1" si="66"/>
        <v>500000</v>
      </c>
      <c r="AO75" s="393">
        <f t="shared" ca="1" si="93"/>
        <v>500000</v>
      </c>
      <c r="AQ75" s="397">
        <f t="shared" ca="1" si="67"/>
        <v>1530802.2345418655</v>
      </c>
      <c r="AR75" s="398">
        <f t="shared" ca="1" si="69"/>
        <v>34864137.220984377</v>
      </c>
      <c r="AT75" s="393">
        <f t="shared" ca="1" si="70"/>
        <v>1530802.2345418655</v>
      </c>
      <c r="AV75" s="397">
        <f t="shared" si="72"/>
        <v>0</v>
      </c>
      <c r="AW75" s="390">
        <f t="shared" si="73"/>
        <v>2115.4433793236713</v>
      </c>
      <c r="AX75" s="390">
        <f t="shared" si="74"/>
        <v>0</v>
      </c>
      <c r="AY75" s="390">
        <f t="shared" si="75"/>
        <v>0</v>
      </c>
      <c r="AZ75" s="393">
        <f t="shared" si="76"/>
        <v>2115.4433793236713</v>
      </c>
      <c r="BA75" s="371"/>
      <c r="BB75" s="400">
        <f t="shared" si="77"/>
        <v>-99.59937444121141</v>
      </c>
      <c r="BC75" s="415">
        <f t="shared" ca="1" si="78"/>
        <v>0</v>
      </c>
      <c r="BD75" s="415">
        <f t="shared" si="79"/>
        <v>0</v>
      </c>
      <c r="BE75" s="415">
        <f t="shared" ca="1" si="80"/>
        <v>-6.0516587045405021</v>
      </c>
      <c r="BF75" s="415">
        <f t="shared" si="81"/>
        <v>-15.930470714685372</v>
      </c>
      <c r="BG75" s="415">
        <f t="shared" si="82"/>
        <v>-30.411662795273379</v>
      </c>
      <c r="BH75" s="415">
        <f t="shared" si="83"/>
        <v>-74.699530830908543</v>
      </c>
      <c r="BI75" s="415">
        <f t="shared" si="84"/>
        <v>-9.6413290090847354</v>
      </c>
      <c r="BJ75" s="398">
        <f t="shared" si="85"/>
        <v>0</v>
      </c>
      <c r="BK75" s="393">
        <f t="shared" ca="1" si="86"/>
        <v>-236.33402649570394</v>
      </c>
      <c r="BL75" s="371"/>
      <c r="BM75" s="400">
        <f t="shared" si="87"/>
        <v>0</v>
      </c>
      <c r="BN75" s="401">
        <f t="shared" si="88"/>
        <v>0</v>
      </c>
      <c r="BO75" s="371"/>
      <c r="BP75" s="400">
        <f t="shared" si="89"/>
        <v>0</v>
      </c>
      <c r="BQ75" s="401">
        <f t="shared" si="90"/>
        <v>0</v>
      </c>
      <c r="BR75" s="371"/>
      <c r="BS75" s="393">
        <f t="shared" ca="1" si="91"/>
        <v>-0.13506098118468179</v>
      </c>
    </row>
    <row r="76" spans="1:71" x14ac:dyDescent="0.25">
      <c r="A76" s="197">
        <f t="shared" si="68"/>
        <v>45323</v>
      </c>
      <c r="B76" s="388">
        <f>IF($A76&lt;=baseData, INDEX(Indicadores!B:B, MATCH($A76,Indicadores!A:A, 0)), INDEX(Indicadores!B:B, MATCH(baseData,Indicadores!A:A, 0)))</f>
        <v>839.38199999999995</v>
      </c>
      <c r="C76" s="389">
        <f>IF($A76&lt;=baseData, INDEX(Indicadores!E:E, MATCH($A76, Indicadores!A:A, 0)), INDEX(Indicadores!E:E, MATCH(baseData, Indicadores!A:A, 0)))</f>
        <v>5486.52</v>
      </c>
      <c r="E76" s="393">
        <f t="shared" ca="1" si="92"/>
        <v>500000</v>
      </c>
      <c r="G76" s="397">
        <f>IF(tipoCarteira="Carteira",INDEX('M-FLUXO DE CAIXA'!$W:$W, MATCH($A76, 'M-FLUXO DE CAIXA'!$V:$V, 0)),IF(DATEDIF(baseData,$A76,"m")&lt;=prazoRepasseCarteira,vlrCarteira/prazoRepasseCarteira,0))+IF(DATEDIF(baseData,$A76,"m")&lt;=curvaInad,vlrInad/curvaInad*(1-PDD),0)</f>
        <v>0</v>
      </c>
      <c r="H76" s="390">
        <f>IF($A76&gt;baseData, SUMPRODUCT('Tabela Vendas'!$R:$R,'Tabela Vendas'!$V:$V)*INDEX(Curvas!$Z:$Z,MATCH($A76,Curvas!$B:$B,0)), 0)</f>
        <v>1571384.380409694</v>
      </c>
      <c r="I76" s="390">
        <f>IFERROR(INDEX(Permutas!AJ:AJ, MATCH('Fluxo Projeto'!A76, Permutas!N:N, 0)), 0)</f>
        <v>0</v>
      </c>
      <c r="J76" s="390">
        <v>0</v>
      </c>
      <c r="K76" s="393">
        <f t="shared" si="62"/>
        <v>1571384.380409694</v>
      </c>
      <c r="M76" s="400">
        <f>IF($A76&lt;=baseData,INDEX('LDI - Fluxo de Caixa'!$BD$18:$BT$374,MATCH('Fluxo Projeto'!$A76,'LDI - Fluxo de Caixa'!$C$18:$C$374,0),MATCH('Fluxo Projeto'!M$1,'LDI - Fluxo de Caixa'!$BD$14:$BT$14,0)),-pctImpostoSPE*K75)</f>
        <v>-68938.153463134979</v>
      </c>
      <c r="N76" s="415">
        <f ca="1">IF($A76&lt;=baseData,INDEX('LDI - Fluxo de Caixa'!$BD$18:$BT$374,MATCH($A76,'LDI - Fluxo de Caixa'!$C$18:$C$374,0),MATCH('Fluxo Projeto'!N$1,'LDI - Fluxo de Caixa'!$BD$14:$BT$14,0)),INDEX(Obra!AA:AA,MATCH($A76,Obra!F:F,0)))</f>
        <v>0</v>
      </c>
      <c r="O76" s="415">
        <f>IF($A76&lt;=baseData,INDEX('LDI - Fluxo de Caixa'!$BD$18:$BT$374,MATCH($A76,'LDI - Fluxo de Caixa'!$C$18:$C$374,0),MATCH('Fluxo Projeto'!O$1,'LDI - Fluxo de Caixa'!$BD$14:$BT$14,0)),IF($A76=entrega,assistTecnicaObra*SUM($N$2:$N$86),0))</f>
        <v>0</v>
      </c>
      <c r="P76" s="415">
        <f ca="1">IF($A76&lt;=baseData, INDEX('LDI - Fluxo de Caixa'!$BD$18:$BT$374, MATCH('Fluxo Projeto'!$A76, 'LDI - Fluxo de Caixa'!$C$18:$C$374, 0), MATCH('Fluxo Projeto'!P$1, 'LDI - Fluxo de Caixa'!$BD$14:$BT$14, 0)), -IF($A76&gt;=entrega, INDEX(Curvas!R:R,MATCH($A76,Curvas!B:B,0))*(IPTU+condominio)*'Tabela Vendas'!$Y$22, 0))</f>
        <v>-2465.1461991239257</v>
      </c>
      <c r="Q76" s="415">
        <f>IF($A76&lt;=baseData, INDEX('LDI - Fluxo de Caixa'!$BD$18:$BT$374, MATCH('Fluxo Projeto'!$A76, 'LDI - Fluxo de Caixa'!$C$18:$C$374, 0), MATCH('Fluxo Projeto'!Q$1, 'LDI - Fluxo de Caixa'!$BD$14:$BT$14, 0)), (-pctIncorporaçaoSPE*SUM($G$4:$H$86)-SUMIF($A$4:$A$86, "&lt;="&amp;baseData, Q$4:Q$86))*(SUM($G76:$H76)/(SUMIF($A$4:$A$86, "&gt;"&amp;baseData, $G$4:$G$86)+SUMIF($A$4:$A$86, "&gt;"&amp;baseData, $H$4:$H$86))))</f>
        <v>-11833.402443337396</v>
      </c>
      <c r="R76" s="415">
        <f>IF($A76&lt;=baseData, INDEX('LDI - Fluxo de Caixa'!$BD$18:$BT$374, MATCH('Fluxo Projeto'!$A76, 'LDI - Fluxo de Caixa'!$C$18:$C$374, 0), MATCH('Fluxo Projeto'!R$1, 'LDI - Fluxo de Caixa'!$BD$14:$BT$14, 0)), (-pctMarketingSPE*SUM($G$4:$H$86)-SUMIF($A$4:$A$86, "&lt;="&amp;baseData, R$4:R$86))*(SUM($G76:$H76)/(SUMIF($A$4:$A$86, "&gt;"&amp;baseData, $G$4:$G$86)+SUMIF($A$4:$A$86, "&gt;"&amp;baseData, $H$4:$H$86))))</f>
        <v>-22590.258082945074</v>
      </c>
      <c r="S76" s="415">
        <f>IF($A76&lt;=baseData,INDEX('LDI - Fluxo de Caixa'!$BD$18:$BT$374,MATCH($A76,'LDI - Fluxo de Caixa'!$C$18:$C$374,0),MATCH(S$1,'LDI - Fluxo de Caixa'!$BD$14:$BT$14,0)),-pctGestaoSPE*K75)</f>
        <v>-51703.615097351227</v>
      </c>
      <c r="T76" s="415">
        <f>IF($A76&lt;=baseData, INDEX('LDI - Fluxo de Caixa'!$BD$18:$BT$374, MATCH('Fluxo Projeto'!$A76, 'LDI - Fluxo de Caixa'!$C$18:$C$374, 0), MATCH('Fluxo Projeto'!T$1, 'LDI - Fluxo de Caixa'!$BD$14:$BT$14, 0)), (-pctOutrasSPE*SUM($G$4:$H$86)-SUMIF($A$4:$A$86, "&lt;="&amp;baseData, T$4:T$86))*(SUM($G76:$H76)/(SUMIF($A$4:$A$86, "&gt;"&amp;baseData, $G$4:$G$86)+SUMIF($A$4:$A$86, "&gt;"&amp;baseData, $H$4:$H$86))))</f>
        <v>-7161.729762821783</v>
      </c>
      <c r="U76" s="398">
        <f>IF($A76&lt;=baseData, INDEX('LDI - Fluxo de Caixa'!$BD$18:$BT$374, MATCH('Fluxo Projeto'!$A76, 'LDI - Fluxo de Caixa'!$C$18:$C$374, 0), MATCH('Fluxo Projeto'!U$1, 'LDI - Fluxo de Caixa'!$BD$14:$BT$14, 0)), 0)</f>
        <v>0</v>
      </c>
      <c r="V76" s="393">
        <f t="shared" ca="1" si="63"/>
        <v>-164692.30504871436</v>
      </c>
      <c r="X76" s="416">
        <v>0</v>
      </c>
      <c r="Y76" s="417">
        <v>0</v>
      </c>
      <c r="AA76" s="400">
        <f>INDEX('LDI - Fluxo de Caixa'!$BD$18:$BT$374, MATCH('Fluxo Projeto'!$A76, 'LDI - Fluxo de Caixa'!$C$18:$C$374, 0), MATCH('Fluxo Projeto'!AA$1, 'LDI - Fluxo de Caixa'!$BD$14:$BT$14, 0))</f>
        <v>0</v>
      </c>
      <c r="AB76" s="417">
        <v>0</v>
      </c>
      <c r="AD76" s="393">
        <f t="shared" ca="1" si="64"/>
        <v>1406692.0753609797</v>
      </c>
      <c r="AF76" s="393">
        <f ca="1">IF($A76&lt;=baseData, INDEX('LDI - Fluxo de Caixa'!$BD$18:$BT$374, MATCH('Fluxo Projeto'!$A76, 'LDI - Fluxo de Caixa'!$C$18:$C$374, 0), MATCH('Fluxo Projeto'!AF$1, 'LDI - Fluxo de Caixa'!$BD$14:$BT$14, 0)), $E76*CDI)</f>
        <v>-110.03431643214145</v>
      </c>
      <c r="AH76" s="393">
        <f t="shared" ca="1" si="65"/>
        <v>1906582.0410445475</v>
      </c>
      <c r="AJ76" s="397">
        <f>IF($A76&lt;=baseData, INDEX('LDI - Fluxo de Caixa'!$BD$18:$BT$374, MATCH($A76, 'LDI - Fluxo de Caixa'!$C$18:$C$374, 0), MATCH(AJ$1, 'LDI - Fluxo de Caixa'!$BD$14:$BT$14, 0))-J76-I76, IF($A76&lt;inicioDistribuicoes,-IF(AH76&lt;cxMinSPEpreObra,IF(SUM($AD77:$AD88)-cxMinSPEpreObra+AH76&lt;0,SUM($AD77:$AD88)-cxMinSPEpreObra+AH76,IF(AH76&lt;0, AH76-cxMinSPEpreObra, 0)),0), 0))</f>
        <v>0</v>
      </c>
      <c r="AK76" s="398">
        <f t="shared" ca="1" si="71"/>
        <v>-1406582.0410445475</v>
      </c>
      <c r="AM76" s="393">
        <f t="shared" ca="1" si="66"/>
        <v>500000</v>
      </c>
      <c r="AO76" s="393">
        <f t="shared" ca="1" si="93"/>
        <v>500000</v>
      </c>
      <c r="AQ76" s="397">
        <f t="shared" ca="1" si="67"/>
        <v>1406582.0410445475</v>
      </c>
      <c r="AR76" s="398">
        <f t="shared" ca="1" si="69"/>
        <v>36270719.262028925</v>
      </c>
      <c r="AT76" s="393">
        <f t="shared" ca="1" si="70"/>
        <v>1406582.0410445475</v>
      </c>
      <c r="AV76" s="397">
        <f t="shared" si="72"/>
        <v>0</v>
      </c>
      <c r="AW76" s="390">
        <f t="shared" si="73"/>
        <v>1928.7866105598177</v>
      </c>
      <c r="AX76" s="390">
        <f t="shared" si="74"/>
        <v>0</v>
      </c>
      <c r="AY76" s="390">
        <f t="shared" si="75"/>
        <v>0</v>
      </c>
      <c r="AZ76" s="393">
        <f t="shared" si="76"/>
        <v>1928.7866105598177</v>
      </c>
      <c r="BA76" s="371"/>
      <c r="BB76" s="400">
        <f t="shared" si="77"/>
        <v>-84.617735172946851</v>
      </c>
      <c r="BC76" s="415">
        <f t="shared" ca="1" si="78"/>
        <v>0</v>
      </c>
      <c r="BD76" s="415">
        <f t="shared" si="79"/>
        <v>0</v>
      </c>
      <c r="BE76" s="415">
        <f t="shared" ca="1" si="80"/>
        <v>-3.0258293522702511</v>
      </c>
      <c r="BF76" s="415">
        <f t="shared" si="81"/>
        <v>-14.524840945742543</v>
      </c>
      <c r="BG76" s="415">
        <f t="shared" si="82"/>
        <v>-27.728280783925726</v>
      </c>
      <c r="BH76" s="415">
        <f t="shared" si="83"/>
        <v>-63.463301379710131</v>
      </c>
      <c r="BI76" s="415">
        <f t="shared" si="84"/>
        <v>-8.7906235082831401</v>
      </c>
      <c r="BJ76" s="398">
        <f t="shared" si="85"/>
        <v>0</v>
      </c>
      <c r="BK76" s="393">
        <f t="shared" ca="1" si="86"/>
        <v>-202.15061114287863</v>
      </c>
      <c r="BL76" s="371"/>
      <c r="BM76" s="400">
        <f t="shared" si="87"/>
        <v>0</v>
      </c>
      <c r="BN76" s="401">
        <f t="shared" si="88"/>
        <v>0</v>
      </c>
      <c r="BO76" s="371"/>
      <c r="BP76" s="400">
        <f t="shared" si="89"/>
        <v>0</v>
      </c>
      <c r="BQ76" s="401">
        <f t="shared" si="90"/>
        <v>0</v>
      </c>
      <c r="BR76" s="371"/>
      <c r="BS76" s="393">
        <f t="shared" ca="1" si="91"/>
        <v>-0.13506098118468179</v>
      </c>
    </row>
    <row r="77" spans="1:71" x14ac:dyDescent="0.25">
      <c r="A77" s="197">
        <f t="shared" si="68"/>
        <v>45352</v>
      </c>
      <c r="B77" s="388">
        <f>IF($A77&lt;=baseData, INDEX(Indicadores!B:B, MATCH($A77,Indicadores!A:A, 0)), INDEX(Indicadores!B:B, MATCH(baseData,Indicadores!A:A, 0)))</f>
        <v>839.38199999999995</v>
      </c>
      <c r="C77" s="389">
        <f>IF($A77&lt;=baseData, INDEX(Indicadores!E:E, MATCH($A77, Indicadores!A:A, 0)), INDEX(Indicadores!E:E, MATCH(baseData, Indicadores!A:A, 0)))</f>
        <v>5486.52</v>
      </c>
      <c r="E77" s="393">
        <f t="shared" ca="1" si="92"/>
        <v>500000</v>
      </c>
      <c r="G77" s="397">
        <f>IF(tipoCarteira="Carteira",INDEX('M-FLUXO DE CAIXA'!$W:$W, MATCH($A77, 'M-FLUXO DE CAIXA'!$V:$V, 0)),IF(DATEDIF(baseData,$A77,"m")&lt;=prazoRepasseCarteira,vlrCarteira/prazoRepasseCarteira,0))+IF(DATEDIF(baseData,$A77,"m")&lt;=curvaInad,vlrInad/curvaInad*(1-PDD),0)</f>
        <v>0</v>
      </c>
      <c r="H77" s="390">
        <f>IF($A77&gt;baseData, SUMPRODUCT('Tabela Vendas'!$R:$R,'Tabela Vendas'!$V:$V)*INDEX(Curvas!$Z:$Z,MATCH($A77,Curvas!$B:$B,0)), 0)</f>
        <v>1419314.9242410138</v>
      </c>
      <c r="I77" s="390">
        <f>IFERROR(INDEX(Permutas!AJ:AJ, MATCH('Fluxo Projeto'!A77, Permutas!N:N, 0)), 0)</f>
        <v>0</v>
      </c>
      <c r="J77" s="390">
        <v>0</v>
      </c>
      <c r="K77" s="393">
        <f t="shared" si="62"/>
        <v>1419314.9242410138</v>
      </c>
      <c r="M77" s="400">
        <f>IF($A77&lt;=baseData,INDEX('LDI - Fluxo de Caixa'!$BD$18:$BT$374,MATCH('Fluxo Projeto'!$A77,'LDI - Fluxo de Caixa'!$C$18:$C$374,0),MATCH('Fluxo Projeto'!M$1,'LDI - Fluxo de Caixa'!$BD$14:$BT$14,0)),-pctImpostoSPE*K76)</f>
        <v>-62855.375216387765</v>
      </c>
      <c r="N77" s="415">
        <f ca="1">IF($A77&lt;=baseData,INDEX('LDI - Fluxo de Caixa'!$BD$18:$BT$374,MATCH($A77,'LDI - Fluxo de Caixa'!$C$18:$C$374,0),MATCH('Fluxo Projeto'!N$1,'LDI - Fluxo de Caixa'!$BD$14:$BT$14,0)),INDEX(Obra!AA:AA,MATCH($A77,Obra!F:F,0)))</f>
        <v>0</v>
      </c>
      <c r="O77" s="415">
        <f>IF($A77&lt;=baseData,INDEX('LDI - Fluxo de Caixa'!$BD$18:$BT$374,MATCH($A77,'LDI - Fluxo de Caixa'!$C$18:$C$374,0),MATCH('Fluxo Projeto'!O$1,'LDI - Fluxo de Caixa'!$BD$14:$BT$14,0)),IF($A77=entrega,assistTecnicaObra*SUM($N$2:$N$86),0))</f>
        <v>0</v>
      </c>
      <c r="P77" s="415">
        <f ca="1">IF($A77&lt;=baseData, INDEX('LDI - Fluxo de Caixa'!$BD$18:$BT$374, MATCH('Fluxo Projeto'!$A77, 'LDI - Fluxo de Caixa'!$C$18:$C$374, 0), MATCH('Fluxo Projeto'!P$1, 'LDI - Fluxo de Caixa'!$BD$14:$BT$14, 0)), -IF($A77&gt;=entrega, INDEX(Curvas!R:R,MATCH($A77,Curvas!B:B,0))*(IPTU+condominio)*'Tabela Vendas'!$Y$22, 0))</f>
        <v>-2465.1461991239257</v>
      </c>
      <c r="Q77" s="415">
        <f>IF($A77&lt;=baseData, INDEX('LDI - Fluxo de Caixa'!$BD$18:$BT$374, MATCH('Fluxo Projeto'!$A77, 'LDI - Fluxo de Caixa'!$C$18:$C$374, 0), MATCH('Fluxo Projeto'!Q$1, 'LDI - Fluxo de Caixa'!$BD$14:$BT$14, 0)), (-pctIncorporaçaoSPE*SUM($G$4:$H$86)-SUMIF($A$4:$A$86, "&lt;="&amp;baseData, Q$4:Q$86))*(SUM($G77:$H77)/(SUMIF($A$4:$A$86, "&gt;"&amp;baseData, $G$4:$G$86)+SUMIF($A$4:$A$86, "&gt;"&amp;baseData, $H$4:$H$86))))</f>
        <v>-10688.234464949906</v>
      </c>
      <c r="R77" s="415">
        <f>IF($A77&lt;=baseData, INDEX('LDI - Fluxo de Caixa'!$BD$18:$BT$374, MATCH('Fluxo Projeto'!$A77, 'LDI - Fluxo de Caixa'!$C$18:$C$374, 0), MATCH('Fluxo Projeto'!R$1, 'LDI - Fluxo de Caixa'!$BD$14:$BT$14, 0)), (-pctMarketingSPE*SUM($G$4:$H$86)-SUMIF($A$4:$A$86, "&lt;="&amp;baseData, R$4:R$86))*(SUM($G77:$H77)/(SUMIF($A$4:$A$86, "&gt;"&amp;baseData, $G$4:$G$86)+SUMIF($A$4:$A$86, "&gt;"&amp;baseData, $H$4:$H$86))))</f>
        <v>-20404.10407491813</v>
      </c>
      <c r="S77" s="415">
        <f>IF($A77&lt;=baseData,INDEX('LDI - Fluxo de Caixa'!$BD$18:$BT$374,MATCH($A77,'LDI - Fluxo de Caixa'!$C$18:$C$374,0),MATCH(S$1,'LDI - Fluxo de Caixa'!$BD$14:$BT$14,0)),-pctGestaoSPE*K76)</f>
        <v>-47141.531412290817</v>
      </c>
      <c r="T77" s="415">
        <f>IF($A77&lt;=baseData, INDEX('LDI - Fluxo de Caixa'!$BD$18:$BT$374, MATCH('Fluxo Projeto'!$A77, 'LDI - Fluxo de Caixa'!$C$18:$C$374, 0), MATCH('Fluxo Projeto'!T$1, 'LDI - Fluxo de Caixa'!$BD$14:$BT$14, 0)), (-pctOutrasSPE*SUM($G$4:$H$86)-SUMIF($A$4:$A$86, "&lt;="&amp;baseData, T$4:T$86))*(SUM($G77:$H77)/(SUMIF($A$4:$A$86, "&gt;"&amp;baseData, $G$4:$G$86)+SUMIF($A$4:$A$86, "&gt;"&amp;baseData, $H$4:$H$86))))</f>
        <v>-6468.6591406132229</v>
      </c>
      <c r="U77" s="398">
        <f>IF($A77&lt;=baseData, INDEX('LDI - Fluxo de Caixa'!$BD$18:$BT$374, MATCH('Fluxo Projeto'!$A77, 'LDI - Fluxo de Caixa'!$C$18:$C$374, 0), MATCH('Fluxo Projeto'!U$1, 'LDI - Fluxo de Caixa'!$BD$14:$BT$14, 0)), 0)</f>
        <v>0</v>
      </c>
      <c r="V77" s="393">
        <f t="shared" ca="1" si="63"/>
        <v>-150023.05050828378</v>
      </c>
      <c r="X77" s="416">
        <v>0</v>
      </c>
      <c r="Y77" s="417">
        <v>0</v>
      </c>
      <c r="AA77" s="400">
        <f>INDEX('LDI - Fluxo de Caixa'!$BD$18:$BT$374, MATCH('Fluxo Projeto'!$A77, 'LDI - Fluxo de Caixa'!$C$18:$C$374, 0), MATCH('Fluxo Projeto'!AA$1, 'LDI - Fluxo de Caixa'!$BD$14:$BT$14, 0))</f>
        <v>0</v>
      </c>
      <c r="AB77" s="417">
        <v>0</v>
      </c>
      <c r="AD77" s="393">
        <f t="shared" ca="1" si="64"/>
        <v>1269291.87373273</v>
      </c>
      <c r="AF77" s="393">
        <f ca="1">IF($A77&lt;=baseData, INDEX('LDI - Fluxo de Caixa'!$BD$18:$BT$374, MATCH('Fluxo Projeto'!$A77, 'LDI - Fluxo de Caixa'!$C$18:$C$374, 0), MATCH('Fluxo Projeto'!AF$1, 'LDI - Fluxo de Caixa'!$BD$14:$BT$14, 0)), $E77*CDI)</f>
        <v>-110.03431643214145</v>
      </c>
      <c r="AH77" s="393">
        <f t="shared" ca="1" si="65"/>
        <v>1769181.8394162979</v>
      </c>
      <c r="AJ77" s="397">
        <f>IF($A77&lt;=baseData, INDEX('LDI - Fluxo de Caixa'!$BD$18:$BT$374, MATCH($A77, 'LDI - Fluxo de Caixa'!$C$18:$C$374, 0), MATCH(AJ$1, 'LDI - Fluxo de Caixa'!$BD$14:$BT$14, 0))-J77-I77, IF($A77&lt;inicioDistribuicoes,-IF(AH77&lt;cxMinSPEpreObra,IF(SUM($AD78:$AD89)-cxMinSPEpreObra+AH77&lt;0,SUM($AD78:$AD89)-cxMinSPEpreObra+AH77,IF(AH77&lt;0, AH77-cxMinSPEpreObra, 0)),0), 0))</f>
        <v>0</v>
      </c>
      <c r="AK77" s="398">
        <f t="shared" ca="1" si="71"/>
        <v>-1269181.8394162979</v>
      </c>
      <c r="AM77" s="393">
        <f t="shared" ca="1" si="66"/>
        <v>500000</v>
      </c>
      <c r="AO77" s="393">
        <f t="shared" ca="1" si="93"/>
        <v>500000</v>
      </c>
      <c r="AQ77" s="397">
        <f t="shared" ca="1" si="67"/>
        <v>1269181.8394162979</v>
      </c>
      <c r="AR77" s="398">
        <f t="shared" ca="1" si="69"/>
        <v>37539901.10144522</v>
      </c>
      <c r="AT77" s="393">
        <f t="shared" ca="1" si="70"/>
        <v>1269181.8394162979</v>
      </c>
      <c r="AV77" s="397">
        <f t="shared" si="72"/>
        <v>0</v>
      </c>
      <c r="AW77" s="390">
        <f t="shared" si="73"/>
        <v>1742.1298417959642</v>
      </c>
      <c r="AX77" s="390">
        <f t="shared" si="74"/>
        <v>0</v>
      </c>
      <c r="AY77" s="390">
        <f t="shared" si="75"/>
        <v>0</v>
      </c>
      <c r="AZ77" s="393">
        <f t="shared" si="76"/>
        <v>1742.1298417959642</v>
      </c>
      <c r="BA77" s="371"/>
      <c r="BB77" s="400">
        <f t="shared" si="77"/>
        <v>-77.151464422392706</v>
      </c>
      <c r="BC77" s="415">
        <f t="shared" ca="1" si="78"/>
        <v>0</v>
      </c>
      <c r="BD77" s="415">
        <f t="shared" si="79"/>
        <v>0</v>
      </c>
      <c r="BE77" s="415">
        <f t="shared" ca="1" si="80"/>
        <v>-3.0258293522702511</v>
      </c>
      <c r="BF77" s="415">
        <f t="shared" si="81"/>
        <v>-13.119211176799716</v>
      </c>
      <c r="BG77" s="415">
        <f t="shared" si="82"/>
        <v>-25.044898772578073</v>
      </c>
      <c r="BH77" s="415">
        <f t="shared" si="83"/>
        <v>-57.863598316794523</v>
      </c>
      <c r="BI77" s="415">
        <f t="shared" si="84"/>
        <v>-7.9399180074815456</v>
      </c>
      <c r="BJ77" s="398">
        <f t="shared" si="85"/>
        <v>0</v>
      </c>
      <c r="BK77" s="393">
        <f t="shared" ca="1" si="86"/>
        <v>-184.14492004831681</v>
      </c>
      <c r="BL77" s="371"/>
      <c r="BM77" s="400">
        <f t="shared" si="87"/>
        <v>0</v>
      </c>
      <c r="BN77" s="401">
        <f t="shared" si="88"/>
        <v>0</v>
      </c>
      <c r="BO77" s="371"/>
      <c r="BP77" s="400">
        <f t="shared" si="89"/>
        <v>0</v>
      </c>
      <c r="BQ77" s="401">
        <f t="shared" si="90"/>
        <v>0</v>
      </c>
      <c r="BR77" s="371"/>
      <c r="BS77" s="393">
        <f t="shared" ca="1" si="91"/>
        <v>-0.13506098118468179</v>
      </c>
    </row>
    <row r="78" spans="1:71" x14ac:dyDescent="0.25">
      <c r="A78" s="197">
        <f t="shared" si="68"/>
        <v>45383</v>
      </c>
      <c r="B78" s="388">
        <f>IF($A78&lt;=baseData, INDEX(Indicadores!B:B, MATCH($A78,Indicadores!A:A, 0)), INDEX(Indicadores!B:B, MATCH(baseData,Indicadores!A:A, 0)))</f>
        <v>839.38199999999995</v>
      </c>
      <c r="C78" s="389">
        <f>IF($A78&lt;=baseData, INDEX(Indicadores!E:E, MATCH($A78, Indicadores!A:A, 0)), INDEX(Indicadores!E:E, MATCH(baseData, Indicadores!A:A, 0)))</f>
        <v>5486.52</v>
      </c>
      <c r="E78" s="393">
        <f t="shared" ca="1" si="92"/>
        <v>500000</v>
      </c>
      <c r="G78" s="397">
        <f>IF(tipoCarteira="Carteira",INDEX('M-FLUXO DE CAIXA'!$W:$W, MATCH($A78, 'M-FLUXO DE CAIXA'!$V:$V, 0)),IF(DATEDIF(baseData,$A78,"m")&lt;=prazoRepasseCarteira,vlrCarteira/prazoRepasseCarteira,0))+IF(DATEDIF(baseData,$A78,"m")&lt;=curvaInad,vlrInad/curvaInad*(1-PDD),0)</f>
        <v>0</v>
      </c>
      <c r="H78" s="390">
        <f>IF($A78&gt;baseData, SUMPRODUCT('Tabela Vendas'!$R:$R,'Tabela Vendas'!$V:$V)*INDEX(Curvas!$Z:$Z,MATCH($A78,Curvas!$B:$B,0)), 0)</f>
        <v>0</v>
      </c>
      <c r="I78" s="390">
        <f>IFERROR(INDEX(Permutas!AJ:AJ, MATCH('Fluxo Projeto'!A78, Permutas!N:N, 0)), 0)</f>
        <v>0</v>
      </c>
      <c r="J78" s="390">
        <v>0</v>
      </c>
      <c r="K78" s="393">
        <f t="shared" si="62"/>
        <v>0</v>
      </c>
      <c r="M78" s="400">
        <f>IF($A78&lt;=baseData,INDEX('LDI - Fluxo de Caixa'!$BD$18:$BT$374,MATCH('Fluxo Projeto'!$A78,'LDI - Fluxo de Caixa'!$C$18:$C$374,0),MATCH('Fluxo Projeto'!M$1,'LDI - Fluxo de Caixa'!$BD$14:$BT$14,0)),-pctImpostoSPE*K77)</f>
        <v>-56772.596969640552</v>
      </c>
      <c r="N78" s="415">
        <f ca="1">IF($A78&lt;=baseData,INDEX('LDI - Fluxo de Caixa'!$BD$18:$BT$374,MATCH($A78,'LDI - Fluxo de Caixa'!$C$18:$C$374,0),MATCH('Fluxo Projeto'!N$1,'LDI - Fluxo de Caixa'!$BD$14:$BT$14,0)),INDEX(Obra!AA:AA,MATCH($A78,Obra!F:F,0)))</f>
        <v>0</v>
      </c>
      <c r="O78" s="415">
        <f>IF($A78&lt;=baseData,INDEX('LDI - Fluxo de Caixa'!$BD$18:$BT$374,MATCH($A78,'LDI - Fluxo de Caixa'!$C$18:$C$374,0),MATCH('Fluxo Projeto'!O$1,'LDI - Fluxo de Caixa'!$BD$14:$BT$14,0)),IF($A78=entrega,assistTecnicaObra*SUM($N$2:$N$86),0))</f>
        <v>0</v>
      </c>
      <c r="P78" s="415">
        <f ca="1">IF($A78&lt;=baseData, INDEX('LDI - Fluxo de Caixa'!$BD$18:$BT$374, MATCH('Fluxo Projeto'!$A78, 'LDI - Fluxo de Caixa'!$C$18:$C$374, 0), MATCH('Fluxo Projeto'!P$1, 'LDI - Fluxo de Caixa'!$BD$14:$BT$14, 0)), -IF($A78&gt;=entrega, INDEX(Curvas!R:R,MATCH($A78,Curvas!B:B,0))*(IPTU+condominio)*'Tabela Vendas'!$Y$22, 0))</f>
        <v>-2465.1461991239257</v>
      </c>
      <c r="Q78" s="415">
        <f>IF($A78&lt;=baseData, INDEX('LDI - Fluxo de Caixa'!$BD$18:$BT$374, MATCH('Fluxo Projeto'!$A78, 'LDI - Fluxo de Caixa'!$C$18:$C$374, 0), MATCH('Fluxo Projeto'!Q$1, 'LDI - Fluxo de Caixa'!$BD$14:$BT$14, 0)), (-pctIncorporaçaoSPE*SUM($G$4:$H$86)-SUMIF($A$4:$A$86, "&lt;="&amp;baseData, Q$4:Q$86))*(SUM($G78:$H78)/(SUMIF($A$4:$A$86, "&gt;"&amp;baseData, $G$4:$G$86)+SUMIF($A$4:$A$86, "&gt;"&amp;baseData, $H$4:$H$86))))</f>
        <v>0</v>
      </c>
      <c r="R78" s="415">
        <f>IF($A78&lt;=baseData, INDEX('LDI - Fluxo de Caixa'!$BD$18:$BT$374, MATCH('Fluxo Projeto'!$A78, 'LDI - Fluxo de Caixa'!$C$18:$C$374, 0), MATCH('Fluxo Projeto'!R$1, 'LDI - Fluxo de Caixa'!$BD$14:$BT$14, 0)), (-pctMarketingSPE*SUM($G$4:$H$86)-SUMIF($A$4:$A$86, "&lt;="&amp;baseData, R$4:R$86))*(SUM($G78:$H78)/(SUMIF($A$4:$A$86, "&gt;"&amp;baseData, $G$4:$G$86)+SUMIF($A$4:$A$86, "&gt;"&amp;baseData, $H$4:$H$86))))</f>
        <v>0</v>
      </c>
      <c r="S78" s="415">
        <f>IF($A78&lt;=baseData,INDEX('LDI - Fluxo de Caixa'!$BD$18:$BT$374,MATCH($A78,'LDI - Fluxo de Caixa'!$C$18:$C$374,0),MATCH(S$1,'LDI - Fluxo de Caixa'!$BD$14:$BT$14,0)),-pctGestaoSPE*K77)</f>
        <v>-42579.447727230414</v>
      </c>
      <c r="T78" s="415">
        <f>IF($A78&lt;=baseData, INDEX('LDI - Fluxo de Caixa'!$BD$18:$BT$374, MATCH('Fluxo Projeto'!$A78, 'LDI - Fluxo de Caixa'!$C$18:$C$374, 0), MATCH('Fluxo Projeto'!T$1, 'LDI - Fluxo de Caixa'!$BD$14:$BT$14, 0)), (-pctOutrasSPE*SUM($G$4:$H$86)-SUMIF($A$4:$A$86, "&lt;="&amp;baseData, T$4:T$86))*(SUM($G78:$H78)/(SUMIF($A$4:$A$86, "&gt;"&amp;baseData, $G$4:$G$86)+SUMIF($A$4:$A$86, "&gt;"&amp;baseData, $H$4:$H$86))))</f>
        <v>0</v>
      </c>
      <c r="U78" s="398">
        <f>IF($A78&lt;=baseData, INDEX('LDI - Fluxo de Caixa'!$BD$18:$BT$374, MATCH('Fluxo Projeto'!$A78, 'LDI - Fluxo de Caixa'!$C$18:$C$374, 0), MATCH('Fluxo Projeto'!U$1, 'LDI - Fluxo de Caixa'!$BD$14:$BT$14, 0)), 0)</f>
        <v>0</v>
      </c>
      <c r="V78" s="393">
        <f t="shared" ca="1" si="63"/>
        <v>-101817.19089599489</v>
      </c>
      <c r="X78" s="416">
        <v>0</v>
      </c>
      <c r="Y78" s="417">
        <v>0</v>
      </c>
      <c r="AA78" s="400">
        <f>INDEX('LDI - Fluxo de Caixa'!$BD$18:$BT$374, MATCH('Fluxo Projeto'!$A78, 'LDI - Fluxo de Caixa'!$C$18:$C$374, 0), MATCH('Fluxo Projeto'!AA$1, 'LDI - Fluxo de Caixa'!$BD$14:$BT$14, 0))</f>
        <v>0</v>
      </c>
      <c r="AB78" s="417">
        <v>0</v>
      </c>
      <c r="AD78" s="393">
        <f t="shared" ca="1" si="64"/>
        <v>-101817.19089599489</v>
      </c>
      <c r="AF78" s="393">
        <f ca="1">IF($A78&lt;=baseData, INDEX('LDI - Fluxo de Caixa'!$BD$18:$BT$374, MATCH('Fluxo Projeto'!$A78, 'LDI - Fluxo de Caixa'!$C$18:$C$374, 0), MATCH('Fluxo Projeto'!AF$1, 'LDI - Fluxo de Caixa'!$BD$14:$BT$14, 0)), $E78*CDI)</f>
        <v>-110.03431643214145</v>
      </c>
      <c r="AH78" s="393">
        <f t="shared" ca="1" si="65"/>
        <v>398072.77478757297</v>
      </c>
      <c r="AJ78" s="397">
        <f>IF($A78&lt;=baseData, INDEX('LDI - Fluxo de Caixa'!$BD$18:$BT$374, MATCH($A78, 'LDI - Fluxo de Caixa'!$C$18:$C$374, 0), MATCH(AJ$1, 'LDI - Fluxo de Caixa'!$BD$14:$BT$14, 0))-J78-I78, IF($A78&lt;inicioDistribuicoes,-IF(AH78&lt;cxMinSPEpreObra,IF(SUM($AD79:$AD90)-cxMinSPEpreObra+AH78&lt;0,SUM($AD79:$AD90)-cxMinSPEpreObra+AH78,IF(AH78&lt;0, AH78-cxMinSPEpreObra, 0)),0), 0))</f>
        <v>0</v>
      </c>
      <c r="AK78" s="398">
        <f t="shared" ca="1" si="71"/>
        <v>-398072.77478757297</v>
      </c>
      <c r="AM78" s="393">
        <f t="shared" ca="1" si="66"/>
        <v>0</v>
      </c>
      <c r="AO78" s="393">
        <f t="shared" ca="1" si="93"/>
        <v>0</v>
      </c>
      <c r="AQ78" s="397">
        <f t="shared" ca="1" si="67"/>
        <v>398072.77478757297</v>
      </c>
      <c r="AR78" s="398">
        <f t="shared" ca="1" si="69"/>
        <v>37937973.876232795</v>
      </c>
      <c r="AT78" s="393">
        <f t="shared" ca="1" si="70"/>
        <v>398072.77478757297</v>
      </c>
      <c r="AV78" s="397">
        <f t="shared" si="72"/>
        <v>0</v>
      </c>
      <c r="AW78" s="390">
        <f t="shared" si="73"/>
        <v>0</v>
      </c>
      <c r="AX78" s="390">
        <f t="shared" si="74"/>
        <v>0</v>
      </c>
      <c r="AY78" s="390">
        <f t="shared" si="75"/>
        <v>0</v>
      </c>
      <c r="AZ78" s="393">
        <f t="shared" si="76"/>
        <v>0</v>
      </c>
      <c r="BA78" s="371"/>
      <c r="BB78" s="400">
        <f t="shared" si="77"/>
        <v>-69.685193671838562</v>
      </c>
      <c r="BC78" s="415">
        <f t="shared" ca="1" si="78"/>
        <v>0</v>
      </c>
      <c r="BD78" s="415">
        <f t="shared" si="79"/>
        <v>0</v>
      </c>
      <c r="BE78" s="415">
        <f t="shared" ca="1" si="80"/>
        <v>-3.0258293522702511</v>
      </c>
      <c r="BF78" s="415">
        <f t="shared" si="81"/>
        <v>0</v>
      </c>
      <c r="BG78" s="415">
        <f t="shared" si="82"/>
        <v>0</v>
      </c>
      <c r="BH78" s="415">
        <f t="shared" si="83"/>
        <v>-52.263895253878921</v>
      </c>
      <c r="BI78" s="415">
        <f t="shared" si="84"/>
        <v>0</v>
      </c>
      <c r="BJ78" s="398">
        <f t="shared" si="85"/>
        <v>0</v>
      </c>
      <c r="BK78" s="393">
        <f t="shared" ca="1" si="86"/>
        <v>-124.97491827798774</v>
      </c>
      <c r="BL78" s="371"/>
      <c r="BM78" s="400">
        <f t="shared" si="87"/>
        <v>0</v>
      </c>
      <c r="BN78" s="401">
        <f t="shared" si="88"/>
        <v>0</v>
      </c>
      <c r="BO78" s="371"/>
      <c r="BP78" s="400">
        <f t="shared" si="89"/>
        <v>0</v>
      </c>
      <c r="BQ78" s="401">
        <f t="shared" si="90"/>
        <v>0</v>
      </c>
      <c r="BR78" s="371"/>
      <c r="BS78" s="393">
        <f t="shared" ca="1" si="91"/>
        <v>-0.13506098118468179</v>
      </c>
    </row>
    <row r="79" spans="1:71" x14ac:dyDescent="0.25">
      <c r="A79" s="197">
        <f t="shared" si="68"/>
        <v>45413</v>
      </c>
      <c r="B79" s="388">
        <f>IF($A79&lt;=baseData, INDEX(Indicadores!B:B, MATCH($A79,Indicadores!A:A, 0)), INDEX(Indicadores!B:B, MATCH(baseData,Indicadores!A:A, 0)))</f>
        <v>839.38199999999995</v>
      </c>
      <c r="C79" s="389">
        <f>IF($A79&lt;=baseData, INDEX(Indicadores!E:E, MATCH($A79, Indicadores!A:A, 0)), INDEX(Indicadores!E:E, MATCH(baseData, Indicadores!A:A, 0)))</f>
        <v>5486.52</v>
      </c>
      <c r="E79" s="393">
        <f t="shared" ca="1" si="92"/>
        <v>0</v>
      </c>
      <c r="G79" s="397">
        <f>IF(tipoCarteira="Carteira",INDEX('M-FLUXO DE CAIXA'!$W:$W, MATCH($A79, 'M-FLUXO DE CAIXA'!$V:$V, 0)),IF(DATEDIF(baseData,$A79,"m")&lt;=prazoRepasseCarteira,vlrCarteira/prazoRepasseCarteira,0))+IF(DATEDIF(baseData,$A79,"m")&lt;=curvaInad,vlrInad/curvaInad*(1-PDD),0)</f>
        <v>0</v>
      </c>
      <c r="H79" s="390">
        <f>IF($A79&gt;baseData, SUMPRODUCT('Tabela Vendas'!$R:$R,'Tabela Vendas'!$V:$V)*INDEX(Curvas!$Z:$Z,MATCH($A79,Curvas!$B:$B,0)), 0)</f>
        <v>0</v>
      </c>
      <c r="I79" s="390">
        <f>IFERROR(INDEX(Permutas!AJ:AJ, MATCH('Fluxo Projeto'!A79, Permutas!N:N, 0)), 0)</f>
        <v>0</v>
      </c>
      <c r="J79" s="390">
        <v>0</v>
      </c>
      <c r="K79" s="393">
        <f t="shared" si="62"/>
        <v>0</v>
      </c>
      <c r="M79" s="400">
        <f>IF($A79&lt;=baseData,INDEX('LDI - Fluxo de Caixa'!$BD$18:$BT$374,MATCH('Fluxo Projeto'!$A79,'LDI - Fluxo de Caixa'!$C$18:$C$374,0),MATCH('Fluxo Projeto'!M$1,'LDI - Fluxo de Caixa'!$BD$14:$BT$14,0)),-pctImpostoSPE*K78)</f>
        <v>0</v>
      </c>
      <c r="N79" s="415">
        <f ca="1">IF($A79&lt;=baseData,INDEX('LDI - Fluxo de Caixa'!$BD$18:$BT$374,MATCH($A79,'LDI - Fluxo de Caixa'!$C$18:$C$374,0),MATCH('Fluxo Projeto'!N$1,'LDI - Fluxo de Caixa'!$BD$14:$BT$14,0)),INDEX(Obra!AA:AA,MATCH($A79,Obra!F:F,0)))</f>
        <v>0</v>
      </c>
      <c r="O79" s="415">
        <f>IF($A79&lt;=baseData,INDEX('LDI - Fluxo de Caixa'!$BD$18:$BT$374,MATCH($A79,'LDI - Fluxo de Caixa'!$C$18:$C$374,0),MATCH('Fluxo Projeto'!O$1,'LDI - Fluxo de Caixa'!$BD$14:$BT$14,0)),IF($A79=entrega,assistTecnicaObra*SUM($N$2:$N$86),0))</f>
        <v>0</v>
      </c>
      <c r="P79" s="415">
        <f ca="1">IF($A79&lt;=baseData, INDEX('LDI - Fluxo de Caixa'!$BD$18:$BT$374, MATCH('Fluxo Projeto'!$A79, 'LDI - Fluxo de Caixa'!$C$18:$C$374, 0), MATCH('Fluxo Projeto'!P$1, 'LDI - Fluxo de Caixa'!$BD$14:$BT$14, 0)), -IF($A79&gt;=entrega, INDEX(Curvas!R:R,MATCH($A79,Curvas!B:B,0))*(IPTU+condominio)*'Tabela Vendas'!$Y$22, 0))</f>
        <v>-2465.1461991239257</v>
      </c>
      <c r="Q79" s="415">
        <f>IF($A79&lt;=baseData, INDEX('LDI - Fluxo de Caixa'!$BD$18:$BT$374, MATCH('Fluxo Projeto'!$A79, 'LDI - Fluxo de Caixa'!$C$18:$C$374, 0), MATCH('Fluxo Projeto'!Q$1, 'LDI - Fluxo de Caixa'!$BD$14:$BT$14, 0)), (-pctIncorporaçaoSPE*SUM($G$4:$H$86)-SUMIF($A$4:$A$86, "&lt;="&amp;baseData, Q$4:Q$86))*(SUM($G79:$H79)/(SUMIF($A$4:$A$86, "&gt;"&amp;baseData, $G$4:$G$86)+SUMIF($A$4:$A$86, "&gt;"&amp;baseData, $H$4:$H$86))))</f>
        <v>0</v>
      </c>
      <c r="R79" s="415">
        <f>IF($A79&lt;=baseData, INDEX('LDI - Fluxo de Caixa'!$BD$18:$BT$374, MATCH('Fluxo Projeto'!$A79, 'LDI - Fluxo de Caixa'!$C$18:$C$374, 0), MATCH('Fluxo Projeto'!R$1, 'LDI - Fluxo de Caixa'!$BD$14:$BT$14, 0)), (-pctMarketingSPE*SUM($G$4:$H$86)-SUMIF($A$4:$A$86, "&lt;="&amp;baseData, R$4:R$86))*(SUM($G79:$H79)/(SUMIF($A$4:$A$86, "&gt;"&amp;baseData, $G$4:$G$86)+SUMIF($A$4:$A$86, "&gt;"&amp;baseData, $H$4:$H$86))))</f>
        <v>0</v>
      </c>
      <c r="S79" s="415">
        <f>IF($A79&lt;=baseData,INDEX('LDI - Fluxo de Caixa'!$BD$18:$BT$374,MATCH($A79,'LDI - Fluxo de Caixa'!$C$18:$C$374,0),MATCH(S$1,'LDI - Fluxo de Caixa'!$BD$14:$BT$14,0)),-pctGestaoSPE*K78)</f>
        <v>0</v>
      </c>
      <c r="T79" s="415">
        <f>IF($A79&lt;=baseData, INDEX('LDI - Fluxo de Caixa'!$BD$18:$BT$374, MATCH('Fluxo Projeto'!$A79, 'LDI - Fluxo de Caixa'!$C$18:$C$374, 0), MATCH('Fluxo Projeto'!T$1, 'LDI - Fluxo de Caixa'!$BD$14:$BT$14, 0)), (-pctOutrasSPE*SUM($G$4:$H$86)-SUMIF($A$4:$A$86, "&lt;="&amp;baseData, T$4:T$86))*(SUM($G79:$H79)/(SUMIF($A$4:$A$86, "&gt;"&amp;baseData, $G$4:$G$86)+SUMIF($A$4:$A$86, "&gt;"&amp;baseData, $H$4:$H$86))))</f>
        <v>0</v>
      </c>
      <c r="U79" s="398">
        <f>IF($A79&lt;=baseData, INDEX('LDI - Fluxo de Caixa'!$BD$18:$BT$374, MATCH('Fluxo Projeto'!$A79, 'LDI - Fluxo de Caixa'!$C$18:$C$374, 0), MATCH('Fluxo Projeto'!U$1, 'LDI - Fluxo de Caixa'!$BD$14:$BT$14, 0)), 0)</f>
        <v>0</v>
      </c>
      <c r="V79" s="393">
        <f t="shared" ca="1" si="63"/>
        <v>-2465.1461991239257</v>
      </c>
      <c r="X79" s="416">
        <v>0</v>
      </c>
      <c r="Y79" s="417">
        <v>0</v>
      </c>
      <c r="AA79" s="400">
        <f>INDEX('LDI - Fluxo de Caixa'!$BD$18:$BT$374, MATCH('Fluxo Projeto'!$A79, 'LDI - Fluxo de Caixa'!$C$18:$C$374, 0), MATCH('Fluxo Projeto'!AA$1, 'LDI - Fluxo de Caixa'!$BD$14:$BT$14, 0))</f>
        <v>0</v>
      </c>
      <c r="AB79" s="417">
        <v>0</v>
      </c>
      <c r="AD79" s="393">
        <f t="shared" ca="1" si="64"/>
        <v>-2465.1461991239257</v>
      </c>
      <c r="AF79" s="393">
        <f ca="1">IF($A79&lt;=baseData, INDEX('LDI - Fluxo de Caixa'!$BD$18:$BT$374, MATCH('Fluxo Projeto'!$A79, 'LDI - Fluxo de Caixa'!$C$18:$C$374, 0), MATCH('Fluxo Projeto'!AF$1, 'LDI - Fluxo de Caixa'!$BD$14:$BT$14, 0)), $E79*CDI)</f>
        <v>0</v>
      </c>
      <c r="AH79" s="393">
        <f t="shared" ca="1" si="65"/>
        <v>-2465.1461991239257</v>
      </c>
      <c r="AJ79" s="397">
        <f>IF($A79&lt;=baseData, INDEX('LDI - Fluxo de Caixa'!$BD$18:$BT$374, MATCH($A79, 'LDI - Fluxo de Caixa'!$C$18:$C$374, 0), MATCH(AJ$1, 'LDI - Fluxo de Caixa'!$BD$14:$BT$14, 0))-J79-I79, IF($A79&lt;inicioDistribuicoes,-IF(AH79&lt;cxMinSPEpreObra,IF(SUM($AD80:$AD91)-cxMinSPEpreObra+AH79&lt;0,SUM($AD80:$AD91)-cxMinSPEpreObra+AH79,IF(AH79&lt;0, AH79-cxMinSPEpreObra, 0)),0), 0))</f>
        <v>0</v>
      </c>
      <c r="AK79" s="398">
        <f t="shared" si="71"/>
        <v>0</v>
      </c>
      <c r="AM79" s="393">
        <f t="shared" ca="1" si="66"/>
        <v>-2465.1461991239257</v>
      </c>
      <c r="AO79" s="393">
        <f t="shared" ca="1" si="93"/>
        <v>-2465.1461991239257</v>
      </c>
      <c r="AQ79" s="397">
        <f t="shared" si="67"/>
        <v>0</v>
      </c>
      <c r="AR79" s="398">
        <f t="shared" ca="1" si="69"/>
        <v>37937973.876232795</v>
      </c>
      <c r="AT79" s="393">
        <f t="shared" si="70"/>
        <v>0</v>
      </c>
      <c r="AV79" s="397">
        <f t="shared" si="72"/>
        <v>0</v>
      </c>
      <c r="AW79" s="390">
        <f t="shared" si="73"/>
        <v>0</v>
      </c>
      <c r="AX79" s="390">
        <f t="shared" si="74"/>
        <v>0</v>
      </c>
      <c r="AY79" s="390">
        <f t="shared" si="75"/>
        <v>0</v>
      </c>
      <c r="AZ79" s="393">
        <f t="shared" si="76"/>
        <v>0</v>
      </c>
      <c r="BA79" s="371"/>
      <c r="BB79" s="400">
        <f t="shared" si="77"/>
        <v>0</v>
      </c>
      <c r="BC79" s="415">
        <f t="shared" ca="1" si="78"/>
        <v>0</v>
      </c>
      <c r="BD79" s="415">
        <f t="shared" si="79"/>
        <v>0</v>
      </c>
      <c r="BE79" s="415">
        <f t="shared" ca="1" si="80"/>
        <v>-3.0258293522702511</v>
      </c>
      <c r="BF79" s="415">
        <f t="shared" si="81"/>
        <v>0</v>
      </c>
      <c r="BG79" s="415">
        <f t="shared" si="82"/>
        <v>0</v>
      </c>
      <c r="BH79" s="415">
        <f t="shared" si="83"/>
        <v>0</v>
      </c>
      <c r="BI79" s="415">
        <f t="shared" si="84"/>
        <v>0</v>
      </c>
      <c r="BJ79" s="398">
        <f t="shared" si="85"/>
        <v>0</v>
      </c>
      <c r="BK79" s="393">
        <f t="shared" ca="1" si="86"/>
        <v>-3.0258293522702511</v>
      </c>
      <c r="BL79" s="371"/>
      <c r="BM79" s="400">
        <f t="shared" si="87"/>
        <v>0</v>
      </c>
      <c r="BN79" s="401">
        <f t="shared" si="88"/>
        <v>0</v>
      </c>
      <c r="BO79" s="371"/>
      <c r="BP79" s="400">
        <f t="shared" si="89"/>
        <v>0</v>
      </c>
      <c r="BQ79" s="401">
        <f t="shared" si="90"/>
        <v>0</v>
      </c>
      <c r="BR79" s="371"/>
      <c r="BS79" s="393">
        <f t="shared" ca="1" si="91"/>
        <v>0</v>
      </c>
    </row>
    <row r="80" spans="1:71" x14ac:dyDescent="0.25">
      <c r="A80" s="197">
        <f t="shared" si="68"/>
        <v>45444</v>
      </c>
      <c r="B80" s="388">
        <f>IF($A80&lt;=baseData, INDEX(Indicadores!B:B, MATCH($A80,Indicadores!A:A, 0)), INDEX(Indicadores!B:B, MATCH(baseData,Indicadores!A:A, 0)))</f>
        <v>839.38199999999995</v>
      </c>
      <c r="C80" s="389">
        <f>IF($A80&lt;=baseData, INDEX(Indicadores!E:E, MATCH($A80, Indicadores!A:A, 0)), INDEX(Indicadores!E:E, MATCH(baseData, Indicadores!A:A, 0)))</f>
        <v>5486.52</v>
      </c>
      <c r="E80" s="393">
        <f t="shared" ca="1" si="92"/>
        <v>-2465.1461991239257</v>
      </c>
      <c r="G80" s="397">
        <f>IF(tipoCarteira="Carteira",INDEX('M-FLUXO DE CAIXA'!$W:$W, MATCH($A80, 'M-FLUXO DE CAIXA'!$V:$V, 0)),IF(DATEDIF(baseData,$A80,"m")&lt;=prazoRepasseCarteira,vlrCarteira/prazoRepasseCarteira,0))+IF(DATEDIF(baseData,$A80,"m")&lt;=curvaInad,vlrInad/curvaInad*(1-PDD),0)</f>
        <v>0</v>
      </c>
      <c r="H80" s="390">
        <f>IF($A80&gt;baseData, SUMPRODUCT('Tabela Vendas'!$R:$R,'Tabela Vendas'!$V:$V)*INDEX(Curvas!$Z:$Z,MATCH($A80,Curvas!$B:$B,0)), 0)</f>
        <v>0</v>
      </c>
      <c r="I80" s="390">
        <f>IFERROR(INDEX(Permutas!AJ:AJ, MATCH('Fluxo Projeto'!A80, Permutas!N:N, 0)), 0)</f>
        <v>0</v>
      </c>
      <c r="J80" s="390">
        <v>0</v>
      </c>
      <c r="K80" s="393">
        <f t="shared" si="62"/>
        <v>0</v>
      </c>
      <c r="M80" s="400">
        <f>IF($A80&lt;=baseData,INDEX('LDI - Fluxo de Caixa'!$BD$18:$BT$374,MATCH('Fluxo Projeto'!$A80,'LDI - Fluxo de Caixa'!$C$18:$C$374,0),MATCH('Fluxo Projeto'!M$1,'LDI - Fluxo de Caixa'!$BD$14:$BT$14,0)),-pctImpostoSPE*K79)</f>
        <v>0</v>
      </c>
      <c r="N80" s="415">
        <f ca="1">IF($A80&lt;=baseData,INDEX('LDI - Fluxo de Caixa'!$BD$18:$BT$374,MATCH($A80,'LDI - Fluxo de Caixa'!$C$18:$C$374,0),MATCH('Fluxo Projeto'!N$1,'LDI - Fluxo de Caixa'!$BD$14:$BT$14,0)),INDEX(Obra!AA:AA,MATCH($A80,Obra!F:F,0)))</f>
        <v>0</v>
      </c>
      <c r="O80" s="415">
        <f>IF($A80&lt;=baseData,INDEX('LDI - Fluxo de Caixa'!$BD$18:$BT$374,MATCH($A80,'LDI - Fluxo de Caixa'!$C$18:$C$374,0),MATCH('Fluxo Projeto'!O$1,'LDI - Fluxo de Caixa'!$BD$14:$BT$14,0)),IF($A80=entrega,assistTecnicaObra*SUM($N$2:$N$86),0))</f>
        <v>0</v>
      </c>
      <c r="P80" s="415">
        <f ca="1">IF($A80&lt;=baseData, INDEX('LDI - Fluxo de Caixa'!$BD$18:$BT$374, MATCH('Fluxo Projeto'!$A80, 'LDI - Fluxo de Caixa'!$C$18:$C$374, 0), MATCH('Fluxo Projeto'!P$1, 'LDI - Fluxo de Caixa'!$BD$14:$BT$14, 0)), -IF($A80&gt;=entrega, INDEX(Curvas!R:R,MATCH($A80,Curvas!B:B,0))*(IPTU+condominio)*'Tabela Vendas'!$Y$22, 0))</f>
        <v>-2465.1461991239257</v>
      </c>
      <c r="Q80" s="415">
        <f>IF($A80&lt;=baseData, INDEX('LDI - Fluxo de Caixa'!$BD$18:$BT$374, MATCH('Fluxo Projeto'!$A80, 'LDI - Fluxo de Caixa'!$C$18:$C$374, 0), MATCH('Fluxo Projeto'!Q$1, 'LDI - Fluxo de Caixa'!$BD$14:$BT$14, 0)), (-pctIncorporaçaoSPE*SUM($G$4:$H$86)-SUMIF($A$4:$A$86, "&lt;="&amp;baseData, Q$4:Q$86))*(SUM($G80:$H80)/(SUMIF($A$4:$A$86, "&gt;"&amp;baseData, $G$4:$G$86)+SUMIF($A$4:$A$86, "&gt;"&amp;baseData, $H$4:$H$86))))</f>
        <v>0</v>
      </c>
      <c r="R80" s="415">
        <f>IF($A80&lt;=baseData, INDEX('LDI - Fluxo de Caixa'!$BD$18:$BT$374, MATCH('Fluxo Projeto'!$A80, 'LDI - Fluxo de Caixa'!$C$18:$C$374, 0), MATCH('Fluxo Projeto'!R$1, 'LDI - Fluxo de Caixa'!$BD$14:$BT$14, 0)), (-pctMarketingSPE*SUM($G$4:$H$86)-SUMIF($A$4:$A$86, "&lt;="&amp;baseData, R$4:R$86))*(SUM($G80:$H80)/(SUMIF($A$4:$A$86, "&gt;"&amp;baseData, $G$4:$G$86)+SUMIF($A$4:$A$86, "&gt;"&amp;baseData, $H$4:$H$86))))</f>
        <v>0</v>
      </c>
      <c r="S80" s="415">
        <f>IF($A80&lt;=baseData,INDEX('LDI - Fluxo de Caixa'!$BD$18:$BT$374,MATCH($A80,'LDI - Fluxo de Caixa'!$C$18:$C$374,0),MATCH(S$1,'LDI - Fluxo de Caixa'!$BD$14:$BT$14,0)),-pctGestaoSPE*K79)</f>
        <v>0</v>
      </c>
      <c r="T80" s="415">
        <f>IF($A80&lt;=baseData, INDEX('LDI - Fluxo de Caixa'!$BD$18:$BT$374, MATCH('Fluxo Projeto'!$A80, 'LDI - Fluxo de Caixa'!$C$18:$C$374, 0), MATCH('Fluxo Projeto'!T$1, 'LDI - Fluxo de Caixa'!$BD$14:$BT$14, 0)), (-pctOutrasSPE*SUM($G$4:$H$86)-SUMIF($A$4:$A$86, "&lt;="&amp;baseData, T$4:T$86))*(SUM($G80:$H80)/(SUMIF($A$4:$A$86, "&gt;"&amp;baseData, $G$4:$G$86)+SUMIF($A$4:$A$86, "&gt;"&amp;baseData, $H$4:$H$86))))</f>
        <v>0</v>
      </c>
      <c r="U80" s="398">
        <f>IF($A80&lt;=baseData, INDEX('LDI - Fluxo de Caixa'!$BD$18:$BT$374, MATCH('Fluxo Projeto'!$A80, 'LDI - Fluxo de Caixa'!$C$18:$C$374, 0), MATCH('Fluxo Projeto'!U$1, 'LDI - Fluxo de Caixa'!$BD$14:$BT$14, 0)), 0)</f>
        <v>0</v>
      </c>
      <c r="V80" s="393">
        <f t="shared" ca="1" si="63"/>
        <v>-2465.1461991239257</v>
      </c>
      <c r="X80" s="416">
        <v>0</v>
      </c>
      <c r="Y80" s="417">
        <v>0</v>
      </c>
      <c r="AA80" s="400">
        <f>INDEX('LDI - Fluxo de Caixa'!$BD$18:$BT$374, MATCH('Fluxo Projeto'!$A80, 'LDI - Fluxo de Caixa'!$C$18:$C$374, 0), MATCH('Fluxo Projeto'!AA$1, 'LDI - Fluxo de Caixa'!$BD$14:$BT$14, 0))</f>
        <v>0</v>
      </c>
      <c r="AB80" s="417">
        <v>0</v>
      </c>
      <c r="AD80" s="393">
        <f t="shared" ca="1" si="64"/>
        <v>-2465.1461991239257</v>
      </c>
      <c r="AF80" s="393">
        <f ca="1">IF($A80&lt;=baseData, INDEX('LDI - Fluxo de Caixa'!$BD$18:$BT$374, MATCH('Fluxo Projeto'!$A80, 'LDI - Fluxo de Caixa'!$C$18:$C$374, 0), MATCH('Fluxo Projeto'!AF$1, 'LDI - Fluxo de Caixa'!$BD$14:$BT$14, 0)), $E80*CDI)</f>
        <v>0.54250135385178566</v>
      </c>
      <c r="AH80" s="393">
        <f t="shared" ca="1" si="65"/>
        <v>-4929.7498968939999</v>
      </c>
      <c r="AJ80" s="397">
        <f>IF($A80&lt;=baseData, INDEX('LDI - Fluxo de Caixa'!$BD$18:$BT$374, MATCH($A80, 'LDI - Fluxo de Caixa'!$C$18:$C$374, 0), MATCH(AJ$1, 'LDI - Fluxo de Caixa'!$BD$14:$BT$14, 0))-J80-I80, IF($A80&lt;inicioDistribuicoes,-IF(AH80&lt;cxMinSPEpreObra,IF(SUM($AD81:$AD92)-cxMinSPEpreObra+AH80&lt;0,SUM($AD81:$AD92)-cxMinSPEpreObra+AH80,IF(AH80&lt;0, AH80-cxMinSPEpreObra, 0)),0), 0))</f>
        <v>0</v>
      </c>
      <c r="AK80" s="398">
        <f t="shared" si="71"/>
        <v>0</v>
      </c>
      <c r="AM80" s="393">
        <f t="shared" ca="1" si="66"/>
        <v>-4929.7498968939999</v>
      </c>
      <c r="AO80" s="393">
        <f t="shared" ca="1" si="93"/>
        <v>-4929.7498968939999</v>
      </c>
      <c r="AQ80" s="397">
        <f t="shared" si="67"/>
        <v>0</v>
      </c>
      <c r="AR80" s="398">
        <f t="shared" ca="1" si="69"/>
        <v>37937973.876232795</v>
      </c>
      <c r="AT80" s="393">
        <f t="shared" si="70"/>
        <v>0</v>
      </c>
      <c r="AV80" s="397">
        <f t="shared" si="72"/>
        <v>0</v>
      </c>
      <c r="AW80" s="390">
        <f t="shared" si="73"/>
        <v>0</v>
      </c>
      <c r="AX80" s="390">
        <f t="shared" si="74"/>
        <v>0</v>
      </c>
      <c r="AY80" s="390">
        <f t="shared" si="75"/>
        <v>0</v>
      </c>
      <c r="AZ80" s="393">
        <f t="shared" si="76"/>
        <v>0</v>
      </c>
      <c r="BA80" s="371"/>
      <c r="BB80" s="400">
        <f t="shared" si="77"/>
        <v>0</v>
      </c>
      <c r="BC80" s="415">
        <f t="shared" ca="1" si="78"/>
        <v>0</v>
      </c>
      <c r="BD80" s="415">
        <f t="shared" si="79"/>
        <v>0</v>
      </c>
      <c r="BE80" s="415">
        <f t="shared" ca="1" si="80"/>
        <v>-3.0258293522702511</v>
      </c>
      <c r="BF80" s="415">
        <f t="shared" si="81"/>
        <v>0</v>
      </c>
      <c r="BG80" s="415">
        <f t="shared" si="82"/>
        <v>0</v>
      </c>
      <c r="BH80" s="415">
        <f t="shared" si="83"/>
        <v>0</v>
      </c>
      <c r="BI80" s="415">
        <f t="shared" si="84"/>
        <v>0</v>
      </c>
      <c r="BJ80" s="398">
        <f t="shared" si="85"/>
        <v>0</v>
      </c>
      <c r="BK80" s="393">
        <f t="shared" ca="1" si="86"/>
        <v>-3.0258293522702511</v>
      </c>
      <c r="BL80" s="371"/>
      <c r="BM80" s="400">
        <f t="shared" si="87"/>
        <v>0</v>
      </c>
      <c r="BN80" s="401">
        <f t="shared" si="88"/>
        <v>0</v>
      </c>
      <c r="BO80" s="371"/>
      <c r="BP80" s="400">
        <f t="shared" si="89"/>
        <v>0</v>
      </c>
      <c r="BQ80" s="401">
        <f t="shared" si="90"/>
        <v>0</v>
      </c>
      <c r="BR80" s="371"/>
      <c r="BS80" s="393">
        <f t="shared" ca="1" si="91"/>
        <v>6.6589012883473285E-4</v>
      </c>
    </row>
    <row r="81" spans="1:71" x14ac:dyDescent="0.25">
      <c r="A81" s="197">
        <f t="shared" si="68"/>
        <v>45474</v>
      </c>
      <c r="B81" s="388">
        <f>IF($A81&lt;=baseData, INDEX(Indicadores!B:B, MATCH($A81,Indicadores!A:A, 0)), INDEX(Indicadores!B:B, MATCH(baseData,Indicadores!A:A, 0)))</f>
        <v>839.38199999999995</v>
      </c>
      <c r="C81" s="389">
        <f>IF($A81&lt;=baseData, INDEX(Indicadores!E:E, MATCH($A81, Indicadores!A:A, 0)), INDEX(Indicadores!E:E, MATCH(baseData, Indicadores!A:A, 0)))</f>
        <v>5486.52</v>
      </c>
      <c r="E81" s="393">
        <f t="shared" ca="1" si="92"/>
        <v>-4929.7498968939999</v>
      </c>
      <c r="G81" s="397">
        <f>IF(tipoCarteira="Carteira",INDEX('M-FLUXO DE CAIXA'!$W:$W, MATCH($A81, 'M-FLUXO DE CAIXA'!$V:$V, 0)),IF(DATEDIF(baseData,$A81,"m")&lt;=prazoRepasseCarteira,vlrCarteira/prazoRepasseCarteira,0))+IF(DATEDIF(baseData,$A81,"m")&lt;=curvaInad,vlrInad/curvaInad*(1-PDD),0)</f>
        <v>0</v>
      </c>
      <c r="H81" s="390">
        <f>IF($A81&gt;baseData, SUMPRODUCT('Tabela Vendas'!$R:$R,'Tabela Vendas'!$V:$V)*INDEX(Curvas!$Z:$Z,MATCH($A81,Curvas!$B:$B,0)), 0)</f>
        <v>0</v>
      </c>
      <c r="I81" s="390">
        <f>IFERROR(INDEX(Permutas!AJ:AJ, MATCH('Fluxo Projeto'!A81, Permutas!N:N, 0)), 0)</f>
        <v>0</v>
      </c>
      <c r="J81" s="390">
        <v>0</v>
      </c>
      <c r="K81" s="393">
        <f t="shared" si="62"/>
        <v>0</v>
      </c>
      <c r="M81" s="400">
        <f>IF($A81&lt;=baseData,INDEX('LDI - Fluxo de Caixa'!$BD$18:$BT$374,MATCH('Fluxo Projeto'!$A81,'LDI - Fluxo de Caixa'!$C$18:$C$374,0),MATCH('Fluxo Projeto'!M$1,'LDI - Fluxo de Caixa'!$BD$14:$BT$14,0)),-pctImpostoSPE*K80)</f>
        <v>0</v>
      </c>
      <c r="N81" s="415">
        <f ca="1">IF($A81&lt;=baseData,INDEX('LDI - Fluxo de Caixa'!$BD$18:$BT$374,MATCH($A81,'LDI - Fluxo de Caixa'!$C$18:$C$374,0),MATCH('Fluxo Projeto'!N$1,'LDI - Fluxo de Caixa'!$BD$14:$BT$14,0)),INDEX(Obra!AA:AA,MATCH($A81,Obra!F:F,0)))</f>
        <v>0</v>
      </c>
      <c r="O81" s="415">
        <f>IF($A81&lt;=baseData,INDEX('LDI - Fluxo de Caixa'!$BD$18:$BT$374,MATCH($A81,'LDI - Fluxo de Caixa'!$C$18:$C$374,0),MATCH('Fluxo Projeto'!O$1,'LDI - Fluxo de Caixa'!$BD$14:$BT$14,0)),IF($A81=entrega,assistTecnicaObra*SUM($N$2:$N$86),0))</f>
        <v>0</v>
      </c>
      <c r="P81" s="415">
        <f ca="1">IF($A81&lt;=baseData, INDEX('LDI - Fluxo de Caixa'!$BD$18:$BT$374, MATCH('Fluxo Projeto'!$A81, 'LDI - Fluxo de Caixa'!$C$18:$C$374, 0), MATCH('Fluxo Projeto'!P$1, 'LDI - Fluxo de Caixa'!$BD$14:$BT$14, 0)), -IF($A81&gt;=entrega, INDEX(Curvas!R:R,MATCH($A81,Curvas!B:B,0))*(IPTU+condominio)*'Tabela Vendas'!$Y$22, 0))</f>
        <v>-2465.1461991239257</v>
      </c>
      <c r="Q81" s="415">
        <f>IF($A81&lt;=baseData, INDEX('LDI - Fluxo de Caixa'!$BD$18:$BT$374, MATCH('Fluxo Projeto'!$A81, 'LDI - Fluxo de Caixa'!$C$18:$C$374, 0), MATCH('Fluxo Projeto'!Q$1, 'LDI - Fluxo de Caixa'!$BD$14:$BT$14, 0)), (-pctIncorporaçaoSPE*SUM($G$4:$H$86)-SUMIF($A$4:$A$86, "&lt;="&amp;baseData, Q$4:Q$86))*(SUM($G81:$H81)/(SUMIF($A$4:$A$86, "&gt;"&amp;baseData, $G$4:$G$86)+SUMIF($A$4:$A$86, "&gt;"&amp;baseData, $H$4:$H$86))))</f>
        <v>0</v>
      </c>
      <c r="R81" s="415">
        <f>IF($A81&lt;=baseData, INDEX('LDI - Fluxo de Caixa'!$BD$18:$BT$374, MATCH('Fluxo Projeto'!$A81, 'LDI - Fluxo de Caixa'!$C$18:$C$374, 0), MATCH('Fluxo Projeto'!R$1, 'LDI - Fluxo de Caixa'!$BD$14:$BT$14, 0)), (-pctMarketingSPE*SUM($G$4:$H$86)-SUMIF($A$4:$A$86, "&lt;="&amp;baseData, R$4:R$86))*(SUM($G81:$H81)/(SUMIF($A$4:$A$86, "&gt;"&amp;baseData, $G$4:$G$86)+SUMIF($A$4:$A$86, "&gt;"&amp;baseData, $H$4:$H$86))))</f>
        <v>0</v>
      </c>
      <c r="S81" s="415">
        <f>IF($A81&lt;=baseData,INDEX('LDI - Fluxo de Caixa'!$BD$18:$BT$374,MATCH($A81,'LDI - Fluxo de Caixa'!$C$18:$C$374,0),MATCH(S$1,'LDI - Fluxo de Caixa'!$BD$14:$BT$14,0)),-pctGestaoSPE*K80)</f>
        <v>0</v>
      </c>
      <c r="T81" s="415">
        <f>IF($A81&lt;=baseData, INDEX('LDI - Fluxo de Caixa'!$BD$18:$BT$374, MATCH('Fluxo Projeto'!$A81, 'LDI - Fluxo de Caixa'!$C$18:$C$374, 0), MATCH('Fluxo Projeto'!T$1, 'LDI - Fluxo de Caixa'!$BD$14:$BT$14, 0)), (-pctOutrasSPE*SUM($G$4:$H$86)-SUMIF($A$4:$A$86, "&lt;="&amp;baseData, T$4:T$86))*(SUM($G81:$H81)/(SUMIF($A$4:$A$86, "&gt;"&amp;baseData, $G$4:$G$86)+SUMIF($A$4:$A$86, "&gt;"&amp;baseData, $H$4:$H$86))))</f>
        <v>0</v>
      </c>
      <c r="U81" s="398">
        <f>IF($A81&lt;=baseData, INDEX('LDI - Fluxo de Caixa'!$BD$18:$BT$374, MATCH('Fluxo Projeto'!$A81, 'LDI - Fluxo de Caixa'!$C$18:$C$374, 0), MATCH('Fluxo Projeto'!U$1, 'LDI - Fluxo de Caixa'!$BD$14:$BT$14, 0)), 0)</f>
        <v>0</v>
      </c>
      <c r="V81" s="393">
        <f t="shared" ca="1" si="63"/>
        <v>-2465.1461991239257</v>
      </c>
      <c r="X81" s="416">
        <v>0</v>
      </c>
      <c r="Y81" s="417">
        <v>0</v>
      </c>
      <c r="AA81" s="400">
        <f>INDEX('LDI - Fluxo de Caixa'!$BD$18:$BT$374, MATCH('Fluxo Projeto'!$A81, 'LDI - Fluxo de Caixa'!$C$18:$C$374, 0), MATCH('Fluxo Projeto'!AA$1, 'LDI - Fluxo de Caixa'!$BD$14:$BT$14, 0))</f>
        <v>0</v>
      </c>
      <c r="AB81" s="417">
        <v>0</v>
      </c>
      <c r="AD81" s="393">
        <f t="shared" ca="1" si="64"/>
        <v>-2465.1461991239257</v>
      </c>
      <c r="AF81" s="393">
        <f ca="1">IF($A81&lt;=baseData, INDEX('LDI - Fluxo de Caixa'!$BD$18:$BT$374, MATCH('Fluxo Projeto'!$A81, 'LDI - Fluxo de Caixa'!$C$18:$C$374, 0), MATCH('Fluxo Projeto'!AF$1, 'LDI - Fluxo de Caixa'!$BD$14:$BT$14, 0)), $E81*CDI)</f>
        <v>1.084883320172302</v>
      </c>
      <c r="AH81" s="393">
        <f t="shared" ca="1" si="65"/>
        <v>-7393.811212697753</v>
      </c>
      <c r="AJ81" s="397">
        <f>IF($A81&lt;=baseData, INDEX('LDI - Fluxo de Caixa'!$BD$18:$BT$374, MATCH($A81, 'LDI - Fluxo de Caixa'!$C$18:$C$374, 0), MATCH(AJ$1, 'LDI - Fluxo de Caixa'!$BD$14:$BT$14, 0))-J81-I81, IF($A81&lt;inicioDistribuicoes,-IF(AH81&lt;cxMinSPEpreObra,IF(SUM($AD82:$AD93)-cxMinSPEpreObra+AH81&lt;0,SUM($AD82:$AD93)-cxMinSPEpreObra+AH81,IF(AH81&lt;0, AH81-cxMinSPEpreObra, 0)),0), 0))</f>
        <v>0</v>
      </c>
      <c r="AK81" s="398">
        <f t="shared" si="71"/>
        <v>0</v>
      </c>
      <c r="AM81" s="393">
        <f t="shared" ca="1" si="66"/>
        <v>-7393.811212697753</v>
      </c>
      <c r="AO81" s="393">
        <f t="shared" ca="1" si="93"/>
        <v>-7393.811212697753</v>
      </c>
      <c r="AQ81" s="397">
        <f t="shared" si="67"/>
        <v>0</v>
      </c>
      <c r="AR81" s="398">
        <f t="shared" ca="1" si="69"/>
        <v>37937973.876232795</v>
      </c>
      <c r="AT81" s="393">
        <f t="shared" si="70"/>
        <v>0</v>
      </c>
      <c r="AV81" s="397">
        <f t="shared" si="72"/>
        <v>0</v>
      </c>
      <c r="AW81" s="390">
        <f t="shared" si="73"/>
        <v>0</v>
      </c>
      <c r="AX81" s="390">
        <f t="shared" si="74"/>
        <v>0</v>
      </c>
      <c r="AY81" s="390">
        <f t="shared" si="75"/>
        <v>0</v>
      </c>
      <c r="AZ81" s="393">
        <f t="shared" si="76"/>
        <v>0</v>
      </c>
      <c r="BA81" s="371"/>
      <c r="BB81" s="400">
        <f t="shared" si="77"/>
        <v>0</v>
      </c>
      <c r="BC81" s="415">
        <f t="shared" ca="1" si="78"/>
        <v>0</v>
      </c>
      <c r="BD81" s="415">
        <f t="shared" si="79"/>
        <v>0</v>
      </c>
      <c r="BE81" s="415">
        <f t="shared" ca="1" si="80"/>
        <v>-3.0258293522702511</v>
      </c>
      <c r="BF81" s="415">
        <f t="shared" si="81"/>
        <v>0</v>
      </c>
      <c r="BG81" s="415">
        <f t="shared" si="82"/>
        <v>0</v>
      </c>
      <c r="BH81" s="415">
        <f t="shared" si="83"/>
        <v>0</v>
      </c>
      <c r="BI81" s="415">
        <f t="shared" si="84"/>
        <v>0</v>
      </c>
      <c r="BJ81" s="398">
        <f t="shared" si="85"/>
        <v>0</v>
      </c>
      <c r="BK81" s="393">
        <f t="shared" ca="1" si="86"/>
        <v>-3.0258293522702511</v>
      </c>
      <c r="BL81" s="371"/>
      <c r="BM81" s="400">
        <f t="shared" si="87"/>
        <v>0</v>
      </c>
      <c r="BN81" s="401">
        <f t="shared" si="88"/>
        <v>0</v>
      </c>
      <c r="BO81" s="371"/>
      <c r="BP81" s="400">
        <f t="shared" si="89"/>
        <v>0</v>
      </c>
      <c r="BQ81" s="401">
        <f t="shared" si="90"/>
        <v>0</v>
      </c>
      <c r="BR81" s="371"/>
      <c r="BS81" s="393">
        <f t="shared" ca="1" si="91"/>
        <v>1.3316337161391749E-3</v>
      </c>
    </row>
    <row r="82" spans="1:71" x14ac:dyDescent="0.25">
      <c r="A82" s="197">
        <f t="shared" si="68"/>
        <v>45505</v>
      </c>
      <c r="B82" s="388">
        <f>IF($A82&lt;=baseData, INDEX(Indicadores!B:B, MATCH($A82,Indicadores!A:A, 0)), INDEX(Indicadores!B:B, MATCH(baseData,Indicadores!A:A, 0)))</f>
        <v>839.38199999999995</v>
      </c>
      <c r="C82" s="389">
        <f>IF($A82&lt;=baseData, INDEX(Indicadores!E:E, MATCH($A82, Indicadores!A:A, 0)), INDEX(Indicadores!E:E, MATCH(baseData, Indicadores!A:A, 0)))</f>
        <v>5486.52</v>
      </c>
      <c r="E82" s="393">
        <f t="shared" ca="1" si="92"/>
        <v>-7393.811212697753</v>
      </c>
      <c r="G82" s="397">
        <f>IF(tipoCarteira="Carteira",INDEX('M-FLUXO DE CAIXA'!$W:$W, MATCH($A82, 'M-FLUXO DE CAIXA'!$V:$V, 0)),IF(DATEDIF(baseData,$A82,"m")&lt;=prazoRepasseCarteira,vlrCarteira/prazoRepasseCarteira,0))+IF(DATEDIF(baseData,$A82,"m")&lt;=curvaInad,vlrInad/curvaInad*(1-PDD),0)</f>
        <v>0</v>
      </c>
      <c r="H82" s="390">
        <f>IF($A82&gt;baseData, SUMPRODUCT('Tabela Vendas'!$R:$R,'Tabela Vendas'!$V:$V)*INDEX(Curvas!$Z:$Z,MATCH($A82,Curvas!$B:$B,0)), 0)</f>
        <v>0</v>
      </c>
      <c r="I82" s="390">
        <f>IFERROR(INDEX(Permutas!AJ:AJ, MATCH('Fluxo Projeto'!A82, Permutas!N:N, 0)), 0)</f>
        <v>0</v>
      </c>
      <c r="J82" s="390">
        <v>0</v>
      </c>
      <c r="K82" s="393">
        <f t="shared" si="62"/>
        <v>0</v>
      </c>
      <c r="M82" s="400">
        <f>IF($A82&lt;=baseData,INDEX('LDI - Fluxo de Caixa'!$BD$18:$BT$374,MATCH('Fluxo Projeto'!$A82,'LDI - Fluxo de Caixa'!$C$18:$C$374,0),MATCH('Fluxo Projeto'!M$1,'LDI - Fluxo de Caixa'!$BD$14:$BT$14,0)),-pctImpostoSPE*K81)</f>
        <v>0</v>
      </c>
      <c r="N82" s="415">
        <f ca="1">IF($A82&lt;=baseData,INDEX('LDI - Fluxo de Caixa'!$BD$18:$BT$374,MATCH($A82,'LDI - Fluxo de Caixa'!$C$18:$C$374,0),MATCH('Fluxo Projeto'!N$1,'LDI - Fluxo de Caixa'!$BD$14:$BT$14,0)),INDEX(Obra!AA:AA,MATCH($A82,Obra!F:F,0)))</f>
        <v>0</v>
      </c>
      <c r="O82" s="415">
        <f>IF($A82&lt;=baseData,INDEX('LDI - Fluxo de Caixa'!$BD$18:$BT$374,MATCH($A82,'LDI - Fluxo de Caixa'!$C$18:$C$374,0),MATCH('Fluxo Projeto'!O$1,'LDI - Fluxo de Caixa'!$BD$14:$BT$14,0)),IF($A82=entrega,assistTecnicaObra*SUM($N$2:$N$86),0))</f>
        <v>0</v>
      </c>
      <c r="P82" s="415">
        <f ca="1">IF($A82&lt;=baseData, INDEX('LDI - Fluxo de Caixa'!$BD$18:$BT$374, MATCH('Fluxo Projeto'!$A82, 'LDI - Fluxo de Caixa'!$C$18:$C$374, 0), MATCH('Fluxo Projeto'!P$1, 'LDI - Fluxo de Caixa'!$BD$14:$BT$14, 0)), -IF($A82&gt;=entrega, INDEX(Curvas!R:R,MATCH($A82,Curvas!B:B,0))*(IPTU+condominio)*'Tabela Vendas'!$Y$22, 0))</f>
        <v>-2465.1461991239257</v>
      </c>
      <c r="Q82" s="415">
        <f>IF($A82&lt;=baseData, INDEX('LDI - Fluxo de Caixa'!$BD$18:$BT$374, MATCH('Fluxo Projeto'!$A82, 'LDI - Fluxo de Caixa'!$C$18:$C$374, 0), MATCH('Fluxo Projeto'!Q$1, 'LDI - Fluxo de Caixa'!$BD$14:$BT$14, 0)), (-pctIncorporaçaoSPE*SUM($G$4:$H$86)-SUMIF($A$4:$A$86, "&lt;="&amp;baseData, Q$4:Q$86))*(SUM($G82:$H82)/(SUMIF($A$4:$A$86, "&gt;"&amp;baseData, $G$4:$G$86)+SUMIF($A$4:$A$86, "&gt;"&amp;baseData, $H$4:$H$86))))</f>
        <v>0</v>
      </c>
      <c r="R82" s="415">
        <f>IF($A82&lt;=baseData, INDEX('LDI - Fluxo de Caixa'!$BD$18:$BT$374, MATCH('Fluxo Projeto'!$A82, 'LDI - Fluxo de Caixa'!$C$18:$C$374, 0), MATCH('Fluxo Projeto'!R$1, 'LDI - Fluxo de Caixa'!$BD$14:$BT$14, 0)), (-pctMarketingSPE*SUM($G$4:$H$86)-SUMIF($A$4:$A$86, "&lt;="&amp;baseData, R$4:R$86))*(SUM($G82:$H82)/(SUMIF($A$4:$A$86, "&gt;"&amp;baseData, $G$4:$G$86)+SUMIF($A$4:$A$86, "&gt;"&amp;baseData, $H$4:$H$86))))</f>
        <v>0</v>
      </c>
      <c r="S82" s="415">
        <f>IF($A82&lt;=baseData,INDEX('LDI - Fluxo de Caixa'!$BD$18:$BT$374,MATCH($A82,'LDI - Fluxo de Caixa'!$C$18:$C$374,0),MATCH(S$1,'LDI - Fluxo de Caixa'!$BD$14:$BT$14,0)),-pctGestaoSPE*K81)</f>
        <v>0</v>
      </c>
      <c r="T82" s="415">
        <f>IF($A82&lt;=baseData, INDEX('LDI - Fluxo de Caixa'!$BD$18:$BT$374, MATCH('Fluxo Projeto'!$A82, 'LDI - Fluxo de Caixa'!$C$18:$C$374, 0), MATCH('Fluxo Projeto'!T$1, 'LDI - Fluxo de Caixa'!$BD$14:$BT$14, 0)), (-pctOutrasSPE*SUM($G$4:$H$86)-SUMIF($A$4:$A$86, "&lt;="&amp;baseData, T$4:T$86))*(SUM($G82:$H82)/(SUMIF($A$4:$A$86, "&gt;"&amp;baseData, $G$4:$G$86)+SUMIF($A$4:$A$86, "&gt;"&amp;baseData, $H$4:$H$86))))</f>
        <v>0</v>
      </c>
      <c r="U82" s="398">
        <f>IF($A82&lt;=baseData, INDEX('LDI - Fluxo de Caixa'!$BD$18:$BT$374, MATCH('Fluxo Projeto'!$A82, 'LDI - Fluxo de Caixa'!$C$18:$C$374, 0), MATCH('Fluxo Projeto'!U$1, 'LDI - Fluxo de Caixa'!$BD$14:$BT$14, 0)), 0)</f>
        <v>0</v>
      </c>
      <c r="V82" s="393">
        <f t="shared" ca="1" si="63"/>
        <v>-2465.1461991239257</v>
      </c>
      <c r="X82" s="416">
        <v>0</v>
      </c>
      <c r="Y82" s="417">
        <v>0</v>
      </c>
      <c r="AA82" s="400">
        <f>INDEX('LDI - Fluxo de Caixa'!$BD$18:$BT$374, MATCH('Fluxo Projeto'!$A82, 'LDI - Fluxo de Caixa'!$C$18:$C$374, 0), MATCH('Fluxo Projeto'!AA$1, 'LDI - Fluxo de Caixa'!$BD$14:$BT$14, 0))</f>
        <v>0</v>
      </c>
      <c r="AB82" s="417">
        <v>0</v>
      </c>
      <c r="AD82" s="393">
        <f t="shared" ca="1" si="64"/>
        <v>-2465.1461991239257</v>
      </c>
      <c r="AF82" s="393">
        <f ca="1">IF($A82&lt;=baseData, INDEX('LDI - Fluxo de Caixa'!$BD$18:$BT$374, MATCH('Fluxo Projeto'!$A82, 'LDI - Fluxo de Caixa'!$C$18:$C$374, 0), MATCH('Fluxo Projeto'!AF$1, 'LDI - Fluxo de Caixa'!$BD$14:$BT$14, 0)), $E82*CDI)</f>
        <v>1.627145925235</v>
      </c>
      <c r="AH82" s="393">
        <f t="shared" ca="1" si="65"/>
        <v>-9857.330265896444</v>
      </c>
      <c r="AJ82" s="397">
        <f>IF($A82&lt;=baseData, INDEX('LDI - Fluxo de Caixa'!$BD$18:$BT$374, MATCH($A82, 'LDI - Fluxo de Caixa'!$C$18:$C$374, 0), MATCH(AJ$1, 'LDI - Fluxo de Caixa'!$BD$14:$BT$14, 0))-J82-I82, IF($A82&lt;inicioDistribuicoes,-IF(AH82&lt;cxMinSPEpreObra,IF(SUM($AD83:$AD94)-cxMinSPEpreObra+AH82&lt;0,SUM($AD83:$AD94)-cxMinSPEpreObra+AH82,IF(AH82&lt;0, AH82-cxMinSPEpreObra, 0)),0), 0))</f>
        <v>0</v>
      </c>
      <c r="AK82" s="398">
        <f t="shared" si="71"/>
        <v>0</v>
      </c>
      <c r="AM82" s="393">
        <f t="shared" ca="1" si="66"/>
        <v>-9857.330265896444</v>
      </c>
      <c r="AO82" s="393">
        <f t="shared" ca="1" si="93"/>
        <v>-9857.330265896444</v>
      </c>
      <c r="AQ82" s="397">
        <f t="shared" si="67"/>
        <v>0</v>
      </c>
      <c r="AR82" s="398">
        <f t="shared" ca="1" si="69"/>
        <v>37937973.876232795</v>
      </c>
      <c r="AT82" s="393">
        <f t="shared" si="70"/>
        <v>0</v>
      </c>
      <c r="AV82" s="397">
        <f t="shared" si="72"/>
        <v>0</v>
      </c>
      <c r="AW82" s="390">
        <f t="shared" si="73"/>
        <v>0</v>
      </c>
      <c r="AX82" s="390">
        <f t="shared" si="74"/>
        <v>0</v>
      </c>
      <c r="AY82" s="390">
        <f t="shared" si="75"/>
        <v>0</v>
      </c>
      <c r="AZ82" s="393">
        <f t="shared" si="76"/>
        <v>0</v>
      </c>
      <c r="BA82" s="371"/>
      <c r="BB82" s="400">
        <f t="shared" si="77"/>
        <v>0</v>
      </c>
      <c r="BC82" s="415">
        <f t="shared" ca="1" si="78"/>
        <v>0</v>
      </c>
      <c r="BD82" s="415">
        <f t="shared" si="79"/>
        <v>0</v>
      </c>
      <c r="BE82" s="415">
        <f t="shared" ca="1" si="80"/>
        <v>-3.0258293522702511</v>
      </c>
      <c r="BF82" s="415">
        <f t="shared" si="81"/>
        <v>0</v>
      </c>
      <c r="BG82" s="415">
        <f t="shared" si="82"/>
        <v>0</v>
      </c>
      <c r="BH82" s="415">
        <f t="shared" si="83"/>
        <v>0</v>
      </c>
      <c r="BI82" s="415">
        <f t="shared" si="84"/>
        <v>0</v>
      </c>
      <c r="BJ82" s="398">
        <f t="shared" si="85"/>
        <v>0</v>
      </c>
      <c r="BK82" s="393">
        <f t="shared" ca="1" si="86"/>
        <v>-3.0258293522702511</v>
      </c>
      <c r="BL82" s="371"/>
      <c r="BM82" s="400">
        <f t="shared" si="87"/>
        <v>0</v>
      </c>
      <c r="BN82" s="401">
        <f t="shared" si="88"/>
        <v>0</v>
      </c>
      <c r="BO82" s="371"/>
      <c r="BP82" s="400">
        <f t="shared" si="89"/>
        <v>0</v>
      </c>
      <c r="BQ82" s="401">
        <f t="shared" si="90"/>
        <v>0</v>
      </c>
      <c r="BR82" s="371"/>
      <c r="BS82" s="393">
        <f t="shared" ca="1" si="91"/>
        <v>1.9972307941625209E-3</v>
      </c>
    </row>
    <row r="83" spans="1:71" x14ac:dyDescent="0.25">
      <c r="A83" s="197">
        <f t="shared" si="68"/>
        <v>45536</v>
      </c>
      <c r="B83" s="388">
        <f>IF($A83&lt;=baseData, INDEX(Indicadores!B:B, MATCH($A83,Indicadores!A:A, 0)), INDEX(Indicadores!B:B, MATCH(baseData,Indicadores!A:A, 0)))</f>
        <v>839.38199999999995</v>
      </c>
      <c r="C83" s="389">
        <f>IF($A83&lt;=baseData, INDEX(Indicadores!E:E, MATCH($A83, Indicadores!A:A, 0)), INDEX(Indicadores!E:E, MATCH(baseData, Indicadores!A:A, 0)))</f>
        <v>5486.52</v>
      </c>
      <c r="E83" s="393">
        <f t="shared" ca="1" si="92"/>
        <v>-9857.330265896444</v>
      </c>
      <c r="G83" s="397">
        <f>IF(tipoCarteira="Carteira",INDEX('M-FLUXO DE CAIXA'!$W:$W, MATCH($A83, 'M-FLUXO DE CAIXA'!$V:$V, 0)),IF(DATEDIF(baseData,$A83,"m")&lt;=prazoRepasseCarteira,vlrCarteira/prazoRepasseCarteira,0))+IF(DATEDIF(baseData,$A83,"m")&lt;=curvaInad,vlrInad/curvaInad*(1-PDD),0)</f>
        <v>0</v>
      </c>
      <c r="H83" s="390">
        <f>IF($A83&gt;baseData, SUMPRODUCT('Tabela Vendas'!$R:$R,'Tabela Vendas'!$V:$V)*INDEX(Curvas!$Z:$Z,MATCH($A83,Curvas!$B:$B,0)), 0)</f>
        <v>0</v>
      </c>
      <c r="I83" s="390">
        <f>IFERROR(INDEX(Permutas!AJ:AJ, MATCH('Fluxo Projeto'!A83, Permutas!N:N, 0)), 0)</f>
        <v>0</v>
      </c>
      <c r="J83" s="390">
        <v>0</v>
      </c>
      <c r="K83" s="393">
        <f t="shared" si="62"/>
        <v>0</v>
      </c>
      <c r="M83" s="400">
        <f>IF($A83&lt;=baseData,INDEX('LDI - Fluxo de Caixa'!$BD$18:$BT$374,MATCH('Fluxo Projeto'!$A83,'LDI - Fluxo de Caixa'!$C$18:$C$374,0),MATCH('Fluxo Projeto'!M$1,'LDI - Fluxo de Caixa'!$BD$14:$BT$14,0)),-pctImpostoSPE*K82)</f>
        <v>0</v>
      </c>
      <c r="N83" s="415">
        <f ca="1">IF($A83&lt;=baseData,INDEX('LDI - Fluxo de Caixa'!$BD$18:$BT$374,MATCH($A83,'LDI - Fluxo de Caixa'!$C$18:$C$374,0),MATCH('Fluxo Projeto'!N$1,'LDI - Fluxo de Caixa'!$BD$14:$BT$14,0)),INDEX(Obra!AA:AA,MATCH($A83,Obra!F:F,0)))</f>
        <v>0</v>
      </c>
      <c r="O83" s="415">
        <f>IF($A83&lt;=baseData,INDEX('LDI - Fluxo de Caixa'!$BD$18:$BT$374,MATCH($A83,'LDI - Fluxo de Caixa'!$C$18:$C$374,0),MATCH('Fluxo Projeto'!O$1,'LDI - Fluxo de Caixa'!$BD$14:$BT$14,0)),IF($A83=entrega,assistTecnicaObra*SUM($N$2:$N$86),0))</f>
        <v>0</v>
      </c>
      <c r="P83" s="415">
        <f ca="1">IF($A83&lt;=baseData, INDEX('LDI - Fluxo de Caixa'!$BD$18:$BT$374, MATCH('Fluxo Projeto'!$A83, 'LDI - Fluxo de Caixa'!$C$18:$C$374, 0), MATCH('Fluxo Projeto'!P$1, 'LDI - Fluxo de Caixa'!$BD$14:$BT$14, 0)), -IF($A83&gt;=entrega, INDEX(Curvas!R:R,MATCH($A83,Curvas!B:B,0))*(IPTU+condominio)*'Tabela Vendas'!$Y$22, 0))</f>
        <v>-2465.1461991239257</v>
      </c>
      <c r="Q83" s="415">
        <f>IF($A83&lt;=baseData, INDEX('LDI - Fluxo de Caixa'!$BD$18:$BT$374, MATCH('Fluxo Projeto'!$A83, 'LDI - Fluxo de Caixa'!$C$18:$C$374, 0), MATCH('Fluxo Projeto'!Q$1, 'LDI - Fluxo de Caixa'!$BD$14:$BT$14, 0)), (-pctIncorporaçaoSPE*SUM($G$4:$H$86)-SUMIF($A$4:$A$86, "&lt;="&amp;baseData, Q$4:Q$86))*(SUM($G83:$H83)/(SUMIF($A$4:$A$86, "&gt;"&amp;baseData, $G$4:$G$86)+SUMIF($A$4:$A$86, "&gt;"&amp;baseData, $H$4:$H$86))))</f>
        <v>0</v>
      </c>
      <c r="R83" s="415">
        <f>IF($A83&lt;=baseData, INDEX('LDI - Fluxo de Caixa'!$BD$18:$BT$374, MATCH('Fluxo Projeto'!$A83, 'LDI - Fluxo de Caixa'!$C$18:$C$374, 0), MATCH('Fluxo Projeto'!R$1, 'LDI - Fluxo de Caixa'!$BD$14:$BT$14, 0)), (-pctMarketingSPE*SUM($G$4:$H$86)-SUMIF($A$4:$A$86, "&lt;="&amp;baseData, R$4:R$86))*(SUM($G83:$H83)/(SUMIF($A$4:$A$86, "&gt;"&amp;baseData, $G$4:$G$86)+SUMIF($A$4:$A$86, "&gt;"&amp;baseData, $H$4:$H$86))))</f>
        <v>0</v>
      </c>
      <c r="S83" s="415">
        <f>IF($A83&lt;=baseData,INDEX('LDI - Fluxo de Caixa'!$BD$18:$BT$374,MATCH($A83,'LDI - Fluxo de Caixa'!$C$18:$C$374,0),MATCH(S$1,'LDI - Fluxo de Caixa'!$BD$14:$BT$14,0)),-pctGestaoSPE*K82)</f>
        <v>0</v>
      </c>
      <c r="T83" s="415">
        <f>IF($A83&lt;=baseData, INDEX('LDI - Fluxo de Caixa'!$BD$18:$BT$374, MATCH('Fluxo Projeto'!$A83, 'LDI - Fluxo de Caixa'!$C$18:$C$374, 0), MATCH('Fluxo Projeto'!T$1, 'LDI - Fluxo de Caixa'!$BD$14:$BT$14, 0)), (-pctOutrasSPE*SUM($G$4:$H$86)-SUMIF($A$4:$A$86, "&lt;="&amp;baseData, T$4:T$86))*(SUM($G83:$H83)/(SUMIF($A$4:$A$86, "&gt;"&amp;baseData, $G$4:$G$86)+SUMIF($A$4:$A$86, "&gt;"&amp;baseData, $H$4:$H$86))))</f>
        <v>0</v>
      </c>
      <c r="U83" s="398">
        <f>IF($A83&lt;=baseData, INDEX('LDI - Fluxo de Caixa'!$BD$18:$BT$374, MATCH('Fluxo Projeto'!$A83, 'LDI - Fluxo de Caixa'!$C$18:$C$374, 0), MATCH('Fluxo Projeto'!U$1, 'LDI - Fluxo de Caixa'!$BD$14:$BT$14, 0)), 0)</f>
        <v>0</v>
      </c>
      <c r="V83" s="393">
        <f t="shared" ca="1" si="63"/>
        <v>-2465.1461991239257</v>
      </c>
      <c r="X83" s="416">
        <v>0</v>
      </c>
      <c r="Y83" s="417">
        <v>0</v>
      </c>
      <c r="AA83" s="400">
        <f>INDEX('LDI - Fluxo de Caixa'!$BD$18:$BT$374, MATCH('Fluxo Projeto'!$A83, 'LDI - Fluxo de Caixa'!$C$18:$C$374, 0), MATCH('Fluxo Projeto'!AA$1, 'LDI - Fluxo de Caixa'!$BD$14:$BT$14, 0))</f>
        <v>0</v>
      </c>
      <c r="AB83" s="417">
        <v>0</v>
      </c>
      <c r="AD83" s="393">
        <f t="shared" ca="1" si="64"/>
        <v>-2465.1461991239257</v>
      </c>
      <c r="AF83" s="393">
        <f ca="1">IF($A83&lt;=baseData, INDEX('LDI - Fluxo de Caixa'!$BD$18:$BT$374, MATCH('Fluxo Projeto'!$A83, 'LDI - Fluxo de Caixa'!$C$18:$C$374, 0), MATCH('Fluxo Projeto'!AF$1, 'LDI - Fluxo de Caixa'!$BD$14:$BT$14, 0)), $E83*CDI)</f>
        <v>2.1692891953075484</v>
      </c>
      <c r="AH83" s="393">
        <f t="shared" ca="1" si="65"/>
        <v>-12320.307175825061</v>
      </c>
      <c r="AJ83" s="397">
        <f>IF($A83&lt;=baseData, INDEX('LDI - Fluxo de Caixa'!$BD$18:$BT$374, MATCH($A83, 'LDI - Fluxo de Caixa'!$C$18:$C$374, 0), MATCH(AJ$1, 'LDI - Fluxo de Caixa'!$BD$14:$BT$14, 0))-J83-I83, IF($A83&lt;inicioDistribuicoes,-IF(AH83&lt;cxMinSPEpreObra,IF(SUM($AD84:$AD95)-cxMinSPEpreObra+AH83&lt;0,SUM($AD84:$AD95)-cxMinSPEpreObra+AH83,IF(AH83&lt;0, AH83-cxMinSPEpreObra, 0)),0), 0))</f>
        <v>0</v>
      </c>
      <c r="AK83" s="398">
        <f t="shared" si="71"/>
        <v>0</v>
      </c>
      <c r="AM83" s="393">
        <f t="shared" ca="1" si="66"/>
        <v>-12320.307175825061</v>
      </c>
      <c r="AO83" s="393">
        <f t="shared" ca="1" si="93"/>
        <v>-12320.307175825061</v>
      </c>
      <c r="AQ83" s="397">
        <f t="shared" si="67"/>
        <v>0</v>
      </c>
      <c r="AR83" s="398">
        <f t="shared" ca="1" si="69"/>
        <v>37937973.876232795</v>
      </c>
      <c r="AT83" s="393">
        <f t="shared" si="70"/>
        <v>0</v>
      </c>
      <c r="AV83" s="397">
        <f t="shared" si="72"/>
        <v>0</v>
      </c>
      <c r="AW83" s="390">
        <f t="shared" si="73"/>
        <v>0</v>
      </c>
      <c r="AX83" s="390">
        <f t="shared" si="74"/>
        <v>0</v>
      </c>
      <c r="AY83" s="390">
        <f t="shared" si="75"/>
        <v>0</v>
      </c>
      <c r="AZ83" s="393">
        <f t="shared" si="76"/>
        <v>0</v>
      </c>
      <c r="BA83" s="371"/>
      <c r="BB83" s="400">
        <f t="shared" si="77"/>
        <v>0</v>
      </c>
      <c r="BC83" s="415">
        <f t="shared" ca="1" si="78"/>
        <v>0</v>
      </c>
      <c r="BD83" s="415">
        <f t="shared" si="79"/>
        <v>0</v>
      </c>
      <c r="BE83" s="415">
        <f t="shared" ca="1" si="80"/>
        <v>-3.0258293522702511</v>
      </c>
      <c r="BF83" s="415">
        <f t="shared" si="81"/>
        <v>0</v>
      </c>
      <c r="BG83" s="415">
        <f t="shared" si="82"/>
        <v>0</v>
      </c>
      <c r="BH83" s="415">
        <f t="shared" si="83"/>
        <v>0</v>
      </c>
      <c r="BI83" s="415">
        <f t="shared" si="84"/>
        <v>0</v>
      </c>
      <c r="BJ83" s="398">
        <f t="shared" si="85"/>
        <v>0</v>
      </c>
      <c r="BK83" s="393">
        <f t="shared" ca="1" si="86"/>
        <v>-3.0258293522702511</v>
      </c>
      <c r="BL83" s="371"/>
      <c r="BM83" s="400">
        <f t="shared" si="87"/>
        <v>0</v>
      </c>
      <c r="BN83" s="401">
        <f t="shared" si="88"/>
        <v>0</v>
      </c>
      <c r="BO83" s="371"/>
      <c r="BP83" s="400">
        <f t="shared" si="89"/>
        <v>0</v>
      </c>
      <c r="BQ83" s="401">
        <f t="shared" si="90"/>
        <v>0</v>
      </c>
      <c r="BR83" s="371"/>
      <c r="BS83" s="393">
        <f t="shared" ca="1" si="91"/>
        <v>2.6626813951468676E-3</v>
      </c>
    </row>
    <row r="84" spans="1:71" x14ac:dyDescent="0.25">
      <c r="A84" s="197">
        <f t="shared" si="68"/>
        <v>45566</v>
      </c>
      <c r="B84" s="388">
        <f>IF($A84&lt;=baseData, INDEX(Indicadores!B:B, MATCH($A84,Indicadores!A:A, 0)), INDEX(Indicadores!B:B, MATCH(baseData,Indicadores!A:A, 0)))</f>
        <v>839.38199999999995</v>
      </c>
      <c r="C84" s="389">
        <f>IF($A84&lt;=baseData, INDEX(Indicadores!E:E, MATCH($A84, Indicadores!A:A, 0)), INDEX(Indicadores!E:E, MATCH(baseData, Indicadores!A:A, 0)))</f>
        <v>5486.52</v>
      </c>
      <c r="E84" s="393">
        <f t="shared" ca="1" si="92"/>
        <v>-12320.307175825061</v>
      </c>
      <c r="G84" s="397">
        <f>IF(tipoCarteira="Carteira",INDEX('M-FLUXO DE CAIXA'!$W:$W, MATCH($A84, 'M-FLUXO DE CAIXA'!$V:$V, 0)),IF(DATEDIF(baseData,$A84,"m")&lt;=prazoRepasseCarteira,vlrCarteira/prazoRepasseCarteira,0))+IF(DATEDIF(baseData,$A84,"m")&lt;=curvaInad,vlrInad/curvaInad*(1-PDD),0)</f>
        <v>0</v>
      </c>
      <c r="H84" s="390">
        <f>IF($A84&gt;baseData, SUMPRODUCT('Tabela Vendas'!$R:$R,'Tabela Vendas'!$V:$V)*INDEX(Curvas!$Z:$Z,MATCH($A84,Curvas!$B:$B,0)), 0)</f>
        <v>0</v>
      </c>
      <c r="I84" s="390">
        <f>IFERROR(INDEX(Permutas!AJ:AJ, MATCH('Fluxo Projeto'!A84, Permutas!N:N, 0)), 0)</f>
        <v>0</v>
      </c>
      <c r="J84" s="390">
        <v>0</v>
      </c>
      <c r="K84" s="393">
        <f t="shared" si="62"/>
        <v>0</v>
      </c>
      <c r="M84" s="400">
        <f>IF($A84&lt;=baseData,INDEX('LDI - Fluxo de Caixa'!$BD$18:$BT$374,MATCH('Fluxo Projeto'!$A84,'LDI - Fluxo de Caixa'!$C$18:$C$374,0),MATCH('Fluxo Projeto'!M$1,'LDI - Fluxo de Caixa'!$BD$14:$BT$14,0)),-pctImpostoSPE*K83)</f>
        <v>0</v>
      </c>
      <c r="N84" s="415">
        <f ca="1">IF($A84&lt;=baseData,INDEX('LDI - Fluxo de Caixa'!$BD$18:$BT$374,MATCH($A84,'LDI - Fluxo de Caixa'!$C$18:$C$374,0),MATCH('Fluxo Projeto'!N$1,'LDI - Fluxo de Caixa'!$BD$14:$BT$14,0)),INDEX(Obra!AA:AA,MATCH($A84,Obra!F:F,0)))</f>
        <v>0</v>
      </c>
      <c r="O84" s="415">
        <f>IF($A84&lt;=baseData,INDEX('LDI - Fluxo de Caixa'!$BD$18:$BT$374,MATCH($A84,'LDI - Fluxo de Caixa'!$C$18:$C$374,0),MATCH('Fluxo Projeto'!O$1,'LDI - Fluxo de Caixa'!$BD$14:$BT$14,0)),IF($A84=entrega,assistTecnicaObra*SUM($N$2:$N$86),0))</f>
        <v>0</v>
      </c>
      <c r="P84" s="415">
        <f ca="1">IF($A84&lt;=baseData, INDEX('LDI - Fluxo de Caixa'!$BD$18:$BT$374, MATCH('Fluxo Projeto'!$A84, 'LDI - Fluxo de Caixa'!$C$18:$C$374, 0), MATCH('Fluxo Projeto'!P$1, 'LDI - Fluxo de Caixa'!$BD$14:$BT$14, 0)), -IF($A84&gt;=entrega, INDEX(Curvas!R:R,MATCH($A84,Curvas!B:B,0))*(IPTU+condominio)*'Tabela Vendas'!$Y$22, 0))</f>
        <v>-2465.1461991239257</v>
      </c>
      <c r="Q84" s="415">
        <f>IF($A84&lt;=baseData, INDEX('LDI - Fluxo de Caixa'!$BD$18:$BT$374, MATCH('Fluxo Projeto'!$A84, 'LDI - Fluxo de Caixa'!$C$18:$C$374, 0), MATCH('Fluxo Projeto'!Q$1, 'LDI - Fluxo de Caixa'!$BD$14:$BT$14, 0)), (-pctIncorporaçaoSPE*SUM($G$4:$H$86)-SUMIF($A$4:$A$86, "&lt;="&amp;baseData, Q$4:Q$86))*(SUM($G84:$H84)/(SUMIF($A$4:$A$86, "&gt;"&amp;baseData, $G$4:$G$86)+SUMIF($A$4:$A$86, "&gt;"&amp;baseData, $H$4:$H$86))))</f>
        <v>0</v>
      </c>
      <c r="R84" s="415">
        <f>IF($A84&lt;=baseData, INDEX('LDI - Fluxo de Caixa'!$BD$18:$BT$374, MATCH('Fluxo Projeto'!$A84, 'LDI - Fluxo de Caixa'!$C$18:$C$374, 0), MATCH('Fluxo Projeto'!R$1, 'LDI - Fluxo de Caixa'!$BD$14:$BT$14, 0)), (-pctMarketingSPE*SUM($G$4:$H$86)-SUMIF($A$4:$A$86, "&lt;="&amp;baseData, R$4:R$86))*(SUM($G84:$H84)/(SUMIF($A$4:$A$86, "&gt;"&amp;baseData, $G$4:$G$86)+SUMIF($A$4:$A$86, "&gt;"&amp;baseData, $H$4:$H$86))))</f>
        <v>0</v>
      </c>
      <c r="S84" s="415">
        <f>IF($A84&lt;=baseData,INDEX('LDI - Fluxo de Caixa'!$BD$18:$BT$374,MATCH($A84,'LDI - Fluxo de Caixa'!$C$18:$C$374,0),MATCH(S$1,'LDI - Fluxo de Caixa'!$BD$14:$BT$14,0)),-pctGestaoSPE*K83)</f>
        <v>0</v>
      </c>
      <c r="T84" s="415">
        <f>IF($A84&lt;=baseData, INDEX('LDI - Fluxo de Caixa'!$BD$18:$BT$374, MATCH('Fluxo Projeto'!$A84, 'LDI - Fluxo de Caixa'!$C$18:$C$374, 0), MATCH('Fluxo Projeto'!T$1, 'LDI - Fluxo de Caixa'!$BD$14:$BT$14, 0)), (-pctOutrasSPE*SUM($G$4:$H$86)-SUMIF($A$4:$A$86, "&lt;="&amp;baseData, T$4:T$86))*(SUM($G84:$H84)/(SUMIF($A$4:$A$86, "&gt;"&amp;baseData, $G$4:$G$86)+SUMIF($A$4:$A$86, "&gt;"&amp;baseData, $H$4:$H$86))))</f>
        <v>0</v>
      </c>
      <c r="U84" s="398">
        <f>IF($A84&lt;=baseData, INDEX('LDI - Fluxo de Caixa'!$BD$18:$BT$374, MATCH('Fluxo Projeto'!$A84, 'LDI - Fluxo de Caixa'!$C$18:$C$374, 0), MATCH('Fluxo Projeto'!U$1, 'LDI - Fluxo de Caixa'!$BD$14:$BT$14, 0)), 0)</f>
        <v>0</v>
      </c>
      <c r="V84" s="393">
        <f t="shared" ca="1" si="63"/>
        <v>-2465.1461991239257</v>
      </c>
      <c r="X84" s="416">
        <v>0</v>
      </c>
      <c r="Y84" s="417">
        <v>0</v>
      </c>
      <c r="AA84" s="400">
        <f>INDEX('LDI - Fluxo de Caixa'!$BD$18:$BT$374, MATCH('Fluxo Projeto'!$A84, 'LDI - Fluxo de Caixa'!$C$18:$C$374, 0), MATCH('Fluxo Projeto'!AA$1, 'LDI - Fluxo de Caixa'!$BD$14:$BT$14, 0))</f>
        <v>0</v>
      </c>
      <c r="AB84" s="417">
        <v>0</v>
      </c>
      <c r="AD84" s="393">
        <f t="shared" ca="1" si="64"/>
        <v>-2465.1461991239257</v>
      </c>
      <c r="AF84" s="393">
        <f ca="1">IF($A84&lt;=baseData, INDEX('LDI - Fluxo de Caixa'!$BD$18:$BT$374, MATCH('Fluxo Projeto'!$A84, 'LDI - Fluxo de Caixa'!$C$18:$C$374, 0), MATCH('Fluxo Projeto'!AF$1, 'LDI - Fluxo de Caixa'!$BD$14:$BT$14, 0)), $E84*CDI)</f>
        <v>2.7113131566518351</v>
      </c>
      <c r="AH84" s="393">
        <f t="shared" ca="1" si="65"/>
        <v>-14782.742061792334</v>
      </c>
      <c r="AJ84" s="397">
        <f>IF($A84&lt;=baseData, INDEX('LDI - Fluxo de Caixa'!$BD$18:$BT$374, MATCH($A84, 'LDI - Fluxo de Caixa'!$C$18:$C$374, 0), MATCH(AJ$1, 'LDI - Fluxo de Caixa'!$BD$14:$BT$14, 0))-J84-I84, IF($A84&lt;inicioDistribuicoes,-IF(AH84&lt;cxMinSPEpreObra,IF(SUM($AD85:$AD96)-cxMinSPEpreObra+AH84&lt;0,SUM($AD85:$AD96)-cxMinSPEpreObra+AH84,IF(AH84&lt;0, AH84-cxMinSPEpreObra, 0)),0), 0))</f>
        <v>0</v>
      </c>
      <c r="AK84" s="398">
        <f t="shared" si="71"/>
        <v>0</v>
      </c>
      <c r="AM84" s="393">
        <f t="shared" ca="1" si="66"/>
        <v>-14782.742061792334</v>
      </c>
      <c r="AO84" s="393">
        <f t="shared" ca="1" si="93"/>
        <v>-14782.742061792334</v>
      </c>
      <c r="AQ84" s="397">
        <f t="shared" si="67"/>
        <v>0</v>
      </c>
      <c r="AR84" s="398">
        <f t="shared" ca="1" si="69"/>
        <v>37937973.876232795</v>
      </c>
      <c r="AT84" s="393">
        <f t="shared" si="70"/>
        <v>0</v>
      </c>
      <c r="AV84" s="397">
        <f t="shared" si="72"/>
        <v>0</v>
      </c>
      <c r="AW84" s="390">
        <f t="shared" si="73"/>
        <v>0</v>
      </c>
      <c r="AX84" s="390">
        <f t="shared" si="74"/>
        <v>0</v>
      </c>
      <c r="AY84" s="390">
        <f t="shared" si="75"/>
        <v>0</v>
      </c>
      <c r="AZ84" s="393">
        <f t="shared" si="76"/>
        <v>0</v>
      </c>
      <c r="BA84" s="371"/>
      <c r="BB84" s="400">
        <f t="shared" si="77"/>
        <v>0</v>
      </c>
      <c r="BC84" s="415">
        <f t="shared" ca="1" si="78"/>
        <v>0</v>
      </c>
      <c r="BD84" s="415">
        <f t="shared" si="79"/>
        <v>0</v>
      </c>
      <c r="BE84" s="415">
        <f t="shared" ca="1" si="80"/>
        <v>-3.0258293522702511</v>
      </c>
      <c r="BF84" s="415">
        <f t="shared" si="81"/>
        <v>0</v>
      </c>
      <c r="BG84" s="415">
        <f t="shared" si="82"/>
        <v>0</v>
      </c>
      <c r="BH84" s="415">
        <f t="shared" si="83"/>
        <v>0</v>
      </c>
      <c r="BI84" s="415">
        <f t="shared" si="84"/>
        <v>0</v>
      </c>
      <c r="BJ84" s="398">
        <f t="shared" si="85"/>
        <v>0</v>
      </c>
      <c r="BK84" s="393">
        <f t="shared" ca="1" si="86"/>
        <v>-3.0258293522702511</v>
      </c>
      <c r="BL84" s="371"/>
      <c r="BM84" s="400">
        <f t="shared" si="87"/>
        <v>0</v>
      </c>
      <c r="BN84" s="401">
        <f t="shared" si="88"/>
        <v>0</v>
      </c>
      <c r="BO84" s="371"/>
      <c r="BP84" s="400">
        <f t="shared" si="89"/>
        <v>0</v>
      </c>
      <c r="BQ84" s="401">
        <f t="shared" si="90"/>
        <v>0</v>
      </c>
      <c r="BR84" s="371"/>
      <c r="BS84" s="393">
        <f t="shared" ca="1" si="91"/>
        <v>3.3279855513272173E-3</v>
      </c>
    </row>
    <row r="85" spans="1:71" x14ac:dyDescent="0.25">
      <c r="A85" s="197">
        <f t="shared" si="68"/>
        <v>45597</v>
      </c>
      <c r="B85" s="388">
        <f>IF($A85&lt;=baseData, INDEX(Indicadores!B:B, MATCH($A85,Indicadores!A:A, 0)), INDEX(Indicadores!B:B, MATCH(baseData,Indicadores!A:A, 0)))</f>
        <v>839.38199999999995</v>
      </c>
      <c r="C85" s="389">
        <f>IF($A85&lt;=baseData, INDEX(Indicadores!E:E, MATCH($A85, Indicadores!A:A, 0)), INDEX(Indicadores!E:E, MATCH(baseData, Indicadores!A:A, 0)))</f>
        <v>5486.52</v>
      </c>
      <c r="E85" s="393">
        <f t="shared" ca="1" si="92"/>
        <v>-14782.742061792334</v>
      </c>
      <c r="G85" s="397">
        <f>IF(tipoCarteira="Carteira",INDEX('M-FLUXO DE CAIXA'!$W:$W, MATCH($A85, 'M-FLUXO DE CAIXA'!$V:$V, 0)),IF(DATEDIF(baseData,$A85,"m")&lt;=prazoRepasseCarteira,vlrCarteira/prazoRepasseCarteira,0))+IF(DATEDIF(baseData,$A85,"m")&lt;=curvaInad,vlrInad/curvaInad*(1-PDD),0)</f>
        <v>0</v>
      </c>
      <c r="H85" s="390">
        <f>IF($A85&gt;baseData, SUMPRODUCT('Tabela Vendas'!$R:$R,'Tabela Vendas'!$V:$V)*INDEX(Curvas!$Z:$Z,MATCH($A85,Curvas!$B:$B,0)), 0)</f>
        <v>0</v>
      </c>
      <c r="I85" s="390">
        <f>IFERROR(INDEX(Permutas!AJ:AJ, MATCH('Fluxo Projeto'!A85, Permutas!N:N, 0)), 0)</f>
        <v>0</v>
      </c>
      <c r="J85" s="390">
        <v>0</v>
      </c>
      <c r="K85" s="393">
        <f t="shared" si="62"/>
        <v>0</v>
      </c>
      <c r="M85" s="400">
        <f>IF($A85&lt;=baseData,INDEX('LDI - Fluxo de Caixa'!$BD$18:$BT$374,MATCH('Fluxo Projeto'!$A85,'LDI - Fluxo de Caixa'!$C$18:$C$374,0),MATCH('Fluxo Projeto'!M$1,'LDI - Fluxo de Caixa'!$BD$14:$BT$14,0)),-pctImpostoSPE*K84)</f>
        <v>0</v>
      </c>
      <c r="N85" s="415">
        <f ca="1">IF($A85&lt;=baseData,INDEX('LDI - Fluxo de Caixa'!$BD$18:$BT$374,MATCH($A85,'LDI - Fluxo de Caixa'!$C$18:$C$374,0),MATCH('Fluxo Projeto'!N$1,'LDI - Fluxo de Caixa'!$BD$14:$BT$14,0)),INDEX(Obra!AA:AA,MATCH($A85,Obra!F:F,0)))</f>
        <v>0</v>
      </c>
      <c r="O85" s="415">
        <f>IF($A85&lt;=baseData,INDEX('LDI - Fluxo de Caixa'!$BD$18:$BT$374,MATCH($A85,'LDI - Fluxo de Caixa'!$C$18:$C$374,0),MATCH('Fluxo Projeto'!O$1,'LDI - Fluxo de Caixa'!$BD$14:$BT$14,0)),IF($A85=entrega,assistTecnicaObra*SUM($N$2:$N$86),0))</f>
        <v>0</v>
      </c>
      <c r="P85" s="415">
        <f ca="1">IF($A85&lt;=baseData, INDEX('LDI - Fluxo de Caixa'!$BD$18:$BT$374, MATCH('Fluxo Projeto'!$A85, 'LDI - Fluxo de Caixa'!$C$18:$C$374, 0), MATCH('Fluxo Projeto'!P$1, 'LDI - Fluxo de Caixa'!$BD$14:$BT$14, 0)), -IF($A85&gt;=entrega, INDEX(Curvas!R:R,MATCH($A85,Curvas!B:B,0))*(IPTU+condominio)*'Tabela Vendas'!$Y$22, 0))</f>
        <v>-2465.1461991239257</v>
      </c>
      <c r="Q85" s="415">
        <f>IF($A85&lt;=baseData, INDEX('LDI - Fluxo de Caixa'!$BD$18:$BT$374, MATCH('Fluxo Projeto'!$A85, 'LDI - Fluxo de Caixa'!$C$18:$C$374, 0), MATCH('Fluxo Projeto'!Q$1, 'LDI - Fluxo de Caixa'!$BD$14:$BT$14, 0)), (-pctIncorporaçaoSPE*SUM($G$4:$H$86)-SUMIF($A$4:$A$86, "&lt;="&amp;baseData, Q$4:Q$86))*(SUM($G85:$H85)/(SUMIF($A$4:$A$86, "&gt;"&amp;baseData, $G$4:$G$86)+SUMIF($A$4:$A$86, "&gt;"&amp;baseData, $H$4:$H$86))))</f>
        <v>0</v>
      </c>
      <c r="R85" s="415">
        <f>IF($A85&lt;=baseData, INDEX('LDI - Fluxo de Caixa'!$BD$18:$BT$374, MATCH('Fluxo Projeto'!$A85, 'LDI - Fluxo de Caixa'!$C$18:$C$374, 0), MATCH('Fluxo Projeto'!R$1, 'LDI - Fluxo de Caixa'!$BD$14:$BT$14, 0)), (-pctMarketingSPE*SUM($G$4:$H$86)-SUMIF($A$4:$A$86, "&lt;="&amp;baseData, R$4:R$86))*(SUM($G85:$H85)/(SUMIF($A$4:$A$86, "&gt;"&amp;baseData, $G$4:$G$86)+SUMIF($A$4:$A$86, "&gt;"&amp;baseData, $H$4:$H$86))))</f>
        <v>0</v>
      </c>
      <c r="S85" s="415">
        <f>IF($A85&lt;=baseData,INDEX('LDI - Fluxo de Caixa'!$BD$18:$BT$374,MATCH($A85,'LDI - Fluxo de Caixa'!$C$18:$C$374,0),MATCH(S$1,'LDI - Fluxo de Caixa'!$BD$14:$BT$14,0)),-pctGestaoSPE*K84)</f>
        <v>0</v>
      </c>
      <c r="T85" s="415">
        <f>IF($A85&lt;=baseData, INDEX('LDI - Fluxo de Caixa'!$BD$18:$BT$374, MATCH('Fluxo Projeto'!$A85, 'LDI - Fluxo de Caixa'!$C$18:$C$374, 0), MATCH('Fluxo Projeto'!T$1, 'LDI - Fluxo de Caixa'!$BD$14:$BT$14, 0)), (-pctOutrasSPE*SUM($G$4:$H$86)-SUMIF($A$4:$A$86, "&lt;="&amp;baseData, T$4:T$86))*(SUM($G85:$H85)/(SUMIF($A$4:$A$86, "&gt;"&amp;baseData, $G$4:$G$86)+SUMIF($A$4:$A$86, "&gt;"&amp;baseData, $H$4:$H$86))))</f>
        <v>0</v>
      </c>
      <c r="U85" s="398">
        <f>IF($A85&lt;=baseData, INDEX('LDI - Fluxo de Caixa'!$BD$18:$BT$374, MATCH('Fluxo Projeto'!$A85, 'LDI - Fluxo de Caixa'!$C$18:$C$374, 0), MATCH('Fluxo Projeto'!U$1, 'LDI - Fluxo de Caixa'!$BD$14:$BT$14, 0)), 0)</f>
        <v>0</v>
      </c>
      <c r="V85" s="393">
        <f t="shared" ca="1" si="63"/>
        <v>-2465.1461991239257</v>
      </c>
      <c r="X85" s="416">
        <v>0</v>
      </c>
      <c r="Y85" s="417">
        <v>0</v>
      </c>
      <c r="AA85" s="400">
        <f>INDEX('LDI - Fluxo de Caixa'!$BD$18:$BT$374, MATCH('Fluxo Projeto'!$A85, 'LDI - Fluxo de Caixa'!$C$18:$C$374, 0), MATCH('Fluxo Projeto'!AA$1, 'LDI - Fluxo de Caixa'!$BD$14:$BT$14, 0))</f>
        <v>0</v>
      </c>
      <c r="AB85" s="417">
        <v>0</v>
      </c>
      <c r="AD85" s="393">
        <f t="shared" ca="1" si="64"/>
        <v>-2465.1461991239257</v>
      </c>
      <c r="AF85" s="393">
        <f ca="1">IF($A85&lt;=baseData, INDEX('LDI - Fluxo de Caixa'!$BD$18:$BT$374, MATCH('Fluxo Projeto'!$A85, 'LDI - Fluxo de Caixa'!$C$18:$C$374, 0), MATCH('Fluxo Projeto'!AF$1, 'LDI - Fluxo de Caixa'!$BD$14:$BT$14, 0)), $E85*CDI)</f>
        <v>3.2532178355239694</v>
      </c>
      <c r="AH85" s="393">
        <f t="shared" ca="1" si="65"/>
        <v>-17244.635043080736</v>
      </c>
      <c r="AJ85" s="397">
        <f>IF($A85&lt;=baseData, INDEX('LDI - Fluxo de Caixa'!$BD$18:$BT$374, MATCH($A85, 'LDI - Fluxo de Caixa'!$C$18:$C$374, 0), MATCH(AJ$1, 'LDI - Fluxo de Caixa'!$BD$14:$BT$14, 0))-J85-I85, IF($A85&lt;inicioDistribuicoes,-IF(AH85&lt;cxMinSPEpreObra,IF(SUM($AD86:$AD97)-cxMinSPEpreObra+AH85&lt;0,SUM($AD86:$AD97)-cxMinSPEpreObra+AH85,IF(AH85&lt;0, AH85-cxMinSPEpreObra, 0)),0), 0))</f>
        <v>0</v>
      </c>
      <c r="AK85" s="398">
        <f t="shared" si="71"/>
        <v>0</v>
      </c>
      <c r="AM85" s="393">
        <f t="shared" ca="1" si="66"/>
        <v>-17244.635043080736</v>
      </c>
      <c r="AO85" s="393">
        <f t="shared" ca="1" si="93"/>
        <v>-17244.635043080736</v>
      </c>
      <c r="AQ85" s="397">
        <f t="shared" si="67"/>
        <v>0</v>
      </c>
      <c r="AR85" s="398">
        <f t="shared" ca="1" si="69"/>
        <v>37937973.876232795</v>
      </c>
      <c r="AT85" s="393">
        <f t="shared" si="70"/>
        <v>0</v>
      </c>
      <c r="AV85" s="397">
        <f t="shared" si="72"/>
        <v>0</v>
      </c>
      <c r="AW85" s="390">
        <f t="shared" si="73"/>
        <v>0</v>
      </c>
      <c r="AX85" s="390">
        <f t="shared" si="74"/>
        <v>0</v>
      </c>
      <c r="AY85" s="390">
        <f t="shared" si="75"/>
        <v>0</v>
      </c>
      <c r="AZ85" s="393">
        <f t="shared" si="76"/>
        <v>0</v>
      </c>
      <c r="BA85" s="371"/>
      <c r="BB85" s="400">
        <f t="shared" si="77"/>
        <v>0</v>
      </c>
      <c r="BC85" s="415">
        <f t="shared" ca="1" si="78"/>
        <v>0</v>
      </c>
      <c r="BD85" s="415">
        <f t="shared" si="79"/>
        <v>0</v>
      </c>
      <c r="BE85" s="415">
        <f t="shared" ca="1" si="80"/>
        <v>-3.0258293522702511</v>
      </c>
      <c r="BF85" s="415">
        <f t="shared" si="81"/>
        <v>0</v>
      </c>
      <c r="BG85" s="415">
        <f t="shared" si="82"/>
        <v>0</v>
      </c>
      <c r="BH85" s="415">
        <f t="shared" si="83"/>
        <v>0</v>
      </c>
      <c r="BI85" s="415">
        <f t="shared" si="84"/>
        <v>0</v>
      </c>
      <c r="BJ85" s="398">
        <f t="shared" si="85"/>
        <v>0</v>
      </c>
      <c r="BK85" s="393">
        <f t="shared" ca="1" si="86"/>
        <v>-3.0258293522702511</v>
      </c>
      <c r="BL85" s="371"/>
      <c r="BM85" s="400">
        <f t="shared" si="87"/>
        <v>0</v>
      </c>
      <c r="BN85" s="401">
        <f t="shared" si="88"/>
        <v>0</v>
      </c>
      <c r="BO85" s="371"/>
      <c r="BP85" s="400">
        <f t="shared" si="89"/>
        <v>0</v>
      </c>
      <c r="BQ85" s="401">
        <f t="shared" si="90"/>
        <v>0</v>
      </c>
      <c r="BR85" s="371"/>
      <c r="BS85" s="393">
        <f t="shared" ca="1" si="91"/>
        <v>3.993143294931477E-3</v>
      </c>
    </row>
    <row r="86" spans="1:71" x14ac:dyDescent="0.25">
      <c r="A86" s="197">
        <f t="shared" si="68"/>
        <v>45627</v>
      </c>
      <c r="B86" s="388">
        <f>IF($A86&lt;=baseData, INDEX(Indicadores!B:B, MATCH($A86,Indicadores!A:A, 0)), INDEX(Indicadores!B:B, MATCH(baseData,Indicadores!A:A, 0)))</f>
        <v>839.38199999999995</v>
      </c>
      <c r="C86" s="389">
        <f>IF($A86&lt;=baseData, INDEX(Indicadores!E:E, MATCH($A86, Indicadores!A:A, 0)), INDEX(Indicadores!E:E, MATCH(baseData, Indicadores!A:A, 0)))</f>
        <v>5486.52</v>
      </c>
      <c r="E86" s="393">
        <f t="shared" ca="1" si="92"/>
        <v>-17244.635043080736</v>
      </c>
      <c r="G86" s="397">
        <f>IF(tipoCarteira="Carteira",INDEX('M-FLUXO DE CAIXA'!$W:$W, MATCH($A86, 'M-FLUXO DE CAIXA'!$V:$V, 0)),IF(DATEDIF(baseData,$A86,"m")&lt;=prazoRepasseCarteira,vlrCarteira/prazoRepasseCarteira,0))+IF(DATEDIF(baseData,$A86,"m")&lt;=curvaInad,vlrInad/curvaInad*(1-PDD),0)</f>
        <v>0</v>
      </c>
      <c r="H86" s="390">
        <f>IF($A86&gt;baseData, SUMPRODUCT('Tabela Vendas'!$R:$R,'Tabela Vendas'!$V:$V)*INDEX(Curvas!$Z:$Z,MATCH($A86,Curvas!$B:$B,0)), 0)</f>
        <v>0</v>
      </c>
      <c r="I86" s="390">
        <f>IFERROR(INDEX(Permutas!AJ:AJ, MATCH('Fluxo Projeto'!A86, Permutas!N:N, 0)), 0)</f>
        <v>0</v>
      </c>
      <c r="J86" s="390">
        <v>0</v>
      </c>
      <c r="K86" s="393">
        <f t="shared" si="62"/>
        <v>0</v>
      </c>
      <c r="M86" s="400">
        <f>IF($A86&lt;=baseData,INDEX('LDI - Fluxo de Caixa'!$BD$18:$BT$374,MATCH('Fluxo Projeto'!$A86,'LDI - Fluxo de Caixa'!$C$18:$C$374,0),MATCH('Fluxo Projeto'!M$1,'LDI - Fluxo de Caixa'!$BD$14:$BT$14,0)),-pctImpostoSPE*K85)</f>
        <v>0</v>
      </c>
      <c r="N86" s="415">
        <f ca="1">IF($A86&lt;=baseData,INDEX('LDI - Fluxo de Caixa'!$BD$18:$BT$374,MATCH($A86,'LDI - Fluxo de Caixa'!$C$18:$C$374,0),MATCH('Fluxo Projeto'!N$1,'LDI - Fluxo de Caixa'!$BD$14:$BT$14,0)),INDEX(Obra!AA:AA,MATCH($A86,Obra!F:F,0)))</f>
        <v>0</v>
      </c>
      <c r="O86" s="415">
        <f>IF($A86&lt;=baseData,INDEX('LDI - Fluxo de Caixa'!$BD$18:$BT$374,MATCH($A86,'LDI - Fluxo de Caixa'!$C$18:$C$374,0),MATCH('Fluxo Projeto'!O$1,'LDI - Fluxo de Caixa'!$BD$14:$BT$14,0)),IF($A86=entrega,assistTecnicaObra*SUM($N$2:$N$86),0))</f>
        <v>0</v>
      </c>
      <c r="P86" s="415">
        <f ca="1">IF($A86&lt;=baseData, INDEX('LDI - Fluxo de Caixa'!$BD$18:$BT$374, MATCH('Fluxo Projeto'!$A86, 'LDI - Fluxo de Caixa'!$C$18:$C$374, 0), MATCH('Fluxo Projeto'!P$1, 'LDI - Fluxo de Caixa'!$BD$14:$BT$14, 0)), -IF($A86&gt;=entrega, INDEX(Curvas!R:R,MATCH($A86,Curvas!B:B,0))*(IPTU+condominio)*'Tabela Vendas'!$Y$22, 0))</f>
        <v>-2465.1461991239257</v>
      </c>
      <c r="Q86" s="415">
        <f>IF($A86&lt;=baseData, INDEX('LDI - Fluxo de Caixa'!$BD$18:$BT$374, MATCH('Fluxo Projeto'!$A86, 'LDI - Fluxo de Caixa'!$C$18:$C$374, 0), MATCH('Fluxo Projeto'!Q$1, 'LDI - Fluxo de Caixa'!$BD$14:$BT$14, 0)), (-pctIncorporaçaoSPE*SUM($G$4:$H$86)-SUMIF($A$4:$A$86, "&lt;="&amp;baseData, Q$4:Q$86))*(SUM($G86:$H86)/(SUMIF($A$4:$A$86, "&gt;"&amp;baseData, $G$4:$G$86)+SUMIF($A$4:$A$86, "&gt;"&amp;baseData, $H$4:$H$86))))</f>
        <v>0</v>
      </c>
      <c r="R86" s="415">
        <f>IF($A86&lt;=baseData, INDEX('LDI - Fluxo de Caixa'!$BD$18:$BT$374, MATCH('Fluxo Projeto'!$A86, 'LDI - Fluxo de Caixa'!$C$18:$C$374, 0), MATCH('Fluxo Projeto'!R$1, 'LDI - Fluxo de Caixa'!$BD$14:$BT$14, 0)), (-pctMarketingSPE*SUM($G$4:$H$86)-SUMIF($A$4:$A$86, "&lt;="&amp;baseData, R$4:R$86))*(SUM($G86:$H86)/(SUMIF($A$4:$A$86, "&gt;"&amp;baseData, $G$4:$G$86)+SUMIF($A$4:$A$86, "&gt;"&amp;baseData, $H$4:$H$86))))</f>
        <v>0</v>
      </c>
      <c r="S86" s="415">
        <f>IF($A86&lt;=baseData,INDEX('LDI - Fluxo de Caixa'!$BD$18:$BT$374,MATCH($A86,'LDI - Fluxo de Caixa'!$C$18:$C$374,0),MATCH(S$1,'LDI - Fluxo de Caixa'!$BD$14:$BT$14,0)),-pctGestaoSPE*K85)</f>
        <v>0</v>
      </c>
      <c r="T86" s="415">
        <f>IF($A86&lt;=baseData, INDEX('LDI - Fluxo de Caixa'!$BD$18:$BT$374, MATCH('Fluxo Projeto'!$A86, 'LDI - Fluxo de Caixa'!$C$18:$C$374, 0), MATCH('Fluxo Projeto'!T$1, 'LDI - Fluxo de Caixa'!$BD$14:$BT$14, 0)), (-pctOutrasSPE*SUM($G$4:$H$86)-SUMIF($A$4:$A$86, "&lt;="&amp;baseData, T$4:T$86))*(SUM($G86:$H86)/(SUMIF($A$4:$A$86, "&gt;"&amp;baseData, $G$4:$G$86)+SUMIF($A$4:$A$86, "&gt;"&amp;baseData, $H$4:$H$86))))</f>
        <v>0</v>
      </c>
      <c r="U86" s="398">
        <f>IF($A86&lt;=baseData, INDEX('LDI - Fluxo de Caixa'!$BD$18:$BT$374, MATCH('Fluxo Projeto'!$A86, 'LDI - Fluxo de Caixa'!$C$18:$C$374, 0), MATCH('Fluxo Projeto'!U$1, 'LDI - Fluxo de Caixa'!$BD$14:$BT$14, 0)), 0)</f>
        <v>0</v>
      </c>
      <c r="V86" s="393">
        <f t="shared" ca="1" si="63"/>
        <v>-2465.1461991239257</v>
      </c>
      <c r="X86" s="416">
        <v>0</v>
      </c>
      <c r="Y86" s="417">
        <v>0</v>
      </c>
      <c r="AA86" s="400">
        <f>INDEX('LDI - Fluxo de Caixa'!$BD$18:$BT$374, MATCH('Fluxo Projeto'!$A86, 'LDI - Fluxo de Caixa'!$C$18:$C$374, 0), MATCH('Fluxo Projeto'!AA$1, 'LDI - Fluxo de Caixa'!$BD$14:$BT$14, 0))</f>
        <v>0</v>
      </c>
      <c r="AB86" s="417">
        <v>0</v>
      </c>
      <c r="AD86" s="393">
        <f t="shared" ca="1" si="64"/>
        <v>-2465.1461991239257</v>
      </c>
      <c r="AF86" s="393">
        <f ca="1">IF($A86&lt;=baseData, INDEX('LDI - Fluxo de Caixa'!$BD$18:$BT$374, MATCH('Fluxo Projeto'!$A86, 'LDI - Fluxo de Caixa'!$C$18:$C$374, 0), MATCH('Fluxo Projeto'!AF$1, 'LDI - Fluxo de Caixa'!$BD$14:$BT$14, 0)), $E86*CDI)</f>
        <v>3.7950032581742819</v>
      </c>
      <c r="AH86" s="393">
        <f t="shared" ca="1" si="65"/>
        <v>-19705.986238946487</v>
      </c>
      <c r="AJ86" s="397">
        <f>IF($A86&lt;=baseData, INDEX('LDI - Fluxo de Caixa'!$BD$18:$BT$374, MATCH($A86, 'LDI - Fluxo de Caixa'!$C$18:$C$374, 0), MATCH(AJ$1, 'LDI - Fluxo de Caixa'!$BD$14:$BT$14, 0))-J86-I86, IF($A86&lt;inicioDistribuicoes,-IF(AH86&lt;cxMinSPEpreObra,IF(SUM($AD87:$AD98)-cxMinSPEpreObra+AH86&lt;0,SUM($AD87:$AD98)-cxMinSPEpreObra+AH86,IF(AH86&lt;0, AH86-cxMinSPEpreObra, 0)),0), 0))</f>
        <v>0</v>
      </c>
      <c r="AK86" s="398">
        <f t="shared" si="71"/>
        <v>0</v>
      </c>
      <c r="AM86" s="393">
        <f t="shared" ca="1" si="66"/>
        <v>-19705.986238946487</v>
      </c>
      <c r="AO86" s="393">
        <f t="shared" ca="1" si="93"/>
        <v>-19705.986238946487</v>
      </c>
      <c r="AQ86" s="397">
        <f t="shared" si="67"/>
        <v>0</v>
      </c>
      <c r="AR86" s="398">
        <f t="shared" ca="1" si="69"/>
        <v>37937973.876232795</v>
      </c>
      <c r="AT86" s="393">
        <f t="shared" si="70"/>
        <v>0</v>
      </c>
      <c r="AV86" s="397">
        <f t="shared" si="72"/>
        <v>0</v>
      </c>
      <c r="AW86" s="390">
        <f t="shared" si="73"/>
        <v>0</v>
      </c>
      <c r="AX86" s="390">
        <f t="shared" si="74"/>
        <v>0</v>
      </c>
      <c r="AY86" s="390">
        <f t="shared" si="75"/>
        <v>0</v>
      </c>
      <c r="AZ86" s="393">
        <f t="shared" si="76"/>
        <v>0</v>
      </c>
      <c r="BA86" s="371"/>
      <c r="BB86" s="400">
        <f t="shared" si="77"/>
        <v>0</v>
      </c>
      <c r="BC86" s="415">
        <f t="shared" ca="1" si="78"/>
        <v>0</v>
      </c>
      <c r="BD86" s="415">
        <f t="shared" si="79"/>
        <v>0</v>
      </c>
      <c r="BE86" s="415">
        <f t="shared" ca="1" si="80"/>
        <v>-3.0258293522702511</v>
      </c>
      <c r="BF86" s="415">
        <f t="shared" si="81"/>
        <v>0</v>
      </c>
      <c r="BG86" s="415">
        <f t="shared" si="82"/>
        <v>0</v>
      </c>
      <c r="BH86" s="415">
        <f t="shared" si="83"/>
        <v>0</v>
      </c>
      <c r="BI86" s="415">
        <f t="shared" si="84"/>
        <v>0</v>
      </c>
      <c r="BJ86" s="398">
        <f t="shared" si="85"/>
        <v>0</v>
      </c>
      <c r="BK86" s="393">
        <f t="shared" ca="1" si="86"/>
        <v>-3.0258293522702511</v>
      </c>
      <c r="BL86" s="371"/>
      <c r="BM86" s="400">
        <f t="shared" si="87"/>
        <v>0</v>
      </c>
      <c r="BN86" s="401">
        <f t="shared" si="88"/>
        <v>0</v>
      </c>
      <c r="BO86" s="371"/>
      <c r="BP86" s="400">
        <f t="shared" si="89"/>
        <v>0</v>
      </c>
      <c r="BQ86" s="401">
        <f t="shared" si="90"/>
        <v>0</v>
      </c>
      <c r="BR86" s="371"/>
      <c r="BS86" s="393">
        <f t="shared" ca="1" si="91"/>
        <v>4.6581546581804635E-3</v>
      </c>
    </row>
    <row r="88" spans="1:71" x14ac:dyDescent="0.25">
      <c r="Q88" s="418">
        <f>SUM(Q4:Q86)/SUM($G$4:$H$86)</f>
        <v>-0.02</v>
      </c>
      <c r="R88" s="418">
        <f>SUM(R4:R86)/SUM($G$4:$H$86)</f>
        <v>-3.9999999999999987E-2</v>
      </c>
    </row>
    <row r="89" spans="1:71" x14ac:dyDescent="0.25">
      <c r="I89" s="371"/>
      <c r="BC89" s="336">
        <f ca="1">SUM(BC4:BC86)</f>
        <v>-46491.145056282694</v>
      </c>
    </row>
    <row r="91" spans="1:71" x14ac:dyDescent="0.25">
      <c r="Q91" s="42"/>
      <c r="R91" s="336"/>
    </row>
  </sheetData>
  <conditionalFormatting sqref="H4:H29 H38:J86 R2 H2:J3 S2:S29 O2:P29 Q3:R8 G3:G4 K3:K4 E3:E4 M3:P4 W3:W4 Y3:Y4 AG3:AG4 AI3:AI4 AQ3:AQ29 V3:V12 AH3:AH12 T3:U4 A3:C4 F3:F22 I2:J29 D3:D22 AA3:AE4 AK3:AP4 BF3:BG8 BH2:BH29 BD2:BE29 BL3:BL4 BN3:BN4 BI3:BJ4 BP3:BS4 L3:L22 AW2:AY3 AV3:AV4 AZ3:BE4 AX2:AY29 AR3:AT4">
    <cfRule type="expression" dxfId="23530" priority="12367">
      <formula>#REF!="TO"</formula>
    </cfRule>
    <cfRule type="expression" dxfId="23529" priority="12368">
      <formula>#REF!="IO"</formula>
    </cfRule>
    <cfRule type="expression" dxfId="23528" priority="12369">
      <formula>#REF!="L"</formula>
    </cfRule>
  </conditionalFormatting>
  <conditionalFormatting sqref="A9:A12 A38:A41 A23:A29">
    <cfRule type="expression" dxfId="23527" priority="12676">
      <formula>#REF!="TO"</formula>
    </cfRule>
    <cfRule type="expression" dxfId="23526" priority="12677">
      <formula>#REF!="IO"</formula>
    </cfRule>
    <cfRule type="expression" dxfId="23525" priority="12678">
      <formula>#REF!="L"</formula>
    </cfRule>
  </conditionalFormatting>
  <conditionalFormatting sqref="B38:B41 B23:B29">
    <cfRule type="expression" dxfId="23524" priority="12655">
      <formula>#REF!="TO"</formula>
    </cfRule>
    <cfRule type="expression" dxfId="23523" priority="12656">
      <formula>#REF!="IO"</formula>
    </cfRule>
    <cfRule type="expression" dxfId="23522" priority="12657">
      <formula>#REF!="L"</formula>
    </cfRule>
  </conditionalFormatting>
  <conditionalFormatting sqref="G38:G41 G23:G29">
    <cfRule type="expression" dxfId="23521" priority="12622">
      <formula>#REF!="TO"</formula>
    </cfRule>
    <cfRule type="expression" dxfId="23520" priority="12623">
      <formula>#REF!="IO"</formula>
    </cfRule>
    <cfRule type="expression" dxfId="23519" priority="12624">
      <formula>#REF!="L"</formula>
    </cfRule>
  </conditionalFormatting>
  <conditionalFormatting sqref="K38:K41 K23:K29">
    <cfRule type="expression" dxfId="23518" priority="12604">
      <formula>#REF!="TO"</formula>
    </cfRule>
    <cfRule type="expression" dxfId="23517" priority="12605">
      <formula>#REF!="IO"</formula>
    </cfRule>
    <cfRule type="expression" dxfId="23516" priority="12606">
      <formula>#REF!="L"</formula>
    </cfRule>
  </conditionalFormatting>
  <conditionalFormatting sqref="E38:E41 E23:E29">
    <cfRule type="expression" dxfId="23515" priority="12595">
      <formula>#REF!="TO"</formula>
    </cfRule>
    <cfRule type="expression" dxfId="23514" priority="12596">
      <formula>#REF!="IO"</formula>
    </cfRule>
    <cfRule type="expression" dxfId="23513" priority="12597">
      <formula>#REF!="L"</formula>
    </cfRule>
  </conditionalFormatting>
  <conditionalFormatting sqref="AJ38:AJ41 AJ23:AJ29">
    <cfRule type="expression" dxfId="23512" priority="12469">
      <formula>#REF!="TO"</formula>
    </cfRule>
    <cfRule type="expression" dxfId="23511" priority="12470">
      <formula>#REF!="IO"</formula>
    </cfRule>
    <cfRule type="expression" dxfId="23510" priority="12471">
      <formula>#REF!="L"</formula>
    </cfRule>
  </conditionalFormatting>
  <conditionalFormatting sqref="N38:P41 N23:P29">
    <cfRule type="expression" dxfId="23509" priority="12568">
      <formula>#REF!="TO"</formula>
    </cfRule>
    <cfRule type="expression" dxfId="23508" priority="12569">
      <formula>#REF!="IO"</formula>
    </cfRule>
    <cfRule type="expression" dxfId="23507" priority="12570">
      <formula>#REF!="L"</formula>
    </cfRule>
  </conditionalFormatting>
  <conditionalFormatting sqref="V38:V41 V23:V29">
    <cfRule type="expression" dxfId="23506" priority="12532">
      <formula>#REF!="TO"</formula>
    </cfRule>
    <cfRule type="expression" dxfId="23505" priority="12533">
      <formula>#REF!="IO"</formula>
    </cfRule>
    <cfRule type="expression" dxfId="23504" priority="12534">
      <formula>#REF!="L"</formula>
    </cfRule>
  </conditionalFormatting>
  <conditionalFormatting sqref="W2:W4">
    <cfRule type="expression" dxfId="23503" priority="12526">
      <formula>G2="TO"</formula>
    </cfRule>
    <cfRule type="expression" dxfId="23502" priority="12527">
      <formula>G2="IO"</formula>
    </cfRule>
    <cfRule type="expression" dxfId="23501" priority="12528">
      <formula>G2="L"</formula>
    </cfRule>
  </conditionalFormatting>
  <conditionalFormatting sqref="X3:X4 AJ3:AJ4 Z3:Z4 AF3:AF4 BM3:BM4 BO3:BO4 BK3:BK12">
    <cfRule type="expression" dxfId="23500" priority="12517">
      <formula>#REF!="TO"</formula>
    </cfRule>
    <cfRule type="expression" dxfId="23499" priority="12518">
      <formula>#REF!="IO"</formula>
    </cfRule>
    <cfRule type="expression" dxfId="23498" priority="12519">
      <formula>#REF!="L"</formula>
    </cfRule>
  </conditionalFormatting>
  <conditionalFormatting sqref="X38:X41 X23:X29">
    <cfRule type="expression" dxfId="23497" priority="12514">
      <formula>#REF!="TO"</formula>
    </cfRule>
    <cfRule type="expression" dxfId="23496" priority="12515">
      <formula>#REF!="IO"</formula>
    </cfRule>
    <cfRule type="expression" dxfId="23495" priority="12516">
      <formula>#REF!="L"</formula>
    </cfRule>
  </conditionalFormatting>
  <conditionalFormatting sqref="Y38:Y41 Y23:Y29">
    <cfRule type="expression" dxfId="23494" priority="12505">
      <formula>#REF!="TO"</formula>
    </cfRule>
    <cfRule type="expression" dxfId="23493" priority="12506">
      <formula>#REF!="IO"</formula>
    </cfRule>
    <cfRule type="expression" dxfId="23492" priority="12507">
      <formula>#REF!="L"</formula>
    </cfRule>
  </conditionalFormatting>
  <conditionalFormatting sqref="Z2:Z4">
    <cfRule type="expression" dxfId="23491" priority="12499">
      <formula>H2="TO"</formula>
    </cfRule>
    <cfRule type="expression" dxfId="23490" priority="12500">
      <formula>H2="IO"</formula>
    </cfRule>
    <cfRule type="expression" dxfId="23489" priority="12501">
      <formula>H2="L"</formula>
    </cfRule>
  </conditionalFormatting>
  <conditionalFormatting sqref="AH38:AH41 AH23:AH29">
    <cfRule type="expression" dxfId="23488" priority="12487">
      <formula>#REF!="TO"</formula>
    </cfRule>
    <cfRule type="expression" dxfId="23487" priority="12488">
      <formula>#REF!="IO"</formula>
    </cfRule>
    <cfRule type="expression" dxfId="23486" priority="12489">
      <formula>#REF!="L"</formula>
    </cfRule>
  </conditionalFormatting>
  <conditionalFormatting sqref="AN2:AN22 AG2:AG22 AS2:AS4">
    <cfRule type="expression" dxfId="23485" priority="12481">
      <formula>M2="TO"</formula>
    </cfRule>
    <cfRule type="expression" dxfId="23484" priority="12482">
      <formula>M2="IO"</formula>
    </cfRule>
    <cfRule type="expression" dxfId="23483" priority="12483">
      <formula>M2="L"</formula>
    </cfRule>
  </conditionalFormatting>
  <conditionalFormatting sqref="AK38:AK41 AK23:AK29">
    <cfRule type="expression" dxfId="23482" priority="12460">
      <formula>#REF!="TO"</formula>
    </cfRule>
    <cfRule type="expression" dxfId="23481" priority="12461">
      <formula>#REF!="IO"</formula>
    </cfRule>
    <cfRule type="expression" dxfId="23480" priority="12462">
      <formula>#REF!="L"</formula>
    </cfRule>
  </conditionalFormatting>
  <conditionalFormatting sqref="AM38:AM41 AM23:AM29">
    <cfRule type="expression" dxfId="23479" priority="12433">
      <formula>#REF!="TO"</formula>
    </cfRule>
    <cfRule type="expression" dxfId="23478" priority="12434">
      <formula>#REF!="IO"</formula>
    </cfRule>
    <cfRule type="expression" dxfId="23477" priority="12435">
      <formula>#REF!="L"</formula>
    </cfRule>
  </conditionalFormatting>
  <conditionalFormatting sqref="AQ38:AQ41 AQ23:AQ29">
    <cfRule type="expression" dxfId="23476" priority="12406">
      <formula>#REF!="TO"</formula>
    </cfRule>
    <cfRule type="expression" dxfId="23475" priority="12407">
      <formula>#REF!="IO"</formula>
    </cfRule>
    <cfRule type="expression" dxfId="23474" priority="12408">
      <formula>#REF!="L"</formula>
    </cfRule>
  </conditionalFormatting>
  <conditionalFormatting sqref="AR38:AR41 AR23:AR29">
    <cfRule type="expression" dxfId="23473" priority="12379">
      <formula>#REF!="TO"</formula>
    </cfRule>
    <cfRule type="expression" dxfId="23472" priority="12380">
      <formula>#REF!="IO"</formula>
    </cfRule>
    <cfRule type="expression" dxfId="23471" priority="12381">
      <formula>#REF!="L"</formula>
    </cfRule>
  </conditionalFormatting>
  <conditionalFormatting sqref="S23:S29">
    <cfRule type="expression" dxfId="23470" priority="12340">
      <formula>#REF!="TO"</formula>
    </cfRule>
    <cfRule type="expression" dxfId="23469" priority="12341">
      <formula>#REF!="IO"</formula>
    </cfRule>
    <cfRule type="expression" dxfId="23468" priority="12342">
      <formula>#REF!="L"</formula>
    </cfRule>
  </conditionalFormatting>
  <conditionalFormatting sqref="P38:P41">
    <cfRule type="expression" dxfId="23467" priority="12346">
      <formula>#REF!="TO"</formula>
    </cfRule>
    <cfRule type="expression" dxfId="23466" priority="12347">
      <formula>#REF!="IO"</formula>
    </cfRule>
    <cfRule type="expression" dxfId="23465" priority="12348">
      <formula>#REF!="L"</formula>
    </cfRule>
  </conditionalFormatting>
  <conditionalFormatting sqref="O23:P29">
    <cfRule type="expression" dxfId="23464" priority="12343">
      <formula>#REF!="TO"</formula>
    </cfRule>
    <cfRule type="expression" dxfId="23463" priority="12344">
      <formula>#REF!="IO"</formula>
    </cfRule>
    <cfRule type="expression" dxfId="23462" priority="12345">
      <formula>#REF!="L"</formula>
    </cfRule>
  </conditionalFormatting>
  <conditionalFormatting sqref="AT38:AT41 AT23:AT29">
    <cfRule type="expression" dxfId="23461" priority="12295">
      <formula>#REF!="TO"</formula>
    </cfRule>
    <cfRule type="expression" dxfId="23460" priority="12296">
      <formula>#REF!="IO"</formula>
    </cfRule>
    <cfRule type="expression" dxfId="23459" priority="12297">
      <formula>#REF!="L"</formula>
    </cfRule>
  </conditionalFormatting>
  <conditionalFormatting sqref="AE2:AE4">
    <cfRule type="expression" dxfId="23458" priority="12289">
      <formula>E2="TO"</formula>
    </cfRule>
    <cfRule type="expression" dxfId="23457" priority="12290">
      <formula>E2="IO"</formula>
    </cfRule>
    <cfRule type="expression" dxfId="23456" priority="12291">
      <formula>E2="L"</formula>
    </cfRule>
  </conditionalFormatting>
  <conditionalFormatting sqref="AF38:AF41 AF23:AF29">
    <cfRule type="expression" dxfId="23455" priority="12253">
      <formula>#REF!="TO"</formula>
    </cfRule>
    <cfRule type="expression" dxfId="23454" priority="12254">
      <formula>#REF!="IO"</formula>
    </cfRule>
    <cfRule type="expression" dxfId="23453" priority="12255">
      <formula>#REF!="L"</formula>
    </cfRule>
  </conditionalFormatting>
  <conditionalFormatting sqref="AS5">
    <cfRule type="expression" dxfId="23452" priority="12019">
      <formula>#REF!="TO"</formula>
    </cfRule>
    <cfRule type="expression" dxfId="23451" priority="12020">
      <formula>#REF!="IO"</formula>
    </cfRule>
    <cfRule type="expression" dxfId="23450" priority="12021">
      <formula>#REF!="L"</formula>
    </cfRule>
    <cfRule type="expression" dxfId="23449" priority="12022">
      <formula>Y5="TO"</formula>
    </cfRule>
    <cfRule type="expression" dxfId="23448" priority="12023">
      <formula>Y5="IO"</formula>
    </cfRule>
    <cfRule type="expression" dxfId="23447" priority="12024">
      <formula>Y5="L"</formula>
    </cfRule>
  </conditionalFormatting>
  <conditionalFormatting sqref="A5">
    <cfRule type="expression" dxfId="23446" priority="12115">
      <formula>#REF!="TO"</formula>
    </cfRule>
    <cfRule type="expression" dxfId="23445" priority="12116">
      <formula>#REF!="IO"</formula>
    </cfRule>
    <cfRule type="expression" dxfId="23444" priority="12117">
      <formula>#REF!="L"</formula>
    </cfRule>
  </conditionalFormatting>
  <conditionalFormatting sqref="B5">
    <cfRule type="expression" dxfId="23443" priority="12112">
      <formula>#REF!="TO"</formula>
    </cfRule>
    <cfRule type="expression" dxfId="23442" priority="12113">
      <formula>#REF!="IO"</formula>
    </cfRule>
    <cfRule type="expression" dxfId="23441" priority="12114">
      <formula>#REF!="L"</formula>
    </cfRule>
  </conditionalFormatting>
  <conditionalFormatting sqref="AN5 AP5">
    <cfRule type="expression" dxfId="23440" priority="12031">
      <formula>#REF!="TO"</formula>
    </cfRule>
    <cfRule type="expression" dxfId="23439" priority="12032">
      <formula>#REF!="IO"</formula>
    </cfRule>
    <cfRule type="expression" dxfId="23438" priority="12033">
      <formula>#REF!="L"</formula>
    </cfRule>
  </conditionalFormatting>
  <conditionalFormatting sqref="D5">
    <cfRule type="expression" dxfId="23437" priority="12106">
      <formula>#REF!="TO"</formula>
    </cfRule>
    <cfRule type="expression" dxfId="23436" priority="12107">
      <formula>#REF!="IO"</formula>
    </cfRule>
    <cfRule type="expression" dxfId="23435" priority="12108">
      <formula>#REF!="L"</formula>
    </cfRule>
  </conditionalFormatting>
  <conditionalFormatting sqref="F5">
    <cfRule type="expression" dxfId="23434" priority="12103">
      <formula>#REF!="TO"</formula>
    </cfRule>
    <cfRule type="expression" dxfId="23433" priority="12104">
      <formula>#REF!="IO"</formula>
    </cfRule>
    <cfRule type="expression" dxfId="23432" priority="12105">
      <formula>#REF!="L"</formula>
    </cfRule>
  </conditionalFormatting>
  <conditionalFormatting sqref="G5">
    <cfRule type="expression" dxfId="23431" priority="12100">
      <formula>#REF!="TO"</formula>
    </cfRule>
    <cfRule type="expression" dxfId="23430" priority="12101">
      <formula>#REF!="IO"</formula>
    </cfRule>
    <cfRule type="expression" dxfId="23429" priority="12102">
      <formula>#REF!="L"</formula>
    </cfRule>
  </conditionalFormatting>
  <conditionalFormatting sqref="K5">
    <cfRule type="expression" dxfId="23428" priority="12094">
      <formula>#REF!="TO"</formula>
    </cfRule>
    <cfRule type="expression" dxfId="23427" priority="12095">
      <formula>#REF!="IO"</formula>
    </cfRule>
    <cfRule type="expression" dxfId="23426" priority="12096">
      <formula>#REF!="L"</formula>
    </cfRule>
  </conditionalFormatting>
  <conditionalFormatting sqref="E5">
    <cfRule type="expression" dxfId="23425" priority="12091">
      <formula>#REF!="TO"</formula>
    </cfRule>
    <cfRule type="expression" dxfId="23424" priority="12092">
      <formula>#REF!="IO"</formula>
    </cfRule>
    <cfRule type="expression" dxfId="23423" priority="12093">
      <formula>#REF!="L"</formula>
    </cfRule>
  </conditionalFormatting>
  <conditionalFormatting sqref="M5">
    <cfRule type="expression" dxfId="23422" priority="12085">
      <formula>#REF!="TO"</formula>
    </cfRule>
    <cfRule type="expression" dxfId="23421" priority="12086">
      <formula>#REF!="IO"</formula>
    </cfRule>
    <cfRule type="expression" dxfId="23420" priority="12087">
      <formula>#REF!="L"</formula>
    </cfRule>
  </conditionalFormatting>
  <conditionalFormatting sqref="N5:P5">
    <cfRule type="expression" dxfId="23419" priority="12082">
      <formula>#REF!="TO"</formula>
    </cfRule>
    <cfRule type="expression" dxfId="23418" priority="12083">
      <formula>#REF!="IO"</formula>
    </cfRule>
    <cfRule type="expression" dxfId="23417" priority="12084">
      <formula>#REF!="L"</formula>
    </cfRule>
  </conditionalFormatting>
  <conditionalFormatting sqref="D6">
    <cfRule type="expression" dxfId="23416" priority="11983">
      <formula>#REF!="TO"</formula>
    </cfRule>
    <cfRule type="expression" dxfId="23415" priority="11984">
      <formula>#REF!="IO"</formula>
    </cfRule>
    <cfRule type="expression" dxfId="23414" priority="11985">
      <formula>#REF!="L"</formula>
    </cfRule>
  </conditionalFormatting>
  <conditionalFormatting sqref="W5">
    <cfRule type="expression" dxfId="23413" priority="12067">
      <formula>#REF!="TO"</formula>
    </cfRule>
    <cfRule type="expression" dxfId="23412" priority="12068">
      <formula>#REF!="IO"</formula>
    </cfRule>
    <cfRule type="expression" dxfId="23411" priority="12069">
      <formula>#REF!="L"</formula>
    </cfRule>
    <cfRule type="expression" dxfId="23410" priority="12070">
      <formula>G5="TO"</formula>
    </cfRule>
    <cfRule type="expression" dxfId="23409" priority="12071">
      <formula>G5="IO"</formula>
    </cfRule>
    <cfRule type="expression" dxfId="23408" priority="12072">
      <formula>G5="L"</formula>
    </cfRule>
  </conditionalFormatting>
  <conditionalFormatting sqref="X5">
    <cfRule type="expression" dxfId="23407" priority="12064">
      <formula>#REF!="TO"</formula>
    </cfRule>
    <cfRule type="expression" dxfId="23406" priority="12065">
      <formula>#REF!="IO"</formula>
    </cfRule>
    <cfRule type="expression" dxfId="23405" priority="12066">
      <formula>#REF!="L"</formula>
    </cfRule>
  </conditionalFormatting>
  <conditionalFormatting sqref="Y5">
    <cfRule type="expression" dxfId="23404" priority="12061">
      <formula>#REF!="TO"</formula>
    </cfRule>
    <cfRule type="expression" dxfId="23403" priority="12062">
      <formula>#REF!="IO"</formula>
    </cfRule>
    <cfRule type="expression" dxfId="23402" priority="12063">
      <formula>#REF!="L"</formula>
    </cfRule>
  </conditionalFormatting>
  <conditionalFormatting sqref="AC5 AG5">
    <cfRule type="expression" dxfId="23401" priority="12055">
      <formula>#REF!="TO"</formula>
    </cfRule>
    <cfRule type="expression" dxfId="23400" priority="12056">
      <formula>#REF!="IO"</formula>
    </cfRule>
    <cfRule type="expression" dxfId="23399" priority="12057">
      <formula>#REF!="L"</formula>
    </cfRule>
  </conditionalFormatting>
  <conditionalFormatting sqref="AP2:AP22 AI2:AI6 BO2:BO4">
    <cfRule type="expression" dxfId="23398" priority="12058">
      <formula>N2="TO"</formula>
    </cfRule>
    <cfRule type="expression" dxfId="23397" priority="12059">
      <formula>N2="IO"</formula>
    </cfRule>
    <cfRule type="expression" dxfId="23396" priority="12060">
      <formula>N2="L"</formula>
    </cfRule>
  </conditionalFormatting>
  <conditionalFormatting sqref="AI5">
    <cfRule type="expression" dxfId="23395" priority="12049">
      <formula>#REF!="TO"</formula>
    </cfRule>
    <cfRule type="expression" dxfId="23394" priority="12050">
      <formula>#REF!="IO"</formula>
    </cfRule>
    <cfRule type="expression" dxfId="23393" priority="12051">
      <formula>#REF!="L"</formula>
    </cfRule>
  </conditionalFormatting>
  <conditionalFormatting sqref="AJ5">
    <cfRule type="expression" dxfId="23392" priority="12046">
      <formula>#REF!="TO"</formula>
    </cfRule>
    <cfRule type="expression" dxfId="23391" priority="12047">
      <formula>#REF!="IO"</formula>
    </cfRule>
    <cfRule type="expression" dxfId="23390" priority="12048">
      <formula>#REF!="L"</formula>
    </cfRule>
  </conditionalFormatting>
  <conditionalFormatting sqref="AK5">
    <cfRule type="expression" dxfId="23389" priority="12043">
      <formula>#REF!="TO"</formula>
    </cfRule>
    <cfRule type="expression" dxfId="23388" priority="12044">
      <formula>#REF!="IO"</formula>
    </cfRule>
    <cfRule type="expression" dxfId="23387" priority="12045">
      <formula>#REF!="L"</formula>
    </cfRule>
  </conditionalFormatting>
  <conditionalFormatting sqref="AL5">
    <cfRule type="expression" dxfId="23386" priority="12040">
      <formula>#REF!="TO"</formula>
    </cfRule>
    <cfRule type="expression" dxfId="23385" priority="12041">
      <formula>#REF!="IO"</formula>
    </cfRule>
    <cfRule type="expression" dxfId="23384" priority="12042">
      <formula>#REF!="L"</formula>
    </cfRule>
  </conditionalFormatting>
  <conditionalFormatting sqref="AM5">
    <cfRule type="expression" dxfId="23383" priority="12037">
      <formula>#REF!="TO"</formula>
    </cfRule>
    <cfRule type="expression" dxfId="23382" priority="12038">
      <formula>#REF!="IO"</formula>
    </cfRule>
    <cfRule type="expression" dxfId="23381" priority="12039">
      <formula>#REF!="L"</formula>
    </cfRule>
  </conditionalFormatting>
  <conditionalFormatting sqref="AQ5">
    <cfRule type="expression" dxfId="23380" priority="12028">
      <formula>#REF!="TO"</formula>
    </cfRule>
    <cfRule type="expression" dxfId="23379" priority="12029">
      <formula>#REF!="IO"</formula>
    </cfRule>
    <cfRule type="expression" dxfId="23378" priority="12030">
      <formula>#REF!="L"</formula>
    </cfRule>
  </conditionalFormatting>
  <conditionalFormatting sqref="AR5">
    <cfRule type="expression" dxfId="23377" priority="12025">
      <formula>#REF!="TO"</formula>
    </cfRule>
    <cfRule type="expression" dxfId="23376" priority="12026">
      <formula>#REF!="IO"</formula>
    </cfRule>
    <cfRule type="expression" dxfId="23375" priority="12027">
      <formula>#REF!="L"</formula>
    </cfRule>
  </conditionalFormatting>
  <conditionalFormatting sqref="Z5">
    <cfRule type="expression" dxfId="23374" priority="12013">
      <formula>#REF!="TO"</formula>
    </cfRule>
    <cfRule type="expression" dxfId="23373" priority="12014">
      <formula>#REF!="IO"</formula>
    </cfRule>
    <cfRule type="expression" dxfId="23372" priority="12015">
      <formula>#REF!="L"</formula>
    </cfRule>
    <cfRule type="expression" dxfId="23371" priority="12016">
      <formula>H5="TO"</formula>
    </cfRule>
    <cfRule type="expression" dxfId="23370" priority="12017">
      <formula>H5="IO"</formula>
    </cfRule>
    <cfRule type="expression" dxfId="23369" priority="12018">
      <formula>H5="L"</formula>
    </cfRule>
  </conditionalFormatting>
  <conditionalFormatting sqref="AT5">
    <cfRule type="expression" dxfId="23368" priority="12007">
      <formula>#REF!="TO"</formula>
    </cfRule>
    <cfRule type="expression" dxfId="23367" priority="12008">
      <formula>#REF!="IO"</formula>
    </cfRule>
    <cfRule type="expression" dxfId="23366" priority="12009">
      <formula>#REF!="L"</formula>
    </cfRule>
  </conditionalFormatting>
  <conditionalFormatting sqref="AE5">
    <cfRule type="expression" dxfId="23365" priority="12001">
      <formula>#REF!="TO"</formula>
    </cfRule>
    <cfRule type="expression" dxfId="23364" priority="12002">
      <formula>#REF!="IO"</formula>
    </cfRule>
    <cfRule type="expression" dxfId="23363" priority="12003">
      <formula>#REF!="L"</formula>
    </cfRule>
    <cfRule type="expression" dxfId="23362" priority="12004">
      <formula>E5="TO"</formula>
    </cfRule>
    <cfRule type="expression" dxfId="23361" priority="12005">
      <formula>E5="IO"</formula>
    </cfRule>
    <cfRule type="expression" dxfId="23360" priority="12006">
      <formula>E5="L"</formula>
    </cfRule>
  </conditionalFormatting>
  <conditionalFormatting sqref="AF5">
    <cfRule type="expression" dxfId="23359" priority="11998">
      <formula>#REF!="TO"</formula>
    </cfRule>
    <cfRule type="expression" dxfId="23358" priority="11999">
      <formula>#REF!="IO"</formula>
    </cfRule>
    <cfRule type="expression" dxfId="23357" priority="12000">
      <formula>#REF!="L"</formula>
    </cfRule>
  </conditionalFormatting>
  <conditionalFormatting sqref="AS6">
    <cfRule type="expression" dxfId="23356" priority="11896">
      <formula>#REF!="TO"</formula>
    </cfRule>
    <cfRule type="expression" dxfId="23355" priority="11897">
      <formula>#REF!="IO"</formula>
    </cfRule>
    <cfRule type="expression" dxfId="23354" priority="11898">
      <formula>#REF!="L"</formula>
    </cfRule>
    <cfRule type="expression" dxfId="23353" priority="11899">
      <formula>Y6="TO"</formula>
    </cfRule>
    <cfRule type="expression" dxfId="23352" priority="11900">
      <formula>Y6="IO"</formula>
    </cfRule>
    <cfRule type="expression" dxfId="23351" priority="11901">
      <formula>Y6="L"</formula>
    </cfRule>
  </conditionalFormatting>
  <conditionalFormatting sqref="A6">
    <cfRule type="expression" dxfId="23350" priority="11992">
      <formula>#REF!="TO"</formula>
    </cfRule>
    <cfRule type="expression" dxfId="23349" priority="11993">
      <formula>#REF!="IO"</formula>
    </cfRule>
    <cfRule type="expression" dxfId="23348" priority="11994">
      <formula>#REF!="L"</formula>
    </cfRule>
  </conditionalFormatting>
  <conditionalFormatting sqref="B6">
    <cfRule type="expression" dxfId="23347" priority="11989">
      <formula>#REF!="TO"</formula>
    </cfRule>
    <cfRule type="expression" dxfId="23346" priority="11990">
      <formula>#REF!="IO"</formula>
    </cfRule>
    <cfRule type="expression" dxfId="23345" priority="11991">
      <formula>#REF!="L"</formula>
    </cfRule>
  </conditionalFormatting>
  <conditionalFormatting sqref="AN6 AP6">
    <cfRule type="expression" dxfId="23344" priority="11908">
      <formula>#REF!="TO"</formula>
    </cfRule>
    <cfRule type="expression" dxfId="23343" priority="11909">
      <formula>#REF!="IO"</formula>
    </cfRule>
    <cfRule type="expression" dxfId="23342" priority="11910">
      <formula>#REF!="L"</formula>
    </cfRule>
  </conditionalFormatting>
  <conditionalFormatting sqref="F6">
    <cfRule type="expression" dxfId="23341" priority="11980">
      <formula>#REF!="TO"</formula>
    </cfRule>
    <cfRule type="expression" dxfId="23340" priority="11981">
      <formula>#REF!="IO"</formula>
    </cfRule>
    <cfRule type="expression" dxfId="23339" priority="11982">
      <formula>#REF!="L"</formula>
    </cfRule>
  </conditionalFormatting>
  <conditionalFormatting sqref="G6">
    <cfRule type="expression" dxfId="23338" priority="11977">
      <formula>#REF!="TO"</formula>
    </cfRule>
    <cfRule type="expression" dxfId="23337" priority="11978">
      <formula>#REF!="IO"</formula>
    </cfRule>
    <cfRule type="expression" dxfId="23336" priority="11979">
      <formula>#REF!="L"</formula>
    </cfRule>
  </conditionalFormatting>
  <conditionalFormatting sqref="K6">
    <cfRule type="expression" dxfId="23335" priority="11971">
      <formula>#REF!="TO"</formula>
    </cfRule>
    <cfRule type="expression" dxfId="23334" priority="11972">
      <formula>#REF!="IO"</formula>
    </cfRule>
    <cfRule type="expression" dxfId="23333" priority="11973">
      <formula>#REF!="L"</formula>
    </cfRule>
  </conditionalFormatting>
  <conditionalFormatting sqref="E6">
    <cfRule type="expression" dxfId="23332" priority="11968">
      <formula>#REF!="TO"</formula>
    </cfRule>
    <cfRule type="expression" dxfId="23331" priority="11969">
      <formula>#REF!="IO"</formula>
    </cfRule>
    <cfRule type="expression" dxfId="23330" priority="11970">
      <formula>#REF!="L"</formula>
    </cfRule>
  </conditionalFormatting>
  <conditionalFormatting sqref="M6">
    <cfRule type="expression" dxfId="23329" priority="11962">
      <formula>#REF!="TO"</formula>
    </cfRule>
    <cfRule type="expression" dxfId="23328" priority="11963">
      <formula>#REF!="IO"</formula>
    </cfRule>
    <cfRule type="expression" dxfId="23327" priority="11964">
      <formula>#REF!="L"</formula>
    </cfRule>
  </conditionalFormatting>
  <conditionalFormatting sqref="N6:P6">
    <cfRule type="expression" dxfId="23326" priority="11959">
      <formula>#REF!="TO"</formula>
    </cfRule>
    <cfRule type="expression" dxfId="23325" priority="11960">
      <formula>#REF!="IO"</formula>
    </cfRule>
    <cfRule type="expression" dxfId="23324" priority="11961">
      <formula>#REF!="L"</formula>
    </cfRule>
  </conditionalFormatting>
  <conditionalFormatting sqref="D7">
    <cfRule type="expression" dxfId="23323" priority="11860">
      <formula>#REF!="TO"</formula>
    </cfRule>
    <cfRule type="expression" dxfId="23322" priority="11861">
      <formula>#REF!="IO"</formula>
    </cfRule>
    <cfRule type="expression" dxfId="23321" priority="11862">
      <formula>#REF!="L"</formula>
    </cfRule>
  </conditionalFormatting>
  <conditionalFormatting sqref="W6">
    <cfRule type="expression" dxfId="23320" priority="11944">
      <formula>#REF!="TO"</formula>
    </cfRule>
    <cfRule type="expression" dxfId="23319" priority="11945">
      <formula>#REF!="IO"</formula>
    </cfRule>
    <cfRule type="expression" dxfId="23318" priority="11946">
      <formula>#REF!="L"</formula>
    </cfRule>
    <cfRule type="expression" dxfId="23317" priority="11947">
      <formula>G6="TO"</formula>
    </cfRule>
    <cfRule type="expression" dxfId="23316" priority="11948">
      <formula>G6="IO"</formula>
    </cfRule>
    <cfRule type="expression" dxfId="23315" priority="11949">
      <formula>G6="L"</formula>
    </cfRule>
  </conditionalFormatting>
  <conditionalFormatting sqref="X6">
    <cfRule type="expression" dxfId="23314" priority="11941">
      <formula>#REF!="TO"</formula>
    </cfRule>
    <cfRule type="expression" dxfId="23313" priority="11942">
      <formula>#REF!="IO"</formula>
    </cfRule>
    <cfRule type="expression" dxfId="23312" priority="11943">
      <formula>#REF!="L"</formula>
    </cfRule>
  </conditionalFormatting>
  <conditionalFormatting sqref="Y6">
    <cfRule type="expression" dxfId="23311" priority="11938">
      <formula>#REF!="TO"</formula>
    </cfRule>
    <cfRule type="expression" dxfId="23310" priority="11939">
      <formula>#REF!="IO"</formula>
    </cfRule>
    <cfRule type="expression" dxfId="23309" priority="11940">
      <formula>#REF!="L"</formula>
    </cfRule>
  </conditionalFormatting>
  <conditionalFormatting sqref="AC6 AG6">
    <cfRule type="expression" dxfId="23308" priority="11932">
      <formula>#REF!="TO"</formula>
    </cfRule>
    <cfRule type="expression" dxfId="23307" priority="11933">
      <formula>#REF!="IO"</formula>
    </cfRule>
    <cfRule type="expression" dxfId="23306" priority="11934">
      <formula>#REF!="L"</formula>
    </cfRule>
  </conditionalFormatting>
  <conditionalFormatting sqref="AI6">
    <cfRule type="expression" dxfId="23305" priority="11926">
      <formula>#REF!="TO"</formula>
    </cfRule>
    <cfRule type="expression" dxfId="23304" priority="11927">
      <formula>#REF!="IO"</formula>
    </cfRule>
    <cfRule type="expression" dxfId="23303" priority="11928">
      <formula>#REF!="L"</formula>
    </cfRule>
  </conditionalFormatting>
  <conditionalFormatting sqref="AJ6">
    <cfRule type="expression" dxfId="23302" priority="11923">
      <formula>#REF!="TO"</formula>
    </cfRule>
    <cfRule type="expression" dxfId="23301" priority="11924">
      <formula>#REF!="IO"</formula>
    </cfRule>
    <cfRule type="expression" dxfId="23300" priority="11925">
      <formula>#REF!="L"</formula>
    </cfRule>
  </conditionalFormatting>
  <conditionalFormatting sqref="AK6">
    <cfRule type="expression" dxfId="23299" priority="11920">
      <formula>#REF!="TO"</formula>
    </cfRule>
    <cfRule type="expression" dxfId="23298" priority="11921">
      <formula>#REF!="IO"</formula>
    </cfRule>
    <cfRule type="expression" dxfId="23297" priority="11922">
      <formula>#REF!="L"</formula>
    </cfRule>
  </conditionalFormatting>
  <conditionalFormatting sqref="AL6">
    <cfRule type="expression" dxfId="23296" priority="11917">
      <formula>#REF!="TO"</formula>
    </cfRule>
    <cfRule type="expression" dxfId="23295" priority="11918">
      <formula>#REF!="IO"</formula>
    </cfRule>
    <cfRule type="expression" dxfId="23294" priority="11919">
      <formula>#REF!="L"</formula>
    </cfRule>
  </conditionalFormatting>
  <conditionalFormatting sqref="AM6">
    <cfRule type="expression" dxfId="23293" priority="11914">
      <formula>#REF!="TO"</formula>
    </cfRule>
    <cfRule type="expression" dxfId="23292" priority="11915">
      <formula>#REF!="IO"</formula>
    </cfRule>
    <cfRule type="expression" dxfId="23291" priority="11916">
      <formula>#REF!="L"</formula>
    </cfRule>
  </conditionalFormatting>
  <conditionalFormatting sqref="AQ6">
    <cfRule type="expression" dxfId="23290" priority="11905">
      <formula>#REF!="TO"</formula>
    </cfRule>
    <cfRule type="expression" dxfId="23289" priority="11906">
      <formula>#REF!="IO"</formula>
    </cfRule>
    <cfRule type="expression" dxfId="23288" priority="11907">
      <formula>#REF!="L"</formula>
    </cfRule>
  </conditionalFormatting>
  <conditionalFormatting sqref="AR6">
    <cfRule type="expression" dxfId="23287" priority="11902">
      <formula>#REF!="TO"</formula>
    </cfRule>
    <cfRule type="expression" dxfId="23286" priority="11903">
      <formula>#REF!="IO"</formula>
    </cfRule>
    <cfRule type="expression" dxfId="23285" priority="11904">
      <formula>#REF!="L"</formula>
    </cfRule>
  </conditionalFormatting>
  <conditionalFormatting sqref="Z6">
    <cfRule type="expression" dxfId="23284" priority="11890">
      <formula>#REF!="TO"</formula>
    </cfRule>
    <cfRule type="expression" dxfId="23283" priority="11891">
      <formula>#REF!="IO"</formula>
    </cfRule>
    <cfRule type="expression" dxfId="23282" priority="11892">
      <formula>#REF!="L"</formula>
    </cfRule>
    <cfRule type="expression" dxfId="23281" priority="11893">
      <formula>H6="TO"</formula>
    </cfRule>
    <cfRule type="expression" dxfId="23280" priority="11894">
      <formula>H6="IO"</formula>
    </cfRule>
    <cfRule type="expression" dxfId="23279" priority="11895">
      <formula>H6="L"</formula>
    </cfRule>
  </conditionalFormatting>
  <conditionalFormatting sqref="AE6">
    <cfRule type="expression" dxfId="23278" priority="11878">
      <formula>#REF!="TO"</formula>
    </cfRule>
    <cfRule type="expression" dxfId="23277" priority="11879">
      <formula>#REF!="IO"</formula>
    </cfRule>
    <cfRule type="expression" dxfId="23276" priority="11880">
      <formula>#REF!="L"</formula>
    </cfRule>
    <cfRule type="expression" dxfId="23275" priority="11881">
      <formula>E6="TO"</formula>
    </cfRule>
    <cfRule type="expression" dxfId="23274" priority="11882">
      <formula>E6="IO"</formula>
    </cfRule>
    <cfRule type="expression" dxfId="23273" priority="11883">
      <formula>E6="L"</formula>
    </cfRule>
  </conditionalFormatting>
  <conditionalFormatting sqref="AF6">
    <cfRule type="expression" dxfId="23272" priority="11875">
      <formula>#REF!="TO"</formula>
    </cfRule>
    <cfRule type="expression" dxfId="23271" priority="11876">
      <formula>#REF!="IO"</formula>
    </cfRule>
    <cfRule type="expression" dxfId="23270" priority="11877">
      <formula>#REF!="L"</formula>
    </cfRule>
  </conditionalFormatting>
  <conditionalFormatting sqref="AS7">
    <cfRule type="expression" dxfId="23269" priority="11773">
      <formula>#REF!="TO"</formula>
    </cfRule>
    <cfRule type="expression" dxfId="23268" priority="11774">
      <formula>#REF!="IO"</formula>
    </cfRule>
    <cfRule type="expression" dxfId="23267" priority="11775">
      <formula>#REF!="L"</formula>
    </cfRule>
    <cfRule type="expression" dxfId="23266" priority="11776">
      <formula>Y7="TO"</formula>
    </cfRule>
    <cfRule type="expression" dxfId="23265" priority="11777">
      <formula>Y7="IO"</formula>
    </cfRule>
    <cfRule type="expression" dxfId="23264" priority="11778">
      <formula>Y7="L"</formula>
    </cfRule>
  </conditionalFormatting>
  <conditionalFormatting sqref="A7">
    <cfRule type="expression" dxfId="23263" priority="11869">
      <formula>#REF!="TO"</formula>
    </cfRule>
    <cfRule type="expression" dxfId="23262" priority="11870">
      <formula>#REF!="IO"</formula>
    </cfRule>
    <cfRule type="expression" dxfId="23261" priority="11871">
      <formula>#REF!="L"</formula>
    </cfRule>
  </conditionalFormatting>
  <conditionalFormatting sqref="B7">
    <cfRule type="expression" dxfId="23260" priority="11866">
      <formula>#REF!="TO"</formula>
    </cfRule>
    <cfRule type="expression" dxfId="23259" priority="11867">
      <formula>#REF!="IO"</formula>
    </cfRule>
    <cfRule type="expression" dxfId="23258" priority="11868">
      <formula>#REF!="L"</formula>
    </cfRule>
  </conditionalFormatting>
  <conditionalFormatting sqref="AN7 AP7">
    <cfRule type="expression" dxfId="23257" priority="11785">
      <formula>#REF!="TO"</formula>
    </cfRule>
    <cfRule type="expression" dxfId="23256" priority="11786">
      <formula>#REF!="IO"</formula>
    </cfRule>
    <cfRule type="expression" dxfId="23255" priority="11787">
      <formula>#REF!="L"</formula>
    </cfRule>
  </conditionalFormatting>
  <conditionalFormatting sqref="F7">
    <cfRule type="expression" dxfId="23254" priority="11857">
      <formula>#REF!="TO"</formula>
    </cfRule>
    <cfRule type="expression" dxfId="23253" priority="11858">
      <formula>#REF!="IO"</formula>
    </cfRule>
    <cfRule type="expression" dxfId="23252" priority="11859">
      <formula>#REF!="L"</formula>
    </cfRule>
  </conditionalFormatting>
  <conditionalFormatting sqref="G7">
    <cfRule type="expression" dxfId="23251" priority="11854">
      <formula>#REF!="TO"</formula>
    </cfRule>
    <cfRule type="expression" dxfId="23250" priority="11855">
      <formula>#REF!="IO"</formula>
    </cfRule>
    <cfRule type="expression" dxfId="23249" priority="11856">
      <formula>#REF!="L"</formula>
    </cfRule>
  </conditionalFormatting>
  <conditionalFormatting sqref="K7">
    <cfRule type="expression" dxfId="23248" priority="11848">
      <formula>#REF!="TO"</formula>
    </cfRule>
    <cfRule type="expression" dxfId="23247" priority="11849">
      <formula>#REF!="IO"</formula>
    </cfRule>
    <cfRule type="expression" dxfId="23246" priority="11850">
      <formula>#REF!="L"</formula>
    </cfRule>
  </conditionalFormatting>
  <conditionalFormatting sqref="E7">
    <cfRule type="expression" dxfId="23245" priority="11845">
      <formula>#REF!="TO"</formula>
    </cfRule>
    <cfRule type="expression" dxfId="23244" priority="11846">
      <formula>#REF!="IO"</formula>
    </cfRule>
    <cfRule type="expression" dxfId="23243" priority="11847">
      <formula>#REF!="L"</formula>
    </cfRule>
  </conditionalFormatting>
  <conditionalFormatting sqref="M7">
    <cfRule type="expression" dxfId="23242" priority="11839">
      <formula>#REF!="TO"</formula>
    </cfRule>
    <cfRule type="expression" dxfId="23241" priority="11840">
      <formula>#REF!="IO"</formula>
    </cfRule>
    <cfRule type="expression" dxfId="23240" priority="11841">
      <formula>#REF!="L"</formula>
    </cfRule>
  </conditionalFormatting>
  <conditionalFormatting sqref="N7:P7">
    <cfRule type="expression" dxfId="23239" priority="11836">
      <formula>#REF!="TO"</formula>
    </cfRule>
    <cfRule type="expression" dxfId="23238" priority="11837">
      <formula>#REF!="IO"</formula>
    </cfRule>
    <cfRule type="expression" dxfId="23237" priority="11838">
      <formula>#REF!="L"</formula>
    </cfRule>
  </conditionalFormatting>
  <conditionalFormatting sqref="D8">
    <cfRule type="expression" dxfId="23236" priority="11737">
      <formula>#REF!="TO"</formula>
    </cfRule>
    <cfRule type="expression" dxfId="23235" priority="11738">
      <formula>#REF!="IO"</formula>
    </cfRule>
    <cfRule type="expression" dxfId="23234" priority="11739">
      <formula>#REF!="L"</formula>
    </cfRule>
  </conditionalFormatting>
  <conditionalFormatting sqref="W7">
    <cfRule type="expression" dxfId="23233" priority="11821">
      <formula>#REF!="TO"</formula>
    </cfRule>
    <cfRule type="expression" dxfId="23232" priority="11822">
      <formula>#REF!="IO"</formula>
    </cfRule>
    <cfRule type="expression" dxfId="23231" priority="11823">
      <formula>#REF!="L"</formula>
    </cfRule>
    <cfRule type="expression" dxfId="23230" priority="11824">
      <formula>G7="TO"</formula>
    </cfRule>
    <cfRule type="expression" dxfId="23229" priority="11825">
      <formula>G7="IO"</formula>
    </cfRule>
    <cfRule type="expression" dxfId="23228" priority="11826">
      <formula>G7="L"</formula>
    </cfRule>
  </conditionalFormatting>
  <conditionalFormatting sqref="X7">
    <cfRule type="expression" dxfId="23227" priority="11818">
      <formula>#REF!="TO"</formula>
    </cfRule>
    <cfRule type="expression" dxfId="23226" priority="11819">
      <formula>#REF!="IO"</formula>
    </cfRule>
    <cfRule type="expression" dxfId="23225" priority="11820">
      <formula>#REF!="L"</formula>
    </cfRule>
  </conditionalFormatting>
  <conditionalFormatting sqref="Y7">
    <cfRule type="expression" dxfId="23224" priority="11815">
      <formula>#REF!="TO"</formula>
    </cfRule>
    <cfRule type="expression" dxfId="23223" priority="11816">
      <formula>#REF!="IO"</formula>
    </cfRule>
    <cfRule type="expression" dxfId="23222" priority="11817">
      <formula>#REF!="L"</formula>
    </cfRule>
  </conditionalFormatting>
  <conditionalFormatting sqref="AC7 AG7">
    <cfRule type="expression" dxfId="23221" priority="11809">
      <formula>#REF!="TO"</formula>
    </cfRule>
    <cfRule type="expression" dxfId="23220" priority="11810">
      <formula>#REF!="IO"</formula>
    </cfRule>
    <cfRule type="expression" dxfId="23219" priority="11811">
      <formula>#REF!="L"</formula>
    </cfRule>
  </conditionalFormatting>
  <conditionalFormatting sqref="AI7">
    <cfRule type="expression" dxfId="23218" priority="11812">
      <formula>N7="TO"</formula>
    </cfRule>
    <cfRule type="expression" dxfId="23217" priority="11813">
      <formula>N7="IO"</formula>
    </cfRule>
    <cfRule type="expression" dxfId="23216" priority="11814">
      <formula>N7="L"</formula>
    </cfRule>
    <cfRule type="expression" dxfId="23215" priority="11803">
      <formula>#REF!="TO"</formula>
    </cfRule>
    <cfRule type="expression" dxfId="23214" priority="11804">
      <formula>#REF!="IO"</formula>
    </cfRule>
    <cfRule type="expression" dxfId="23213" priority="11805">
      <formula>#REF!="L"</formula>
    </cfRule>
  </conditionalFormatting>
  <conditionalFormatting sqref="AJ7">
    <cfRule type="expression" dxfId="23212" priority="11800">
      <formula>#REF!="TO"</formula>
    </cfRule>
    <cfRule type="expression" dxfId="23211" priority="11801">
      <formula>#REF!="IO"</formula>
    </cfRule>
    <cfRule type="expression" dxfId="23210" priority="11802">
      <formula>#REF!="L"</formula>
    </cfRule>
  </conditionalFormatting>
  <conditionalFormatting sqref="AK7">
    <cfRule type="expression" dxfId="23209" priority="11797">
      <formula>#REF!="TO"</formula>
    </cfRule>
    <cfRule type="expression" dxfId="23208" priority="11798">
      <formula>#REF!="IO"</formula>
    </cfRule>
    <cfRule type="expression" dxfId="23207" priority="11799">
      <formula>#REF!="L"</formula>
    </cfRule>
  </conditionalFormatting>
  <conditionalFormatting sqref="AL7">
    <cfRule type="expression" dxfId="23206" priority="11794">
      <formula>#REF!="TO"</formula>
    </cfRule>
    <cfRule type="expression" dxfId="23205" priority="11795">
      <formula>#REF!="IO"</formula>
    </cfRule>
    <cfRule type="expression" dxfId="23204" priority="11796">
      <formula>#REF!="L"</formula>
    </cfRule>
  </conditionalFormatting>
  <conditionalFormatting sqref="AM7">
    <cfRule type="expression" dxfId="23203" priority="11791">
      <formula>#REF!="TO"</formula>
    </cfRule>
    <cfRule type="expression" dxfId="23202" priority="11792">
      <formula>#REF!="IO"</formula>
    </cfRule>
    <cfRule type="expression" dxfId="23201" priority="11793">
      <formula>#REF!="L"</formula>
    </cfRule>
  </conditionalFormatting>
  <conditionalFormatting sqref="AQ7">
    <cfRule type="expression" dxfId="23200" priority="11782">
      <formula>#REF!="TO"</formula>
    </cfRule>
    <cfRule type="expression" dxfId="23199" priority="11783">
      <formula>#REF!="IO"</formula>
    </cfRule>
    <cfRule type="expression" dxfId="23198" priority="11784">
      <formula>#REF!="L"</formula>
    </cfRule>
  </conditionalFormatting>
  <conditionalFormatting sqref="AR7">
    <cfRule type="expression" dxfId="23197" priority="11779">
      <formula>#REF!="TO"</formula>
    </cfRule>
    <cfRule type="expression" dxfId="23196" priority="11780">
      <formula>#REF!="IO"</formula>
    </cfRule>
    <cfRule type="expression" dxfId="23195" priority="11781">
      <formula>#REF!="L"</formula>
    </cfRule>
  </conditionalFormatting>
  <conditionalFormatting sqref="Z7">
    <cfRule type="expression" dxfId="23194" priority="11767">
      <formula>#REF!="TO"</formula>
    </cfRule>
    <cfRule type="expression" dxfId="23193" priority="11768">
      <formula>#REF!="IO"</formula>
    </cfRule>
    <cfRule type="expression" dxfId="23192" priority="11769">
      <formula>#REF!="L"</formula>
    </cfRule>
    <cfRule type="expression" dxfId="23191" priority="11770">
      <formula>H7="TO"</formula>
    </cfRule>
    <cfRule type="expression" dxfId="23190" priority="11771">
      <formula>H7="IO"</formula>
    </cfRule>
    <cfRule type="expression" dxfId="23189" priority="11772">
      <formula>H7="L"</formula>
    </cfRule>
  </conditionalFormatting>
  <conditionalFormatting sqref="AE7">
    <cfRule type="expression" dxfId="23188" priority="11755">
      <formula>#REF!="TO"</formula>
    </cfRule>
    <cfRule type="expression" dxfId="23187" priority="11756">
      <formula>#REF!="IO"</formula>
    </cfRule>
    <cfRule type="expression" dxfId="23186" priority="11757">
      <formula>#REF!="L"</formula>
    </cfRule>
    <cfRule type="expression" dxfId="23185" priority="11758">
      <formula>E7="TO"</formula>
    </cfRule>
    <cfRule type="expression" dxfId="23184" priority="11759">
      <formula>E7="IO"</formula>
    </cfRule>
    <cfRule type="expression" dxfId="23183" priority="11760">
      <formula>E7="L"</formula>
    </cfRule>
  </conditionalFormatting>
  <conditionalFormatting sqref="AF7">
    <cfRule type="expression" dxfId="23182" priority="11752">
      <formula>#REF!="TO"</formula>
    </cfRule>
    <cfRule type="expression" dxfId="23181" priority="11753">
      <formula>#REF!="IO"</formula>
    </cfRule>
    <cfRule type="expression" dxfId="23180" priority="11754">
      <formula>#REF!="L"</formula>
    </cfRule>
  </conditionalFormatting>
  <conditionalFormatting sqref="AS8">
    <cfRule type="expression" dxfId="23179" priority="11650">
      <formula>#REF!="TO"</formula>
    </cfRule>
    <cfRule type="expression" dxfId="23178" priority="11651">
      <formula>#REF!="IO"</formula>
    </cfRule>
    <cfRule type="expression" dxfId="23177" priority="11652">
      <formula>#REF!="L"</formula>
    </cfRule>
    <cfRule type="expression" dxfId="23176" priority="11653">
      <formula>Y8="TO"</formula>
    </cfRule>
    <cfRule type="expression" dxfId="23175" priority="11654">
      <formula>Y8="IO"</formula>
    </cfRule>
    <cfRule type="expression" dxfId="23174" priority="11655">
      <formula>Y8="L"</formula>
    </cfRule>
  </conditionalFormatting>
  <conditionalFormatting sqref="A8">
    <cfRule type="expression" dxfId="23173" priority="11746">
      <formula>#REF!="TO"</formula>
    </cfRule>
    <cfRule type="expression" dxfId="23172" priority="11747">
      <formula>#REF!="IO"</formula>
    </cfRule>
    <cfRule type="expression" dxfId="23171" priority="11748">
      <formula>#REF!="L"</formula>
    </cfRule>
  </conditionalFormatting>
  <conditionalFormatting sqref="B8">
    <cfRule type="expression" dxfId="23170" priority="11743">
      <formula>#REF!="TO"</formula>
    </cfRule>
    <cfRule type="expression" dxfId="23169" priority="11744">
      <formula>#REF!="IO"</formula>
    </cfRule>
    <cfRule type="expression" dxfId="23168" priority="11745">
      <formula>#REF!="L"</formula>
    </cfRule>
  </conditionalFormatting>
  <conditionalFormatting sqref="AN8 AP8">
    <cfRule type="expression" dxfId="23167" priority="11662">
      <formula>#REF!="TO"</formula>
    </cfRule>
    <cfRule type="expression" dxfId="23166" priority="11663">
      <formula>#REF!="IO"</formula>
    </cfRule>
    <cfRule type="expression" dxfId="23165" priority="11664">
      <formula>#REF!="L"</formula>
    </cfRule>
  </conditionalFormatting>
  <conditionalFormatting sqref="AJ9:AJ12">
    <cfRule type="expression" dxfId="23164" priority="11557">
      <formula>#REF!="TO"</formula>
    </cfRule>
    <cfRule type="expression" dxfId="23163" priority="11558">
      <formula>#REF!="IO"</formula>
    </cfRule>
    <cfRule type="expression" dxfId="23162" priority="11559">
      <formula>#REF!="L"</formula>
    </cfRule>
  </conditionalFormatting>
  <conditionalFormatting sqref="F8">
    <cfRule type="expression" dxfId="23161" priority="11734">
      <formula>#REF!="TO"</formula>
    </cfRule>
    <cfRule type="expression" dxfId="23160" priority="11735">
      <formula>#REF!="IO"</formula>
    </cfRule>
    <cfRule type="expression" dxfId="23159" priority="11736">
      <formula>#REF!="L"</formula>
    </cfRule>
  </conditionalFormatting>
  <conditionalFormatting sqref="G8">
    <cfRule type="expression" dxfId="23158" priority="11731">
      <formula>#REF!="TO"</formula>
    </cfRule>
    <cfRule type="expression" dxfId="23157" priority="11732">
      <formula>#REF!="IO"</formula>
    </cfRule>
    <cfRule type="expression" dxfId="23156" priority="11733">
      <formula>#REF!="L"</formula>
    </cfRule>
  </conditionalFormatting>
  <conditionalFormatting sqref="K8">
    <cfRule type="expression" dxfId="23155" priority="11725">
      <formula>#REF!="TO"</formula>
    </cfRule>
    <cfRule type="expression" dxfId="23154" priority="11726">
      <formula>#REF!="IO"</formula>
    </cfRule>
    <cfRule type="expression" dxfId="23153" priority="11727">
      <formula>#REF!="L"</formula>
    </cfRule>
  </conditionalFormatting>
  <conditionalFormatting sqref="E8">
    <cfRule type="expression" dxfId="23152" priority="11722">
      <formula>#REF!="TO"</formula>
    </cfRule>
    <cfRule type="expression" dxfId="23151" priority="11723">
      <formula>#REF!="IO"</formula>
    </cfRule>
    <cfRule type="expression" dxfId="23150" priority="11724">
      <formula>#REF!="L"</formula>
    </cfRule>
  </conditionalFormatting>
  <conditionalFormatting sqref="K9:K12">
    <cfRule type="expression" dxfId="23149" priority="11605">
      <formula>#REF!="TO"</formula>
    </cfRule>
    <cfRule type="expression" dxfId="23148" priority="11606">
      <formula>#REF!="IO"</formula>
    </cfRule>
    <cfRule type="expression" dxfId="23147" priority="11607">
      <formula>#REF!="L"</formula>
    </cfRule>
  </conditionalFormatting>
  <conditionalFormatting sqref="M8">
    <cfRule type="expression" dxfId="23146" priority="11716">
      <formula>#REF!="TO"</formula>
    </cfRule>
    <cfRule type="expression" dxfId="23145" priority="11717">
      <formula>#REF!="IO"</formula>
    </cfRule>
    <cfRule type="expression" dxfId="23144" priority="11718">
      <formula>#REF!="L"</formula>
    </cfRule>
  </conditionalFormatting>
  <conditionalFormatting sqref="N8:P8">
    <cfRule type="expression" dxfId="23143" priority="11713">
      <formula>#REF!="TO"</formula>
    </cfRule>
    <cfRule type="expression" dxfId="23142" priority="11714">
      <formula>#REF!="IO"</formula>
    </cfRule>
    <cfRule type="expression" dxfId="23141" priority="11715">
      <formula>#REF!="L"</formula>
    </cfRule>
  </conditionalFormatting>
  <conditionalFormatting sqref="W8">
    <cfRule type="expression" dxfId="23140" priority="11698">
      <formula>#REF!="TO"</formula>
    </cfRule>
    <cfRule type="expression" dxfId="23139" priority="11699">
      <formula>#REF!="IO"</formula>
    </cfRule>
    <cfRule type="expression" dxfId="23138" priority="11700">
      <formula>#REF!="L"</formula>
    </cfRule>
    <cfRule type="expression" dxfId="23137" priority="11701">
      <formula>G8="TO"</formula>
    </cfRule>
    <cfRule type="expression" dxfId="23136" priority="11702">
      <formula>G8="IO"</formula>
    </cfRule>
    <cfRule type="expression" dxfId="23135" priority="11703">
      <formula>G8="L"</formula>
    </cfRule>
  </conditionalFormatting>
  <conditionalFormatting sqref="X8">
    <cfRule type="expression" dxfId="23134" priority="11695">
      <formula>#REF!="TO"</formula>
    </cfRule>
    <cfRule type="expression" dxfId="23133" priority="11696">
      <formula>#REF!="IO"</formula>
    </cfRule>
    <cfRule type="expression" dxfId="23132" priority="11697">
      <formula>#REF!="L"</formula>
    </cfRule>
  </conditionalFormatting>
  <conditionalFormatting sqref="Y8">
    <cfRule type="expression" dxfId="23131" priority="11692">
      <formula>#REF!="TO"</formula>
    </cfRule>
    <cfRule type="expression" dxfId="23130" priority="11693">
      <formula>#REF!="IO"</formula>
    </cfRule>
    <cfRule type="expression" dxfId="23129" priority="11694">
      <formula>#REF!="L"</formula>
    </cfRule>
  </conditionalFormatting>
  <conditionalFormatting sqref="AC8 AG8">
    <cfRule type="expression" dxfId="23128" priority="11686">
      <formula>#REF!="TO"</formula>
    </cfRule>
    <cfRule type="expression" dxfId="23127" priority="11687">
      <formula>#REF!="IO"</formula>
    </cfRule>
    <cfRule type="expression" dxfId="23126" priority="11688">
      <formula>#REF!="L"</formula>
    </cfRule>
  </conditionalFormatting>
  <conditionalFormatting sqref="AI8">
    <cfRule type="expression" dxfId="23125" priority="11689">
      <formula>N8="TO"</formula>
    </cfRule>
    <cfRule type="expression" dxfId="23124" priority="11690">
      <formula>N8="IO"</formula>
    </cfRule>
    <cfRule type="expression" dxfId="23123" priority="11691">
      <formula>N8="L"</formula>
    </cfRule>
    <cfRule type="expression" dxfId="23122" priority="11680">
      <formula>#REF!="TO"</formula>
    </cfRule>
    <cfRule type="expression" dxfId="23121" priority="11681">
      <formula>#REF!="IO"</formula>
    </cfRule>
    <cfRule type="expression" dxfId="23120" priority="11682">
      <formula>#REF!="L"</formula>
    </cfRule>
  </conditionalFormatting>
  <conditionalFormatting sqref="AJ8">
    <cfRule type="expression" dxfId="23119" priority="11677">
      <formula>#REF!="TO"</formula>
    </cfRule>
    <cfRule type="expression" dxfId="23118" priority="11678">
      <formula>#REF!="IO"</formula>
    </cfRule>
    <cfRule type="expression" dxfId="23117" priority="11679">
      <formula>#REF!="L"</formula>
    </cfRule>
  </conditionalFormatting>
  <conditionalFormatting sqref="AK8">
    <cfRule type="expression" dxfId="23116" priority="11674">
      <formula>#REF!="TO"</formula>
    </cfRule>
    <cfRule type="expression" dxfId="23115" priority="11675">
      <formula>#REF!="IO"</formula>
    </cfRule>
    <cfRule type="expression" dxfId="23114" priority="11676">
      <formula>#REF!="L"</formula>
    </cfRule>
  </conditionalFormatting>
  <conditionalFormatting sqref="AL8">
    <cfRule type="expression" dxfId="23113" priority="11671">
      <formula>#REF!="TO"</formula>
    </cfRule>
    <cfRule type="expression" dxfId="23112" priority="11672">
      <formula>#REF!="IO"</formula>
    </cfRule>
    <cfRule type="expression" dxfId="23111" priority="11673">
      <formula>#REF!="L"</formula>
    </cfRule>
  </conditionalFormatting>
  <conditionalFormatting sqref="AM8">
    <cfRule type="expression" dxfId="23110" priority="11668">
      <formula>#REF!="TO"</formula>
    </cfRule>
    <cfRule type="expression" dxfId="23109" priority="11669">
      <formula>#REF!="IO"</formula>
    </cfRule>
    <cfRule type="expression" dxfId="23108" priority="11670">
      <formula>#REF!="L"</formula>
    </cfRule>
  </conditionalFormatting>
  <conditionalFormatting sqref="AQ8">
    <cfRule type="expression" dxfId="23107" priority="11659">
      <formula>#REF!="TO"</formula>
    </cfRule>
    <cfRule type="expression" dxfId="23106" priority="11660">
      <formula>#REF!="IO"</formula>
    </cfRule>
    <cfRule type="expression" dxfId="23105" priority="11661">
      <formula>#REF!="L"</formula>
    </cfRule>
  </conditionalFormatting>
  <conditionalFormatting sqref="AR8">
    <cfRule type="expression" dxfId="23104" priority="11656">
      <formula>#REF!="TO"</formula>
    </cfRule>
    <cfRule type="expression" dxfId="23103" priority="11657">
      <formula>#REF!="IO"</formula>
    </cfRule>
    <cfRule type="expression" dxfId="23102" priority="11658">
      <formula>#REF!="L"</formula>
    </cfRule>
  </conditionalFormatting>
  <conditionalFormatting sqref="Z8">
    <cfRule type="expression" dxfId="23101" priority="11644">
      <formula>#REF!="TO"</formula>
    </cfRule>
    <cfRule type="expression" dxfId="23100" priority="11645">
      <formula>#REF!="IO"</formula>
    </cfRule>
    <cfRule type="expression" dxfId="23099" priority="11646">
      <formula>#REF!="L"</formula>
    </cfRule>
    <cfRule type="expression" dxfId="23098" priority="11647">
      <formula>H8="TO"</formula>
    </cfRule>
    <cfRule type="expression" dxfId="23097" priority="11648">
      <formula>H8="IO"</formula>
    </cfRule>
    <cfRule type="expression" dxfId="23096" priority="11649">
      <formula>H8="L"</formula>
    </cfRule>
  </conditionalFormatting>
  <conditionalFormatting sqref="AT8">
    <cfRule type="expression" dxfId="23095" priority="11638">
      <formula>#REF!="TO"</formula>
    </cfRule>
    <cfRule type="expression" dxfId="23094" priority="11639">
      <formula>#REF!="IO"</formula>
    </cfRule>
    <cfRule type="expression" dxfId="23093" priority="11640">
      <formula>#REF!="L"</formula>
    </cfRule>
  </conditionalFormatting>
  <conditionalFormatting sqref="AE8">
    <cfRule type="expression" dxfId="23092" priority="11632">
      <formula>#REF!="TO"</formula>
    </cfRule>
    <cfRule type="expression" dxfId="23091" priority="11633">
      <formula>#REF!="IO"</formula>
    </cfRule>
    <cfRule type="expression" dxfId="23090" priority="11634">
      <formula>#REF!="L"</formula>
    </cfRule>
    <cfRule type="expression" dxfId="23089" priority="11635">
      <formula>E8="TO"</formula>
    </cfRule>
    <cfRule type="expression" dxfId="23088" priority="11636">
      <formula>E8="IO"</formula>
    </cfRule>
    <cfRule type="expression" dxfId="23087" priority="11637">
      <formula>E8="L"</formula>
    </cfRule>
  </conditionalFormatting>
  <conditionalFormatting sqref="AF8">
    <cfRule type="expression" dxfId="23086" priority="11629">
      <formula>#REF!="TO"</formula>
    </cfRule>
    <cfRule type="expression" dxfId="23085" priority="11630">
      <formula>#REF!="IO"</formula>
    </cfRule>
    <cfRule type="expression" dxfId="23084" priority="11631">
      <formula>#REF!="L"</formula>
    </cfRule>
  </conditionalFormatting>
  <conditionalFormatting sqref="AS9:AS12">
    <cfRule type="expression" dxfId="23083" priority="11530">
      <formula>#REF!="TO"</formula>
    </cfRule>
    <cfRule type="expression" dxfId="23082" priority="11531">
      <formula>#REF!="IO"</formula>
    </cfRule>
    <cfRule type="expression" dxfId="23081" priority="11532">
      <formula>#REF!="L"</formula>
    </cfRule>
    <cfRule type="expression" dxfId="23080" priority="11533">
      <formula>Y9="TO"</formula>
    </cfRule>
    <cfRule type="expression" dxfId="23079" priority="11534">
      <formula>Y9="IO"</formula>
    </cfRule>
    <cfRule type="expression" dxfId="23078" priority="11535">
      <formula>Y9="L"</formula>
    </cfRule>
  </conditionalFormatting>
  <conditionalFormatting sqref="B9:B12">
    <cfRule type="expression" dxfId="23077" priority="11623">
      <formula>#REF!="TO"</formula>
    </cfRule>
    <cfRule type="expression" dxfId="23076" priority="11624">
      <formula>#REF!="IO"</formula>
    </cfRule>
    <cfRule type="expression" dxfId="23075" priority="11625">
      <formula>#REF!="L"</formula>
    </cfRule>
  </conditionalFormatting>
  <conditionalFormatting sqref="AN9:AN12 AP9:AP12">
    <cfRule type="expression" dxfId="23074" priority="11542">
      <formula>#REF!="TO"</formula>
    </cfRule>
    <cfRule type="expression" dxfId="23073" priority="11543">
      <formula>#REF!="IO"</formula>
    </cfRule>
    <cfRule type="expression" dxfId="23072" priority="11544">
      <formula>#REF!="L"</formula>
    </cfRule>
  </conditionalFormatting>
  <conditionalFormatting sqref="D9:D12">
    <cfRule type="expression" dxfId="23071" priority="11617">
      <formula>#REF!="TO"</formula>
    </cfRule>
    <cfRule type="expression" dxfId="23070" priority="11618">
      <formula>#REF!="IO"</formula>
    </cfRule>
    <cfRule type="expression" dxfId="23069" priority="11619">
      <formula>#REF!="L"</formula>
    </cfRule>
  </conditionalFormatting>
  <conditionalFormatting sqref="F9:F12">
    <cfRule type="expression" dxfId="23068" priority="11614">
      <formula>#REF!="TO"</formula>
    </cfRule>
    <cfRule type="expression" dxfId="23067" priority="11615">
      <formula>#REF!="IO"</formula>
    </cfRule>
    <cfRule type="expression" dxfId="23066" priority="11616">
      <formula>#REF!="L"</formula>
    </cfRule>
  </conditionalFormatting>
  <conditionalFormatting sqref="G9:G12">
    <cfRule type="expression" dxfId="23065" priority="11611">
      <formula>#REF!="TO"</formula>
    </cfRule>
    <cfRule type="expression" dxfId="23064" priority="11612">
      <formula>#REF!="IO"</formula>
    </cfRule>
    <cfRule type="expression" dxfId="23063" priority="11613">
      <formula>#REF!="L"</formula>
    </cfRule>
  </conditionalFormatting>
  <conditionalFormatting sqref="E9:E12">
    <cfRule type="expression" dxfId="23062" priority="11602">
      <formula>#REF!="TO"</formula>
    </cfRule>
    <cfRule type="expression" dxfId="23061" priority="11603">
      <formula>#REF!="IO"</formula>
    </cfRule>
    <cfRule type="expression" dxfId="23060" priority="11604">
      <formula>#REF!="L"</formula>
    </cfRule>
  </conditionalFormatting>
  <conditionalFormatting sqref="M9:M12">
    <cfRule type="expression" dxfId="23059" priority="11596">
      <formula>#REF!="TO"</formula>
    </cfRule>
    <cfRule type="expression" dxfId="23058" priority="11597">
      <formula>#REF!="IO"</formula>
    </cfRule>
    <cfRule type="expression" dxfId="23057" priority="11598">
      <formula>#REF!="L"</formula>
    </cfRule>
  </conditionalFormatting>
  <conditionalFormatting sqref="N9:P12">
    <cfRule type="expression" dxfId="23056" priority="11593">
      <formula>#REF!="TO"</formula>
    </cfRule>
    <cfRule type="expression" dxfId="23055" priority="11594">
      <formula>#REF!="IO"</formula>
    </cfRule>
    <cfRule type="expression" dxfId="23054" priority="11595">
      <formula>#REF!="L"</formula>
    </cfRule>
  </conditionalFormatting>
  <conditionalFormatting sqref="Q9:Q12">
    <cfRule type="expression" dxfId="23053" priority="11590">
      <formula>#REF!="TO"</formula>
    </cfRule>
    <cfRule type="expression" dxfId="23052" priority="11591">
      <formula>#REF!="IO"</formula>
    </cfRule>
    <cfRule type="expression" dxfId="23051" priority="11592">
      <formula>#REF!="L"</formula>
    </cfRule>
  </conditionalFormatting>
  <conditionalFormatting sqref="W9:W12">
    <cfRule type="expression" dxfId="23050" priority="11578">
      <formula>#REF!="TO"</formula>
    </cfRule>
    <cfRule type="expression" dxfId="23049" priority="11579">
      <formula>#REF!="IO"</formula>
    </cfRule>
    <cfRule type="expression" dxfId="23048" priority="11580">
      <formula>#REF!="L"</formula>
    </cfRule>
    <cfRule type="expression" dxfId="23047" priority="11581">
      <formula>G9="TO"</formula>
    </cfRule>
    <cfRule type="expression" dxfId="23046" priority="11582">
      <formula>G9="IO"</formula>
    </cfRule>
    <cfRule type="expression" dxfId="23045" priority="11583">
      <formula>G9="L"</formula>
    </cfRule>
  </conditionalFormatting>
  <conditionalFormatting sqref="X9:X12">
    <cfRule type="expression" dxfId="23044" priority="11575">
      <formula>#REF!="TO"</formula>
    </cfRule>
    <cfRule type="expression" dxfId="23043" priority="11576">
      <formula>#REF!="IO"</formula>
    </cfRule>
    <cfRule type="expression" dxfId="23042" priority="11577">
      <formula>#REF!="L"</formula>
    </cfRule>
  </conditionalFormatting>
  <conditionalFormatting sqref="Y9:Y12">
    <cfRule type="expression" dxfId="23041" priority="11572">
      <formula>#REF!="TO"</formula>
    </cfRule>
    <cfRule type="expression" dxfId="23040" priority="11573">
      <formula>#REF!="IO"</formula>
    </cfRule>
    <cfRule type="expression" dxfId="23039" priority="11574">
      <formula>#REF!="L"</formula>
    </cfRule>
  </conditionalFormatting>
  <conditionalFormatting sqref="AC9:AC12 AG9:AG12">
    <cfRule type="expression" dxfId="23038" priority="11566">
      <formula>#REF!="TO"</formula>
    </cfRule>
    <cfRule type="expression" dxfId="23037" priority="11567">
      <formula>#REF!="IO"</formula>
    </cfRule>
    <cfRule type="expression" dxfId="23036" priority="11568">
      <formula>#REF!="L"</formula>
    </cfRule>
  </conditionalFormatting>
  <conditionalFormatting sqref="AI9:AI12">
    <cfRule type="expression" dxfId="23035" priority="11569">
      <formula>N9="TO"</formula>
    </cfRule>
    <cfRule type="expression" dxfId="23034" priority="11570">
      <formula>N9="IO"</formula>
    </cfRule>
    <cfRule type="expression" dxfId="23033" priority="11571">
      <formula>N9="L"</formula>
    </cfRule>
    <cfRule type="expression" dxfId="23032" priority="11560">
      <formula>#REF!="TO"</formula>
    </cfRule>
    <cfRule type="expression" dxfId="23031" priority="11561">
      <formula>#REF!="IO"</formula>
    </cfRule>
    <cfRule type="expression" dxfId="23030" priority="11562">
      <formula>#REF!="L"</formula>
    </cfRule>
  </conditionalFormatting>
  <conditionalFormatting sqref="AK9:AK12">
    <cfRule type="expression" dxfId="23029" priority="11554">
      <formula>#REF!="TO"</formula>
    </cfRule>
    <cfRule type="expression" dxfId="23028" priority="11555">
      <formula>#REF!="IO"</formula>
    </cfRule>
    <cfRule type="expression" dxfId="23027" priority="11556">
      <formula>#REF!="L"</formula>
    </cfRule>
  </conditionalFormatting>
  <conditionalFormatting sqref="AL9:AL12">
    <cfRule type="expression" dxfId="23026" priority="11551">
      <formula>#REF!="TO"</formula>
    </cfRule>
    <cfRule type="expression" dxfId="23025" priority="11552">
      <formula>#REF!="IO"</formula>
    </cfRule>
    <cfRule type="expression" dxfId="23024" priority="11553">
      <formula>#REF!="L"</formula>
    </cfRule>
  </conditionalFormatting>
  <conditionalFormatting sqref="AM9:AM12">
    <cfRule type="expression" dxfId="23023" priority="11548">
      <formula>#REF!="TO"</formula>
    </cfRule>
    <cfRule type="expression" dxfId="23022" priority="11549">
      <formula>#REF!="IO"</formula>
    </cfRule>
    <cfRule type="expression" dxfId="23021" priority="11550">
      <formula>#REF!="L"</formula>
    </cfRule>
  </conditionalFormatting>
  <conditionalFormatting sqref="AQ9:AQ12">
    <cfRule type="expression" dxfId="23020" priority="11539">
      <formula>#REF!="TO"</formula>
    </cfRule>
    <cfRule type="expression" dxfId="23019" priority="11540">
      <formula>#REF!="IO"</formula>
    </cfRule>
    <cfRule type="expression" dxfId="23018" priority="11541">
      <formula>#REF!="L"</formula>
    </cfRule>
  </conditionalFormatting>
  <conditionalFormatting sqref="AR9:AR12">
    <cfRule type="expression" dxfId="23017" priority="11536">
      <formula>#REF!="TO"</formula>
    </cfRule>
    <cfRule type="expression" dxfId="23016" priority="11537">
      <formula>#REF!="IO"</formula>
    </cfRule>
    <cfRule type="expression" dxfId="23015" priority="11538">
      <formula>#REF!="L"</formula>
    </cfRule>
  </conditionalFormatting>
  <conditionalFormatting sqref="Z9:Z12">
    <cfRule type="expression" dxfId="23014" priority="11524">
      <formula>#REF!="TO"</formula>
    </cfRule>
    <cfRule type="expression" dxfId="23013" priority="11525">
      <formula>#REF!="IO"</formula>
    </cfRule>
    <cfRule type="expression" dxfId="23012" priority="11526">
      <formula>#REF!="L"</formula>
    </cfRule>
    <cfRule type="expression" dxfId="23011" priority="11527">
      <formula>H9="TO"</formula>
    </cfRule>
    <cfRule type="expression" dxfId="23010" priority="11528">
      <formula>H9="IO"</formula>
    </cfRule>
    <cfRule type="expression" dxfId="23009" priority="11529">
      <formula>H9="L"</formula>
    </cfRule>
  </conditionalFormatting>
  <conditionalFormatting sqref="AT9:AT12">
    <cfRule type="expression" dxfId="23008" priority="11518">
      <formula>#REF!="TO"</formula>
    </cfRule>
    <cfRule type="expression" dxfId="23007" priority="11519">
      <formula>#REF!="IO"</formula>
    </cfRule>
    <cfRule type="expression" dxfId="23006" priority="11520">
      <formula>#REF!="L"</formula>
    </cfRule>
  </conditionalFormatting>
  <conditionalFormatting sqref="AE9:AE12">
    <cfRule type="expression" dxfId="23005" priority="11512">
      <formula>#REF!="TO"</formula>
    </cfRule>
    <cfRule type="expression" dxfId="23004" priority="11513">
      <formula>#REF!="IO"</formula>
    </cfRule>
    <cfRule type="expression" dxfId="23003" priority="11514">
      <formula>#REF!="L"</formula>
    </cfRule>
    <cfRule type="expression" dxfId="23002" priority="11515">
      <formula>E9="TO"</formula>
    </cfRule>
    <cfRule type="expression" dxfId="23001" priority="11516">
      <formula>E9="IO"</formula>
    </cfRule>
    <cfRule type="expression" dxfId="23000" priority="11517">
      <formula>E9="L"</formula>
    </cfRule>
  </conditionalFormatting>
  <conditionalFormatting sqref="AF9:AF12">
    <cfRule type="expression" dxfId="22999" priority="11509">
      <formula>#REF!="TO"</formula>
    </cfRule>
    <cfRule type="expression" dxfId="22998" priority="11510">
      <formula>#REF!="IO"</formula>
    </cfRule>
    <cfRule type="expression" dxfId="22997" priority="11511">
      <formula>#REF!="L"</formula>
    </cfRule>
  </conditionalFormatting>
  <conditionalFormatting sqref="V13">
    <cfRule type="expression" dxfId="22996" priority="11005">
      <formula>#REF!="TO"</formula>
    </cfRule>
    <cfRule type="expression" dxfId="22995" priority="11006">
      <formula>#REF!="IO"</formula>
    </cfRule>
    <cfRule type="expression" dxfId="22994" priority="11007">
      <formula>#REF!="L"</formula>
    </cfRule>
  </conditionalFormatting>
  <conditionalFormatting sqref="AH13">
    <cfRule type="expression" dxfId="22993" priority="11002">
      <formula>#REF!="TO"</formula>
    </cfRule>
    <cfRule type="expression" dxfId="22992" priority="11003">
      <formula>#REF!="IO"</formula>
    </cfRule>
    <cfRule type="expression" dxfId="22991" priority="11004">
      <formula>#REF!="L"</formula>
    </cfRule>
  </conditionalFormatting>
  <conditionalFormatting sqref="V14">
    <cfRule type="expression" dxfId="22990" priority="10882">
      <formula>#REF!="TO"</formula>
    </cfRule>
    <cfRule type="expression" dxfId="22989" priority="10883">
      <formula>#REF!="IO"</formula>
    </cfRule>
    <cfRule type="expression" dxfId="22988" priority="10884">
      <formula>#REF!="L"</formula>
    </cfRule>
  </conditionalFormatting>
  <conditionalFormatting sqref="D14">
    <cfRule type="expression" dxfId="22987" priority="10987">
      <formula>#REF!="TO"</formula>
    </cfRule>
    <cfRule type="expression" dxfId="22986" priority="10988">
      <formula>#REF!="IO"</formula>
    </cfRule>
    <cfRule type="expression" dxfId="22985" priority="10989">
      <formula>#REF!="L"</formula>
    </cfRule>
  </conditionalFormatting>
  <conditionalFormatting sqref="G14">
    <cfRule type="expression" dxfId="22984" priority="10981">
      <formula>#REF!="TO"</formula>
    </cfRule>
    <cfRule type="expression" dxfId="22983" priority="10982">
      <formula>#REF!="IO"</formula>
    </cfRule>
    <cfRule type="expression" dxfId="22982" priority="10983">
      <formula>#REF!="L"</formula>
    </cfRule>
  </conditionalFormatting>
  <conditionalFormatting sqref="K14">
    <cfRule type="expression" dxfId="22981" priority="10975">
      <formula>#REF!="TO"</formula>
    </cfRule>
    <cfRule type="expression" dxfId="22980" priority="10976">
      <formula>#REF!="IO"</formula>
    </cfRule>
    <cfRule type="expression" dxfId="22979" priority="10977">
      <formula>#REF!="L"</formula>
    </cfRule>
  </conditionalFormatting>
  <conditionalFormatting sqref="E14">
    <cfRule type="expression" dxfId="22978" priority="10972">
      <formula>#REF!="TO"</formula>
    </cfRule>
    <cfRule type="expression" dxfId="22977" priority="10973">
      <formula>#REF!="IO"</formula>
    </cfRule>
    <cfRule type="expression" dxfId="22976" priority="10974">
      <formula>#REF!="L"</formula>
    </cfRule>
  </conditionalFormatting>
  <conditionalFormatting sqref="M14">
    <cfRule type="expression" dxfId="22975" priority="10966">
      <formula>#REF!="TO"</formula>
    </cfRule>
    <cfRule type="expression" dxfId="22974" priority="10967">
      <formula>#REF!="IO"</formula>
    </cfRule>
    <cfRule type="expression" dxfId="22973" priority="10968">
      <formula>#REF!="L"</formula>
    </cfRule>
  </conditionalFormatting>
  <conditionalFormatting sqref="N14:P14">
    <cfRule type="expression" dxfId="22972" priority="10963">
      <formula>#REF!="TO"</formula>
    </cfRule>
    <cfRule type="expression" dxfId="22971" priority="10964">
      <formula>#REF!="IO"</formula>
    </cfRule>
    <cfRule type="expression" dxfId="22970" priority="10965">
      <formula>#REF!="L"</formula>
    </cfRule>
  </conditionalFormatting>
  <conditionalFormatting sqref="W14">
    <cfRule type="expression" dxfId="22969" priority="10951">
      <formula>#REF!="TO"</formula>
    </cfRule>
    <cfRule type="expression" dxfId="22968" priority="10952">
      <formula>#REF!="IO"</formula>
    </cfRule>
    <cfRule type="expression" dxfId="22967" priority="10953">
      <formula>#REF!="L"</formula>
    </cfRule>
    <cfRule type="expression" dxfId="22966" priority="10954">
      <formula>G14="TO"</formula>
    </cfRule>
    <cfRule type="expression" dxfId="22965" priority="10955">
      <formula>G14="IO"</formula>
    </cfRule>
    <cfRule type="expression" dxfId="22964" priority="10956">
      <formula>G14="L"</formula>
    </cfRule>
  </conditionalFormatting>
  <conditionalFormatting sqref="Y14">
    <cfRule type="expression" dxfId="22963" priority="10945">
      <formula>#REF!="TO"</formula>
    </cfRule>
    <cfRule type="expression" dxfId="22962" priority="10946">
      <formula>#REF!="IO"</formula>
    </cfRule>
    <cfRule type="expression" dxfId="22961" priority="10947">
      <formula>#REF!="L"</formula>
    </cfRule>
  </conditionalFormatting>
  <conditionalFormatting sqref="AC14 AG14">
    <cfRule type="expression" dxfId="22960" priority="10939">
      <formula>#REF!="TO"</formula>
    </cfRule>
    <cfRule type="expression" dxfId="22959" priority="10940">
      <formula>#REF!="IO"</formula>
    </cfRule>
    <cfRule type="expression" dxfId="22958" priority="10941">
      <formula>#REF!="L"</formula>
    </cfRule>
  </conditionalFormatting>
  <conditionalFormatting sqref="AJ14">
    <cfRule type="expression" dxfId="22957" priority="10933">
      <formula>#REF!="TO"</formula>
    </cfRule>
    <cfRule type="expression" dxfId="22956" priority="10934">
      <formula>#REF!="IO"</formula>
    </cfRule>
    <cfRule type="expression" dxfId="22955" priority="10935">
      <formula>#REF!="L"</formula>
    </cfRule>
  </conditionalFormatting>
  <conditionalFormatting sqref="AK14">
    <cfRule type="expression" dxfId="22954" priority="10930">
      <formula>#REF!="TO"</formula>
    </cfRule>
    <cfRule type="expression" dxfId="22953" priority="10931">
      <formula>#REF!="IO"</formula>
    </cfRule>
    <cfRule type="expression" dxfId="22952" priority="10932">
      <formula>#REF!="L"</formula>
    </cfRule>
  </conditionalFormatting>
  <conditionalFormatting sqref="AL14">
    <cfRule type="expression" dxfId="22951" priority="10927">
      <formula>#REF!="TO"</formula>
    </cfRule>
    <cfRule type="expression" dxfId="22950" priority="10928">
      <formula>#REF!="IO"</formula>
    </cfRule>
    <cfRule type="expression" dxfId="22949" priority="10929">
      <formula>#REF!="L"</formula>
    </cfRule>
  </conditionalFormatting>
  <conditionalFormatting sqref="Z14">
    <cfRule type="expression" dxfId="22948" priority="10900">
      <formula>#REF!="TO"</formula>
    </cfRule>
    <cfRule type="expression" dxfId="22947" priority="10901">
      <formula>#REF!="IO"</formula>
    </cfRule>
    <cfRule type="expression" dxfId="22946" priority="10902">
      <formula>#REF!="L"</formula>
    </cfRule>
    <cfRule type="expression" dxfId="22945" priority="10903">
      <formula>H14="TO"</formula>
    </cfRule>
    <cfRule type="expression" dxfId="22944" priority="10904">
      <formula>H14="IO"</formula>
    </cfRule>
    <cfRule type="expression" dxfId="22943" priority="10905">
      <formula>H14="L"</formula>
    </cfRule>
  </conditionalFormatting>
  <conditionalFormatting sqref="AT14">
    <cfRule type="expression" dxfId="22942" priority="10894">
      <formula>#REF!="TO"</formula>
    </cfRule>
    <cfRule type="expression" dxfId="22941" priority="10895">
      <formula>#REF!="IO"</formula>
    </cfRule>
    <cfRule type="expression" dxfId="22940" priority="10896">
      <formula>#REF!="L"</formula>
    </cfRule>
  </conditionalFormatting>
  <conditionalFormatting sqref="AE14">
    <cfRule type="expression" dxfId="22939" priority="10888">
      <formula>#REF!="TO"</formula>
    </cfRule>
    <cfRule type="expression" dxfId="22938" priority="10889">
      <formula>#REF!="IO"</formula>
    </cfRule>
    <cfRule type="expression" dxfId="22937" priority="10890">
      <formula>#REF!="L"</formula>
    </cfRule>
    <cfRule type="expression" dxfId="22936" priority="10891">
      <formula>E14="TO"</formula>
    </cfRule>
    <cfRule type="expression" dxfId="22935" priority="10892">
      <formula>E14="IO"</formula>
    </cfRule>
    <cfRule type="expression" dxfId="22934" priority="10893">
      <formula>E14="L"</formula>
    </cfRule>
  </conditionalFormatting>
  <conditionalFormatting sqref="A13">
    <cfRule type="expression" dxfId="22933" priority="11122">
      <formula>#REF!="TO"</formula>
    </cfRule>
    <cfRule type="expression" dxfId="22932" priority="11123">
      <formula>#REF!="IO"</formula>
    </cfRule>
    <cfRule type="expression" dxfId="22931" priority="11124">
      <formula>#REF!="L"</formula>
    </cfRule>
  </conditionalFormatting>
  <conditionalFormatting sqref="AS13">
    <cfRule type="expression" dxfId="22930" priority="11029">
      <formula>#REF!="TO"</formula>
    </cfRule>
    <cfRule type="expression" dxfId="22929" priority="11030">
      <formula>#REF!="IO"</formula>
    </cfRule>
    <cfRule type="expression" dxfId="22928" priority="11031">
      <formula>#REF!="L"</formula>
    </cfRule>
    <cfRule type="expression" dxfId="22927" priority="11032">
      <formula>Y13="TO"</formula>
    </cfRule>
    <cfRule type="expression" dxfId="22926" priority="11033">
      <formula>Y13="IO"</formula>
    </cfRule>
    <cfRule type="expression" dxfId="22925" priority="11034">
      <formula>Y13="L"</formula>
    </cfRule>
  </conditionalFormatting>
  <conditionalFormatting sqref="B13">
    <cfRule type="expression" dxfId="22924" priority="11116">
      <formula>#REF!="TO"</formula>
    </cfRule>
    <cfRule type="expression" dxfId="22923" priority="11117">
      <formula>#REF!="IO"</formula>
    </cfRule>
    <cfRule type="expression" dxfId="22922" priority="11118">
      <formula>#REF!="L"</formula>
    </cfRule>
  </conditionalFormatting>
  <conditionalFormatting sqref="AN13 AP13">
    <cfRule type="expression" dxfId="22921" priority="11041">
      <formula>#REF!="TO"</formula>
    </cfRule>
    <cfRule type="expression" dxfId="22920" priority="11042">
      <formula>#REF!="IO"</formula>
    </cfRule>
    <cfRule type="expression" dxfId="22919" priority="11043">
      <formula>#REF!="L"</formula>
    </cfRule>
  </conditionalFormatting>
  <conditionalFormatting sqref="D13">
    <cfRule type="expression" dxfId="22918" priority="11110">
      <formula>#REF!="TO"</formula>
    </cfRule>
    <cfRule type="expression" dxfId="22917" priority="11111">
      <formula>#REF!="IO"</formula>
    </cfRule>
    <cfRule type="expression" dxfId="22916" priority="11112">
      <formula>#REF!="L"</formula>
    </cfRule>
  </conditionalFormatting>
  <conditionalFormatting sqref="F13">
    <cfRule type="expression" dxfId="22915" priority="11107">
      <formula>#REF!="TO"</formula>
    </cfRule>
    <cfRule type="expression" dxfId="22914" priority="11108">
      <formula>#REF!="IO"</formula>
    </cfRule>
    <cfRule type="expression" dxfId="22913" priority="11109">
      <formula>#REF!="L"</formula>
    </cfRule>
  </conditionalFormatting>
  <conditionalFormatting sqref="G13">
    <cfRule type="expression" dxfId="22912" priority="11104">
      <formula>#REF!="TO"</formula>
    </cfRule>
    <cfRule type="expression" dxfId="22911" priority="11105">
      <formula>#REF!="IO"</formula>
    </cfRule>
    <cfRule type="expression" dxfId="22910" priority="11106">
      <formula>#REF!="L"</formula>
    </cfRule>
  </conditionalFormatting>
  <conditionalFormatting sqref="K13">
    <cfRule type="expression" dxfId="22909" priority="11098">
      <formula>#REF!="TO"</formula>
    </cfRule>
    <cfRule type="expression" dxfId="22908" priority="11099">
      <formula>#REF!="IO"</formula>
    </cfRule>
    <cfRule type="expression" dxfId="22907" priority="11100">
      <formula>#REF!="L"</formula>
    </cfRule>
  </conditionalFormatting>
  <conditionalFormatting sqref="E13">
    <cfRule type="expression" dxfId="22906" priority="11095">
      <formula>#REF!="TO"</formula>
    </cfRule>
    <cfRule type="expression" dxfId="22905" priority="11096">
      <formula>#REF!="IO"</formula>
    </cfRule>
    <cfRule type="expression" dxfId="22904" priority="11097">
      <formula>#REF!="L"</formula>
    </cfRule>
  </conditionalFormatting>
  <conditionalFormatting sqref="M13">
    <cfRule type="expression" dxfId="22903" priority="11089">
      <formula>#REF!="TO"</formula>
    </cfRule>
    <cfRule type="expression" dxfId="22902" priority="11090">
      <formula>#REF!="IO"</formula>
    </cfRule>
    <cfRule type="expression" dxfId="22901" priority="11091">
      <formula>#REF!="L"</formula>
    </cfRule>
  </conditionalFormatting>
  <conditionalFormatting sqref="N13:P13">
    <cfRule type="expression" dxfId="22900" priority="11086">
      <formula>#REF!="TO"</formula>
    </cfRule>
    <cfRule type="expression" dxfId="22899" priority="11087">
      <formula>#REF!="IO"</formula>
    </cfRule>
    <cfRule type="expression" dxfId="22898" priority="11088">
      <formula>#REF!="L"</formula>
    </cfRule>
  </conditionalFormatting>
  <conditionalFormatting sqref="W13">
    <cfRule type="expression" dxfId="22897" priority="11074">
      <formula>#REF!="TO"</formula>
    </cfRule>
    <cfRule type="expression" dxfId="22896" priority="11075">
      <formula>#REF!="IO"</formula>
    </cfRule>
    <cfRule type="expression" dxfId="22895" priority="11076">
      <formula>#REF!="L"</formula>
    </cfRule>
    <cfRule type="expression" dxfId="22894" priority="11077">
      <formula>G13="TO"</formula>
    </cfRule>
    <cfRule type="expression" dxfId="22893" priority="11078">
      <formula>G13="IO"</formula>
    </cfRule>
    <cfRule type="expression" dxfId="22892" priority="11079">
      <formula>G13="L"</formula>
    </cfRule>
  </conditionalFormatting>
  <conditionalFormatting sqref="X13">
    <cfRule type="expression" dxfId="22891" priority="11071">
      <formula>#REF!="TO"</formula>
    </cfRule>
    <cfRule type="expression" dxfId="22890" priority="11072">
      <formula>#REF!="IO"</formula>
    </cfRule>
    <cfRule type="expression" dxfId="22889" priority="11073">
      <formula>#REF!="L"</formula>
    </cfRule>
  </conditionalFormatting>
  <conditionalFormatting sqref="Y13">
    <cfRule type="expression" dxfId="22888" priority="11068">
      <formula>#REF!="TO"</formula>
    </cfRule>
    <cfRule type="expression" dxfId="22887" priority="11069">
      <formula>#REF!="IO"</formula>
    </cfRule>
    <cfRule type="expression" dxfId="22886" priority="11070">
      <formula>#REF!="L"</formula>
    </cfRule>
  </conditionalFormatting>
  <conditionalFormatting sqref="AC13 AG13">
    <cfRule type="expression" dxfId="22885" priority="11062">
      <formula>#REF!="TO"</formula>
    </cfRule>
    <cfRule type="expression" dxfId="22884" priority="11063">
      <formula>#REF!="IO"</formula>
    </cfRule>
    <cfRule type="expression" dxfId="22883" priority="11064">
      <formula>#REF!="L"</formula>
    </cfRule>
  </conditionalFormatting>
  <conditionalFormatting sqref="AI13">
    <cfRule type="expression" dxfId="22882" priority="11065">
      <formula>N13="TO"</formula>
    </cfRule>
    <cfRule type="expression" dxfId="22881" priority="11066">
      <formula>N13="IO"</formula>
    </cfRule>
    <cfRule type="expression" dxfId="22880" priority="11067">
      <formula>N13="L"</formula>
    </cfRule>
    <cfRule type="expression" dxfId="22879" priority="11059">
      <formula>#REF!="TO"</formula>
    </cfRule>
    <cfRule type="expression" dxfId="22878" priority="11060">
      <formula>#REF!="IO"</formula>
    </cfRule>
    <cfRule type="expression" dxfId="22877" priority="11061">
      <formula>#REF!="L"</formula>
    </cfRule>
  </conditionalFormatting>
  <conditionalFormatting sqref="AJ13">
    <cfRule type="expression" dxfId="22876" priority="11056">
      <formula>#REF!="TO"</formula>
    </cfRule>
    <cfRule type="expression" dxfId="22875" priority="11057">
      <formula>#REF!="IO"</formula>
    </cfRule>
    <cfRule type="expression" dxfId="22874" priority="11058">
      <formula>#REF!="L"</formula>
    </cfRule>
  </conditionalFormatting>
  <conditionalFormatting sqref="AK13">
    <cfRule type="expression" dxfId="22873" priority="11053">
      <formula>#REF!="TO"</formula>
    </cfRule>
    <cfRule type="expression" dxfId="22872" priority="11054">
      <formula>#REF!="IO"</formula>
    </cfRule>
    <cfRule type="expression" dxfId="22871" priority="11055">
      <formula>#REF!="L"</formula>
    </cfRule>
  </conditionalFormatting>
  <conditionalFormatting sqref="AL13">
    <cfRule type="expression" dxfId="22870" priority="11050">
      <formula>#REF!="TO"</formula>
    </cfRule>
    <cfRule type="expression" dxfId="22869" priority="11051">
      <formula>#REF!="IO"</formula>
    </cfRule>
    <cfRule type="expression" dxfId="22868" priority="11052">
      <formula>#REF!="L"</formula>
    </cfRule>
  </conditionalFormatting>
  <conditionalFormatting sqref="AM13">
    <cfRule type="expression" dxfId="22867" priority="11047">
      <formula>#REF!="TO"</formula>
    </cfRule>
    <cfRule type="expression" dxfId="22866" priority="11048">
      <formula>#REF!="IO"</formula>
    </cfRule>
    <cfRule type="expression" dxfId="22865" priority="11049">
      <formula>#REF!="L"</formula>
    </cfRule>
  </conditionalFormatting>
  <conditionalFormatting sqref="AQ13">
    <cfRule type="expression" dxfId="22864" priority="11038">
      <formula>#REF!="TO"</formula>
    </cfRule>
    <cfRule type="expression" dxfId="22863" priority="11039">
      <formula>#REF!="IO"</formula>
    </cfRule>
    <cfRule type="expression" dxfId="22862" priority="11040">
      <formula>#REF!="L"</formula>
    </cfRule>
  </conditionalFormatting>
  <conditionalFormatting sqref="AR13">
    <cfRule type="expression" dxfId="22861" priority="11035">
      <formula>#REF!="TO"</formula>
    </cfRule>
    <cfRule type="expression" dxfId="22860" priority="11036">
      <formula>#REF!="IO"</formula>
    </cfRule>
    <cfRule type="expression" dxfId="22859" priority="11037">
      <formula>#REF!="L"</formula>
    </cfRule>
  </conditionalFormatting>
  <conditionalFormatting sqref="Z13">
    <cfRule type="expression" dxfId="22858" priority="11023">
      <formula>#REF!="TO"</formula>
    </cfRule>
    <cfRule type="expression" dxfId="22857" priority="11024">
      <formula>#REF!="IO"</formula>
    </cfRule>
    <cfRule type="expression" dxfId="22856" priority="11025">
      <formula>#REF!="L"</formula>
    </cfRule>
    <cfRule type="expression" dxfId="22855" priority="11026">
      <formula>H13="TO"</formula>
    </cfRule>
    <cfRule type="expression" dxfId="22854" priority="11027">
      <formula>H13="IO"</formula>
    </cfRule>
    <cfRule type="expression" dxfId="22853" priority="11028">
      <formula>H13="L"</formula>
    </cfRule>
  </conditionalFormatting>
  <conditionalFormatting sqref="AT13">
    <cfRule type="expression" dxfId="22852" priority="11017">
      <formula>#REF!="TO"</formula>
    </cfRule>
    <cfRule type="expression" dxfId="22851" priority="11018">
      <formula>#REF!="IO"</formula>
    </cfRule>
    <cfRule type="expression" dxfId="22850" priority="11019">
      <formula>#REF!="L"</formula>
    </cfRule>
  </conditionalFormatting>
  <conditionalFormatting sqref="AE13">
    <cfRule type="expression" dxfId="22849" priority="11011">
      <formula>#REF!="TO"</formula>
    </cfRule>
    <cfRule type="expression" dxfId="22848" priority="11012">
      <formula>#REF!="IO"</formula>
    </cfRule>
    <cfRule type="expression" dxfId="22847" priority="11013">
      <formula>#REF!="L"</formula>
    </cfRule>
    <cfRule type="expression" dxfId="22846" priority="11014">
      <formula>E13="TO"</formula>
    </cfRule>
    <cfRule type="expression" dxfId="22845" priority="11015">
      <formula>E13="IO"</formula>
    </cfRule>
    <cfRule type="expression" dxfId="22844" priority="11016">
      <formula>E13="L"</formula>
    </cfRule>
  </conditionalFormatting>
  <conditionalFormatting sqref="AF13">
    <cfRule type="expression" dxfId="22843" priority="11008">
      <formula>#REF!="TO"</formula>
    </cfRule>
    <cfRule type="expression" dxfId="22842" priority="11009">
      <formula>#REF!="IO"</formula>
    </cfRule>
    <cfRule type="expression" dxfId="22841" priority="11010">
      <formula>#REF!="L"</formula>
    </cfRule>
  </conditionalFormatting>
  <conditionalFormatting sqref="A14">
    <cfRule type="expression" dxfId="22840" priority="10999">
      <formula>#REF!="TO"</formula>
    </cfRule>
    <cfRule type="expression" dxfId="22839" priority="11000">
      <formula>#REF!="IO"</formula>
    </cfRule>
    <cfRule type="expression" dxfId="22838" priority="11001">
      <formula>#REF!="L"</formula>
    </cfRule>
  </conditionalFormatting>
  <conditionalFormatting sqref="AS14">
    <cfRule type="expression" dxfId="22837" priority="10906">
      <formula>#REF!="TO"</formula>
    </cfRule>
    <cfRule type="expression" dxfId="22836" priority="10907">
      <formula>#REF!="IO"</formula>
    </cfRule>
    <cfRule type="expression" dxfId="22835" priority="10908">
      <formula>#REF!="L"</formula>
    </cfRule>
    <cfRule type="expression" dxfId="22834" priority="10909">
      <formula>Y14="TO"</formula>
    </cfRule>
    <cfRule type="expression" dxfId="22833" priority="10910">
      <formula>Y14="IO"</formula>
    </cfRule>
    <cfRule type="expression" dxfId="22832" priority="10911">
      <formula>Y14="L"</formula>
    </cfRule>
  </conditionalFormatting>
  <conditionalFormatting sqref="B14">
    <cfRule type="expression" dxfId="22831" priority="10993">
      <formula>#REF!="TO"</formula>
    </cfRule>
    <cfRule type="expression" dxfId="22830" priority="10994">
      <formula>#REF!="IO"</formula>
    </cfRule>
    <cfRule type="expression" dxfId="22829" priority="10995">
      <formula>#REF!="L"</formula>
    </cfRule>
  </conditionalFormatting>
  <conditionalFormatting sqref="AN14 AP14">
    <cfRule type="expression" dxfId="22828" priority="10918">
      <formula>#REF!="TO"</formula>
    </cfRule>
    <cfRule type="expression" dxfId="22827" priority="10919">
      <formula>#REF!="IO"</formula>
    </cfRule>
    <cfRule type="expression" dxfId="22826" priority="10920">
      <formula>#REF!="L"</formula>
    </cfRule>
  </conditionalFormatting>
  <conditionalFormatting sqref="F14">
    <cfRule type="expression" dxfId="22825" priority="10984">
      <formula>#REF!="TO"</formula>
    </cfRule>
    <cfRule type="expression" dxfId="22824" priority="10985">
      <formula>#REF!="IO"</formula>
    </cfRule>
    <cfRule type="expression" dxfId="22823" priority="10986">
      <formula>#REF!="L"</formula>
    </cfRule>
  </conditionalFormatting>
  <conditionalFormatting sqref="X14">
    <cfRule type="expression" dxfId="22822" priority="10948">
      <formula>#REF!="TO"</formula>
    </cfRule>
    <cfRule type="expression" dxfId="22821" priority="10949">
      <formula>#REF!="IO"</formula>
    </cfRule>
    <cfRule type="expression" dxfId="22820" priority="10950">
      <formula>#REF!="L"</formula>
    </cfRule>
  </conditionalFormatting>
  <conditionalFormatting sqref="AI14">
    <cfRule type="expression" dxfId="22819" priority="10942">
      <formula>N14="TO"</formula>
    </cfRule>
    <cfRule type="expression" dxfId="22818" priority="10943">
      <formula>N14="IO"</formula>
    </cfRule>
    <cfRule type="expression" dxfId="22817" priority="10944">
      <formula>N14="L"</formula>
    </cfRule>
    <cfRule type="expression" dxfId="22816" priority="10936">
      <formula>#REF!="TO"</formula>
    </cfRule>
    <cfRule type="expression" dxfId="22815" priority="10937">
      <formula>#REF!="IO"</formula>
    </cfRule>
    <cfRule type="expression" dxfId="22814" priority="10938">
      <formula>#REF!="L"</formula>
    </cfRule>
  </conditionalFormatting>
  <conditionalFormatting sqref="AM14">
    <cfRule type="expression" dxfId="22813" priority="10924">
      <formula>#REF!="TO"</formula>
    </cfRule>
    <cfRule type="expression" dxfId="22812" priority="10925">
      <formula>#REF!="IO"</formula>
    </cfRule>
    <cfRule type="expression" dxfId="22811" priority="10926">
      <formula>#REF!="L"</formula>
    </cfRule>
  </conditionalFormatting>
  <conditionalFormatting sqref="AQ14">
    <cfRule type="expression" dxfId="22810" priority="10915">
      <formula>#REF!="TO"</formula>
    </cfRule>
    <cfRule type="expression" dxfId="22809" priority="10916">
      <formula>#REF!="IO"</formula>
    </cfRule>
    <cfRule type="expression" dxfId="22808" priority="10917">
      <formula>#REF!="L"</formula>
    </cfRule>
  </conditionalFormatting>
  <conditionalFormatting sqref="AR14">
    <cfRule type="expression" dxfId="22807" priority="10912">
      <formula>#REF!="TO"</formula>
    </cfRule>
    <cfRule type="expression" dxfId="22806" priority="10913">
      <formula>#REF!="IO"</formula>
    </cfRule>
    <cfRule type="expression" dxfId="22805" priority="10914">
      <formula>#REF!="L"</formula>
    </cfRule>
  </conditionalFormatting>
  <conditionalFormatting sqref="AF14">
    <cfRule type="expression" dxfId="22804" priority="10885">
      <formula>#REF!="TO"</formula>
    </cfRule>
    <cfRule type="expression" dxfId="22803" priority="10886">
      <formula>#REF!="IO"</formula>
    </cfRule>
    <cfRule type="expression" dxfId="22802" priority="10887">
      <formula>#REF!="L"</formula>
    </cfRule>
  </conditionalFormatting>
  <conditionalFormatting sqref="AH14">
    <cfRule type="expression" dxfId="22801" priority="10879">
      <formula>#REF!="TO"</formula>
    </cfRule>
    <cfRule type="expression" dxfId="22800" priority="10880">
      <formula>#REF!="IO"</formula>
    </cfRule>
    <cfRule type="expression" dxfId="22799" priority="10881">
      <formula>#REF!="L"</formula>
    </cfRule>
  </conditionalFormatting>
  <conditionalFormatting sqref="A15">
    <cfRule type="expression" dxfId="22798" priority="10876">
      <formula>#REF!="TO"</formula>
    </cfRule>
    <cfRule type="expression" dxfId="22797" priority="10877">
      <formula>#REF!="IO"</formula>
    </cfRule>
    <cfRule type="expression" dxfId="22796" priority="10878">
      <formula>#REF!="L"</formula>
    </cfRule>
  </conditionalFormatting>
  <conditionalFormatting sqref="AS15">
    <cfRule type="expression" dxfId="22795" priority="10783">
      <formula>#REF!="TO"</formula>
    </cfRule>
    <cfRule type="expression" dxfId="22794" priority="10784">
      <formula>#REF!="IO"</formula>
    </cfRule>
    <cfRule type="expression" dxfId="22793" priority="10785">
      <formula>#REF!="L"</formula>
    </cfRule>
    <cfRule type="expression" dxfId="22792" priority="10786">
      <formula>Y15="TO"</formula>
    </cfRule>
    <cfRule type="expression" dxfId="22791" priority="10787">
      <formula>Y15="IO"</formula>
    </cfRule>
    <cfRule type="expression" dxfId="22790" priority="10788">
      <formula>Y15="L"</formula>
    </cfRule>
  </conditionalFormatting>
  <conditionalFormatting sqref="B15">
    <cfRule type="expression" dxfId="22789" priority="10870">
      <formula>#REF!="TO"</formula>
    </cfRule>
    <cfRule type="expression" dxfId="22788" priority="10871">
      <formula>#REF!="IO"</formula>
    </cfRule>
    <cfRule type="expression" dxfId="22787" priority="10872">
      <formula>#REF!="L"</formula>
    </cfRule>
  </conditionalFormatting>
  <conditionalFormatting sqref="AN15 AP15">
    <cfRule type="expression" dxfId="22786" priority="10795">
      <formula>#REF!="TO"</formula>
    </cfRule>
    <cfRule type="expression" dxfId="22785" priority="10796">
      <formula>#REF!="IO"</formula>
    </cfRule>
    <cfRule type="expression" dxfId="22784" priority="10797">
      <formula>#REF!="L"</formula>
    </cfRule>
  </conditionalFormatting>
  <conditionalFormatting sqref="D15">
    <cfRule type="expression" dxfId="22783" priority="10864">
      <formula>#REF!="TO"</formula>
    </cfRule>
    <cfRule type="expression" dxfId="22782" priority="10865">
      <formula>#REF!="IO"</formula>
    </cfRule>
    <cfRule type="expression" dxfId="22781" priority="10866">
      <formula>#REF!="L"</formula>
    </cfRule>
  </conditionalFormatting>
  <conditionalFormatting sqref="F15">
    <cfRule type="expression" dxfId="22780" priority="10861">
      <formula>#REF!="TO"</formula>
    </cfRule>
    <cfRule type="expression" dxfId="22779" priority="10862">
      <formula>#REF!="IO"</formula>
    </cfRule>
    <cfRule type="expression" dxfId="22778" priority="10863">
      <formula>#REF!="L"</formula>
    </cfRule>
  </conditionalFormatting>
  <conditionalFormatting sqref="G15">
    <cfRule type="expression" dxfId="22777" priority="10858">
      <formula>#REF!="TO"</formula>
    </cfRule>
    <cfRule type="expression" dxfId="22776" priority="10859">
      <formula>#REF!="IO"</formula>
    </cfRule>
    <cfRule type="expression" dxfId="22775" priority="10860">
      <formula>#REF!="L"</formula>
    </cfRule>
  </conditionalFormatting>
  <conditionalFormatting sqref="K15">
    <cfRule type="expression" dxfId="22774" priority="10852">
      <formula>#REF!="TO"</formula>
    </cfRule>
    <cfRule type="expression" dxfId="22773" priority="10853">
      <formula>#REF!="IO"</formula>
    </cfRule>
    <cfRule type="expression" dxfId="22772" priority="10854">
      <formula>#REF!="L"</formula>
    </cfRule>
  </conditionalFormatting>
  <conditionalFormatting sqref="E15">
    <cfRule type="expression" dxfId="22771" priority="10849">
      <formula>#REF!="TO"</formula>
    </cfRule>
    <cfRule type="expression" dxfId="22770" priority="10850">
      <formula>#REF!="IO"</formula>
    </cfRule>
    <cfRule type="expression" dxfId="22769" priority="10851">
      <formula>#REF!="L"</formula>
    </cfRule>
  </conditionalFormatting>
  <conditionalFormatting sqref="M15">
    <cfRule type="expression" dxfId="22768" priority="10843">
      <formula>#REF!="TO"</formula>
    </cfRule>
    <cfRule type="expression" dxfId="22767" priority="10844">
      <formula>#REF!="IO"</formula>
    </cfRule>
    <cfRule type="expression" dxfId="22766" priority="10845">
      <formula>#REF!="L"</formula>
    </cfRule>
  </conditionalFormatting>
  <conditionalFormatting sqref="N15:P15">
    <cfRule type="expression" dxfId="22765" priority="10840">
      <formula>#REF!="TO"</formula>
    </cfRule>
    <cfRule type="expression" dxfId="22764" priority="10841">
      <formula>#REF!="IO"</formula>
    </cfRule>
    <cfRule type="expression" dxfId="22763" priority="10842">
      <formula>#REF!="L"</formula>
    </cfRule>
  </conditionalFormatting>
  <conditionalFormatting sqref="W15">
    <cfRule type="expression" dxfId="22762" priority="10828">
      <formula>#REF!="TO"</formula>
    </cfRule>
    <cfRule type="expression" dxfId="22761" priority="10829">
      <formula>#REF!="IO"</formula>
    </cfRule>
    <cfRule type="expression" dxfId="22760" priority="10830">
      <formula>#REF!="L"</formula>
    </cfRule>
    <cfRule type="expression" dxfId="22759" priority="10831">
      <formula>G15="TO"</formula>
    </cfRule>
    <cfRule type="expression" dxfId="22758" priority="10832">
      <formula>G15="IO"</formula>
    </cfRule>
    <cfRule type="expression" dxfId="22757" priority="10833">
      <formula>G15="L"</formula>
    </cfRule>
  </conditionalFormatting>
  <conditionalFormatting sqref="X15">
    <cfRule type="expression" dxfId="22756" priority="10825">
      <formula>#REF!="TO"</formula>
    </cfRule>
    <cfRule type="expression" dxfId="22755" priority="10826">
      <formula>#REF!="IO"</formula>
    </cfRule>
    <cfRule type="expression" dxfId="22754" priority="10827">
      <formula>#REF!="L"</formula>
    </cfRule>
  </conditionalFormatting>
  <conditionalFormatting sqref="Y15">
    <cfRule type="expression" dxfId="22753" priority="10822">
      <formula>#REF!="TO"</formula>
    </cfRule>
    <cfRule type="expression" dxfId="22752" priority="10823">
      <formula>#REF!="IO"</formula>
    </cfRule>
    <cfRule type="expression" dxfId="22751" priority="10824">
      <formula>#REF!="L"</formula>
    </cfRule>
  </conditionalFormatting>
  <conditionalFormatting sqref="AC15 AG15">
    <cfRule type="expression" dxfId="22750" priority="10816">
      <formula>#REF!="TO"</formula>
    </cfRule>
    <cfRule type="expression" dxfId="22749" priority="10817">
      <formula>#REF!="IO"</formula>
    </cfRule>
    <cfRule type="expression" dxfId="22748" priority="10818">
      <formula>#REF!="L"</formula>
    </cfRule>
  </conditionalFormatting>
  <conditionalFormatting sqref="AI15">
    <cfRule type="expression" dxfId="22747" priority="10819">
      <formula>N15="TO"</formula>
    </cfRule>
    <cfRule type="expression" dxfId="22746" priority="10820">
      <formula>N15="IO"</formula>
    </cfRule>
    <cfRule type="expression" dxfId="22745" priority="10821">
      <formula>N15="L"</formula>
    </cfRule>
    <cfRule type="expression" dxfId="22744" priority="10813">
      <formula>#REF!="TO"</formula>
    </cfRule>
    <cfRule type="expression" dxfId="22743" priority="10814">
      <formula>#REF!="IO"</formula>
    </cfRule>
    <cfRule type="expression" dxfId="22742" priority="10815">
      <formula>#REF!="L"</formula>
    </cfRule>
  </conditionalFormatting>
  <conditionalFormatting sqref="AJ15">
    <cfRule type="expression" dxfId="22741" priority="10810">
      <formula>#REF!="TO"</formula>
    </cfRule>
    <cfRule type="expression" dxfId="22740" priority="10811">
      <formula>#REF!="IO"</formula>
    </cfRule>
    <cfRule type="expression" dxfId="22739" priority="10812">
      <formula>#REF!="L"</formula>
    </cfRule>
  </conditionalFormatting>
  <conditionalFormatting sqref="AK15">
    <cfRule type="expression" dxfId="22738" priority="10807">
      <formula>#REF!="TO"</formula>
    </cfRule>
    <cfRule type="expression" dxfId="22737" priority="10808">
      <formula>#REF!="IO"</formula>
    </cfRule>
    <cfRule type="expression" dxfId="22736" priority="10809">
      <formula>#REF!="L"</formula>
    </cfRule>
  </conditionalFormatting>
  <conditionalFormatting sqref="AL15">
    <cfRule type="expression" dxfId="22735" priority="10804">
      <formula>#REF!="TO"</formula>
    </cfRule>
    <cfRule type="expression" dxfId="22734" priority="10805">
      <formula>#REF!="IO"</formula>
    </cfRule>
    <cfRule type="expression" dxfId="22733" priority="10806">
      <formula>#REF!="L"</formula>
    </cfRule>
  </conditionalFormatting>
  <conditionalFormatting sqref="AM15">
    <cfRule type="expression" dxfId="22732" priority="10801">
      <formula>#REF!="TO"</formula>
    </cfRule>
    <cfRule type="expression" dxfId="22731" priority="10802">
      <formula>#REF!="IO"</formula>
    </cfRule>
    <cfRule type="expression" dxfId="22730" priority="10803">
      <formula>#REF!="L"</formula>
    </cfRule>
  </conditionalFormatting>
  <conditionalFormatting sqref="AQ15">
    <cfRule type="expression" dxfId="22729" priority="10792">
      <formula>#REF!="TO"</formula>
    </cfRule>
    <cfRule type="expression" dxfId="22728" priority="10793">
      <formula>#REF!="IO"</formula>
    </cfRule>
    <cfRule type="expression" dxfId="22727" priority="10794">
      <formula>#REF!="L"</formula>
    </cfRule>
  </conditionalFormatting>
  <conditionalFormatting sqref="AR15">
    <cfRule type="expression" dxfId="22726" priority="10789">
      <formula>#REF!="TO"</formula>
    </cfRule>
    <cfRule type="expression" dxfId="22725" priority="10790">
      <formula>#REF!="IO"</formula>
    </cfRule>
    <cfRule type="expression" dxfId="22724" priority="10791">
      <formula>#REF!="L"</formula>
    </cfRule>
  </conditionalFormatting>
  <conditionalFormatting sqref="Z15">
    <cfRule type="expression" dxfId="22723" priority="10777">
      <formula>#REF!="TO"</formula>
    </cfRule>
    <cfRule type="expression" dxfId="22722" priority="10778">
      <formula>#REF!="IO"</formula>
    </cfRule>
    <cfRule type="expression" dxfId="22721" priority="10779">
      <formula>#REF!="L"</formula>
    </cfRule>
    <cfRule type="expression" dxfId="22720" priority="10780">
      <formula>H15="TO"</formula>
    </cfRule>
    <cfRule type="expression" dxfId="22719" priority="10781">
      <formula>H15="IO"</formula>
    </cfRule>
    <cfRule type="expression" dxfId="22718" priority="10782">
      <formula>H15="L"</formula>
    </cfRule>
  </conditionalFormatting>
  <conditionalFormatting sqref="AT15">
    <cfRule type="expression" dxfId="22717" priority="10771">
      <formula>#REF!="TO"</formula>
    </cfRule>
    <cfRule type="expression" dxfId="22716" priority="10772">
      <formula>#REF!="IO"</formula>
    </cfRule>
    <cfRule type="expression" dxfId="22715" priority="10773">
      <formula>#REF!="L"</formula>
    </cfRule>
  </conditionalFormatting>
  <conditionalFormatting sqref="V15">
    <cfRule type="expression" dxfId="22714" priority="10759">
      <formula>#REF!="TO"</formula>
    </cfRule>
    <cfRule type="expression" dxfId="22713" priority="10760">
      <formula>#REF!="IO"</formula>
    </cfRule>
    <cfRule type="expression" dxfId="22712" priority="10761">
      <formula>#REF!="L"</formula>
    </cfRule>
  </conditionalFormatting>
  <conditionalFormatting sqref="AE15">
    <cfRule type="expression" dxfId="22711" priority="10765">
      <formula>#REF!="TO"</formula>
    </cfRule>
    <cfRule type="expression" dxfId="22710" priority="10766">
      <formula>#REF!="IO"</formula>
    </cfRule>
    <cfRule type="expression" dxfId="22709" priority="10767">
      <formula>#REF!="L"</formula>
    </cfRule>
    <cfRule type="expression" dxfId="22708" priority="10768">
      <formula>E15="TO"</formula>
    </cfRule>
    <cfRule type="expression" dxfId="22707" priority="10769">
      <formula>E15="IO"</formula>
    </cfRule>
    <cfRule type="expression" dxfId="22706" priority="10770">
      <formula>E15="L"</formula>
    </cfRule>
  </conditionalFormatting>
  <conditionalFormatting sqref="AF15">
    <cfRule type="expression" dxfId="22705" priority="10762">
      <formula>#REF!="TO"</formula>
    </cfRule>
    <cfRule type="expression" dxfId="22704" priority="10763">
      <formula>#REF!="IO"</formula>
    </cfRule>
    <cfRule type="expression" dxfId="22703" priority="10764">
      <formula>#REF!="L"</formula>
    </cfRule>
  </conditionalFormatting>
  <conditionalFormatting sqref="AH15">
    <cfRule type="expression" dxfId="22702" priority="10756">
      <formula>#REF!="TO"</formula>
    </cfRule>
    <cfRule type="expression" dxfId="22701" priority="10757">
      <formula>#REF!="IO"</formula>
    </cfRule>
    <cfRule type="expression" dxfId="22700" priority="10758">
      <formula>#REF!="L"</formula>
    </cfRule>
  </conditionalFormatting>
  <conditionalFormatting sqref="A16">
    <cfRule type="expression" dxfId="22699" priority="10753">
      <formula>#REF!="TO"</formula>
    </cfRule>
    <cfRule type="expression" dxfId="22698" priority="10754">
      <formula>#REF!="IO"</formula>
    </cfRule>
    <cfRule type="expression" dxfId="22697" priority="10755">
      <formula>#REF!="L"</formula>
    </cfRule>
  </conditionalFormatting>
  <conditionalFormatting sqref="AS16">
    <cfRule type="expression" dxfId="22696" priority="10660">
      <formula>#REF!="TO"</formula>
    </cfRule>
    <cfRule type="expression" dxfId="22695" priority="10661">
      <formula>#REF!="IO"</formula>
    </cfRule>
    <cfRule type="expression" dxfId="22694" priority="10662">
      <formula>#REF!="L"</formula>
    </cfRule>
    <cfRule type="expression" dxfId="22693" priority="10663">
      <formula>Y16="TO"</formula>
    </cfRule>
    <cfRule type="expression" dxfId="22692" priority="10664">
      <formula>Y16="IO"</formula>
    </cfRule>
    <cfRule type="expression" dxfId="22691" priority="10665">
      <formula>Y16="L"</formula>
    </cfRule>
  </conditionalFormatting>
  <conditionalFormatting sqref="B16">
    <cfRule type="expression" dxfId="22690" priority="10747">
      <formula>#REF!="TO"</formula>
    </cfRule>
    <cfRule type="expression" dxfId="22689" priority="10748">
      <formula>#REF!="IO"</formula>
    </cfRule>
    <cfRule type="expression" dxfId="22688" priority="10749">
      <formula>#REF!="L"</formula>
    </cfRule>
  </conditionalFormatting>
  <conditionalFormatting sqref="AN16 AP16">
    <cfRule type="expression" dxfId="22687" priority="10672">
      <formula>#REF!="TO"</formula>
    </cfRule>
    <cfRule type="expression" dxfId="22686" priority="10673">
      <formula>#REF!="IO"</formula>
    </cfRule>
    <cfRule type="expression" dxfId="22685" priority="10674">
      <formula>#REF!="L"</formula>
    </cfRule>
  </conditionalFormatting>
  <conditionalFormatting sqref="D16">
    <cfRule type="expression" dxfId="22684" priority="10741">
      <formula>#REF!="TO"</formula>
    </cfRule>
    <cfRule type="expression" dxfId="22683" priority="10742">
      <formula>#REF!="IO"</formula>
    </cfRule>
    <cfRule type="expression" dxfId="22682" priority="10743">
      <formula>#REF!="L"</formula>
    </cfRule>
  </conditionalFormatting>
  <conditionalFormatting sqref="F16">
    <cfRule type="expression" dxfId="22681" priority="10738">
      <formula>#REF!="TO"</formula>
    </cfRule>
    <cfRule type="expression" dxfId="22680" priority="10739">
      <formula>#REF!="IO"</formula>
    </cfRule>
    <cfRule type="expression" dxfId="22679" priority="10740">
      <formula>#REF!="L"</formula>
    </cfRule>
  </conditionalFormatting>
  <conditionalFormatting sqref="G16">
    <cfRule type="expression" dxfId="22678" priority="10735">
      <formula>#REF!="TO"</formula>
    </cfRule>
    <cfRule type="expression" dxfId="22677" priority="10736">
      <formula>#REF!="IO"</formula>
    </cfRule>
    <cfRule type="expression" dxfId="22676" priority="10737">
      <formula>#REF!="L"</formula>
    </cfRule>
  </conditionalFormatting>
  <conditionalFormatting sqref="K16">
    <cfRule type="expression" dxfId="22675" priority="10729">
      <formula>#REF!="TO"</formula>
    </cfRule>
    <cfRule type="expression" dxfId="22674" priority="10730">
      <formula>#REF!="IO"</formula>
    </cfRule>
    <cfRule type="expression" dxfId="22673" priority="10731">
      <formula>#REF!="L"</formula>
    </cfRule>
  </conditionalFormatting>
  <conditionalFormatting sqref="E16">
    <cfRule type="expression" dxfId="22672" priority="10726">
      <formula>#REF!="TO"</formula>
    </cfRule>
    <cfRule type="expression" dxfId="22671" priority="10727">
      <formula>#REF!="IO"</formula>
    </cfRule>
    <cfRule type="expression" dxfId="22670" priority="10728">
      <formula>#REF!="L"</formula>
    </cfRule>
  </conditionalFormatting>
  <conditionalFormatting sqref="M16">
    <cfRule type="expression" dxfId="22669" priority="10720">
      <formula>#REF!="TO"</formula>
    </cfRule>
    <cfRule type="expression" dxfId="22668" priority="10721">
      <formula>#REF!="IO"</formula>
    </cfRule>
    <cfRule type="expression" dxfId="22667" priority="10722">
      <formula>#REF!="L"</formula>
    </cfRule>
  </conditionalFormatting>
  <conditionalFormatting sqref="N16:P16">
    <cfRule type="expression" dxfId="22666" priority="10717">
      <formula>#REF!="TO"</formula>
    </cfRule>
    <cfRule type="expression" dxfId="22665" priority="10718">
      <formula>#REF!="IO"</formula>
    </cfRule>
    <cfRule type="expression" dxfId="22664" priority="10719">
      <formula>#REF!="L"</formula>
    </cfRule>
  </conditionalFormatting>
  <conditionalFormatting sqref="Q16">
    <cfRule type="expression" dxfId="22663" priority="10714">
      <formula>#REF!="TO"</formula>
    </cfRule>
    <cfRule type="expression" dxfId="22662" priority="10715">
      <formula>#REF!="IO"</formula>
    </cfRule>
    <cfRule type="expression" dxfId="22661" priority="10716">
      <formula>#REF!="L"</formula>
    </cfRule>
  </conditionalFormatting>
  <conditionalFormatting sqref="W16">
    <cfRule type="expression" dxfId="22660" priority="10705">
      <formula>#REF!="TO"</formula>
    </cfRule>
    <cfRule type="expression" dxfId="22659" priority="10706">
      <formula>#REF!="IO"</formula>
    </cfRule>
    <cfRule type="expression" dxfId="22658" priority="10707">
      <formula>#REF!="L"</formula>
    </cfRule>
    <cfRule type="expression" dxfId="22657" priority="10708">
      <formula>G16="TO"</formula>
    </cfRule>
    <cfRule type="expression" dxfId="22656" priority="10709">
      <formula>G16="IO"</formula>
    </cfRule>
    <cfRule type="expression" dxfId="22655" priority="10710">
      <formula>G16="L"</formula>
    </cfRule>
  </conditionalFormatting>
  <conditionalFormatting sqref="X16">
    <cfRule type="expression" dxfId="22654" priority="10702">
      <formula>#REF!="TO"</formula>
    </cfRule>
    <cfRule type="expression" dxfId="22653" priority="10703">
      <formula>#REF!="IO"</formula>
    </cfRule>
    <cfRule type="expression" dxfId="22652" priority="10704">
      <formula>#REF!="L"</formula>
    </cfRule>
  </conditionalFormatting>
  <conditionalFormatting sqref="Y16">
    <cfRule type="expression" dxfId="22651" priority="10699">
      <formula>#REF!="TO"</formula>
    </cfRule>
    <cfRule type="expression" dxfId="22650" priority="10700">
      <formula>#REF!="IO"</formula>
    </cfRule>
    <cfRule type="expression" dxfId="22649" priority="10701">
      <formula>#REF!="L"</formula>
    </cfRule>
  </conditionalFormatting>
  <conditionalFormatting sqref="AC16 AG16">
    <cfRule type="expression" dxfId="22648" priority="10693">
      <formula>#REF!="TO"</formula>
    </cfRule>
    <cfRule type="expression" dxfId="22647" priority="10694">
      <formula>#REF!="IO"</formula>
    </cfRule>
    <cfRule type="expression" dxfId="22646" priority="10695">
      <formula>#REF!="L"</formula>
    </cfRule>
  </conditionalFormatting>
  <conditionalFormatting sqref="AI16">
    <cfRule type="expression" dxfId="22645" priority="10696">
      <formula>N16="TO"</formula>
    </cfRule>
    <cfRule type="expression" dxfId="22644" priority="10697">
      <formula>N16="IO"</formula>
    </cfRule>
    <cfRule type="expression" dxfId="22643" priority="10698">
      <formula>N16="L"</formula>
    </cfRule>
    <cfRule type="expression" dxfId="22642" priority="10690">
      <formula>#REF!="TO"</formula>
    </cfRule>
    <cfRule type="expression" dxfId="22641" priority="10691">
      <formula>#REF!="IO"</formula>
    </cfRule>
    <cfRule type="expression" dxfId="22640" priority="10692">
      <formula>#REF!="L"</formula>
    </cfRule>
  </conditionalFormatting>
  <conditionalFormatting sqref="AJ16">
    <cfRule type="expression" dxfId="22639" priority="10687">
      <formula>#REF!="TO"</formula>
    </cfRule>
    <cfRule type="expression" dxfId="22638" priority="10688">
      <formula>#REF!="IO"</formula>
    </cfRule>
    <cfRule type="expression" dxfId="22637" priority="10689">
      <formula>#REF!="L"</formula>
    </cfRule>
  </conditionalFormatting>
  <conditionalFormatting sqref="AK16">
    <cfRule type="expression" dxfId="22636" priority="10684">
      <formula>#REF!="TO"</formula>
    </cfRule>
    <cfRule type="expression" dxfId="22635" priority="10685">
      <formula>#REF!="IO"</formula>
    </cfRule>
    <cfRule type="expression" dxfId="22634" priority="10686">
      <formula>#REF!="L"</formula>
    </cfRule>
  </conditionalFormatting>
  <conditionalFormatting sqref="AL16">
    <cfRule type="expression" dxfId="22633" priority="10681">
      <formula>#REF!="TO"</formula>
    </cfRule>
    <cfRule type="expression" dxfId="22632" priority="10682">
      <formula>#REF!="IO"</formula>
    </cfRule>
    <cfRule type="expression" dxfId="22631" priority="10683">
      <formula>#REF!="L"</formula>
    </cfRule>
  </conditionalFormatting>
  <conditionalFormatting sqref="AM16">
    <cfRule type="expression" dxfId="22630" priority="10678">
      <formula>#REF!="TO"</formula>
    </cfRule>
    <cfRule type="expression" dxfId="22629" priority="10679">
      <formula>#REF!="IO"</formula>
    </cfRule>
    <cfRule type="expression" dxfId="22628" priority="10680">
      <formula>#REF!="L"</formula>
    </cfRule>
  </conditionalFormatting>
  <conditionalFormatting sqref="AQ16">
    <cfRule type="expression" dxfId="22627" priority="10669">
      <formula>#REF!="TO"</formula>
    </cfRule>
    <cfRule type="expression" dxfId="22626" priority="10670">
      <formula>#REF!="IO"</formula>
    </cfRule>
    <cfRule type="expression" dxfId="22625" priority="10671">
      <formula>#REF!="L"</formula>
    </cfRule>
  </conditionalFormatting>
  <conditionalFormatting sqref="AR16">
    <cfRule type="expression" dxfId="22624" priority="10666">
      <formula>#REF!="TO"</formula>
    </cfRule>
    <cfRule type="expression" dxfId="22623" priority="10667">
      <formula>#REF!="IO"</formula>
    </cfRule>
    <cfRule type="expression" dxfId="22622" priority="10668">
      <formula>#REF!="L"</formula>
    </cfRule>
  </conditionalFormatting>
  <conditionalFormatting sqref="Z16">
    <cfRule type="expression" dxfId="22621" priority="10654">
      <formula>#REF!="TO"</formula>
    </cfRule>
    <cfRule type="expression" dxfId="22620" priority="10655">
      <formula>#REF!="IO"</formula>
    </cfRule>
    <cfRule type="expression" dxfId="22619" priority="10656">
      <formula>#REF!="L"</formula>
    </cfRule>
    <cfRule type="expression" dxfId="22618" priority="10657">
      <formula>H16="TO"</formula>
    </cfRule>
    <cfRule type="expression" dxfId="22617" priority="10658">
      <formula>H16="IO"</formula>
    </cfRule>
    <cfRule type="expression" dxfId="22616" priority="10659">
      <formula>H16="L"</formula>
    </cfRule>
  </conditionalFormatting>
  <conditionalFormatting sqref="AT16">
    <cfRule type="expression" dxfId="22615" priority="10648">
      <formula>#REF!="TO"</formula>
    </cfRule>
    <cfRule type="expression" dxfId="22614" priority="10649">
      <formula>#REF!="IO"</formula>
    </cfRule>
    <cfRule type="expression" dxfId="22613" priority="10650">
      <formula>#REF!="L"</formula>
    </cfRule>
  </conditionalFormatting>
  <conditionalFormatting sqref="V16">
    <cfRule type="expression" dxfId="22612" priority="10636">
      <formula>#REF!="TO"</formula>
    </cfRule>
    <cfRule type="expression" dxfId="22611" priority="10637">
      <formula>#REF!="IO"</formula>
    </cfRule>
    <cfRule type="expression" dxfId="22610" priority="10638">
      <formula>#REF!="L"</formula>
    </cfRule>
  </conditionalFormatting>
  <conditionalFormatting sqref="AE16">
    <cfRule type="expression" dxfId="22609" priority="10642">
      <formula>#REF!="TO"</formula>
    </cfRule>
    <cfRule type="expression" dxfId="22608" priority="10643">
      <formula>#REF!="IO"</formula>
    </cfRule>
    <cfRule type="expression" dxfId="22607" priority="10644">
      <formula>#REF!="L"</formula>
    </cfRule>
    <cfRule type="expression" dxfId="22606" priority="10645">
      <formula>E16="TO"</formula>
    </cfRule>
    <cfRule type="expression" dxfId="22605" priority="10646">
      <formula>E16="IO"</formula>
    </cfRule>
    <cfRule type="expression" dxfId="22604" priority="10647">
      <formula>E16="L"</formula>
    </cfRule>
  </conditionalFormatting>
  <conditionalFormatting sqref="AF16">
    <cfRule type="expression" dxfId="22603" priority="10639">
      <formula>#REF!="TO"</formula>
    </cfRule>
    <cfRule type="expression" dxfId="22602" priority="10640">
      <formula>#REF!="IO"</formula>
    </cfRule>
    <cfRule type="expression" dxfId="22601" priority="10641">
      <formula>#REF!="L"</formula>
    </cfRule>
  </conditionalFormatting>
  <conditionalFormatting sqref="AH16">
    <cfRule type="expression" dxfId="22600" priority="10633">
      <formula>#REF!="TO"</formula>
    </cfRule>
    <cfRule type="expression" dxfId="22599" priority="10634">
      <formula>#REF!="IO"</formula>
    </cfRule>
    <cfRule type="expression" dxfId="22598" priority="10635">
      <formula>#REF!="L"</formula>
    </cfRule>
  </conditionalFormatting>
  <conditionalFormatting sqref="AT19">
    <cfRule type="expression" dxfId="22597" priority="10015">
      <formula>#REF!="TO"</formula>
    </cfRule>
    <cfRule type="expression" dxfId="22596" priority="10016">
      <formula>#REF!="IO"</formula>
    </cfRule>
    <cfRule type="expression" dxfId="22595" priority="10017">
      <formula>#REF!="L"</formula>
    </cfRule>
  </conditionalFormatting>
  <conditionalFormatting sqref="AM20">
    <cfRule type="expression" dxfId="22594" priority="9922">
      <formula>#REF!="TO"</formula>
    </cfRule>
    <cfRule type="expression" dxfId="22593" priority="9923">
      <formula>#REF!="IO"</formula>
    </cfRule>
    <cfRule type="expression" dxfId="22592" priority="9924">
      <formula>#REF!="L"</formula>
    </cfRule>
  </conditionalFormatting>
  <conditionalFormatting sqref="AE19">
    <cfRule type="expression" dxfId="22591" priority="10009">
      <formula>#REF!="TO"</formula>
    </cfRule>
    <cfRule type="expression" dxfId="22590" priority="10010">
      <formula>#REF!="IO"</formula>
    </cfRule>
    <cfRule type="expression" dxfId="22589" priority="10011">
      <formula>#REF!="L"</formula>
    </cfRule>
    <cfRule type="expression" dxfId="22588" priority="10012">
      <formula>E19="TO"</formula>
    </cfRule>
    <cfRule type="expression" dxfId="22587" priority="10013">
      <formula>E19="IO"</formula>
    </cfRule>
    <cfRule type="expression" dxfId="22586" priority="10014">
      <formula>E19="L"</formula>
    </cfRule>
  </conditionalFormatting>
  <conditionalFormatting sqref="V19">
    <cfRule type="expression" dxfId="22585" priority="10003">
      <formula>#REF!="TO"</formula>
    </cfRule>
    <cfRule type="expression" dxfId="22584" priority="10004">
      <formula>#REF!="IO"</formula>
    </cfRule>
    <cfRule type="expression" dxfId="22583" priority="10005">
      <formula>#REF!="L"</formula>
    </cfRule>
  </conditionalFormatting>
  <conditionalFormatting sqref="A20">
    <cfRule type="expression" dxfId="22582" priority="9997">
      <formula>#REF!="TO"</formula>
    </cfRule>
    <cfRule type="expression" dxfId="22581" priority="9998">
      <formula>#REF!="IO"</formula>
    </cfRule>
    <cfRule type="expression" dxfId="22580" priority="9999">
      <formula>#REF!="L"</formula>
    </cfRule>
  </conditionalFormatting>
  <conditionalFormatting sqref="V20">
    <cfRule type="expression" dxfId="22579" priority="9880">
      <formula>#REF!="TO"</formula>
    </cfRule>
    <cfRule type="expression" dxfId="22578" priority="9881">
      <formula>#REF!="IO"</formula>
    </cfRule>
    <cfRule type="expression" dxfId="22577" priority="9882">
      <formula>#REF!="L"</formula>
    </cfRule>
  </conditionalFormatting>
  <conditionalFormatting sqref="B20">
    <cfRule type="expression" dxfId="22576" priority="9991">
      <formula>#REF!="TO"</formula>
    </cfRule>
    <cfRule type="expression" dxfId="22575" priority="9992">
      <formula>#REF!="IO"</formula>
    </cfRule>
    <cfRule type="expression" dxfId="22574" priority="9993">
      <formula>#REF!="L"</formula>
    </cfRule>
  </conditionalFormatting>
  <conditionalFormatting sqref="D20">
    <cfRule type="expression" dxfId="22573" priority="9985">
      <formula>#REF!="TO"</formula>
    </cfRule>
    <cfRule type="expression" dxfId="22572" priority="9986">
      <formula>#REF!="IO"</formula>
    </cfRule>
    <cfRule type="expression" dxfId="22571" priority="9987">
      <formula>#REF!="L"</formula>
    </cfRule>
  </conditionalFormatting>
  <conditionalFormatting sqref="G20">
    <cfRule type="expression" dxfId="22570" priority="9979">
      <formula>#REF!="TO"</formula>
    </cfRule>
    <cfRule type="expression" dxfId="22569" priority="9980">
      <formula>#REF!="IO"</formula>
    </cfRule>
    <cfRule type="expression" dxfId="22568" priority="9981">
      <formula>#REF!="L"</formula>
    </cfRule>
  </conditionalFormatting>
  <conditionalFormatting sqref="K20">
    <cfRule type="expression" dxfId="22567" priority="9973">
      <formula>#REF!="TO"</formula>
    </cfRule>
    <cfRule type="expression" dxfId="22566" priority="9974">
      <formula>#REF!="IO"</formula>
    </cfRule>
    <cfRule type="expression" dxfId="22565" priority="9975">
      <formula>#REF!="L"</formula>
    </cfRule>
  </conditionalFormatting>
  <conditionalFormatting sqref="N20:P20">
    <cfRule type="expression" dxfId="22564" priority="9961">
      <formula>#REF!="TO"</formula>
    </cfRule>
    <cfRule type="expression" dxfId="22563" priority="9962">
      <formula>#REF!="IO"</formula>
    </cfRule>
    <cfRule type="expression" dxfId="22562" priority="9963">
      <formula>#REF!="L"</formula>
    </cfRule>
  </conditionalFormatting>
  <conditionalFormatting sqref="W20">
    <cfRule type="expression" dxfId="22561" priority="9949">
      <formula>#REF!="TO"</formula>
    </cfRule>
    <cfRule type="expression" dxfId="22560" priority="9950">
      <formula>#REF!="IO"</formula>
    </cfRule>
    <cfRule type="expression" dxfId="22559" priority="9951">
      <formula>#REF!="L"</formula>
    </cfRule>
    <cfRule type="expression" dxfId="22558" priority="9952">
      <formula>G20="TO"</formula>
    </cfRule>
    <cfRule type="expression" dxfId="22557" priority="9953">
      <formula>G20="IO"</formula>
    </cfRule>
    <cfRule type="expression" dxfId="22556" priority="9954">
      <formula>G20="L"</formula>
    </cfRule>
  </conditionalFormatting>
  <conditionalFormatting sqref="Y20">
    <cfRule type="expression" dxfId="22555" priority="9943">
      <formula>#REF!="TO"</formula>
    </cfRule>
    <cfRule type="expression" dxfId="22554" priority="9944">
      <formula>#REF!="IO"</formula>
    </cfRule>
    <cfRule type="expression" dxfId="22553" priority="9945">
      <formula>#REF!="L"</formula>
    </cfRule>
  </conditionalFormatting>
  <conditionalFormatting sqref="AK20">
    <cfRule type="expression" dxfId="22552" priority="9928">
      <formula>#REF!="TO"</formula>
    </cfRule>
    <cfRule type="expression" dxfId="22551" priority="9929">
      <formula>#REF!="IO"</formula>
    </cfRule>
    <cfRule type="expression" dxfId="22550" priority="9930">
      <formula>#REF!="L"</formula>
    </cfRule>
  </conditionalFormatting>
  <conditionalFormatting sqref="AQ20">
    <cfRule type="expression" dxfId="22549" priority="9913">
      <formula>#REF!="TO"</formula>
    </cfRule>
    <cfRule type="expression" dxfId="22548" priority="9914">
      <formula>#REF!="IO"</formula>
    </cfRule>
    <cfRule type="expression" dxfId="22547" priority="9915">
      <formula>#REF!="L"</formula>
    </cfRule>
  </conditionalFormatting>
  <conditionalFormatting sqref="AR20">
    <cfRule type="expression" dxfId="22546" priority="9910">
      <formula>#REF!="TO"</formula>
    </cfRule>
    <cfRule type="expression" dxfId="22545" priority="9911">
      <formula>#REF!="IO"</formula>
    </cfRule>
    <cfRule type="expression" dxfId="22544" priority="9912">
      <formula>#REF!="L"</formula>
    </cfRule>
  </conditionalFormatting>
  <conditionalFormatting sqref="AS20">
    <cfRule type="expression" dxfId="22543" priority="9904">
      <formula>#REF!="TO"</formula>
    </cfRule>
    <cfRule type="expression" dxfId="22542" priority="9905">
      <formula>#REF!="IO"</formula>
    </cfRule>
    <cfRule type="expression" dxfId="22541" priority="9906">
      <formula>#REF!="L"</formula>
    </cfRule>
    <cfRule type="expression" dxfId="22540" priority="9907">
      <formula>Y20="TO"</formula>
    </cfRule>
    <cfRule type="expression" dxfId="22539" priority="9908">
      <formula>Y20="IO"</formula>
    </cfRule>
    <cfRule type="expression" dxfId="22538" priority="9909">
      <formula>Y20="L"</formula>
    </cfRule>
  </conditionalFormatting>
  <conditionalFormatting sqref="AR17">
    <cfRule type="expression" dxfId="22537" priority="10279">
      <formula>#REF!="TO"</formula>
    </cfRule>
    <cfRule type="expression" dxfId="22536" priority="10280">
      <formula>#REF!="IO"</formula>
    </cfRule>
    <cfRule type="expression" dxfId="22535" priority="10281">
      <formula>#REF!="L"</formula>
    </cfRule>
  </conditionalFormatting>
  <conditionalFormatting sqref="AM17">
    <cfRule type="expression" dxfId="22534" priority="10291">
      <formula>#REF!="TO"</formula>
    </cfRule>
    <cfRule type="expression" dxfId="22533" priority="10292">
      <formula>#REF!="IO"</formula>
    </cfRule>
    <cfRule type="expression" dxfId="22532" priority="10293">
      <formula>#REF!="L"</formula>
    </cfRule>
  </conditionalFormatting>
  <conditionalFormatting sqref="A17">
    <cfRule type="expression" dxfId="22531" priority="10366">
      <formula>#REF!="TO"</formula>
    </cfRule>
    <cfRule type="expression" dxfId="22530" priority="10367">
      <formula>#REF!="IO"</formula>
    </cfRule>
    <cfRule type="expression" dxfId="22529" priority="10368">
      <formula>#REF!="L"</formula>
    </cfRule>
  </conditionalFormatting>
  <conditionalFormatting sqref="B17">
    <cfRule type="expression" dxfId="22528" priority="10360">
      <formula>#REF!="TO"</formula>
    </cfRule>
    <cfRule type="expression" dxfId="22527" priority="10361">
      <formula>#REF!="IO"</formula>
    </cfRule>
    <cfRule type="expression" dxfId="22526" priority="10362">
      <formula>#REF!="L"</formula>
    </cfRule>
  </conditionalFormatting>
  <conditionalFormatting sqref="D17">
    <cfRule type="expression" dxfId="22525" priority="10354">
      <formula>#REF!="TO"</formula>
    </cfRule>
    <cfRule type="expression" dxfId="22524" priority="10355">
      <formula>#REF!="IO"</formula>
    </cfRule>
    <cfRule type="expression" dxfId="22523" priority="10356">
      <formula>#REF!="L"</formula>
    </cfRule>
  </conditionalFormatting>
  <conditionalFormatting sqref="G17">
    <cfRule type="expression" dxfId="22522" priority="10348">
      <formula>#REF!="TO"</formula>
    </cfRule>
    <cfRule type="expression" dxfId="22521" priority="10349">
      <formula>#REF!="IO"</formula>
    </cfRule>
    <cfRule type="expression" dxfId="22520" priority="10350">
      <formula>#REF!="L"</formula>
    </cfRule>
  </conditionalFormatting>
  <conditionalFormatting sqref="K17">
    <cfRule type="expression" dxfId="22519" priority="10342">
      <formula>#REF!="TO"</formula>
    </cfRule>
    <cfRule type="expression" dxfId="22518" priority="10343">
      <formula>#REF!="IO"</formula>
    </cfRule>
    <cfRule type="expression" dxfId="22517" priority="10344">
      <formula>#REF!="L"</formula>
    </cfRule>
  </conditionalFormatting>
  <conditionalFormatting sqref="E17">
    <cfRule type="expression" dxfId="22516" priority="10339">
      <formula>#REF!="TO"</formula>
    </cfRule>
    <cfRule type="expression" dxfId="22515" priority="10340">
      <formula>#REF!="IO"</formula>
    </cfRule>
    <cfRule type="expression" dxfId="22514" priority="10341">
      <formula>#REF!="L"</formula>
    </cfRule>
  </conditionalFormatting>
  <conditionalFormatting sqref="M17">
    <cfRule type="expression" dxfId="22513" priority="10333">
      <formula>#REF!="TO"</formula>
    </cfRule>
    <cfRule type="expression" dxfId="22512" priority="10334">
      <formula>#REF!="IO"</formula>
    </cfRule>
    <cfRule type="expression" dxfId="22511" priority="10335">
      <formula>#REF!="L"</formula>
    </cfRule>
  </conditionalFormatting>
  <conditionalFormatting sqref="Q17">
    <cfRule type="expression" dxfId="22510" priority="10327">
      <formula>#REF!="TO"</formula>
    </cfRule>
    <cfRule type="expression" dxfId="22509" priority="10328">
      <formula>#REF!="IO"</formula>
    </cfRule>
    <cfRule type="expression" dxfId="22508" priority="10329">
      <formula>#REF!="L"</formula>
    </cfRule>
  </conditionalFormatting>
  <conditionalFormatting sqref="AC17 AG17">
    <cfRule type="expression" dxfId="22507" priority="10306">
      <formula>#REF!="TO"</formula>
    </cfRule>
    <cfRule type="expression" dxfId="22506" priority="10307">
      <formula>#REF!="IO"</formula>
    </cfRule>
    <cfRule type="expression" dxfId="22505" priority="10308">
      <formula>#REF!="L"</formula>
    </cfRule>
  </conditionalFormatting>
  <conditionalFormatting sqref="AJ17">
    <cfRule type="expression" dxfId="22504" priority="10300">
      <formula>#REF!="TO"</formula>
    </cfRule>
    <cfRule type="expression" dxfId="22503" priority="10301">
      <formula>#REF!="IO"</formula>
    </cfRule>
    <cfRule type="expression" dxfId="22502" priority="10302">
      <formula>#REF!="L"</formula>
    </cfRule>
  </conditionalFormatting>
  <conditionalFormatting sqref="AK17">
    <cfRule type="expression" dxfId="22501" priority="10297">
      <formula>#REF!="TO"</formula>
    </cfRule>
    <cfRule type="expression" dxfId="22500" priority="10298">
      <formula>#REF!="IO"</formula>
    </cfRule>
    <cfRule type="expression" dxfId="22499" priority="10299">
      <formula>#REF!="L"</formula>
    </cfRule>
  </conditionalFormatting>
  <conditionalFormatting sqref="AN17 AP17">
    <cfRule type="expression" dxfId="22498" priority="10285">
      <formula>#REF!="TO"</formula>
    </cfRule>
    <cfRule type="expression" dxfId="22497" priority="10286">
      <formula>#REF!="IO"</formula>
    </cfRule>
    <cfRule type="expression" dxfId="22496" priority="10287">
      <formula>#REF!="L"</formula>
    </cfRule>
  </conditionalFormatting>
  <conditionalFormatting sqref="AS17">
    <cfRule type="expression" dxfId="22495" priority="10276">
      <formula>Y17="TO"</formula>
    </cfRule>
    <cfRule type="expression" dxfId="22494" priority="10277">
      <formula>Y17="IO"</formula>
    </cfRule>
    <cfRule type="expression" dxfId="22493" priority="10278">
      <formula>Y17="L"</formula>
    </cfRule>
    <cfRule type="expression" dxfId="22492" priority="10273">
      <formula>#REF!="TO"</formula>
    </cfRule>
    <cfRule type="expression" dxfId="22491" priority="10274">
      <formula>#REF!="IO"</formula>
    </cfRule>
    <cfRule type="expression" dxfId="22490" priority="10275">
      <formula>#REF!="L"</formula>
    </cfRule>
  </conditionalFormatting>
  <conditionalFormatting sqref="AT17">
    <cfRule type="expression" dxfId="22489" priority="10261">
      <formula>#REF!="TO"</formula>
    </cfRule>
    <cfRule type="expression" dxfId="22488" priority="10262">
      <formula>#REF!="IO"</formula>
    </cfRule>
    <cfRule type="expression" dxfId="22487" priority="10263">
      <formula>#REF!="L"</formula>
    </cfRule>
  </conditionalFormatting>
  <conditionalFormatting sqref="AH17">
    <cfRule type="expression" dxfId="22486" priority="10246">
      <formula>#REF!="TO"</formula>
    </cfRule>
    <cfRule type="expression" dxfId="22485" priority="10247">
      <formula>#REF!="IO"</formula>
    </cfRule>
    <cfRule type="expression" dxfId="22484" priority="10248">
      <formula>#REF!="L"</formula>
    </cfRule>
  </conditionalFormatting>
  <conditionalFormatting sqref="F17">
    <cfRule type="expression" dxfId="22483" priority="10351">
      <formula>#REF!="TO"</formula>
    </cfRule>
    <cfRule type="expression" dxfId="22482" priority="10352">
      <formula>#REF!="IO"</formula>
    </cfRule>
    <cfRule type="expression" dxfId="22481" priority="10353">
      <formula>#REF!="L"</formula>
    </cfRule>
  </conditionalFormatting>
  <conditionalFormatting sqref="N17:P17">
    <cfRule type="expression" dxfId="22480" priority="10330">
      <formula>#REF!="TO"</formula>
    </cfRule>
    <cfRule type="expression" dxfId="22479" priority="10331">
      <formula>#REF!="IO"</formula>
    </cfRule>
    <cfRule type="expression" dxfId="22478" priority="10332">
      <formula>#REF!="L"</formula>
    </cfRule>
  </conditionalFormatting>
  <conditionalFormatting sqref="W17">
    <cfRule type="expression" dxfId="22477" priority="10318">
      <formula>#REF!="TO"</formula>
    </cfRule>
    <cfRule type="expression" dxfId="22476" priority="10319">
      <formula>#REF!="IO"</formula>
    </cfRule>
    <cfRule type="expression" dxfId="22475" priority="10320">
      <formula>#REF!="L"</formula>
    </cfRule>
    <cfRule type="expression" dxfId="22474" priority="10321">
      <formula>G17="TO"</formula>
    </cfRule>
    <cfRule type="expression" dxfId="22473" priority="10322">
      <formula>G17="IO"</formula>
    </cfRule>
    <cfRule type="expression" dxfId="22472" priority="10323">
      <formula>G17="L"</formula>
    </cfRule>
  </conditionalFormatting>
  <conditionalFormatting sqref="X17">
    <cfRule type="expression" dxfId="22471" priority="10315">
      <formula>#REF!="TO"</formula>
    </cfRule>
    <cfRule type="expression" dxfId="22470" priority="10316">
      <formula>#REF!="IO"</formula>
    </cfRule>
    <cfRule type="expression" dxfId="22469" priority="10317">
      <formula>#REF!="L"</formula>
    </cfRule>
  </conditionalFormatting>
  <conditionalFormatting sqref="Y17">
    <cfRule type="expression" dxfId="22468" priority="10312">
      <formula>#REF!="TO"</formula>
    </cfRule>
    <cfRule type="expression" dxfId="22467" priority="10313">
      <formula>#REF!="IO"</formula>
    </cfRule>
    <cfRule type="expression" dxfId="22466" priority="10314">
      <formula>#REF!="L"</formula>
    </cfRule>
  </conditionalFormatting>
  <conditionalFormatting sqref="AI17">
    <cfRule type="expression" dxfId="22465" priority="10309">
      <formula>N17="TO"</formula>
    </cfRule>
    <cfRule type="expression" dxfId="22464" priority="10310">
      <formula>N17="IO"</formula>
    </cfRule>
    <cfRule type="expression" dxfId="22463" priority="10311">
      <formula>N17="L"</formula>
    </cfRule>
    <cfRule type="expression" dxfId="22462" priority="10303">
      <formula>#REF!="TO"</formula>
    </cfRule>
    <cfRule type="expression" dxfId="22461" priority="10304">
      <formula>#REF!="IO"</formula>
    </cfRule>
    <cfRule type="expression" dxfId="22460" priority="10305">
      <formula>#REF!="L"</formula>
    </cfRule>
  </conditionalFormatting>
  <conditionalFormatting sqref="AL17">
    <cfRule type="expression" dxfId="22459" priority="10294">
      <formula>#REF!="TO"</formula>
    </cfRule>
    <cfRule type="expression" dxfId="22458" priority="10295">
      <formula>#REF!="IO"</formula>
    </cfRule>
    <cfRule type="expression" dxfId="22457" priority="10296">
      <formula>#REF!="L"</formula>
    </cfRule>
  </conditionalFormatting>
  <conditionalFormatting sqref="AQ17">
    <cfRule type="expression" dxfId="22456" priority="10282">
      <formula>#REF!="TO"</formula>
    </cfRule>
    <cfRule type="expression" dxfId="22455" priority="10283">
      <formula>#REF!="IO"</formula>
    </cfRule>
    <cfRule type="expression" dxfId="22454" priority="10284">
      <formula>#REF!="L"</formula>
    </cfRule>
  </conditionalFormatting>
  <conditionalFormatting sqref="Z17">
    <cfRule type="expression" dxfId="22453" priority="10267">
      <formula>#REF!="TO"</formula>
    </cfRule>
    <cfRule type="expression" dxfId="22452" priority="10268">
      <formula>#REF!="IO"</formula>
    </cfRule>
    <cfRule type="expression" dxfId="22451" priority="10269">
      <formula>#REF!="L"</formula>
    </cfRule>
    <cfRule type="expression" dxfId="22450" priority="10270">
      <formula>H17="TO"</formula>
    </cfRule>
    <cfRule type="expression" dxfId="22449" priority="10271">
      <formula>H17="IO"</formula>
    </cfRule>
    <cfRule type="expression" dxfId="22448" priority="10272">
      <formula>H17="L"</formula>
    </cfRule>
  </conditionalFormatting>
  <conditionalFormatting sqref="AE17">
    <cfRule type="expression" dxfId="22447" priority="10255">
      <formula>#REF!="TO"</formula>
    </cfRule>
    <cfRule type="expression" dxfId="22446" priority="10256">
      <formula>#REF!="IO"</formula>
    </cfRule>
    <cfRule type="expression" dxfId="22445" priority="10257">
      <formula>#REF!="L"</formula>
    </cfRule>
    <cfRule type="expression" dxfId="22444" priority="10258">
      <formula>E17="TO"</formula>
    </cfRule>
    <cfRule type="expression" dxfId="22443" priority="10259">
      <formula>E17="IO"</formula>
    </cfRule>
    <cfRule type="expression" dxfId="22442" priority="10260">
      <formula>E17="L"</formula>
    </cfRule>
  </conditionalFormatting>
  <conditionalFormatting sqref="AF17">
    <cfRule type="expression" dxfId="22441" priority="10252">
      <formula>#REF!="TO"</formula>
    </cfRule>
    <cfRule type="expression" dxfId="22440" priority="10253">
      <formula>#REF!="IO"</formula>
    </cfRule>
    <cfRule type="expression" dxfId="22439" priority="10254">
      <formula>#REF!="L"</formula>
    </cfRule>
  </conditionalFormatting>
  <conditionalFormatting sqref="V17">
    <cfRule type="expression" dxfId="22438" priority="10249">
      <formula>#REF!="TO"</formula>
    </cfRule>
    <cfRule type="expression" dxfId="22437" priority="10250">
      <formula>#REF!="IO"</formula>
    </cfRule>
    <cfRule type="expression" dxfId="22436" priority="10251">
      <formula>#REF!="L"</formula>
    </cfRule>
  </conditionalFormatting>
  <conditionalFormatting sqref="A18">
    <cfRule type="expression" dxfId="22435" priority="10243">
      <formula>#REF!="TO"</formula>
    </cfRule>
    <cfRule type="expression" dxfId="22434" priority="10244">
      <formula>#REF!="IO"</formula>
    </cfRule>
    <cfRule type="expression" dxfId="22433" priority="10245">
      <formula>#REF!="L"</formula>
    </cfRule>
  </conditionalFormatting>
  <conditionalFormatting sqref="AS18">
    <cfRule type="expression" dxfId="22432" priority="10150">
      <formula>#REF!="TO"</formula>
    </cfRule>
    <cfRule type="expression" dxfId="22431" priority="10151">
      <formula>#REF!="IO"</formula>
    </cfRule>
    <cfRule type="expression" dxfId="22430" priority="10152">
      <formula>#REF!="L"</formula>
    </cfRule>
    <cfRule type="expression" dxfId="22429" priority="10153">
      <formula>Y18="TO"</formula>
    </cfRule>
    <cfRule type="expression" dxfId="22428" priority="10154">
      <formula>Y18="IO"</formula>
    </cfRule>
    <cfRule type="expression" dxfId="22427" priority="10155">
      <formula>Y18="L"</formula>
    </cfRule>
  </conditionalFormatting>
  <conditionalFormatting sqref="B18">
    <cfRule type="expression" dxfId="22426" priority="10237">
      <formula>#REF!="TO"</formula>
    </cfRule>
    <cfRule type="expression" dxfId="22425" priority="10238">
      <formula>#REF!="IO"</formula>
    </cfRule>
    <cfRule type="expression" dxfId="22424" priority="10239">
      <formula>#REF!="L"</formula>
    </cfRule>
  </conditionalFormatting>
  <conditionalFormatting sqref="AN18 AP18">
    <cfRule type="expression" dxfId="22423" priority="10162">
      <formula>#REF!="TO"</formula>
    </cfRule>
    <cfRule type="expression" dxfId="22422" priority="10163">
      <formula>#REF!="IO"</formula>
    </cfRule>
    <cfRule type="expression" dxfId="22421" priority="10164">
      <formula>#REF!="L"</formula>
    </cfRule>
  </conditionalFormatting>
  <conditionalFormatting sqref="D18">
    <cfRule type="expression" dxfId="22420" priority="10231">
      <formula>#REF!="TO"</formula>
    </cfRule>
    <cfRule type="expression" dxfId="22419" priority="10232">
      <formula>#REF!="IO"</formula>
    </cfRule>
    <cfRule type="expression" dxfId="22418" priority="10233">
      <formula>#REF!="L"</formula>
    </cfRule>
  </conditionalFormatting>
  <conditionalFormatting sqref="F18">
    <cfRule type="expression" dxfId="22417" priority="10228">
      <formula>#REF!="TO"</formula>
    </cfRule>
    <cfRule type="expression" dxfId="22416" priority="10229">
      <formula>#REF!="IO"</formula>
    </cfRule>
    <cfRule type="expression" dxfId="22415" priority="10230">
      <formula>#REF!="L"</formula>
    </cfRule>
  </conditionalFormatting>
  <conditionalFormatting sqref="G18">
    <cfRule type="expression" dxfId="22414" priority="10225">
      <formula>#REF!="TO"</formula>
    </cfRule>
    <cfRule type="expression" dxfId="22413" priority="10226">
      <formula>#REF!="IO"</formula>
    </cfRule>
    <cfRule type="expression" dxfId="22412" priority="10227">
      <formula>#REF!="L"</formula>
    </cfRule>
  </conditionalFormatting>
  <conditionalFormatting sqref="K18">
    <cfRule type="expression" dxfId="22411" priority="10219">
      <formula>#REF!="TO"</formula>
    </cfRule>
    <cfRule type="expression" dxfId="22410" priority="10220">
      <formula>#REF!="IO"</formula>
    </cfRule>
    <cfRule type="expression" dxfId="22409" priority="10221">
      <formula>#REF!="L"</formula>
    </cfRule>
  </conditionalFormatting>
  <conditionalFormatting sqref="E18">
    <cfRule type="expression" dxfId="22408" priority="10216">
      <formula>#REF!="TO"</formula>
    </cfRule>
    <cfRule type="expression" dxfId="22407" priority="10217">
      <formula>#REF!="IO"</formula>
    </cfRule>
    <cfRule type="expression" dxfId="22406" priority="10218">
      <formula>#REF!="L"</formula>
    </cfRule>
  </conditionalFormatting>
  <conditionalFormatting sqref="M18">
    <cfRule type="expression" dxfId="22405" priority="10210">
      <formula>#REF!="TO"</formula>
    </cfRule>
    <cfRule type="expression" dxfId="22404" priority="10211">
      <formula>#REF!="IO"</formula>
    </cfRule>
    <cfRule type="expression" dxfId="22403" priority="10212">
      <formula>#REF!="L"</formula>
    </cfRule>
  </conditionalFormatting>
  <conditionalFormatting sqref="N18:P18">
    <cfRule type="expression" dxfId="22402" priority="10207">
      <formula>#REF!="TO"</formula>
    </cfRule>
    <cfRule type="expression" dxfId="22401" priority="10208">
      <formula>#REF!="IO"</formula>
    </cfRule>
    <cfRule type="expression" dxfId="22400" priority="10209">
      <formula>#REF!="L"</formula>
    </cfRule>
  </conditionalFormatting>
  <conditionalFormatting sqref="W18">
    <cfRule type="expression" dxfId="22399" priority="10195">
      <formula>#REF!="TO"</formula>
    </cfRule>
    <cfRule type="expression" dxfId="22398" priority="10196">
      <formula>#REF!="IO"</formula>
    </cfRule>
    <cfRule type="expression" dxfId="22397" priority="10197">
      <formula>#REF!="L"</formula>
    </cfRule>
    <cfRule type="expression" dxfId="22396" priority="10198">
      <formula>G18="TO"</formula>
    </cfRule>
    <cfRule type="expression" dxfId="22395" priority="10199">
      <formula>G18="IO"</formula>
    </cfRule>
    <cfRule type="expression" dxfId="22394" priority="10200">
      <formula>G18="L"</formula>
    </cfRule>
  </conditionalFormatting>
  <conditionalFormatting sqref="X18">
    <cfRule type="expression" dxfId="22393" priority="10192">
      <formula>#REF!="TO"</formula>
    </cfRule>
    <cfRule type="expression" dxfId="22392" priority="10193">
      <formula>#REF!="IO"</formula>
    </cfRule>
    <cfRule type="expression" dxfId="22391" priority="10194">
      <formula>#REF!="L"</formula>
    </cfRule>
  </conditionalFormatting>
  <conditionalFormatting sqref="Y18">
    <cfRule type="expression" dxfId="22390" priority="10189">
      <formula>#REF!="TO"</formula>
    </cfRule>
    <cfRule type="expression" dxfId="22389" priority="10190">
      <formula>#REF!="IO"</formula>
    </cfRule>
    <cfRule type="expression" dxfId="22388" priority="10191">
      <formula>#REF!="L"</formula>
    </cfRule>
  </conditionalFormatting>
  <conditionalFormatting sqref="AC18 AG18">
    <cfRule type="expression" dxfId="22387" priority="10183">
      <formula>#REF!="TO"</formula>
    </cfRule>
    <cfRule type="expression" dxfId="22386" priority="10184">
      <formula>#REF!="IO"</formula>
    </cfRule>
    <cfRule type="expression" dxfId="22385" priority="10185">
      <formula>#REF!="L"</formula>
    </cfRule>
  </conditionalFormatting>
  <conditionalFormatting sqref="AI18">
    <cfRule type="expression" dxfId="22384" priority="10186">
      <formula>N18="TO"</formula>
    </cfRule>
    <cfRule type="expression" dxfId="22383" priority="10187">
      <formula>N18="IO"</formula>
    </cfRule>
    <cfRule type="expression" dxfId="22382" priority="10188">
      <formula>N18="L"</formula>
    </cfRule>
    <cfRule type="expression" dxfId="22381" priority="10180">
      <formula>#REF!="TO"</formula>
    </cfRule>
    <cfRule type="expression" dxfId="22380" priority="10181">
      <formula>#REF!="IO"</formula>
    </cfRule>
    <cfRule type="expression" dxfId="22379" priority="10182">
      <formula>#REF!="L"</formula>
    </cfRule>
  </conditionalFormatting>
  <conditionalFormatting sqref="AJ18">
    <cfRule type="expression" dxfId="22378" priority="10177">
      <formula>#REF!="TO"</formula>
    </cfRule>
    <cfRule type="expression" dxfId="22377" priority="10178">
      <formula>#REF!="IO"</formula>
    </cfRule>
    <cfRule type="expression" dxfId="22376" priority="10179">
      <formula>#REF!="L"</formula>
    </cfRule>
  </conditionalFormatting>
  <conditionalFormatting sqref="AK18">
    <cfRule type="expression" dxfId="22375" priority="10174">
      <formula>#REF!="TO"</formula>
    </cfRule>
    <cfRule type="expression" dxfId="22374" priority="10175">
      <formula>#REF!="IO"</formula>
    </cfRule>
    <cfRule type="expression" dxfId="22373" priority="10176">
      <formula>#REF!="L"</formula>
    </cfRule>
  </conditionalFormatting>
  <conditionalFormatting sqref="AL18">
    <cfRule type="expression" dxfId="22372" priority="10171">
      <formula>#REF!="TO"</formula>
    </cfRule>
    <cfRule type="expression" dxfId="22371" priority="10172">
      <formula>#REF!="IO"</formula>
    </cfRule>
    <cfRule type="expression" dxfId="22370" priority="10173">
      <formula>#REF!="L"</formula>
    </cfRule>
  </conditionalFormatting>
  <conditionalFormatting sqref="AM18">
    <cfRule type="expression" dxfId="22369" priority="10168">
      <formula>#REF!="TO"</formula>
    </cfRule>
    <cfRule type="expression" dxfId="22368" priority="10169">
      <formula>#REF!="IO"</formula>
    </cfRule>
    <cfRule type="expression" dxfId="22367" priority="10170">
      <formula>#REF!="L"</formula>
    </cfRule>
  </conditionalFormatting>
  <conditionalFormatting sqref="AQ18">
    <cfRule type="expression" dxfId="22366" priority="10159">
      <formula>#REF!="TO"</formula>
    </cfRule>
    <cfRule type="expression" dxfId="22365" priority="10160">
      <formula>#REF!="IO"</formula>
    </cfRule>
    <cfRule type="expression" dxfId="22364" priority="10161">
      <formula>#REF!="L"</formula>
    </cfRule>
  </conditionalFormatting>
  <conditionalFormatting sqref="AR18">
    <cfRule type="expression" dxfId="22363" priority="10156">
      <formula>#REF!="TO"</formula>
    </cfRule>
    <cfRule type="expression" dxfId="22362" priority="10157">
      <formula>#REF!="IO"</formula>
    </cfRule>
    <cfRule type="expression" dxfId="22361" priority="10158">
      <formula>#REF!="L"</formula>
    </cfRule>
  </conditionalFormatting>
  <conditionalFormatting sqref="Z18">
    <cfRule type="expression" dxfId="22360" priority="10144">
      <formula>#REF!="TO"</formula>
    </cfRule>
    <cfRule type="expression" dxfId="22359" priority="10145">
      <formula>#REF!="IO"</formula>
    </cfRule>
    <cfRule type="expression" dxfId="22358" priority="10146">
      <formula>#REF!="L"</formula>
    </cfRule>
    <cfRule type="expression" dxfId="22357" priority="10147">
      <formula>H18="TO"</formula>
    </cfRule>
    <cfRule type="expression" dxfId="22356" priority="10148">
      <formula>H18="IO"</formula>
    </cfRule>
    <cfRule type="expression" dxfId="22355" priority="10149">
      <formula>H18="L"</formula>
    </cfRule>
  </conditionalFormatting>
  <conditionalFormatting sqref="AT18">
    <cfRule type="expression" dxfId="22354" priority="10138">
      <formula>#REF!="TO"</formula>
    </cfRule>
    <cfRule type="expression" dxfId="22353" priority="10139">
      <formula>#REF!="IO"</formula>
    </cfRule>
    <cfRule type="expression" dxfId="22352" priority="10140">
      <formula>#REF!="L"</formula>
    </cfRule>
  </conditionalFormatting>
  <conditionalFormatting sqref="V18">
    <cfRule type="expression" dxfId="22351" priority="10126">
      <formula>#REF!="TO"</formula>
    </cfRule>
    <cfRule type="expression" dxfId="22350" priority="10127">
      <formula>#REF!="IO"</formula>
    </cfRule>
    <cfRule type="expression" dxfId="22349" priority="10128">
      <formula>#REF!="L"</formula>
    </cfRule>
  </conditionalFormatting>
  <conditionalFormatting sqref="AE18">
    <cfRule type="expression" dxfId="22348" priority="10132">
      <formula>#REF!="TO"</formula>
    </cfRule>
    <cfRule type="expression" dxfId="22347" priority="10133">
      <formula>#REF!="IO"</formula>
    </cfRule>
    <cfRule type="expression" dxfId="22346" priority="10134">
      <formula>#REF!="L"</formula>
    </cfRule>
    <cfRule type="expression" dxfId="22345" priority="10135">
      <formula>E18="TO"</formula>
    </cfRule>
    <cfRule type="expression" dxfId="22344" priority="10136">
      <formula>E18="IO"</formula>
    </cfRule>
    <cfRule type="expression" dxfId="22343" priority="10137">
      <formula>E18="L"</formula>
    </cfRule>
  </conditionalFormatting>
  <conditionalFormatting sqref="AF18">
    <cfRule type="expression" dxfId="22342" priority="10129">
      <formula>#REF!="TO"</formula>
    </cfRule>
    <cfRule type="expression" dxfId="22341" priority="10130">
      <formula>#REF!="IO"</formula>
    </cfRule>
    <cfRule type="expression" dxfId="22340" priority="10131">
      <formula>#REF!="L"</formula>
    </cfRule>
  </conditionalFormatting>
  <conditionalFormatting sqref="AH18">
    <cfRule type="expression" dxfId="22339" priority="10123">
      <formula>#REF!="TO"</formula>
    </cfRule>
    <cfRule type="expression" dxfId="22338" priority="10124">
      <formula>#REF!="IO"</formula>
    </cfRule>
    <cfRule type="expression" dxfId="22337" priority="10125">
      <formula>#REF!="L"</formula>
    </cfRule>
  </conditionalFormatting>
  <conditionalFormatting sqref="A19">
    <cfRule type="expression" dxfId="22336" priority="10120">
      <formula>#REF!="TO"</formula>
    </cfRule>
    <cfRule type="expression" dxfId="22335" priority="10121">
      <formula>#REF!="IO"</formula>
    </cfRule>
    <cfRule type="expression" dxfId="22334" priority="10122">
      <formula>#REF!="L"</formula>
    </cfRule>
  </conditionalFormatting>
  <conditionalFormatting sqref="AS19">
    <cfRule type="expression" dxfId="22333" priority="10027">
      <formula>#REF!="TO"</formula>
    </cfRule>
    <cfRule type="expression" dxfId="22332" priority="10028">
      <formula>#REF!="IO"</formula>
    </cfRule>
    <cfRule type="expression" dxfId="22331" priority="10029">
      <formula>#REF!="L"</formula>
    </cfRule>
    <cfRule type="expression" dxfId="22330" priority="10030">
      <formula>Y19="TO"</formula>
    </cfRule>
    <cfRule type="expression" dxfId="22329" priority="10031">
      <formula>Y19="IO"</formula>
    </cfRule>
    <cfRule type="expression" dxfId="22328" priority="10032">
      <formula>Y19="L"</formula>
    </cfRule>
  </conditionalFormatting>
  <conditionalFormatting sqref="B19">
    <cfRule type="expression" dxfId="22327" priority="10114">
      <formula>#REF!="TO"</formula>
    </cfRule>
    <cfRule type="expression" dxfId="22326" priority="10115">
      <formula>#REF!="IO"</formula>
    </cfRule>
    <cfRule type="expression" dxfId="22325" priority="10116">
      <formula>#REF!="L"</formula>
    </cfRule>
  </conditionalFormatting>
  <conditionalFormatting sqref="AN19 AP19">
    <cfRule type="expression" dxfId="22324" priority="10039">
      <formula>#REF!="TO"</formula>
    </cfRule>
    <cfRule type="expression" dxfId="22323" priority="10040">
      <formula>#REF!="IO"</formula>
    </cfRule>
    <cfRule type="expression" dxfId="22322" priority="10041">
      <formula>#REF!="L"</formula>
    </cfRule>
  </conditionalFormatting>
  <conditionalFormatting sqref="D19">
    <cfRule type="expression" dxfId="22321" priority="10108">
      <formula>#REF!="TO"</formula>
    </cfRule>
    <cfRule type="expression" dxfId="22320" priority="10109">
      <formula>#REF!="IO"</formula>
    </cfRule>
    <cfRule type="expression" dxfId="22319" priority="10110">
      <formula>#REF!="L"</formula>
    </cfRule>
  </conditionalFormatting>
  <conditionalFormatting sqref="F19">
    <cfRule type="expression" dxfId="22318" priority="10105">
      <formula>#REF!="TO"</formula>
    </cfRule>
    <cfRule type="expression" dxfId="22317" priority="10106">
      <formula>#REF!="IO"</formula>
    </cfRule>
    <cfRule type="expression" dxfId="22316" priority="10107">
      <formula>#REF!="L"</formula>
    </cfRule>
  </conditionalFormatting>
  <conditionalFormatting sqref="G19">
    <cfRule type="expression" dxfId="22315" priority="10102">
      <formula>#REF!="TO"</formula>
    </cfRule>
    <cfRule type="expression" dxfId="22314" priority="10103">
      <formula>#REF!="IO"</formula>
    </cfRule>
    <cfRule type="expression" dxfId="22313" priority="10104">
      <formula>#REF!="L"</formula>
    </cfRule>
  </conditionalFormatting>
  <conditionalFormatting sqref="K19">
    <cfRule type="expression" dxfId="22312" priority="10096">
      <formula>#REF!="TO"</formula>
    </cfRule>
    <cfRule type="expression" dxfId="22311" priority="10097">
      <formula>#REF!="IO"</formula>
    </cfRule>
    <cfRule type="expression" dxfId="22310" priority="10098">
      <formula>#REF!="L"</formula>
    </cfRule>
  </conditionalFormatting>
  <conditionalFormatting sqref="E19">
    <cfRule type="expression" dxfId="22309" priority="10093">
      <formula>#REF!="TO"</formula>
    </cfRule>
    <cfRule type="expression" dxfId="22308" priority="10094">
      <formula>#REF!="IO"</formula>
    </cfRule>
    <cfRule type="expression" dxfId="22307" priority="10095">
      <formula>#REF!="L"</formula>
    </cfRule>
  </conditionalFormatting>
  <conditionalFormatting sqref="M19">
    <cfRule type="expression" dxfId="22306" priority="10087">
      <formula>#REF!="TO"</formula>
    </cfRule>
    <cfRule type="expression" dxfId="22305" priority="10088">
      <formula>#REF!="IO"</formula>
    </cfRule>
    <cfRule type="expression" dxfId="22304" priority="10089">
      <formula>#REF!="L"</formula>
    </cfRule>
  </conditionalFormatting>
  <conditionalFormatting sqref="N19:P19">
    <cfRule type="expression" dxfId="22303" priority="10084">
      <formula>#REF!="TO"</formula>
    </cfRule>
    <cfRule type="expression" dxfId="22302" priority="10085">
      <formula>#REF!="IO"</formula>
    </cfRule>
    <cfRule type="expression" dxfId="22301" priority="10086">
      <formula>#REF!="L"</formula>
    </cfRule>
  </conditionalFormatting>
  <conditionalFormatting sqref="Q19">
    <cfRule type="expression" dxfId="22300" priority="10081">
      <formula>#REF!="TO"</formula>
    </cfRule>
    <cfRule type="expression" dxfId="22299" priority="10082">
      <formula>#REF!="IO"</formula>
    </cfRule>
    <cfRule type="expression" dxfId="22298" priority="10083">
      <formula>#REF!="L"</formula>
    </cfRule>
  </conditionalFormatting>
  <conditionalFormatting sqref="W19">
    <cfRule type="expression" dxfId="22297" priority="10072">
      <formula>#REF!="TO"</formula>
    </cfRule>
    <cfRule type="expression" dxfId="22296" priority="10073">
      <formula>#REF!="IO"</formula>
    </cfRule>
    <cfRule type="expression" dxfId="22295" priority="10074">
      <formula>#REF!="L"</formula>
    </cfRule>
    <cfRule type="expression" dxfId="22294" priority="10075">
      <formula>G19="TO"</formula>
    </cfRule>
    <cfRule type="expression" dxfId="22293" priority="10076">
      <formula>G19="IO"</formula>
    </cfRule>
    <cfRule type="expression" dxfId="22292" priority="10077">
      <formula>G19="L"</formula>
    </cfRule>
  </conditionalFormatting>
  <conditionalFormatting sqref="X19">
    <cfRule type="expression" dxfId="22291" priority="10069">
      <formula>#REF!="TO"</formula>
    </cfRule>
    <cfRule type="expression" dxfId="22290" priority="10070">
      <formula>#REF!="IO"</formula>
    </cfRule>
    <cfRule type="expression" dxfId="22289" priority="10071">
      <formula>#REF!="L"</formula>
    </cfRule>
  </conditionalFormatting>
  <conditionalFormatting sqref="Y19">
    <cfRule type="expression" dxfId="22288" priority="10066">
      <formula>#REF!="TO"</formula>
    </cfRule>
    <cfRule type="expression" dxfId="22287" priority="10067">
      <formula>#REF!="IO"</formula>
    </cfRule>
    <cfRule type="expression" dxfId="22286" priority="10068">
      <formula>#REF!="L"</formula>
    </cfRule>
  </conditionalFormatting>
  <conditionalFormatting sqref="AC19 AG19">
    <cfRule type="expression" dxfId="22285" priority="10060">
      <formula>#REF!="TO"</formula>
    </cfRule>
    <cfRule type="expression" dxfId="22284" priority="10061">
      <formula>#REF!="IO"</formula>
    </cfRule>
    <cfRule type="expression" dxfId="22283" priority="10062">
      <formula>#REF!="L"</formula>
    </cfRule>
  </conditionalFormatting>
  <conditionalFormatting sqref="AI19">
    <cfRule type="expression" dxfId="22282" priority="10063">
      <formula>N19="TO"</formula>
    </cfRule>
    <cfRule type="expression" dxfId="22281" priority="10064">
      <formula>N19="IO"</formula>
    </cfRule>
    <cfRule type="expression" dxfId="22280" priority="10065">
      <formula>N19="L"</formula>
    </cfRule>
    <cfRule type="expression" dxfId="22279" priority="10057">
      <formula>#REF!="TO"</formula>
    </cfRule>
    <cfRule type="expression" dxfId="22278" priority="10058">
      <formula>#REF!="IO"</formula>
    </cfRule>
    <cfRule type="expression" dxfId="22277" priority="10059">
      <formula>#REF!="L"</formula>
    </cfRule>
  </conditionalFormatting>
  <conditionalFormatting sqref="AJ19">
    <cfRule type="expression" dxfId="22276" priority="10054">
      <formula>#REF!="TO"</formula>
    </cfRule>
    <cfRule type="expression" dxfId="22275" priority="10055">
      <formula>#REF!="IO"</formula>
    </cfRule>
    <cfRule type="expression" dxfId="22274" priority="10056">
      <formula>#REF!="L"</formula>
    </cfRule>
  </conditionalFormatting>
  <conditionalFormatting sqref="AK19">
    <cfRule type="expression" dxfId="22273" priority="10051">
      <formula>#REF!="TO"</formula>
    </cfRule>
    <cfRule type="expression" dxfId="22272" priority="10052">
      <formula>#REF!="IO"</formula>
    </cfRule>
    <cfRule type="expression" dxfId="22271" priority="10053">
      <formula>#REF!="L"</formula>
    </cfRule>
  </conditionalFormatting>
  <conditionalFormatting sqref="AL19">
    <cfRule type="expression" dxfId="22270" priority="10048">
      <formula>#REF!="TO"</formula>
    </cfRule>
    <cfRule type="expression" dxfId="22269" priority="10049">
      <formula>#REF!="IO"</formula>
    </cfRule>
    <cfRule type="expression" dxfId="22268" priority="10050">
      <formula>#REF!="L"</formula>
    </cfRule>
  </conditionalFormatting>
  <conditionalFormatting sqref="AM19">
    <cfRule type="expression" dxfId="22267" priority="10045">
      <formula>#REF!="TO"</formula>
    </cfRule>
    <cfRule type="expression" dxfId="22266" priority="10046">
      <formula>#REF!="IO"</formula>
    </cfRule>
    <cfRule type="expression" dxfId="22265" priority="10047">
      <formula>#REF!="L"</formula>
    </cfRule>
  </conditionalFormatting>
  <conditionalFormatting sqref="AQ19">
    <cfRule type="expression" dxfId="22264" priority="10036">
      <formula>#REF!="TO"</formula>
    </cfRule>
    <cfRule type="expression" dxfId="22263" priority="10037">
      <formula>#REF!="IO"</formula>
    </cfRule>
    <cfRule type="expression" dxfId="22262" priority="10038">
      <formula>#REF!="L"</formula>
    </cfRule>
  </conditionalFormatting>
  <conditionalFormatting sqref="AR19">
    <cfRule type="expression" dxfId="22261" priority="10033">
      <formula>#REF!="TO"</formula>
    </cfRule>
    <cfRule type="expression" dxfId="22260" priority="10034">
      <formula>#REF!="IO"</formula>
    </cfRule>
    <cfRule type="expression" dxfId="22259" priority="10035">
      <formula>#REF!="L"</formula>
    </cfRule>
  </conditionalFormatting>
  <conditionalFormatting sqref="Z19">
    <cfRule type="expression" dxfId="22258" priority="10021">
      <formula>#REF!="TO"</formula>
    </cfRule>
    <cfRule type="expression" dxfId="22257" priority="10022">
      <formula>#REF!="IO"</formula>
    </cfRule>
    <cfRule type="expression" dxfId="22256" priority="10023">
      <formula>#REF!="L"</formula>
    </cfRule>
    <cfRule type="expression" dxfId="22255" priority="10024">
      <formula>H19="TO"</formula>
    </cfRule>
    <cfRule type="expression" dxfId="22254" priority="10025">
      <formula>H19="IO"</formula>
    </cfRule>
    <cfRule type="expression" dxfId="22253" priority="10026">
      <formula>H19="L"</formula>
    </cfRule>
  </conditionalFormatting>
  <conditionalFormatting sqref="AF19">
    <cfRule type="expression" dxfId="22252" priority="10006">
      <formula>#REF!="TO"</formula>
    </cfRule>
    <cfRule type="expression" dxfId="22251" priority="10007">
      <formula>#REF!="IO"</formula>
    </cfRule>
    <cfRule type="expression" dxfId="22250" priority="10008">
      <formula>#REF!="L"</formula>
    </cfRule>
  </conditionalFormatting>
  <conditionalFormatting sqref="AH19">
    <cfRule type="expression" dxfId="22249" priority="10000">
      <formula>#REF!="TO"</formula>
    </cfRule>
    <cfRule type="expression" dxfId="22248" priority="10001">
      <formula>#REF!="IO"</formula>
    </cfRule>
    <cfRule type="expression" dxfId="22247" priority="10002">
      <formula>#REF!="L"</formula>
    </cfRule>
  </conditionalFormatting>
  <conditionalFormatting sqref="AN20 AP20">
    <cfRule type="expression" dxfId="22246" priority="9916">
      <formula>#REF!="TO"</formula>
    </cfRule>
    <cfRule type="expression" dxfId="22245" priority="9917">
      <formula>#REF!="IO"</formula>
    </cfRule>
    <cfRule type="expression" dxfId="22244" priority="9918">
      <formula>#REF!="L"</formula>
    </cfRule>
  </conditionalFormatting>
  <conditionalFormatting sqref="F20">
    <cfRule type="expression" dxfId="22243" priority="9982">
      <formula>#REF!="TO"</formula>
    </cfRule>
    <cfRule type="expression" dxfId="22242" priority="9983">
      <formula>#REF!="IO"</formula>
    </cfRule>
    <cfRule type="expression" dxfId="22241" priority="9984">
      <formula>#REF!="L"</formula>
    </cfRule>
  </conditionalFormatting>
  <conditionalFormatting sqref="E20">
    <cfRule type="expression" dxfId="22240" priority="9970">
      <formula>#REF!="TO"</formula>
    </cfRule>
    <cfRule type="expression" dxfId="22239" priority="9971">
      <formula>#REF!="IO"</formula>
    </cfRule>
    <cfRule type="expression" dxfId="22238" priority="9972">
      <formula>#REF!="L"</formula>
    </cfRule>
  </conditionalFormatting>
  <conditionalFormatting sqref="M20">
    <cfRule type="expression" dxfId="22237" priority="9964">
      <formula>#REF!="TO"</formula>
    </cfRule>
    <cfRule type="expression" dxfId="22236" priority="9965">
      <formula>#REF!="IO"</formula>
    </cfRule>
    <cfRule type="expression" dxfId="22235" priority="9966">
      <formula>#REF!="L"</formula>
    </cfRule>
  </conditionalFormatting>
  <conditionalFormatting sqref="Q20">
    <cfRule type="expression" dxfId="22234" priority="9958">
      <formula>#REF!="TO"</formula>
    </cfRule>
    <cfRule type="expression" dxfId="22233" priority="9959">
      <formula>#REF!="IO"</formula>
    </cfRule>
    <cfRule type="expression" dxfId="22232" priority="9960">
      <formula>#REF!="L"</formula>
    </cfRule>
  </conditionalFormatting>
  <conditionalFormatting sqref="X20">
    <cfRule type="expression" dxfId="22231" priority="9946">
      <formula>#REF!="TO"</formula>
    </cfRule>
    <cfRule type="expression" dxfId="22230" priority="9947">
      <formula>#REF!="IO"</formula>
    </cfRule>
    <cfRule type="expression" dxfId="22229" priority="9948">
      <formula>#REF!="L"</formula>
    </cfRule>
  </conditionalFormatting>
  <conditionalFormatting sqref="AC20 AG20">
    <cfRule type="expression" dxfId="22228" priority="9937">
      <formula>#REF!="TO"</formula>
    </cfRule>
    <cfRule type="expression" dxfId="22227" priority="9938">
      <formula>#REF!="IO"</formula>
    </cfRule>
    <cfRule type="expression" dxfId="22226" priority="9939">
      <formula>#REF!="L"</formula>
    </cfRule>
  </conditionalFormatting>
  <conditionalFormatting sqref="AI20">
    <cfRule type="expression" dxfId="22225" priority="9940">
      <formula>N20="TO"</formula>
    </cfRule>
    <cfRule type="expression" dxfId="22224" priority="9941">
      <formula>N20="IO"</formula>
    </cfRule>
    <cfRule type="expression" dxfId="22223" priority="9942">
      <formula>N20="L"</formula>
    </cfRule>
    <cfRule type="expression" dxfId="22222" priority="9934">
      <formula>#REF!="TO"</formula>
    </cfRule>
    <cfRule type="expression" dxfId="22221" priority="9935">
      <formula>#REF!="IO"</formula>
    </cfRule>
    <cfRule type="expression" dxfId="22220" priority="9936">
      <formula>#REF!="L"</formula>
    </cfRule>
  </conditionalFormatting>
  <conditionalFormatting sqref="AJ20">
    <cfRule type="expression" dxfId="22219" priority="9931">
      <formula>#REF!="TO"</formula>
    </cfRule>
    <cfRule type="expression" dxfId="22218" priority="9932">
      <formula>#REF!="IO"</formula>
    </cfRule>
    <cfRule type="expression" dxfId="22217" priority="9933">
      <formula>#REF!="L"</formula>
    </cfRule>
  </conditionalFormatting>
  <conditionalFormatting sqref="AL20">
    <cfRule type="expression" dxfId="22216" priority="9925">
      <formula>#REF!="TO"</formula>
    </cfRule>
    <cfRule type="expression" dxfId="22215" priority="9926">
      <formula>#REF!="IO"</formula>
    </cfRule>
    <cfRule type="expression" dxfId="22214" priority="9927">
      <formula>#REF!="L"</formula>
    </cfRule>
  </conditionalFormatting>
  <conditionalFormatting sqref="Z20">
    <cfRule type="expression" dxfId="22213" priority="9898">
      <formula>#REF!="TO"</formula>
    </cfRule>
    <cfRule type="expression" dxfId="22212" priority="9899">
      <formula>#REF!="IO"</formula>
    </cfRule>
    <cfRule type="expression" dxfId="22211" priority="9900">
      <formula>#REF!="L"</formula>
    </cfRule>
    <cfRule type="expression" dxfId="22210" priority="9901">
      <formula>H20="TO"</formula>
    </cfRule>
    <cfRule type="expression" dxfId="22209" priority="9902">
      <formula>H20="IO"</formula>
    </cfRule>
    <cfRule type="expression" dxfId="22208" priority="9903">
      <formula>H20="L"</formula>
    </cfRule>
  </conditionalFormatting>
  <conditionalFormatting sqref="AT20">
    <cfRule type="expression" dxfId="22207" priority="9892">
      <formula>#REF!="TO"</formula>
    </cfRule>
    <cfRule type="expression" dxfId="22206" priority="9893">
      <formula>#REF!="IO"</formula>
    </cfRule>
    <cfRule type="expression" dxfId="22205" priority="9894">
      <formula>#REF!="L"</formula>
    </cfRule>
  </conditionalFormatting>
  <conditionalFormatting sqref="AE20">
    <cfRule type="expression" dxfId="22204" priority="9886">
      <formula>#REF!="TO"</formula>
    </cfRule>
    <cfRule type="expression" dxfId="22203" priority="9887">
      <formula>#REF!="IO"</formula>
    </cfRule>
    <cfRule type="expression" dxfId="22202" priority="9888">
      <formula>#REF!="L"</formula>
    </cfRule>
    <cfRule type="expression" dxfId="22201" priority="9889">
      <formula>E20="TO"</formula>
    </cfRule>
    <cfRule type="expression" dxfId="22200" priority="9890">
      <formula>E20="IO"</formula>
    </cfRule>
    <cfRule type="expression" dxfId="22199" priority="9891">
      <formula>E20="L"</formula>
    </cfRule>
  </conditionalFormatting>
  <conditionalFormatting sqref="AF20">
    <cfRule type="expression" dxfId="22198" priority="9883">
      <formula>#REF!="TO"</formula>
    </cfRule>
    <cfRule type="expression" dxfId="22197" priority="9884">
      <formula>#REF!="IO"</formula>
    </cfRule>
    <cfRule type="expression" dxfId="22196" priority="9885">
      <formula>#REF!="L"</formula>
    </cfRule>
  </conditionalFormatting>
  <conditionalFormatting sqref="AH20">
    <cfRule type="expression" dxfId="22195" priority="9877">
      <formula>#REF!="TO"</formula>
    </cfRule>
    <cfRule type="expression" dxfId="22194" priority="9878">
      <formula>#REF!="IO"</formula>
    </cfRule>
    <cfRule type="expression" dxfId="22193" priority="9879">
      <formula>#REF!="L"</formula>
    </cfRule>
  </conditionalFormatting>
  <conditionalFormatting sqref="A21">
    <cfRule type="expression" dxfId="22192" priority="9874">
      <formula>#REF!="TO"</formula>
    </cfRule>
    <cfRule type="expression" dxfId="22191" priority="9875">
      <formula>#REF!="IO"</formula>
    </cfRule>
    <cfRule type="expression" dxfId="22190" priority="9876">
      <formula>#REF!="L"</formula>
    </cfRule>
  </conditionalFormatting>
  <conditionalFormatting sqref="AS21">
    <cfRule type="expression" dxfId="22189" priority="9781">
      <formula>#REF!="TO"</formula>
    </cfRule>
    <cfRule type="expression" dxfId="22188" priority="9782">
      <formula>#REF!="IO"</formula>
    </cfRule>
    <cfRule type="expression" dxfId="22187" priority="9783">
      <formula>#REF!="L"</formula>
    </cfRule>
    <cfRule type="expression" dxfId="22186" priority="9784">
      <formula>Y21="TO"</formula>
    </cfRule>
    <cfRule type="expression" dxfId="22185" priority="9785">
      <formula>Y21="IO"</formula>
    </cfRule>
    <cfRule type="expression" dxfId="22184" priority="9786">
      <formula>Y21="L"</formula>
    </cfRule>
  </conditionalFormatting>
  <conditionalFormatting sqref="B21">
    <cfRule type="expression" dxfId="22183" priority="9868">
      <formula>#REF!="TO"</formula>
    </cfRule>
    <cfRule type="expression" dxfId="22182" priority="9869">
      <formula>#REF!="IO"</formula>
    </cfRule>
    <cfRule type="expression" dxfId="22181" priority="9870">
      <formula>#REF!="L"</formula>
    </cfRule>
  </conditionalFormatting>
  <conditionalFormatting sqref="AN21 AP21">
    <cfRule type="expression" dxfId="22180" priority="9793">
      <formula>#REF!="TO"</formula>
    </cfRule>
    <cfRule type="expression" dxfId="22179" priority="9794">
      <formula>#REF!="IO"</formula>
    </cfRule>
    <cfRule type="expression" dxfId="22178" priority="9795">
      <formula>#REF!="L"</formula>
    </cfRule>
  </conditionalFormatting>
  <conditionalFormatting sqref="D21">
    <cfRule type="expression" dxfId="22177" priority="9862">
      <formula>#REF!="TO"</formula>
    </cfRule>
    <cfRule type="expression" dxfId="22176" priority="9863">
      <formula>#REF!="IO"</formula>
    </cfRule>
    <cfRule type="expression" dxfId="22175" priority="9864">
      <formula>#REF!="L"</formula>
    </cfRule>
  </conditionalFormatting>
  <conditionalFormatting sqref="F21">
    <cfRule type="expression" dxfId="22174" priority="9859">
      <formula>#REF!="TO"</formula>
    </cfRule>
    <cfRule type="expression" dxfId="22173" priority="9860">
      <formula>#REF!="IO"</formula>
    </cfRule>
    <cfRule type="expression" dxfId="22172" priority="9861">
      <formula>#REF!="L"</formula>
    </cfRule>
  </conditionalFormatting>
  <conditionalFormatting sqref="G21">
    <cfRule type="expression" dxfId="22171" priority="9856">
      <formula>#REF!="TO"</formula>
    </cfRule>
    <cfRule type="expression" dxfId="22170" priority="9857">
      <formula>#REF!="IO"</formula>
    </cfRule>
    <cfRule type="expression" dxfId="22169" priority="9858">
      <formula>#REF!="L"</formula>
    </cfRule>
  </conditionalFormatting>
  <conditionalFormatting sqref="K21">
    <cfRule type="expression" dxfId="22168" priority="9850">
      <formula>#REF!="TO"</formula>
    </cfRule>
    <cfRule type="expression" dxfId="22167" priority="9851">
      <formula>#REF!="IO"</formula>
    </cfRule>
    <cfRule type="expression" dxfId="22166" priority="9852">
      <formula>#REF!="L"</formula>
    </cfRule>
  </conditionalFormatting>
  <conditionalFormatting sqref="E21">
    <cfRule type="expression" dxfId="22165" priority="9847">
      <formula>#REF!="TO"</formula>
    </cfRule>
    <cfRule type="expression" dxfId="22164" priority="9848">
      <formula>#REF!="IO"</formula>
    </cfRule>
    <cfRule type="expression" dxfId="22163" priority="9849">
      <formula>#REF!="L"</formula>
    </cfRule>
  </conditionalFormatting>
  <conditionalFormatting sqref="M21">
    <cfRule type="expression" dxfId="22162" priority="9841">
      <formula>#REF!="TO"</formula>
    </cfRule>
    <cfRule type="expression" dxfId="22161" priority="9842">
      <formula>#REF!="IO"</formula>
    </cfRule>
    <cfRule type="expression" dxfId="22160" priority="9843">
      <formula>#REF!="L"</formula>
    </cfRule>
  </conditionalFormatting>
  <conditionalFormatting sqref="N21:P21">
    <cfRule type="expression" dxfId="22159" priority="9838">
      <formula>#REF!="TO"</formula>
    </cfRule>
    <cfRule type="expression" dxfId="22158" priority="9839">
      <formula>#REF!="IO"</formula>
    </cfRule>
    <cfRule type="expression" dxfId="22157" priority="9840">
      <formula>#REF!="L"</formula>
    </cfRule>
  </conditionalFormatting>
  <conditionalFormatting sqref="W21">
    <cfRule type="expression" dxfId="22156" priority="9826">
      <formula>#REF!="TO"</formula>
    </cfRule>
    <cfRule type="expression" dxfId="22155" priority="9827">
      <formula>#REF!="IO"</formula>
    </cfRule>
    <cfRule type="expression" dxfId="22154" priority="9828">
      <formula>#REF!="L"</formula>
    </cfRule>
    <cfRule type="expression" dxfId="22153" priority="9829">
      <formula>G21="TO"</formula>
    </cfRule>
    <cfRule type="expression" dxfId="22152" priority="9830">
      <formula>G21="IO"</formula>
    </cfRule>
    <cfRule type="expression" dxfId="22151" priority="9831">
      <formula>G21="L"</formula>
    </cfRule>
  </conditionalFormatting>
  <conditionalFormatting sqref="X21">
    <cfRule type="expression" dxfId="22150" priority="9823">
      <formula>#REF!="TO"</formula>
    </cfRule>
    <cfRule type="expression" dxfId="22149" priority="9824">
      <formula>#REF!="IO"</formula>
    </cfRule>
    <cfRule type="expression" dxfId="22148" priority="9825">
      <formula>#REF!="L"</formula>
    </cfRule>
  </conditionalFormatting>
  <conditionalFormatting sqref="Y21">
    <cfRule type="expression" dxfId="22147" priority="9820">
      <formula>#REF!="TO"</formula>
    </cfRule>
    <cfRule type="expression" dxfId="22146" priority="9821">
      <formula>#REF!="IO"</formula>
    </cfRule>
    <cfRule type="expression" dxfId="22145" priority="9822">
      <formula>#REF!="L"</formula>
    </cfRule>
  </conditionalFormatting>
  <conditionalFormatting sqref="AC21 AG21">
    <cfRule type="expression" dxfId="22144" priority="9814">
      <formula>#REF!="TO"</formula>
    </cfRule>
    <cfRule type="expression" dxfId="22143" priority="9815">
      <formula>#REF!="IO"</formula>
    </cfRule>
    <cfRule type="expression" dxfId="22142" priority="9816">
      <formula>#REF!="L"</formula>
    </cfRule>
  </conditionalFormatting>
  <conditionalFormatting sqref="AI21">
    <cfRule type="expression" dxfId="22141" priority="9817">
      <formula>N21="TO"</formula>
    </cfRule>
    <cfRule type="expression" dxfId="22140" priority="9818">
      <formula>N21="IO"</formula>
    </cfRule>
    <cfRule type="expression" dxfId="22139" priority="9819">
      <formula>N21="L"</formula>
    </cfRule>
    <cfRule type="expression" dxfId="22138" priority="9811">
      <formula>#REF!="TO"</formula>
    </cfRule>
    <cfRule type="expression" dxfId="22137" priority="9812">
      <formula>#REF!="IO"</formula>
    </cfRule>
    <cfRule type="expression" dxfId="22136" priority="9813">
      <formula>#REF!="L"</formula>
    </cfRule>
  </conditionalFormatting>
  <conditionalFormatting sqref="AJ21">
    <cfRule type="expression" dxfId="22135" priority="9808">
      <formula>#REF!="TO"</formula>
    </cfRule>
    <cfRule type="expression" dxfId="22134" priority="9809">
      <formula>#REF!="IO"</formula>
    </cfRule>
    <cfRule type="expression" dxfId="22133" priority="9810">
      <formula>#REF!="L"</formula>
    </cfRule>
  </conditionalFormatting>
  <conditionalFormatting sqref="AK21">
    <cfRule type="expression" dxfId="22132" priority="9805">
      <formula>#REF!="TO"</formula>
    </cfRule>
    <cfRule type="expression" dxfId="22131" priority="9806">
      <formula>#REF!="IO"</formula>
    </cfRule>
    <cfRule type="expression" dxfId="22130" priority="9807">
      <formula>#REF!="L"</formula>
    </cfRule>
  </conditionalFormatting>
  <conditionalFormatting sqref="AL21">
    <cfRule type="expression" dxfId="22129" priority="9802">
      <formula>#REF!="TO"</formula>
    </cfRule>
    <cfRule type="expression" dxfId="22128" priority="9803">
      <formula>#REF!="IO"</formula>
    </cfRule>
    <cfRule type="expression" dxfId="22127" priority="9804">
      <formula>#REF!="L"</formula>
    </cfRule>
  </conditionalFormatting>
  <conditionalFormatting sqref="AM21">
    <cfRule type="expression" dxfId="22126" priority="9799">
      <formula>#REF!="TO"</formula>
    </cfRule>
    <cfRule type="expression" dxfId="22125" priority="9800">
      <formula>#REF!="IO"</formula>
    </cfRule>
    <cfRule type="expression" dxfId="22124" priority="9801">
      <formula>#REF!="L"</formula>
    </cfRule>
  </conditionalFormatting>
  <conditionalFormatting sqref="AQ21">
    <cfRule type="expression" dxfId="22123" priority="9790">
      <formula>#REF!="TO"</formula>
    </cfRule>
    <cfRule type="expression" dxfId="22122" priority="9791">
      <formula>#REF!="IO"</formula>
    </cfRule>
    <cfRule type="expression" dxfId="22121" priority="9792">
      <formula>#REF!="L"</formula>
    </cfRule>
  </conditionalFormatting>
  <conditionalFormatting sqref="AR21">
    <cfRule type="expression" dxfId="22120" priority="9787">
      <formula>#REF!="TO"</formula>
    </cfRule>
    <cfRule type="expression" dxfId="22119" priority="9788">
      <formula>#REF!="IO"</formula>
    </cfRule>
    <cfRule type="expression" dxfId="22118" priority="9789">
      <formula>#REF!="L"</formula>
    </cfRule>
  </conditionalFormatting>
  <conditionalFormatting sqref="Z21">
    <cfRule type="expression" dxfId="22117" priority="9775">
      <formula>#REF!="TO"</formula>
    </cfRule>
    <cfRule type="expression" dxfId="22116" priority="9776">
      <formula>#REF!="IO"</formula>
    </cfRule>
    <cfRule type="expression" dxfId="22115" priority="9777">
      <formula>#REF!="L"</formula>
    </cfRule>
    <cfRule type="expression" dxfId="22114" priority="9778">
      <formula>H21="TO"</formula>
    </cfRule>
    <cfRule type="expression" dxfId="22113" priority="9779">
      <formula>H21="IO"</formula>
    </cfRule>
    <cfRule type="expression" dxfId="22112" priority="9780">
      <formula>H21="L"</formula>
    </cfRule>
  </conditionalFormatting>
  <conditionalFormatting sqref="AT21">
    <cfRule type="expression" dxfId="22111" priority="9769">
      <formula>#REF!="TO"</formula>
    </cfRule>
    <cfRule type="expression" dxfId="22110" priority="9770">
      <formula>#REF!="IO"</formula>
    </cfRule>
    <cfRule type="expression" dxfId="22109" priority="9771">
      <formula>#REF!="L"</formula>
    </cfRule>
  </conditionalFormatting>
  <conditionalFormatting sqref="V21">
    <cfRule type="expression" dxfId="22108" priority="9757">
      <formula>#REF!="TO"</formula>
    </cfRule>
    <cfRule type="expression" dxfId="22107" priority="9758">
      <formula>#REF!="IO"</formula>
    </cfRule>
    <cfRule type="expression" dxfId="22106" priority="9759">
      <formula>#REF!="L"</formula>
    </cfRule>
  </conditionalFormatting>
  <conditionalFormatting sqref="AE21">
    <cfRule type="expression" dxfId="22105" priority="9763">
      <formula>#REF!="TO"</formula>
    </cfRule>
    <cfRule type="expression" dxfId="22104" priority="9764">
      <formula>#REF!="IO"</formula>
    </cfRule>
    <cfRule type="expression" dxfId="22103" priority="9765">
      <formula>#REF!="L"</formula>
    </cfRule>
    <cfRule type="expression" dxfId="22102" priority="9766">
      <formula>E21="TO"</formula>
    </cfRule>
    <cfRule type="expression" dxfId="22101" priority="9767">
      <formula>E21="IO"</formula>
    </cfRule>
    <cfRule type="expression" dxfId="22100" priority="9768">
      <formula>E21="L"</formula>
    </cfRule>
  </conditionalFormatting>
  <conditionalFormatting sqref="AF21">
    <cfRule type="expression" dxfId="22099" priority="9760">
      <formula>#REF!="TO"</formula>
    </cfRule>
    <cfRule type="expression" dxfId="22098" priority="9761">
      <formula>#REF!="IO"</formula>
    </cfRule>
    <cfRule type="expression" dxfId="22097" priority="9762">
      <formula>#REF!="L"</formula>
    </cfRule>
  </conditionalFormatting>
  <conditionalFormatting sqref="AH21">
    <cfRule type="expression" dxfId="22096" priority="9754">
      <formula>#REF!="TO"</formula>
    </cfRule>
    <cfRule type="expression" dxfId="22095" priority="9755">
      <formula>#REF!="IO"</formula>
    </cfRule>
    <cfRule type="expression" dxfId="22094" priority="9756">
      <formula>#REF!="L"</formula>
    </cfRule>
  </conditionalFormatting>
  <conditionalFormatting sqref="V22">
    <cfRule type="expression" dxfId="22093" priority="9499">
      <formula>#REF!="TO"</formula>
    </cfRule>
    <cfRule type="expression" dxfId="22092" priority="9500">
      <formula>#REF!="IO"</formula>
    </cfRule>
    <cfRule type="expression" dxfId="22091" priority="9501">
      <formula>#REF!="L"</formula>
    </cfRule>
  </conditionalFormatting>
  <conditionalFormatting sqref="B22:B29">
    <cfRule type="expression" dxfId="22090" priority="9610">
      <formula>#REF!="TO"</formula>
    </cfRule>
    <cfRule type="expression" dxfId="22089" priority="9611">
      <formula>#REF!="IO"</formula>
    </cfRule>
    <cfRule type="expression" dxfId="22088" priority="9612">
      <formula>#REF!="L"</formula>
    </cfRule>
  </conditionalFormatting>
  <conditionalFormatting sqref="AR22">
    <cfRule type="expression" dxfId="22087" priority="9529">
      <formula>#REF!="TO"</formula>
    </cfRule>
    <cfRule type="expression" dxfId="22086" priority="9530">
      <formula>#REF!="IO"</formula>
    </cfRule>
    <cfRule type="expression" dxfId="22085" priority="9531">
      <formula>#REF!="L"</formula>
    </cfRule>
  </conditionalFormatting>
  <conditionalFormatting sqref="D22">
    <cfRule type="expression" dxfId="22084" priority="9604">
      <formula>#REF!="TO"</formula>
    </cfRule>
    <cfRule type="expression" dxfId="22083" priority="9605">
      <formula>#REF!="IO"</formula>
    </cfRule>
    <cfRule type="expression" dxfId="22082" priority="9606">
      <formula>#REF!="L"</formula>
    </cfRule>
  </conditionalFormatting>
  <conditionalFormatting sqref="F22">
    <cfRule type="expression" dxfId="22081" priority="9601">
      <formula>#REF!="TO"</formula>
    </cfRule>
    <cfRule type="expression" dxfId="22080" priority="9602">
      <formula>#REF!="IO"</formula>
    </cfRule>
    <cfRule type="expression" dxfId="22079" priority="9603">
      <formula>#REF!="L"</formula>
    </cfRule>
  </conditionalFormatting>
  <conditionalFormatting sqref="G22:G29">
    <cfRule type="expression" dxfId="22078" priority="9598">
      <formula>#REF!="TO"</formula>
    </cfRule>
    <cfRule type="expression" dxfId="22077" priority="9599">
      <formula>#REF!="IO"</formula>
    </cfRule>
    <cfRule type="expression" dxfId="22076" priority="9600">
      <formula>#REF!="L"</formula>
    </cfRule>
  </conditionalFormatting>
  <conditionalFormatting sqref="K22">
    <cfRule type="expression" dxfId="22075" priority="9592">
      <formula>#REF!="TO"</formula>
    </cfRule>
    <cfRule type="expression" dxfId="22074" priority="9593">
      <formula>#REF!="IO"</formula>
    </cfRule>
    <cfRule type="expression" dxfId="22073" priority="9594">
      <formula>#REF!="L"</formula>
    </cfRule>
  </conditionalFormatting>
  <conditionalFormatting sqref="E22:E29">
    <cfRule type="expression" dxfId="22072" priority="9589">
      <formula>#REF!="TO"</formula>
    </cfRule>
    <cfRule type="expression" dxfId="22071" priority="9590">
      <formula>#REF!="IO"</formula>
    </cfRule>
    <cfRule type="expression" dxfId="22070" priority="9591">
      <formula>#REF!="L"</formula>
    </cfRule>
  </conditionalFormatting>
  <conditionalFormatting sqref="K42">
    <cfRule type="expression" dxfId="22069" priority="9472">
      <formula>#REF!="TO"</formula>
    </cfRule>
    <cfRule type="expression" dxfId="22068" priority="9473">
      <formula>#REF!="IO"</formula>
    </cfRule>
    <cfRule type="expression" dxfId="22067" priority="9474">
      <formula>#REF!="L"</formula>
    </cfRule>
  </conditionalFormatting>
  <conditionalFormatting sqref="M22">
    <cfRule type="expression" dxfId="22066" priority="9583">
      <formula>#REF!="TO"</formula>
    </cfRule>
    <cfRule type="expression" dxfId="22065" priority="9584">
      <formula>#REF!="IO"</formula>
    </cfRule>
    <cfRule type="expression" dxfId="22064" priority="9585">
      <formula>#REF!="L"</formula>
    </cfRule>
  </conditionalFormatting>
  <conditionalFormatting sqref="N22:P29">
    <cfRule type="expression" dxfId="22063" priority="9580">
      <formula>#REF!="TO"</formula>
    </cfRule>
    <cfRule type="expression" dxfId="22062" priority="9581">
      <formula>#REF!="IO"</formula>
    </cfRule>
    <cfRule type="expression" dxfId="22061" priority="9582">
      <formula>#REF!="L"</formula>
    </cfRule>
  </conditionalFormatting>
  <conditionalFormatting sqref="AK22:AK29">
    <cfRule type="expression" dxfId="22060" priority="9547">
      <formula>#REF!="TO"</formula>
    </cfRule>
    <cfRule type="expression" dxfId="22059" priority="9548">
      <formula>#REF!="IO"</formula>
    </cfRule>
    <cfRule type="expression" dxfId="22058" priority="9549">
      <formula>#REF!="L"</formula>
    </cfRule>
  </conditionalFormatting>
  <conditionalFormatting sqref="AL22">
    <cfRule type="expression" dxfId="22057" priority="9544">
      <formula>#REF!="TO"</formula>
    </cfRule>
    <cfRule type="expression" dxfId="22056" priority="9545">
      <formula>#REF!="IO"</formula>
    </cfRule>
    <cfRule type="expression" dxfId="22055" priority="9546">
      <formula>#REF!="L"</formula>
    </cfRule>
  </conditionalFormatting>
  <conditionalFormatting sqref="AM22">
    <cfRule type="expression" dxfId="22054" priority="9541">
      <formula>#REF!="TO"</formula>
    </cfRule>
    <cfRule type="expression" dxfId="22053" priority="9542">
      <formula>#REF!="IO"</formula>
    </cfRule>
    <cfRule type="expression" dxfId="22052" priority="9543">
      <formula>#REF!="L"</formula>
    </cfRule>
  </conditionalFormatting>
  <conditionalFormatting sqref="AN22 AP22">
    <cfRule type="expression" dxfId="22051" priority="9535">
      <formula>#REF!="TO"</formula>
    </cfRule>
    <cfRule type="expression" dxfId="22050" priority="9536">
      <formula>#REF!="IO"</formula>
    </cfRule>
    <cfRule type="expression" dxfId="22049" priority="9537">
      <formula>#REF!="L"</formula>
    </cfRule>
  </conditionalFormatting>
  <conditionalFormatting sqref="AS22">
    <cfRule type="expression" dxfId="22048" priority="9523">
      <formula>#REF!="TO"</formula>
    </cfRule>
    <cfRule type="expression" dxfId="22047" priority="9524">
      <formula>#REF!="IO"</formula>
    </cfRule>
    <cfRule type="expression" dxfId="22046" priority="9525">
      <formula>#REF!="L"</formula>
    </cfRule>
    <cfRule type="expression" dxfId="22045" priority="9526">
      <formula>Y22="TO"</formula>
    </cfRule>
    <cfRule type="expression" dxfId="22044" priority="9527">
      <formula>Y22="IO"</formula>
    </cfRule>
    <cfRule type="expression" dxfId="22043" priority="9528">
      <formula>Y22="L"</formula>
    </cfRule>
  </conditionalFormatting>
  <conditionalFormatting sqref="AT22">
    <cfRule type="expression" dxfId="22042" priority="9511">
      <formula>#REF!="TO"</formula>
    </cfRule>
    <cfRule type="expression" dxfId="22041" priority="9512">
      <formula>#REF!="IO"</formula>
    </cfRule>
    <cfRule type="expression" dxfId="22040" priority="9513">
      <formula>#REF!="L"</formula>
    </cfRule>
  </conditionalFormatting>
  <conditionalFormatting sqref="A22">
    <cfRule type="expression" dxfId="22039" priority="9616">
      <formula>#REF!="TO"</formula>
    </cfRule>
    <cfRule type="expression" dxfId="22038" priority="9617">
      <formula>#REF!="IO"</formula>
    </cfRule>
    <cfRule type="expression" dxfId="22037" priority="9618">
      <formula>#REF!="L"</formula>
    </cfRule>
  </conditionalFormatting>
  <conditionalFormatting sqref="W22">
    <cfRule type="expression" dxfId="22036" priority="9568">
      <formula>#REF!="TO"</formula>
    </cfRule>
    <cfRule type="expression" dxfId="22035" priority="9569">
      <formula>#REF!="IO"</formula>
    </cfRule>
    <cfRule type="expression" dxfId="22034" priority="9570">
      <formula>#REF!="L"</formula>
    </cfRule>
    <cfRule type="expression" dxfId="22033" priority="9571">
      <formula>G22="TO"</formula>
    </cfRule>
    <cfRule type="expression" dxfId="22032" priority="9572">
      <formula>G22="IO"</formula>
    </cfRule>
    <cfRule type="expression" dxfId="22031" priority="9573">
      <formula>G22="L"</formula>
    </cfRule>
  </conditionalFormatting>
  <conditionalFormatting sqref="Y22:Y29">
    <cfRule type="expression" dxfId="22030" priority="9562">
      <formula>#REF!="TO"</formula>
    </cfRule>
    <cfRule type="expression" dxfId="22029" priority="9563">
      <formula>#REF!="IO"</formula>
    </cfRule>
    <cfRule type="expression" dxfId="22028" priority="9564">
      <formula>#REF!="L"</formula>
    </cfRule>
  </conditionalFormatting>
  <conditionalFormatting sqref="AQ22">
    <cfRule type="expression" dxfId="22027" priority="9532">
      <formula>#REF!="TO"</formula>
    </cfRule>
    <cfRule type="expression" dxfId="22026" priority="9533">
      <formula>#REF!="IO"</formula>
    </cfRule>
    <cfRule type="expression" dxfId="22025" priority="9534">
      <formula>#REF!="L"</formula>
    </cfRule>
  </conditionalFormatting>
  <conditionalFormatting sqref="X22:X29">
    <cfRule type="expression" dxfId="22024" priority="9565">
      <formula>#REF!="TO"</formula>
    </cfRule>
    <cfRule type="expression" dxfId="22023" priority="9566">
      <formula>#REF!="IO"</formula>
    </cfRule>
    <cfRule type="expression" dxfId="22022" priority="9567">
      <formula>#REF!="L"</formula>
    </cfRule>
  </conditionalFormatting>
  <conditionalFormatting sqref="AC22 AG22">
    <cfRule type="expression" dxfId="22021" priority="9556">
      <formula>#REF!="TO"</formula>
    </cfRule>
    <cfRule type="expression" dxfId="22020" priority="9557">
      <formula>#REF!="IO"</formula>
    </cfRule>
    <cfRule type="expression" dxfId="22019" priority="9558">
      <formula>#REF!="L"</formula>
    </cfRule>
  </conditionalFormatting>
  <conditionalFormatting sqref="AI22">
    <cfRule type="expression" dxfId="22018" priority="9559">
      <formula>N22="TO"</formula>
    </cfRule>
    <cfRule type="expression" dxfId="22017" priority="9560">
      <formula>N22="IO"</formula>
    </cfRule>
    <cfRule type="expression" dxfId="22016" priority="9561">
      <formula>N22="L"</formula>
    </cfRule>
    <cfRule type="expression" dxfId="22015" priority="9553">
      <formula>#REF!="TO"</formula>
    </cfRule>
    <cfRule type="expression" dxfId="22014" priority="9554">
      <formula>#REF!="IO"</formula>
    </cfRule>
    <cfRule type="expression" dxfId="22013" priority="9555">
      <formula>#REF!="L"</formula>
    </cfRule>
  </conditionalFormatting>
  <conditionalFormatting sqref="AJ22:AJ29">
    <cfRule type="expression" dxfId="22012" priority="9550">
      <formula>#REF!="TO"</formula>
    </cfRule>
    <cfRule type="expression" dxfId="22011" priority="9551">
      <formula>#REF!="IO"</formula>
    </cfRule>
    <cfRule type="expression" dxfId="22010" priority="9552">
      <formula>#REF!="L"</formula>
    </cfRule>
  </conditionalFormatting>
  <conditionalFormatting sqref="Z22:Z29">
    <cfRule type="expression" dxfId="22009" priority="9517">
      <formula>#REF!="TO"</formula>
    </cfRule>
    <cfRule type="expression" dxfId="22008" priority="9518">
      <formula>#REF!="IO"</formula>
    </cfRule>
    <cfRule type="expression" dxfId="22007" priority="9519">
      <formula>#REF!="L"</formula>
    </cfRule>
    <cfRule type="expression" dxfId="22006" priority="9520">
      <formula>H22="TO"</formula>
    </cfRule>
    <cfRule type="expression" dxfId="22005" priority="9521">
      <formula>H22="IO"</formula>
    </cfRule>
    <cfRule type="expression" dxfId="22004" priority="9522">
      <formula>H22="L"</formula>
    </cfRule>
  </conditionalFormatting>
  <conditionalFormatting sqref="AE22:AE29">
    <cfRule type="expression" dxfId="22003" priority="9505">
      <formula>#REF!="TO"</formula>
    </cfRule>
    <cfRule type="expression" dxfId="22002" priority="9506">
      <formula>#REF!="IO"</formula>
    </cfRule>
    <cfRule type="expression" dxfId="22001" priority="9507">
      <formula>#REF!="L"</formula>
    </cfRule>
    <cfRule type="expression" dxfId="22000" priority="9508">
      <formula>E22="TO"</formula>
    </cfRule>
    <cfRule type="expression" dxfId="21999" priority="9509">
      <formula>E22="IO"</formula>
    </cfRule>
    <cfRule type="expression" dxfId="21998" priority="9510">
      <formula>E22="L"</formula>
    </cfRule>
  </conditionalFormatting>
  <conditionalFormatting sqref="AF22:AF29">
    <cfRule type="expression" dxfId="21997" priority="9502">
      <formula>#REF!="TO"</formula>
    </cfRule>
    <cfRule type="expression" dxfId="21996" priority="9503">
      <formula>#REF!="IO"</formula>
    </cfRule>
    <cfRule type="expression" dxfId="21995" priority="9504">
      <formula>#REF!="L"</formula>
    </cfRule>
  </conditionalFormatting>
  <conditionalFormatting sqref="AH22">
    <cfRule type="expression" dxfId="21994" priority="9496">
      <formula>#REF!="TO"</formula>
    </cfRule>
    <cfRule type="expression" dxfId="21993" priority="9497">
      <formula>#REF!="IO"</formula>
    </cfRule>
    <cfRule type="expression" dxfId="21992" priority="9498">
      <formula>#REF!="L"</formula>
    </cfRule>
  </conditionalFormatting>
  <conditionalFormatting sqref="M23:M29">
    <cfRule type="expression" dxfId="21991" priority="9493">
      <formula>#REF!="TO"</formula>
    </cfRule>
    <cfRule type="expression" dxfId="21990" priority="9494">
      <formula>#REF!="IO"</formula>
    </cfRule>
    <cfRule type="expression" dxfId="21989" priority="9495">
      <formula>#REF!="L"</formula>
    </cfRule>
  </conditionalFormatting>
  <conditionalFormatting sqref="A42">
    <cfRule type="expression" dxfId="21988" priority="9487">
      <formula>#REF!="TO"</formula>
    </cfRule>
    <cfRule type="expression" dxfId="21987" priority="9488">
      <formula>#REF!="IO"</formula>
    </cfRule>
    <cfRule type="expression" dxfId="21986" priority="9489">
      <formula>#REF!="L"</formula>
    </cfRule>
  </conditionalFormatting>
  <conditionalFormatting sqref="B42">
    <cfRule type="expression" dxfId="21985" priority="9484">
      <formula>#REF!="TO"</formula>
    </cfRule>
    <cfRule type="expression" dxfId="21984" priority="9485">
      <formula>#REF!="IO"</formula>
    </cfRule>
    <cfRule type="expression" dxfId="21983" priority="9486">
      <formula>#REF!="L"</formula>
    </cfRule>
  </conditionalFormatting>
  <conditionalFormatting sqref="E42">
    <cfRule type="expression" dxfId="21982" priority="9481">
      <formula>#REF!="TO"</formula>
    </cfRule>
    <cfRule type="expression" dxfId="21981" priority="9482">
      <formula>#REF!="IO"</formula>
    </cfRule>
    <cfRule type="expression" dxfId="21980" priority="9483">
      <formula>#REF!="L"</formula>
    </cfRule>
  </conditionalFormatting>
  <conditionalFormatting sqref="G42">
    <cfRule type="expression" dxfId="21979" priority="9478">
      <formula>#REF!="TO"</formula>
    </cfRule>
    <cfRule type="expression" dxfId="21978" priority="9479">
      <formula>#REF!="IO"</formula>
    </cfRule>
    <cfRule type="expression" dxfId="21977" priority="9480">
      <formula>#REF!="L"</formula>
    </cfRule>
  </conditionalFormatting>
  <conditionalFormatting sqref="K44">
    <cfRule type="expression" dxfId="21976" priority="9322">
      <formula>#REF!="TO"</formula>
    </cfRule>
    <cfRule type="expression" dxfId="21975" priority="9323">
      <formula>#REF!="IO"</formula>
    </cfRule>
    <cfRule type="expression" dxfId="21974" priority="9324">
      <formula>#REF!="L"</formula>
    </cfRule>
  </conditionalFormatting>
  <conditionalFormatting sqref="N42:P42">
    <cfRule type="expression" dxfId="21973" priority="9466">
      <formula>#REF!="TO"</formula>
    </cfRule>
    <cfRule type="expression" dxfId="21972" priority="9467">
      <formula>#REF!="IO"</formula>
    </cfRule>
    <cfRule type="expression" dxfId="21971" priority="9468">
      <formula>#REF!="L"</formula>
    </cfRule>
  </conditionalFormatting>
  <conditionalFormatting sqref="Q21">
    <cfRule type="expression" dxfId="21970" priority="9250">
      <formula>#REF!="TO"</formula>
    </cfRule>
    <cfRule type="expression" dxfId="21969" priority="9251">
      <formula>#REF!="IO"</formula>
    </cfRule>
    <cfRule type="expression" dxfId="21968" priority="9252">
      <formula>#REF!="L"</formula>
    </cfRule>
  </conditionalFormatting>
  <conditionalFormatting sqref="AK43">
    <cfRule type="expression" dxfId="21967" priority="9367">
      <formula>#REF!="TO"</formula>
    </cfRule>
    <cfRule type="expression" dxfId="21966" priority="9368">
      <formula>#REF!="IO"</formula>
    </cfRule>
    <cfRule type="expression" dxfId="21965" priority="9369">
      <formula>#REF!="L"</formula>
    </cfRule>
  </conditionalFormatting>
  <conditionalFormatting sqref="V42">
    <cfRule type="expression" dxfId="21964" priority="9457">
      <formula>#REF!="TO"</formula>
    </cfRule>
    <cfRule type="expression" dxfId="21963" priority="9458">
      <formula>#REF!="IO"</formula>
    </cfRule>
    <cfRule type="expression" dxfId="21962" priority="9459">
      <formula>#REF!="L"</formula>
    </cfRule>
  </conditionalFormatting>
  <conditionalFormatting sqref="X42">
    <cfRule type="expression" dxfId="21961" priority="9454">
      <formula>#REF!="TO"</formula>
    </cfRule>
    <cfRule type="expression" dxfId="21960" priority="9455">
      <formula>#REF!="IO"</formula>
    </cfRule>
    <cfRule type="expression" dxfId="21959" priority="9456">
      <formula>#REF!="L"</formula>
    </cfRule>
  </conditionalFormatting>
  <conditionalFormatting sqref="Y42">
    <cfRule type="expression" dxfId="21958" priority="9451">
      <formula>#REF!="TO"</formula>
    </cfRule>
    <cfRule type="expression" dxfId="21957" priority="9452">
      <formula>#REF!="IO"</formula>
    </cfRule>
    <cfRule type="expression" dxfId="21956" priority="9453">
      <formula>#REF!="L"</formula>
    </cfRule>
  </conditionalFormatting>
  <conditionalFormatting sqref="AH42">
    <cfRule type="expression" dxfId="21955" priority="9448">
      <formula>#REF!="TO"</formula>
    </cfRule>
    <cfRule type="expression" dxfId="21954" priority="9449">
      <formula>#REF!="IO"</formula>
    </cfRule>
    <cfRule type="expression" dxfId="21953" priority="9450">
      <formula>#REF!="L"</formula>
    </cfRule>
  </conditionalFormatting>
  <conditionalFormatting sqref="AJ42">
    <cfRule type="expression" dxfId="21952" priority="9445">
      <formula>#REF!="TO"</formula>
    </cfRule>
    <cfRule type="expression" dxfId="21951" priority="9446">
      <formula>#REF!="IO"</formula>
    </cfRule>
    <cfRule type="expression" dxfId="21950" priority="9447">
      <formula>#REF!="L"</formula>
    </cfRule>
  </conditionalFormatting>
  <conditionalFormatting sqref="AK42">
    <cfRule type="expression" dxfId="21949" priority="9442">
      <formula>#REF!="TO"</formula>
    </cfRule>
    <cfRule type="expression" dxfId="21948" priority="9443">
      <formula>#REF!="IO"</formula>
    </cfRule>
    <cfRule type="expression" dxfId="21947" priority="9444">
      <formula>#REF!="L"</formula>
    </cfRule>
  </conditionalFormatting>
  <conditionalFormatting sqref="AM42">
    <cfRule type="expression" dxfId="21946" priority="9439">
      <formula>#REF!="TO"</formula>
    </cfRule>
    <cfRule type="expression" dxfId="21945" priority="9440">
      <formula>#REF!="IO"</formula>
    </cfRule>
    <cfRule type="expression" dxfId="21944" priority="9441">
      <formula>#REF!="L"</formula>
    </cfRule>
  </conditionalFormatting>
  <conditionalFormatting sqref="AQ42">
    <cfRule type="expression" dxfId="21943" priority="9436">
      <formula>#REF!="TO"</formula>
    </cfRule>
    <cfRule type="expression" dxfId="21942" priority="9437">
      <formula>#REF!="IO"</formula>
    </cfRule>
    <cfRule type="expression" dxfId="21941" priority="9438">
      <formula>#REF!="L"</formula>
    </cfRule>
  </conditionalFormatting>
  <conditionalFormatting sqref="AR42">
    <cfRule type="expression" dxfId="21940" priority="9433">
      <formula>#REF!="TO"</formula>
    </cfRule>
    <cfRule type="expression" dxfId="21939" priority="9434">
      <formula>#REF!="IO"</formula>
    </cfRule>
    <cfRule type="expression" dxfId="21938" priority="9435">
      <formula>#REF!="L"</formula>
    </cfRule>
  </conditionalFormatting>
  <conditionalFormatting sqref="Q13">
    <cfRule type="expression" dxfId="21937" priority="9262">
      <formula>#REF!="TO"</formula>
    </cfRule>
    <cfRule type="expression" dxfId="21936" priority="9263">
      <formula>#REF!="IO"</formula>
    </cfRule>
    <cfRule type="expression" dxfId="21935" priority="9264">
      <formula>#REF!="L"</formula>
    </cfRule>
  </conditionalFormatting>
  <conditionalFormatting sqref="P42">
    <cfRule type="expression" dxfId="21934" priority="9427">
      <formula>#REF!="TO"</formula>
    </cfRule>
    <cfRule type="expression" dxfId="21933" priority="9428">
      <formula>#REF!="IO"</formula>
    </cfRule>
    <cfRule type="expression" dxfId="21932" priority="9429">
      <formula>#REF!="L"</formula>
    </cfRule>
  </conditionalFormatting>
  <conditionalFormatting sqref="AT42">
    <cfRule type="expression" dxfId="21931" priority="9418">
      <formula>#REF!="TO"</formula>
    </cfRule>
    <cfRule type="expression" dxfId="21930" priority="9419">
      <formula>#REF!="IO"</formula>
    </cfRule>
    <cfRule type="expression" dxfId="21929" priority="9420">
      <formula>#REF!="L"</formula>
    </cfRule>
  </conditionalFormatting>
  <conditionalFormatting sqref="AF42">
    <cfRule type="expression" dxfId="21928" priority="9415">
      <formula>#REF!="TO"</formula>
    </cfRule>
    <cfRule type="expression" dxfId="21927" priority="9416">
      <formula>#REF!="IO"</formula>
    </cfRule>
    <cfRule type="expression" dxfId="21926" priority="9417">
      <formula>#REF!="L"</formula>
    </cfRule>
  </conditionalFormatting>
  <conditionalFormatting sqref="A43">
    <cfRule type="expression" dxfId="21925" priority="9412">
      <formula>#REF!="TO"</formula>
    </cfRule>
    <cfRule type="expression" dxfId="21924" priority="9413">
      <formula>#REF!="IO"</formula>
    </cfRule>
    <cfRule type="expression" dxfId="21923" priority="9414">
      <formula>#REF!="L"</formula>
    </cfRule>
  </conditionalFormatting>
  <conditionalFormatting sqref="B43">
    <cfRule type="expression" dxfId="21922" priority="9409">
      <formula>#REF!="TO"</formula>
    </cfRule>
    <cfRule type="expression" dxfId="21921" priority="9410">
      <formula>#REF!="IO"</formula>
    </cfRule>
    <cfRule type="expression" dxfId="21920" priority="9411">
      <formula>#REF!="L"</formula>
    </cfRule>
  </conditionalFormatting>
  <conditionalFormatting sqref="E43">
    <cfRule type="expression" dxfId="21919" priority="9406">
      <formula>#REF!="TO"</formula>
    </cfRule>
    <cfRule type="expression" dxfId="21918" priority="9407">
      <formula>#REF!="IO"</formula>
    </cfRule>
    <cfRule type="expression" dxfId="21917" priority="9408">
      <formula>#REF!="L"</formula>
    </cfRule>
  </conditionalFormatting>
  <conditionalFormatting sqref="G43">
    <cfRule type="expression" dxfId="21916" priority="9403">
      <formula>#REF!="TO"</formula>
    </cfRule>
    <cfRule type="expression" dxfId="21915" priority="9404">
      <formula>#REF!="IO"</formula>
    </cfRule>
    <cfRule type="expression" dxfId="21914" priority="9405">
      <formula>#REF!="L"</formula>
    </cfRule>
  </conditionalFormatting>
  <conditionalFormatting sqref="K43">
    <cfRule type="expression" dxfId="21913" priority="9397">
      <formula>#REF!="TO"</formula>
    </cfRule>
    <cfRule type="expression" dxfId="21912" priority="9398">
      <formula>#REF!="IO"</formula>
    </cfRule>
    <cfRule type="expression" dxfId="21911" priority="9399">
      <formula>#REF!="L"</formula>
    </cfRule>
  </conditionalFormatting>
  <conditionalFormatting sqref="Q22">
    <cfRule type="expression" dxfId="21910" priority="9247">
      <formula>#REF!="TO"</formula>
    </cfRule>
    <cfRule type="expression" dxfId="21909" priority="9248">
      <formula>#REF!="IO"</formula>
    </cfRule>
    <cfRule type="expression" dxfId="21908" priority="9249">
      <formula>#REF!="L"</formula>
    </cfRule>
  </conditionalFormatting>
  <conditionalFormatting sqref="N43:P43">
    <cfRule type="expression" dxfId="21907" priority="9391">
      <formula>#REF!="TO"</formula>
    </cfRule>
    <cfRule type="expression" dxfId="21906" priority="9392">
      <formula>#REF!="IO"</formula>
    </cfRule>
    <cfRule type="expression" dxfId="21905" priority="9393">
      <formula>#REF!="L"</formula>
    </cfRule>
  </conditionalFormatting>
  <conditionalFormatting sqref="V45">
    <cfRule type="expression" dxfId="21904" priority="9175">
      <formula>#REF!="TO"</formula>
    </cfRule>
    <cfRule type="expression" dxfId="21903" priority="9176">
      <formula>#REF!="IO"</formula>
    </cfRule>
    <cfRule type="expression" dxfId="21902" priority="9177">
      <formula>#REF!="L"</formula>
    </cfRule>
  </conditionalFormatting>
  <conditionalFormatting sqref="AK44">
    <cfRule type="expression" dxfId="21901" priority="9292">
      <formula>#REF!="TO"</formula>
    </cfRule>
    <cfRule type="expression" dxfId="21900" priority="9293">
      <formula>#REF!="IO"</formula>
    </cfRule>
    <cfRule type="expression" dxfId="21899" priority="9294">
      <formula>#REF!="L"</formula>
    </cfRule>
  </conditionalFormatting>
  <conditionalFormatting sqref="V43">
    <cfRule type="expression" dxfId="21898" priority="9382">
      <formula>#REF!="TO"</formula>
    </cfRule>
    <cfRule type="expression" dxfId="21897" priority="9383">
      <formula>#REF!="IO"</formula>
    </cfRule>
    <cfRule type="expression" dxfId="21896" priority="9384">
      <formula>#REF!="L"</formula>
    </cfRule>
  </conditionalFormatting>
  <conditionalFormatting sqref="X43">
    <cfRule type="expression" dxfId="21895" priority="9379">
      <formula>#REF!="TO"</formula>
    </cfRule>
    <cfRule type="expression" dxfId="21894" priority="9380">
      <formula>#REF!="IO"</formula>
    </cfRule>
    <cfRule type="expression" dxfId="21893" priority="9381">
      <formula>#REF!="L"</formula>
    </cfRule>
  </conditionalFormatting>
  <conditionalFormatting sqref="Y43">
    <cfRule type="expression" dxfId="21892" priority="9376">
      <formula>#REF!="TO"</formula>
    </cfRule>
    <cfRule type="expression" dxfId="21891" priority="9377">
      <formula>#REF!="IO"</formula>
    </cfRule>
    <cfRule type="expression" dxfId="21890" priority="9378">
      <formula>#REF!="L"</formula>
    </cfRule>
  </conditionalFormatting>
  <conditionalFormatting sqref="AH43">
    <cfRule type="expression" dxfId="21889" priority="9373">
      <formula>#REF!="TO"</formula>
    </cfRule>
    <cfRule type="expression" dxfId="21888" priority="9374">
      <formula>#REF!="IO"</formula>
    </cfRule>
    <cfRule type="expression" dxfId="21887" priority="9375">
      <formula>#REF!="L"</formula>
    </cfRule>
  </conditionalFormatting>
  <conditionalFormatting sqref="AJ43">
    <cfRule type="expression" dxfId="21886" priority="9370">
      <formula>#REF!="TO"</formula>
    </cfRule>
    <cfRule type="expression" dxfId="21885" priority="9371">
      <formula>#REF!="IO"</formula>
    </cfRule>
    <cfRule type="expression" dxfId="21884" priority="9372">
      <formula>#REF!="L"</formula>
    </cfRule>
  </conditionalFormatting>
  <conditionalFormatting sqref="K47">
    <cfRule type="expression" dxfId="21883" priority="9040">
      <formula>#REF!="TO"</formula>
    </cfRule>
    <cfRule type="expression" dxfId="21882" priority="9041">
      <formula>#REF!="IO"</formula>
    </cfRule>
    <cfRule type="expression" dxfId="21881" priority="9042">
      <formula>#REF!="L"</formula>
    </cfRule>
  </conditionalFormatting>
  <conditionalFormatting sqref="AM43">
    <cfRule type="expression" dxfId="21880" priority="9364">
      <formula>#REF!="TO"</formula>
    </cfRule>
    <cfRule type="expression" dxfId="21879" priority="9365">
      <formula>#REF!="IO"</formula>
    </cfRule>
    <cfRule type="expression" dxfId="21878" priority="9366">
      <formula>#REF!="L"</formula>
    </cfRule>
  </conditionalFormatting>
  <conditionalFormatting sqref="AQ43">
    <cfRule type="expression" dxfId="21877" priority="9361">
      <formula>#REF!="TO"</formula>
    </cfRule>
    <cfRule type="expression" dxfId="21876" priority="9362">
      <formula>#REF!="IO"</formula>
    </cfRule>
    <cfRule type="expression" dxfId="21875" priority="9363">
      <formula>#REF!="L"</formula>
    </cfRule>
  </conditionalFormatting>
  <conditionalFormatting sqref="AR43">
    <cfRule type="expression" dxfId="21874" priority="9358">
      <formula>#REF!="TO"</formula>
    </cfRule>
    <cfRule type="expression" dxfId="21873" priority="9359">
      <formula>#REF!="IO"</formula>
    </cfRule>
    <cfRule type="expression" dxfId="21872" priority="9360">
      <formula>#REF!="L"</formula>
    </cfRule>
  </conditionalFormatting>
  <conditionalFormatting sqref="P43">
    <cfRule type="expression" dxfId="21871" priority="9352">
      <formula>#REF!="TO"</formula>
    </cfRule>
    <cfRule type="expression" dxfId="21870" priority="9353">
      <formula>#REF!="IO"</formula>
    </cfRule>
    <cfRule type="expression" dxfId="21869" priority="9354">
      <formula>#REF!="L"</formula>
    </cfRule>
  </conditionalFormatting>
  <conditionalFormatting sqref="AT43">
    <cfRule type="expression" dxfId="21868" priority="9343">
      <formula>#REF!="TO"</formula>
    </cfRule>
    <cfRule type="expression" dxfId="21867" priority="9344">
      <formula>#REF!="IO"</formula>
    </cfRule>
    <cfRule type="expression" dxfId="21866" priority="9345">
      <formula>#REF!="L"</formula>
    </cfRule>
  </conditionalFormatting>
  <conditionalFormatting sqref="AF43">
    <cfRule type="expression" dxfId="21865" priority="9340">
      <formula>#REF!="TO"</formula>
    </cfRule>
    <cfRule type="expression" dxfId="21864" priority="9341">
      <formula>#REF!="IO"</formula>
    </cfRule>
    <cfRule type="expression" dxfId="21863" priority="9342">
      <formula>#REF!="L"</formula>
    </cfRule>
  </conditionalFormatting>
  <conditionalFormatting sqref="A44">
    <cfRule type="expression" dxfId="21862" priority="9337">
      <formula>#REF!="TO"</formula>
    </cfRule>
    <cfRule type="expression" dxfId="21861" priority="9338">
      <formula>#REF!="IO"</formula>
    </cfRule>
    <cfRule type="expression" dxfId="21860" priority="9339">
      <formula>#REF!="L"</formula>
    </cfRule>
  </conditionalFormatting>
  <conditionalFormatting sqref="B44">
    <cfRule type="expression" dxfId="21859" priority="9334">
      <formula>#REF!="TO"</formula>
    </cfRule>
    <cfRule type="expression" dxfId="21858" priority="9335">
      <formula>#REF!="IO"</formula>
    </cfRule>
    <cfRule type="expression" dxfId="21857" priority="9336">
      <formula>#REF!="L"</formula>
    </cfRule>
  </conditionalFormatting>
  <conditionalFormatting sqref="E44">
    <cfRule type="expression" dxfId="21856" priority="9331">
      <formula>#REF!="TO"</formula>
    </cfRule>
    <cfRule type="expression" dxfId="21855" priority="9332">
      <formula>#REF!="IO"</formula>
    </cfRule>
    <cfRule type="expression" dxfId="21854" priority="9333">
      <formula>#REF!="L"</formula>
    </cfRule>
  </conditionalFormatting>
  <conditionalFormatting sqref="G44">
    <cfRule type="expression" dxfId="21853" priority="9328">
      <formula>#REF!="TO"</formula>
    </cfRule>
    <cfRule type="expression" dxfId="21852" priority="9329">
      <formula>#REF!="IO"</formula>
    </cfRule>
    <cfRule type="expression" dxfId="21851" priority="9330">
      <formula>#REF!="L"</formula>
    </cfRule>
  </conditionalFormatting>
  <conditionalFormatting sqref="X45">
    <cfRule type="expression" dxfId="21850" priority="9172">
      <formula>#REF!="TO"</formula>
    </cfRule>
    <cfRule type="expression" dxfId="21849" priority="9173">
      <formula>#REF!="IO"</formula>
    </cfRule>
    <cfRule type="expression" dxfId="21848" priority="9174">
      <formula>#REF!="L"</formula>
    </cfRule>
  </conditionalFormatting>
  <conditionalFormatting sqref="N44:P44">
    <cfRule type="expression" dxfId="21847" priority="9316">
      <formula>#REF!="TO"</formula>
    </cfRule>
    <cfRule type="expression" dxfId="21846" priority="9317">
      <formula>#REF!="IO"</formula>
    </cfRule>
    <cfRule type="expression" dxfId="21845" priority="9318">
      <formula>#REF!="L"</formula>
    </cfRule>
  </conditionalFormatting>
  <conditionalFormatting sqref="V46">
    <cfRule type="expression" dxfId="21844" priority="9100">
      <formula>#REF!="TO"</formula>
    </cfRule>
    <cfRule type="expression" dxfId="21843" priority="9101">
      <formula>#REF!="IO"</formula>
    </cfRule>
    <cfRule type="expression" dxfId="21842" priority="9102">
      <formula>#REF!="L"</formula>
    </cfRule>
  </conditionalFormatting>
  <conditionalFormatting sqref="O38:P41">
    <cfRule type="expression" dxfId="21841" priority="9217">
      <formula>#REF!="TO"</formula>
    </cfRule>
    <cfRule type="expression" dxfId="21840" priority="9218">
      <formula>#REF!="IO"</formula>
    </cfRule>
    <cfRule type="expression" dxfId="21839" priority="9219">
      <formula>#REF!="L"</formula>
    </cfRule>
  </conditionalFormatting>
  <conditionalFormatting sqref="V44">
    <cfRule type="expression" dxfId="21838" priority="9307">
      <formula>#REF!="TO"</formula>
    </cfRule>
    <cfRule type="expression" dxfId="21837" priority="9308">
      <formula>#REF!="IO"</formula>
    </cfRule>
    <cfRule type="expression" dxfId="21836" priority="9309">
      <formula>#REF!="L"</formula>
    </cfRule>
  </conditionalFormatting>
  <conditionalFormatting sqref="X44">
    <cfRule type="expression" dxfId="21835" priority="9304">
      <formula>#REF!="TO"</formula>
    </cfRule>
    <cfRule type="expression" dxfId="21834" priority="9305">
      <formula>#REF!="IO"</formula>
    </cfRule>
    <cfRule type="expression" dxfId="21833" priority="9306">
      <formula>#REF!="L"</formula>
    </cfRule>
  </conditionalFormatting>
  <conditionalFormatting sqref="Y44">
    <cfRule type="expression" dxfId="21832" priority="9301">
      <formula>#REF!="TO"</formula>
    </cfRule>
    <cfRule type="expression" dxfId="21831" priority="9302">
      <formula>#REF!="IO"</formula>
    </cfRule>
    <cfRule type="expression" dxfId="21830" priority="9303">
      <formula>#REF!="L"</formula>
    </cfRule>
  </conditionalFormatting>
  <conditionalFormatting sqref="AH44">
    <cfRule type="expression" dxfId="21829" priority="9298">
      <formula>#REF!="TO"</formula>
    </cfRule>
    <cfRule type="expression" dxfId="21828" priority="9299">
      <formula>#REF!="IO"</formula>
    </cfRule>
    <cfRule type="expression" dxfId="21827" priority="9300">
      <formula>#REF!="L"</formula>
    </cfRule>
  </conditionalFormatting>
  <conditionalFormatting sqref="AJ44">
    <cfRule type="expression" dxfId="21826" priority="9295">
      <formula>#REF!="TO"</formula>
    </cfRule>
    <cfRule type="expression" dxfId="21825" priority="9296">
      <formula>#REF!="IO"</formula>
    </cfRule>
    <cfRule type="expression" dxfId="21824" priority="9297">
      <formula>#REF!="L"</formula>
    </cfRule>
  </conditionalFormatting>
  <conditionalFormatting sqref="K48">
    <cfRule type="expression" dxfId="21823" priority="8965">
      <formula>#REF!="TO"</formula>
    </cfRule>
    <cfRule type="expression" dxfId="21822" priority="8966">
      <formula>#REF!="IO"</formula>
    </cfRule>
    <cfRule type="expression" dxfId="21821" priority="8967">
      <formula>#REF!="L"</formula>
    </cfRule>
  </conditionalFormatting>
  <conditionalFormatting sqref="AM44">
    <cfRule type="expression" dxfId="21820" priority="9289">
      <formula>#REF!="TO"</formula>
    </cfRule>
    <cfRule type="expression" dxfId="21819" priority="9290">
      <formula>#REF!="IO"</formula>
    </cfRule>
    <cfRule type="expression" dxfId="21818" priority="9291">
      <formula>#REF!="L"</formula>
    </cfRule>
  </conditionalFormatting>
  <conditionalFormatting sqref="AQ44">
    <cfRule type="expression" dxfId="21817" priority="9286">
      <formula>#REF!="TO"</formula>
    </cfRule>
    <cfRule type="expression" dxfId="21816" priority="9287">
      <formula>#REF!="IO"</formula>
    </cfRule>
    <cfRule type="expression" dxfId="21815" priority="9288">
      <formula>#REF!="L"</formula>
    </cfRule>
  </conditionalFormatting>
  <conditionalFormatting sqref="AR44">
    <cfRule type="expression" dxfId="21814" priority="9283">
      <formula>#REF!="TO"</formula>
    </cfRule>
    <cfRule type="expression" dxfId="21813" priority="9284">
      <formula>#REF!="IO"</formula>
    </cfRule>
    <cfRule type="expression" dxfId="21812" priority="9285">
      <formula>#REF!="L"</formula>
    </cfRule>
  </conditionalFormatting>
  <conditionalFormatting sqref="P44">
    <cfRule type="expression" dxfId="21811" priority="9277">
      <formula>#REF!="TO"</formula>
    </cfRule>
    <cfRule type="expression" dxfId="21810" priority="9278">
      <formula>#REF!="IO"</formula>
    </cfRule>
    <cfRule type="expression" dxfId="21809" priority="9279">
      <formula>#REF!="L"</formula>
    </cfRule>
  </conditionalFormatting>
  <conditionalFormatting sqref="AT44">
    <cfRule type="expression" dxfId="21808" priority="9268">
      <formula>#REF!="TO"</formula>
    </cfRule>
    <cfRule type="expression" dxfId="21807" priority="9269">
      <formula>#REF!="IO"</formula>
    </cfRule>
    <cfRule type="expression" dxfId="21806" priority="9270">
      <formula>#REF!="L"</formula>
    </cfRule>
  </conditionalFormatting>
  <conditionalFormatting sqref="AF44">
    <cfRule type="expression" dxfId="21805" priority="9265">
      <formula>#REF!="TO"</formula>
    </cfRule>
    <cfRule type="expression" dxfId="21804" priority="9266">
      <formula>#REF!="IO"</formula>
    </cfRule>
    <cfRule type="expression" dxfId="21803" priority="9267">
      <formula>#REF!="L"</formula>
    </cfRule>
  </conditionalFormatting>
  <conditionalFormatting sqref="Q14">
    <cfRule type="expression" dxfId="21802" priority="9259">
      <formula>#REF!="TO"</formula>
    </cfRule>
    <cfRule type="expression" dxfId="21801" priority="9260">
      <formula>#REF!="IO"</formula>
    </cfRule>
    <cfRule type="expression" dxfId="21800" priority="9261">
      <formula>#REF!="L"</formula>
    </cfRule>
  </conditionalFormatting>
  <conditionalFormatting sqref="Q15">
    <cfRule type="expression" dxfId="21799" priority="9256">
      <formula>#REF!="TO"</formula>
    </cfRule>
    <cfRule type="expression" dxfId="21798" priority="9257">
      <formula>#REF!="IO"</formula>
    </cfRule>
    <cfRule type="expression" dxfId="21797" priority="9258">
      <formula>#REF!="L"</formula>
    </cfRule>
  </conditionalFormatting>
  <conditionalFormatting sqref="Q18">
    <cfRule type="expression" dxfId="21796" priority="9253">
      <formula>#REF!="TO"</formula>
    </cfRule>
    <cfRule type="expression" dxfId="21795" priority="9254">
      <formula>#REF!="IO"</formula>
    </cfRule>
    <cfRule type="expression" dxfId="21794" priority="9255">
      <formula>#REF!="L"</formula>
    </cfRule>
  </conditionalFormatting>
  <conditionalFormatting sqref="Q23:Q24">
    <cfRule type="expression" dxfId="21793" priority="9244">
      <formula>#REF!="TO"</formula>
    </cfRule>
    <cfRule type="expression" dxfId="21792" priority="9245">
      <formula>#REF!="IO"</formula>
    </cfRule>
    <cfRule type="expression" dxfId="21791" priority="9246">
      <formula>#REF!="L"</formula>
    </cfRule>
  </conditionalFormatting>
  <conditionalFormatting sqref="Q25:Q29">
    <cfRule type="expression" dxfId="21790" priority="9241">
      <formula>#REF!="TO"</formula>
    </cfRule>
    <cfRule type="expression" dxfId="21789" priority="9242">
      <formula>#REF!="IO"</formula>
    </cfRule>
    <cfRule type="expression" dxfId="21788" priority="9243">
      <formula>#REF!="L"</formula>
    </cfRule>
  </conditionalFormatting>
  <conditionalFormatting sqref="AK47">
    <cfRule type="expression" dxfId="21787" priority="9010">
      <formula>#REF!="TO"</formula>
    </cfRule>
    <cfRule type="expression" dxfId="21786" priority="9011">
      <formula>#REF!="IO"</formula>
    </cfRule>
    <cfRule type="expression" dxfId="21785" priority="9012">
      <formula>#REF!="L"</formula>
    </cfRule>
  </conditionalFormatting>
  <conditionalFormatting sqref="X46">
    <cfRule type="expression" dxfId="21784" priority="9097">
      <formula>#REF!="TO"</formula>
    </cfRule>
    <cfRule type="expression" dxfId="21783" priority="9098">
      <formula>#REF!="IO"</formula>
    </cfRule>
    <cfRule type="expression" dxfId="21782" priority="9099">
      <formula>#REF!="L"</formula>
    </cfRule>
  </conditionalFormatting>
  <conditionalFormatting sqref="S38:S41">
    <cfRule type="expression" dxfId="21781" priority="9229">
      <formula>#REF!="TO"</formula>
    </cfRule>
    <cfRule type="expression" dxfId="21780" priority="9230">
      <formula>#REF!="IO"</formula>
    </cfRule>
    <cfRule type="expression" dxfId="21779" priority="9231">
      <formula>#REF!="L"</formula>
    </cfRule>
  </conditionalFormatting>
  <conditionalFormatting sqref="S42">
    <cfRule type="expression" dxfId="21778" priority="9226">
      <formula>#REF!="TO"</formula>
    </cfRule>
    <cfRule type="expression" dxfId="21777" priority="9227">
      <formula>#REF!="IO"</formula>
    </cfRule>
    <cfRule type="expression" dxfId="21776" priority="9228">
      <formula>#REF!="L"</formula>
    </cfRule>
  </conditionalFormatting>
  <conditionalFormatting sqref="S43">
    <cfRule type="expression" dxfId="21775" priority="9223">
      <formula>#REF!="TO"</formula>
    </cfRule>
    <cfRule type="expression" dxfId="21774" priority="9224">
      <formula>#REF!="IO"</formula>
    </cfRule>
    <cfRule type="expression" dxfId="21773" priority="9225">
      <formula>#REF!="L"</formula>
    </cfRule>
  </conditionalFormatting>
  <conditionalFormatting sqref="S44">
    <cfRule type="expression" dxfId="21772" priority="9220">
      <formula>#REF!="TO"</formula>
    </cfRule>
    <cfRule type="expression" dxfId="21771" priority="9221">
      <formula>#REF!="IO"</formula>
    </cfRule>
    <cfRule type="expression" dxfId="21770" priority="9222">
      <formula>#REF!="L"</formula>
    </cfRule>
  </conditionalFormatting>
  <conditionalFormatting sqref="K49">
    <cfRule type="expression" dxfId="21769" priority="8890">
      <formula>#REF!="TO"</formula>
    </cfRule>
    <cfRule type="expression" dxfId="21768" priority="8891">
      <formula>#REF!="IO"</formula>
    </cfRule>
    <cfRule type="expression" dxfId="21767" priority="8892">
      <formula>#REF!="L"</formula>
    </cfRule>
  </conditionalFormatting>
  <conditionalFormatting sqref="O42:P42">
    <cfRule type="expression" dxfId="21766" priority="9214">
      <formula>#REF!="TO"</formula>
    </cfRule>
    <cfRule type="expression" dxfId="21765" priority="9215">
      <formula>#REF!="IO"</formula>
    </cfRule>
    <cfRule type="expression" dxfId="21764" priority="9216">
      <formula>#REF!="L"</formula>
    </cfRule>
  </conditionalFormatting>
  <conditionalFormatting sqref="O43:P43">
    <cfRule type="expression" dxfId="21763" priority="9211">
      <formula>#REF!="TO"</formula>
    </cfRule>
    <cfRule type="expression" dxfId="21762" priority="9212">
      <formula>#REF!="IO"</formula>
    </cfRule>
    <cfRule type="expression" dxfId="21761" priority="9213">
      <formula>#REF!="L"</formula>
    </cfRule>
  </conditionalFormatting>
  <conditionalFormatting sqref="O44:P44">
    <cfRule type="expression" dxfId="21760" priority="9208">
      <formula>#REF!="TO"</formula>
    </cfRule>
    <cfRule type="expression" dxfId="21759" priority="9209">
      <formula>#REF!="IO"</formula>
    </cfRule>
    <cfRule type="expression" dxfId="21758" priority="9210">
      <formula>#REF!="L"</formula>
    </cfRule>
  </conditionalFormatting>
  <conditionalFormatting sqref="A45">
    <cfRule type="expression" dxfId="21757" priority="9205">
      <formula>#REF!="TO"</formula>
    </cfRule>
    <cfRule type="expression" dxfId="21756" priority="9206">
      <formula>#REF!="IO"</formula>
    </cfRule>
    <cfRule type="expression" dxfId="21755" priority="9207">
      <formula>#REF!="L"</formula>
    </cfRule>
  </conditionalFormatting>
  <conditionalFormatting sqref="B45">
    <cfRule type="expression" dxfId="21754" priority="9202">
      <formula>#REF!="TO"</formula>
    </cfRule>
    <cfRule type="expression" dxfId="21753" priority="9203">
      <formula>#REF!="IO"</formula>
    </cfRule>
    <cfRule type="expression" dxfId="21752" priority="9204">
      <formula>#REF!="L"</formula>
    </cfRule>
  </conditionalFormatting>
  <conditionalFormatting sqref="E45">
    <cfRule type="expression" dxfId="21751" priority="9199">
      <formula>#REF!="TO"</formula>
    </cfRule>
    <cfRule type="expression" dxfId="21750" priority="9200">
      <formula>#REF!="IO"</formula>
    </cfRule>
    <cfRule type="expression" dxfId="21749" priority="9201">
      <formula>#REF!="L"</formula>
    </cfRule>
  </conditionalFormatting>
  <conditionalFormatting sqref="G45">
    <cfRule type="expression" dxfId="21748" priority="9196">
      <formula>#REF!="TO"</formula>
    </cfRule>
    <cfRule type="expression" dxfId="21747" priority="9197">
      <formula>#REF!="IO"</formula>
    </cfRule>
    <cfRule type="expression" dxfId="21746" priority="9198">
      <formula>#REF!="L"</formula>
    </cfRule>
  </conditionalFormatting>
  <conditionalFormatting sqref="K45">
    <cfRule type="expression" dxfId="21745" priority="9190">
      <formula>#REF!="TO"</formula>
    </cfRule>
    <cfRule type="expression" dxfId="21744" priority="9191">
      <formula>#REF!="IO"</formula>
    </cfRule>
    <cfRule type="expression" dxfId="21743" priority="9192">
      <formula>#REF!="L"</formula>
    </cfRule>
  </conditionalFormatting>
  <conditionalFormatting sqref="N45:P45">
    <cfRule type="expression" dxfId="21742" priority="9184">
      <formula>#REF!="TO"</formula>
    </cfRule>
    <cfRule type="expression" dxfId="21741" priority="9185">
      <formula>#REF!="IO"</formula>
    </cfRule>
    <cfRule type="expression" dxfId="21740" priority="9186">
      <formula>#REF!="L"</formula>
    </cfRule>
  </conditionalFormatting>
  <conditionalFormatting sqref="AK46">
    <cfRule type="expression" dxfId="21739" priority="9085">
      <formula>#REF!="TO"</formula>
    </cfRule>
    <cfRule type="expression" dxfId="21738" priority="9086">
      <formula>#REF!="IO"</formula>
    </cfRule>
    <cfRule type="expression" dxfId="21737" priority="9087">
      <formula>#REF!="L"</formula>
    </cfRule>
  </conditionalFormatting>
  <conditionalFormatting sqref="Y45">
    <cfRule type="expression" dxfId="21736" priority="9169">
      <formula>#REF!="TO"</formula>
    </cfRule>
    <cfRule type="expression" dxfId="21735" priority="9170">
      <formula>#REF!="IO"</formula>
    </cfRule>
    <cfRule type="expression" dxfId="21734" priority="9171">
      <formula>#REF!="L"</formula>
    </cfRule>
  </conditionalFormatting>
  <conditionalFormatting sqref="AH45">
    <cfRule type="expression" dxfId="21733" priority="9166">
      <formula>#REF!="TO"</formula>
    </cfRule>
    <cfRule type="expression" dxfId="21732" priority="9167">
      <formula>#REF!="IO"</formula>
    </cfRule>
    <cfRule type="expression" dxfId="21731" priority="9168">
      <formula>#REF!="L"</formula>
    </cfRule>
  </conditionalFormatting>
  <conditionalFormatting sqref="AJ45">
    <cfRule type="expression" dxfId="21730" priority="9163">
      <formula>#REF!="TO"</formula>
    </cfRule>
    <cfRule type="expression" dxfId="21729" priority="9164">
      <formula>#REF!="IO"</formula>
    </cfRule>
    <cfRule type="expression" dxfId="21728" priority="9165">
      <formula>#REF!="L"</formula>
    </cfRule>
  </conditionalFormatting>
  <conditionalFormatting sqref="AK45">
    <cfRule type="expression" dxfId="21727" priority="9160">
      <formula>#REF!="TO"</formula>
    </cfRule>
    <cfRule type="expression" dxfId="21726" priority="9161">
      <formula>#REF!="IO"</formula>
    </cfRule>
    <cfRule type="expression" dxfId="21725" priority="9162">
      <formula>#REF!="L"</formula>
    </cfRule>
  </conditionalFormatting>
  <conditionalFormatting sqref="AM45">
    <cfRule type="expression" dxfId="21724" priority="9157">
      <formula>#REF!="TO"</formula>
    </cfRule>
    <cfRule type="expression" dxfId="21723" priority="9158">
      <formula>#REF!="IO"</formula>
    </cfRule>
    <cfRule type="expression" dxfId="21722" priority="9159">
      <formula>#REF!="L"</formula>
    </cfRule>
  </conditionalFormatting>
  <conditionalFormatting sqref="AQ45">
    <cfRule type="expression" dxfId="21721" priority="9154">
      <formula>#REF!="TO"</formula>
    </cfRule>
    <cfRule type="expression" dxfId="21720" priority="9155">
      <formula>#REF!="IO"</formula>
    </cfRule>
    <cfRule type="expression" dxfId="21719" priority="9156">
      <formula>#REF!="L"</formula>
    </cfRule>
  </conditionalFormatting>
  <conditionalFormatting sqref="AR45">
    <cfRule type="expression" dxfId="21718" priority="9151">
      <formula>#REF!="TO"</formula>
    </cfRule>
    <cfRule type="expression" dxfId="21717" priority="9152">
      <formula>#REF!="IO"</formula>
    </cfRule>
    <cfRule type="expression" dxfId="21716" priority="9153">
      <formula>#REF!="L"</formula>
    </cfRule>
  </conditionalFormatting>
  <conditionalFormatting sqref="A48">
    <cfRule type="expression" dxfId="21715" priority="8980">
      <formula>#REF!="TO"</formula>
    </cfRule>
    <cfRule type="expression" dxfId="21714" priority="8981">
      <formula>#REF!="IO"</formula>
    </cfRule>
    <cfRule type="expression" dxfId="21713" priority="8982">
      <formula>#REF!="L"</formula>
    </cfRule>
  </conditionalFormatting>
  <conditionalFormatting sqref="P45">
    <cfRule type="expression" dxfId="21712" priority="9145">
      <formula>#REF!="TO"</formula>
    </cfRule>
    <cfRule type="expression" dxfId="21711" priority="9146">
      <formula>#REF!="IO"</formula>
    </cfRule>
    <cfRule type="expression" dxfId="21710" priority="9147">
      <formula>#REF!="L"</formula>
    </cfRule>
  </conditionalFormatting>
  <conditionalFormatting sqref="AT45">
    <cfRule type="expression" dxfId="21709" priority="9142">
      <formula>#REF!="TO"</formula>
    </cfRule>
    <cfRule type="expression" dxfId="21708" priority="9143">
      <formula>#REF!="IO"</formula>
    </cfRule>
    <cfRule type="expression" dxfId="21707" priority="9144">
      <formula>#REF!="L"</formula>
    </cfRule>
  </conditionalFormatting>
  <conditionalFormatting sqref="AF45">
    <cfRule type="expression" dxfId="21706" priority="9139">
      <formula>#REF!="TO"</formula>
    </cfRule>
    <cfRule type="expression" dxfId="21705" priority="9140">
      <formula>#REF!="IO"</formula>
    </cfRule>
    <cfRule type="expression" dxfId="21704" priority="9141">
      <formula>#REF!="L"</formula>
    </cfRule>
  </conditionalFormatting>
  <conditionalFormatting sqref="S45">
    <cfRule type="expression" dxfId="21703" priority="9136">
      <formula>#REF!="TO"</formula>
    </cfRule>
    <cfRule type="expression" dxfId="21702" priority="9137">
      <formula>#REF!="IO"</formula>
    </cfRule>
    <cfRule type="expression" dxfId="21701" priority="9138">
      <formula>#REF!="L"</formula>
    </cfRule>
  </conditionalFormatting>
  <conditionalFormatting sqref="O45:P45">
    <cfRule type="expression" dxfId="21700" priority="9133">
      <formula>#REF!="TO"</formula>
    </cfRule>
    <cfRule type="expression" dxfId="21699" priority="9134">
      <formula>#REF!="IO"</formula>
    </cfRule>
    <cfRule type="expression" dxfId="21698" priority="9135">
      <formula>#REF!="L"</formula>
    </cfRule>
  </conditionalFormatting>
  <conditionalFormatting sqref="A46">
    <cfRule type="expression" dxfId="21697" priority="9130">
      <formula>#REF!="TO"</formula>
    </cfRule>
    <cfRule type="expression" dxfId="21696" priority="9131">
      <formula>#REF!="IO"</formula>
    </cfRule>
    <cfRule type="expression" dxfId="21695" priority="9132">
      <formula>#REF!="L"</formula>
    </cfRule>
  </conditionalFormatting>
  <conditionalFormatting sqref="B46">
    <cfRule type="expression" dxfId="21694" priority="9127">
      <formula>#REF!="TO"</formula>
    </cfRule>
    <cfRule type="expression" dxfId="21693" priority="9128">
      <formula>#REF!="IO"</formula>
    </cfRule>
    <cfRule type="expression" dxfId="21692" priority="9129">
      <formula>#REF!="L"</formula>
    </cfRule>
  </conditionalFormatting>
  <conditionalFormatting sqref="E46">
    <cfRule type="expression" dxfId="21691" priority="9124">
      <formula>#REF!="TO"</formula>
    </cfRule>
    <cfRule type="expression" dxfId="21690" priority="9125">
      <formula>#REF!="IO"</formula>
    </cfRule>
    <cfRule type="expression" dxfId="21689" priority="9126">
      <formula>#REF!="L"</formula>
    </cfRule>
  </conditionalFormatting>
  <conditionalFormatting sqref="G46">
    <cfRule type="expression" dxfId="21688" priority="9121">
      <formula>#REF!="TO"</formula>
    </cfRule>
    <cfRule type="expression" dxfId="21687" priority="9122">
      <formula>#REF!="IO"</formula>
    </cfRule>
    <cfRule type="expression" dxfId="21686" priority="9123">
      <formula>#REF!="L"</formula>
    </cfRule>
  </conditionalFormatting>
  <conditionalFormatting sqref="K46">
    <cfRule type="expression" dxfId="21685" priority="9115">
      <formula>#REF!="TO"</formula>
    </cfRule>
    <cfRule type="expression" dxfId="21684" priority="9116">
      <formula>#REF!="IO"</formula>
    </cfRule>
    <cfRule type="expression" dxfId="21683" priority="9117">
      <formula>#REF!="L"</formula>
    </cfRule>
  </conditionalFormatting>
  <conditionalFormatting sqref="N46:P46">
    <cfRule type="expression" dxfId="21682" priority="9109">
      <formula>#REF!="TO"</formula>
    </cfRule>
    <cfRule type="expression" dxfId="21681" priority="9110">
      <formula>#REF!="IO"</formula>
    </cfRule>
    <cfRule type="expression" dxfId="21680" priority="9111">
      <formula>#REF!="L"</formula>
    </cfRule>
  </conditionalFormatting>
  <conditionalFormatting sqref="Y46">
    <cfRule type="expression" dxfId="21679" priority="9094">
      <formula>#REF!="TO"</formula>
    </cfRule>
    <cfRule type="expression" dxfId="21678" priority="9095">
      <formula>#REF!="IO"</formula>
    </cfRule>
    <cfRule type="expression" dxfId="21677" priority="9096">
      <formula>#REF!="L"</formula>
    </cfRule>
  </conditionalFormatting>
  <conditionalFormatting sqref="AH46">
    <cfRule type="expression" dxfId="21676" priority="9091">
      <formula>#REF!="TO"</formula>
    </cfRule>
    <cfRule type="expression" dxfId="21675" priority="9092">
      <formula>#REF!="IO"</formula>
    </cfRule>
    <cfRule type="expression" dxfId="21674" priority="9093">
      <formula>#REF!="L"</formula>
    </cfRule>
  </conditionalFormatting>
  <conditionalFormatting sqref="AJ46">
    <cfRule type="expression" dxfId="21673" priority="9088">
      <formula>#REF!="TO"</formula>
    </cfRule>
    <cfRule type="expression" dxfId="21672" priority="9089">
      <formula>#REF!="IO"</formula>
    </cfRule>
    <cfRule type="expression" dxfId="21671" priority="9090">
      <formula>#REF!="L"</formula>
    </cfRule>
  </conditionalFormatting>
  <conditionalFormatting sqref="A49">
    <cfRule type="expression" dxfId="21670" priority="8905">
      <formula>#REF!="TO"</formula>
    </cfRule>
    <cfRule type="expression" dxfId="21669" priority="8906">
      <formula>#REF!="IO"</formula>
    </cfRule>
    <cfRule type="expression" dxfId="21668" priority="8907">
      <formula>#REF!="L"</formula>
    </cfRule>
  </conditionalFormatting>
  <conditionalFormatting sqref="AM46">
    <cfRule type="expression" dxfId="21667" priority="9082">
      <formula>#REF!="TO"</formula>
    </cfRule>
    <cfRule type="expression" dxfId="21666" priority="9083">
      <formula>#REF!="IO"</formula>
    </cfRule>
    <cfRule type="expression" dxfId="21665" priority="9084">
      <formula>#REF!="L"</formula>
    </cfRule>
  </conditionalFormatting>
  <conditionalFormatting sqref="AQ46">
    <cfRule type="expression" dxfId="21664" priority="9079">
      <formula>#REF!="TO"</formula>
    </cfRule>
    <cfRule type="expression" dxfId="21663" priority="9080">
      <formula>#REF!="IO"</formula>
    </cfRule>
    <cfRule type="expression" dxfId="21662" priority="9081">
      <formula>#REF!="L"</formula>
    </cfRule>
  </conditionalFormatting>
  <conditionalFormatting sqref="AR46">
    <cfRule type="expression" dxfId="21661" priority="9076">
      <formula>#REF!="TO"</formula>
    </cfRule>
    <cfRule type="expression" dxfId="21660" priority="9077">
      <formula>#REF!="IO"</formula>
    </cfRule>
    <cfRule type="expression" dxfId="21659" priority="9078">
      <formula>#REF!="L"</formula>
    </cfRule>
  </conditionalFormatting>
  <conditionalFormatting sqref="P46">
    <cfRule type="expression" dxfId="21658" priority="9070">
      <formula>#REF!="TO"</formula>
    </cfRule>
    <cfRule type="expression" dxfId="21657" priority="9071">
      <formula>#REF!="IO"</formula>
    </cfRule>
    <cfRule type="expression" dxfId="21656" priority="9072">
      <formula>#REF!="L"</formula>
    </cfRule>
  </conditionalFormatting>
  <conditionalFormatting sqref="AT46">
    <cfRule type="expression" dxfId="21655" priority="9067">
      <formula>#REF!="TO"</formula>
    </cfRule>
    <cfRule type="expression" dxfId="21654" priority="9068">
      <formula>#REF!="IO"</formula>
    </cfRule>
    <cfRule type="expression" dxfId="21653" priority="9069">
      <formula>#REF!="L"</formula>
    </cfRule>
  </conditionalFormatting>
  <conditionalFormatting sqref="AF46">
    <cfRule type="expression" dxfId="21652" priority="9064">
      <formula>#REF!="TO"</formula>
    </cfRule>
    <cfRule type="expression" dxfId="21651" priority="9065">
      <formula>#REF!="IO"</formula>
    </cfRule>
    <cfRule type="expression" dxfId="21650" priority="9066">
      <formula>#REF!="L"</formula>
    </cfRule>
  </conditionalFormatting>
  <conditionalFormatting sqref="S46">
    <cfRule type="expression" dxfId="21649" priority="9061">
      <formula>#REF!="TO"</formula>
    </cfRule>
    <cfRule type="expression" dxfId="21648" priority="9062">
      <formula>#REF!="IO"</formula>
    </cfRule>
    <cfRule type="expression" dxfId="21647" priority="9063">
      <formula>#REF!="L"</formula>
    </cfRule>
  </conditionalFormatting>
  <conditionalFormatting sqref="O46:P46">
    <cfRule type="expression" dxfId="21646" priority="9058">
      <formula>#REF!="TO"</formula>
    </cfRule>
    <cfRule type="expression" dxfId="21645" priority="9059">
      <formula>#REF!="IO"</formula>
    </cfRule>
    <cfRule type="expression" dxfId="21644" priority="9060">
      <formula>#REF!="L"</formula>
    </cfRule>
  </conditionalFormatting>
  <conditionalFormatting sqref="A47">
    <cfRule type="expression" dxfId="21643" priority="9055">
      <formula>#REF!="TO"</formula>
    </cfRule>
    <cfRule type="expression" dxfId="21642" priority="9056">
      <formula>#REF!="IO"</formula>
    </cfRule>
    <cfRule type="expression" dxfId="21641" priority="9057">
      <formula>#REF!="L"</formula>
    </cfRule>
  </conditionalFormatting>
  <conditionalFormatting sqref="B47">
    <cfRule type="expression" dxfId="21640" priority="9052">
      <formula>#REF!="TO"</formula>
    </cfRule>
    <cfRule type="expression" dxfId="21639" priority="9053">
      <formula>#REF!="IO"</formula>
    </cfRule>
    <cfRule type="expression" dxfId="21638" priority="9054">
      <formula>#REF!="L"</formula>
    </cfRule>
  </conditionalFormatting>
  <conditionalFormatting sqref="E47">
    <cfRule type="expression" dxfId="21637" priority="9049">
      <formula>#REF!="TO"</formula>
    </cfRule>
    <cfRule type="expression" dxfId="21636" priority="9050">
      <formula>#REF!="IO"</formula>
    </cfRule>
    <cfRule type="expression" dxfId="21635" priority="9051">
      <formula>#REF!="L"</formula>
    </cfRule>
  </conditionalFormatting>
  <conditionalFormatting sqref="G47">
    <cfRule type="expression" dxfId="21634" priority="9046">
      <formula>#REF!="TO"</formula>
    </cfRule>
    <cfRule type="expression" dxfId="21633" priority="9047">
      <formula>#REF!="IO"</formula>
    </cfRule>
    <cfRule type="expression" dxfId="21632" priority="9048">
      <formula>#REF!="L"</formula>
    </cfRule>
  </conditionalFormatting>
  <conditionalFormatting sqref="N47:P47">
    <cfRule type="expression" dxfId="21631" priority="9034">
      <formula>#REF!="TO"</formula>
    </cfRule>
    <cfRule type="expression" dxfId="21630" priority="9035">
      <formula>#REF!="IO"</formula>
    </cfRule>
    <cfRule type="expression" dxfId="21629" priority="9036">
      <formula>#REF!="L"</formula>
    </cfRule>
  </conditionalFormatting>
  <conditionalFormatting sqref="AK48">
    <cfRule type="expression" dxfId="21628" priority="8935">
      <formula>#REF!="TO"</formula>
    </cfRule>
    <cfRule type="expression" dxfId="21627" priority="8936">
      <formula>#REF!="IO"</formula>
    </cfRule>
    <cfRule type="expression" dxfId="21626" priority="8937">
      <formula>#REF!="L"</formula>
    </cfRule>
  </conditionalFormatting>
  <conditionalFormatting sqref="V47">
    <cfRule type="expression" dxfId="21625" priority="9025">
      <formula>#REF!="TO"</formula>
    </cfRule>
    <cfRule type="expression" dxfId="21624" priority="9026">
      <formula>#REF!="IO"</formula>
    </cfRule>
    <cfRule type="expression" dxfId="21623" priority="9027">
      <formula>#REF!="L"</formula>
    </cfRule>
  </conditionalFormatting>
  <conditionalFormatting sqref="X47">
    <cfRule type="expression" dxfId="21622" priority="9022">
      <formula>#REF!="TO"</formula>
    </cfRule>
    <cfRule type="expression" dxfId="21621" priority="9023">
      <formula>#REF!="IO"</formula>
    </cfRule>
    <cfRule type="expression" dxfId="21620" priority="9024">
      <formula>#REF!="L"</formula>
    </cfRule>
  </conditionalFormatting>
  <conditionalFormatting sqref="Y47">
    <cfRule type="expression" dxfId="21619" priority="9019">
      <formula>#REF!="TO"</formula>
    </cfRule>
    <cfRule type="expression" dxfId="21618" priority="9020">
      <formula>#REF!="IO"</formula>
    </cfRule>
    <cfRule type="expression" dxfId="21617" priority="9021">
      <formula>#REF!="L"</formula>
    </cfRule>
  </conditionalFormatting>
  <conditionalFormatting sqref="AH47">
    <cfRule type="expression" dxfId="21616" priority="9016">
      <formula>#REF!="TO"</formula>
    </cfRule>
    <cfRule type="expression" dxfId="21615" priority="9017">
      <formula>#REF!="IO"</formula>
    </cfRule>
    <cfRule type="expression" dxfId="21614" priority="9018">
      <formula>#REF!="L"</formula>
    </cfRule>
  </conditionalFormatting>
  <conditionalFormatting sqref="AJ47">
    <cfRule type="expression" dxfId="21613" priority="9013">
      <formula>#REF!="TO"</formula>
    </cfRule>
    <cfRule type="expression" dxfId="21612" priority="9014">
      <formula>#REF!="IO"</formula>
    </cfRule>
    <cfRule type="expression" dxfId="21611" priority="9015">
      <formula>#REF!="L"</formula>
    </cfRule>
  </conditionalFormatting>
  <conditionalFormatting sqref="A50">
    <cfRule type="expression" dxfId="21610" priority="8830">
      <formula>#REF!="TO"</formula>
    </cfRule>
    <cfRule type="expression" dxfId="21609" priority="8831">
      <formula>#REF!="IO"</formula>
    </cfRule>
    <cfRule type="expression" dxfId="21608" priority="8832">
      <formula>#REF!="L"</formula>
    </cfRule>
  </conditionalFormatting>
  <conditionalFormatting sqref="AM47">
    <cfRule type="expression" dxfId="21607" priority="9007">
      <formula>#REF!="TO"</formula>
    </cfRule>
    <cfRule type="expression" dxfId="21606" priority="9008">
      <formula>#REF!="IO"</formula>
    </cfRule>
    <cfRule type="expression" dxfId="21605" priority="9009">
      <formula>#REF!="L"</formula>
    </cfRule>
  </conditionalFormatting>
  <conditionalFormatting sqref="AQ47">
    <cfRule type="expression" dxfId="21604" priority="9004">
      <formula>#REF!="TO"</formula>
    </cfRule>
    <cfRule type="expression" dxfId="21603" priority="9005">
      <formula>#REF!="IO"</formula>
    </cfRule>
    <cfRule type="expression" dxfId="21602" priority="9006">
      <formula>#REF!="L"</formula>
    </cfRule>
  </conditionalFormatting>
  <conditionalFormatting sqref="AR47">
    <cfRule type="expression" dxfId="21601" priority="9001">
      <formula>#REF!="TO"</formula>
    </cfRule>
    <cfRule type="expression" dxfId="21600" priority="9002">
      <formula>#REF!="IO"</formula>
    </cfRule>
    <cfRule type="expression" dxfId="21599" priority="9003">
      <formula>#REF!="L"</formula>
    </cfRule>
  </conditionalFormatting>
  <conditionalFormatting sqref="P47">
    <cfRule type="expression" dxfId="21598" priority="8995">
      <formula>#REF!="TO"</formula>
    </cfRule>
    <cfRule type="expression" dxfId="21597" priority="8996">
      <formula>#REF!="IO"</formula>
    </cfRule>
    <cfRule type="expression" dxfId="21596" priority="8997">
      <formula>#REF!="L"</formula>
    </cfRule>
  </conditionalFormatting>
  <conditionalFormatting sqref="AT47">
    <cfRule type="expression" dxfId="21595" priority="8992">
      <formula>#REF!="TO"</formula>
    </cfRule>
    <cfRule type="expression" dxfId="21594" priority="8993">
      <formula>#REF!="IO"</formula>
    </cfRule>
    <cfRule type="expression" dxfId="21593" priority="8994">
      <formula>#REF!="L"</formula>
    </cfRule>
  </conditionalFormatting>
  <conditionalFormatting sqref="AF47">
    <cfRule type="expression" dxfId="21592" priority="8989">
      <formula>#REF!="TO"</formula>
    </cfRule>
    <cfRule type="expression" dxfId="21591" priority="8990">
      <formula>#REF!="IO"</formula>
    </cfRule>
    <cfRule type="expression" dxfId="21590" priority="8991">
      <formula>#REF!="L"</formula>
    </cfRule>
  </conditionalFormatting>
  <conditionalFormatting sqref="S47">
    <cfRule type="expression" dxfId="21589" priority="8986">
      <formula>#REF!="TO"</formula>
    </cfRule>
    <cfRule type="expression" dxfId="21588" priority="8987">
      <formula>#REF!="IO"</formula>
    </cfRule>
    <cfRule type="expression" dxfId="21587" priority="8988">
      <formula>#REF!="L"</formula>
    </cfRule>
  </conditionalFormatting>
  <conditionalFormatting sqref="O47:P47">
    <cfRule type="expression" dxfId="21586" priority="8983">
      <formula>#REF!="TO"</formula>
    </cfRule>
    <cfRule type="expression" dxfId="21585" priority="8984">
      <formula>#REF!="IO"</formula>
    </cfRule>
    <cfRule type="expression" dxfId="21584" priority="8985">
      <formula>#REF!="L"</formula>
    </cfRule>
  </conditionalFormatting>
  <conditionalFormatting sqref="B48">
    <cfRule type="expression" dxfId="21583" priority="8977">
      <formula>#REF!="TO"</formula>
    </cfRule>
    <cfRule type="expression" dxfId="21582" priority="8978">
      <formula>#REF!="IO"</formula>
    </cfRule>
    <cfRule type="expression" dxfId="21581" priority="8979">
      <formula>#REF!="L"</formula>
    </cfRule>
  </conditionalFormatting>
  <conditionalFormatting sqref="E48">
    <cfRule type="expression" dxfId="21580" priority="8974">
      <formula>#REF!="TO"</formula>
    </cfRule>
    <cfRule type="expression" dxfId="21579" priority="8975">
      <formula>#REF!="IO"</formula>
    </cfRule>
    <cfRule type="expression" dxfId="21578" priority="8976">
      <formula>#REF!="L"</formula>
    </cfRule>
  </conditionalFormatting>
  <conditionalFormatting sqref="G48">
    <cfRule type="expression" dxfId="21577" priority="8971">
      <formula>#REF!="TO"</formula>
    </cfRule>
    <cfRule type="expression" dxfId="21576" priority="8972">
      <formula>#REF!="IO"</formula>
    </cfRule>
    <cfRule type="expression" dxfId="21575" priority="8973">
      <formula>#REF!="L"</formula>
    </cfRule>
  </conditionalFormatting>
  <conditionalFormatting sqref="K50">
    <cfRule type="expression" dxfId="21574" priority="8815">
      <formula>#REF!="TO"</formula>
    </cfRule>
    <cfRule type="expression" dxfId="21573" priority="8816">
      <formula>#REF!="IO"</formula>
    </cfRule>
    <cfRule type="expression" dxfId="21572" priority="8817">
      <formula>#REF!="L"</formula>
    </cfRule>
  </conditionalFormatting>
  <conditionalFormatting sqref="N48:P48">
    <cfRule type="expression" dxfId="21571" priority="8959">
      <formula>#REF!="TO"</formula>
    </cfRule>
    <cfRule type="expression" dxfId="21570" priority="8960">
      <formula>#REF!="IO"</formula>
    </cfRule>
    <cfRule type="expression" dxfId="21569" priority="8961">
      <formula>#REF!="L"</formula>
    </cfRule>
  </conditionalFormatting>
  <conditionalFormatting sqref="R17">
    <cfRule type="expression" dxfId="21568" priority="8743">
      <formula>#REF!="TO"</formula>
    </cfRule>
    <cfRule type="expression" dxfId="21567" priority="8744">
      <formula>#REF!="IO"</formula>
    </cfRule>
    <cfRule type="expression" dxfId="21566" priority="8745">
      <formula>#REF!="L"</formula>
    </cfRule>
  </conditionalFormatting>
  <conditionalFormatting sqref="AK49">
    <cfRule type="expression" dxfId="21565" priority="8860">
      <formula>#REF!="TO"</formula>
    </cfRule>
    <cfRule type="expression" dxfId="21564" priority="8861">
      <formula>#REF!="IO"</formula>
    </cfRule>
    <cfRule type="expression" dxfId="21563" priority="8862">
      <formula>#REF!="L"</formula>
    </cfRule>
  </conditionalFormatting>
  <conditionalFormatting sqref="V48">
    <cfRule type="expression" dxfId="21562" priority="8950">
      <formula>#REF!="TO"</formula>
    </cfRule>
    <cfRule type="expression" dxfId="21561" priority="8951">
      <formula>#REF!="IO"</formula>
    </cfRule>
    <cfRule type="expression" dxfId="21560" priority="8952">
      <formula>#REF!="L"</formula>
    </cfRule>
  </conditionalFormatting>
  <conditionalFormatting sqref="X48">
    <cfRule type="expression" dxfId="21559" priority="8947">
      <formula>#REF!="TO"</formula>
    </cfRule>
    <cfRule type="expression" dxfId="21558" priority="8948">
      <formula>#REF!="IO"</formula>
    </cfRule>
    <cfRule type="expression" dxfId="21557" priority="8949">
      <formula>#REF!="L"</formula>
    </cfRule>
  </conditionalFormatting>
  <conditionalFormatting sqref="Y48">
    <cfRule type="expression" dxfId="21556" priority="8944">
      <formula>#REF!="TO"</formula>
    </cfRule>
    <cfRule type="expression" dxfId="21555" priority="8945">
      <formula>#REF!="IO"</formula>
    </cfRule>
    <cfRule type="expression" dxfId="21554" priority="8946">
      <formula>#REF!="L"</formula>
    </cfRule>
  </conditionalFormatting>
  <conditionalFormatting sqref="AH48">
    <cfRule type="expression" dxfId="21553" priority="8941">
      <formula>#REF!="TO"</formula>
    </cfRule>
    <cfRule type="expression" dxfId="21552" priority="8942">
      <formula>#REF!="IO"</formula>
    </cfRule>
    <cfRule type="expression" dxfId="21551" priority="8943">
      <formula>#REF!="L"</formula>
    </cfRule>
  </conditionalFormatting>
  <conditionalFormatting sqref="AJ48">
    <cfRule type="expression" dxfId="21550" priority="8938">
      <formula>#REF!="TO"</formula>
    </cfRule>
    <cfRule type="expression" dxfId="21549" priority="8939">
      <formula>#REF!="IO"</formula>
    </cfRule>
    <cfRule type="expression" dxfId="21548" priority="8940">
      <formula>#REF!="L"</formula>
    </cfRule>
  </conditionalFormatting>
  <conditionalFormatting sqref="AT6">
    <cfRule type="expression" dxfId="21547" priority="8755">
      <formula>#REF!="TO"</formula>
    </cfRule>
    <cfRule type="expression" dxfId="21546" priority="8756">
      <formula>#REF!="IO"</formula>
    </cfRule>
    <cfRule type="expression" dxfId="21545" priority="8757">
      <formula>#REF!="L"</formula>
    </cfRule>
  </conditionalFormatting>
  <conditionalFormatting sqref="AM48">
    <cfRule type="expression" dxfId="21544" priority="8932">
      <formula>#REF!="TO"</formula>
    </cfRule>
    <cfRule type="expression" dxfId="21543" priority="8933">
      <formula>#REF!="IO"</formula>
    </cfRule>
    <cfRule type="expression" dxfId="21542" priority="8934">
      <formula>#REF!="L"</formula>
    </cfRule>
  </conditionalFormatting>
  <conditionalFormatting sqref="AQ48">
    <cfRule type="expression" dxfId="21541" priority="8929">
      <formula>#REF!="TO"</formula>
    </cfRule>
    <cfRule type="expression" dxfId="21540" priority="8930">
      <formula>#REF!="IO"</formula>
    </cfRule>
    <cfRule type="expression" dxfId="21539" priority="8931">
      <formula>#REF!="L"</formula>
    </cfRule>
  </conditionalFormatting>
  <conditionalFormatting sqref="AR48">
    <cfRule type="expression" dxfId="21538" priority="8926">
      <formula>#REF!="TO"</formula>
    </cfRule>
    <cfRule type="expression" dxfId="21537" priority="8927">
      <formula>#REF!="IO"</formula>
    </cfRule>
    <cfRule type="expression" dxfId="21536" priority="8928">
      <formula>#REF!="L"</formula>
    </cfRule>
  </conditionalFormatting>
  <conditionalFormatting sqref="P48">
    <cfRule type="expression" dxfId="21535" priority="8920">
      <formula>#REF!="TO"</formula>
    </cfRule>
    <cfRule type="expression" dxfId="21534" priority="8921">
      <formula>#REF!="IO"</formula>
    </cfRule>
    <cfRule type="expression" dxfId="21533" priority="8922">
      <formula>#REF!="L"</formula>
    </cfRule>
  </conditionalFormatting>
  <conditionalFormatting sqref="AT48">
    <cfRule type="expression" dxfId="21532" priority="8917">
      <formula>#REF!="TO"</formula>
    </cfRule>
    <cfRule type="expression" dxfId="21531" priority="8918">
      <formula>#REF!="IO"</formula>
    </cfRule>
    <cfRule type="expression" dxfId="21530" priority="8919">
      <formula>#REF!="L"</formula>
    </cfRule>
  </conditionalFormatting>
  <conditionalFormatting sqref="AF48">
    <cfRule type="expression" dxfId="21529" priority="8914">
      <formula>#REF!="TO"</formula>
    </cfRule>
    <cfRule type="expression" dxfId="21528" priority="8915">
      <formula>#REF!="IO"</formula>
    </cfRule>
    <cfRule type="expression" dxfId="21527" priority="8916">
      <formula>#REF!="L"</formula>
    </cfRule>
  </conditionalFormatting>
  <conditionalFormatting sqref="S48">
    <cfRule type="expression" dxfId="21526" priority="8911">
      <formula>#REF!="TO"</formula>
    </cfRule>
    <cfRule type="expression" dxfId="21525" priority="8912">
      <formula>#REF!="IO"</formula>
    </cfRule>
    <cfRule type="expression" dxfId="21524" priority="8913">
      <formula>#REF!="L"</formula>
    </cfRule>
  </conditionalFormatting>
  <conditionalFormatting sqref="O48:P48">
    <cfRule type="expression" dxfId="21523" priority="8908">
      <formula>#REF!="TO"</formula>
    </cfRule>
    <cfRule type="expression" dxfId="21522" priority="8909">
      <formula>#REF!="IO"</formula>
    </cfRule>
    <cfRule type="expression" dxfId="21521" priority="8910">
      <formula>#REF!="L"</formula>
    </cfRule>
  </conditionalFormatting>
  <conditionalFormatting sqref="B49">
    <cfRule type="expression" dxfId="21520" priority="8902">
      <formula>#REF!="TO"</formula>
    </cfRule>
    <cfRule type="expression" dxfId="21519" priority="8903">
      <formula>#REF!="IO"</formula>
    </cfRule>
    <cfRule type="expression" dxfId="21518" priority="8904">
      <formula>#REF!="L"</formula>
    </cfRule>
  </conditionalFormatting>
  <conditionalFormatting sqref="E49">
    <cfRule type="expression" dxfId="21517" priority="8899">
      <formula>#REF!="TO"</formula>
    </cfRule>
    <cfRule type="expression" dxfId="21516" priority="8900">
      <formula>#REF!="IO"</formula>
    </cfRule>
    <cfRule type="expression" dxfId="21515" priority="8901">
      <formula>#REF!="L"</formula>
    </cfRule>
  </conditionalFormatting>
  <conditionalFormatting sqref="G49">
    <cfRule type="expression" dxfId="21514" priority="8896">
      <formula>#REF!="TO"</formula>
    </cfRule>
    <cfRule type="expression" dxfId="21513" priority="8897">
      <formula>#REF!="IO"</formula>
    </cfRule>
    <cfRule type="expression" dxfId="21512" priority="8898">
      <formula>#REF!="L"</formula>
    </cfRule>
  </conditionalFormatting>
  <conditionalFormatting sqref="R19">
    <cfRule type="expression" dxfId="21511" priority="8740">
      <formula>#REF!="TO"</formula>
    </cfRule>
    <cfRule type="expression" dxfId="21510" priority="8741">
      <formula>#REF!="IO"</formula>
    </cfRule>
    <cfRule type="expression" dxfId="21509" priority="8742">
      <formula>#REF!="L"</formula>
    </cfRule>
  </conditionalFormatting>
  <conditionalFormatting sqref="N49:P49">
    <cfRule type="expression" dxfId="21508" priority="8884">
      <formula>#REF!="TO"</formula>
    </cfRule>
    <cfRule type="expression" dxfId="21507" priority="8885">
      <formula>#REF!="IO"</formula>
    </cfRule>
    <cfRule type="expression" dxfId="21506" priority="8886">
      <formula>#REF!="L"</formula>
    </cfRule>
  </conditionalFormatting>
  <conditionalFormatting sqref="P9:P12">
    <cfRule type="expression" dxfId="21505" priority="8668">
      <formula>#REF!="TO"</formula>
    </cfRule>
    <cfRule type="expression" dxfId="21504" priority="8669">
      <formula>#REF!="IO"</formula>
    </cfRule>
    <cfRule type="expression" dxfId="21503" priority="8670">
      <formula>#REF!="L"</formula>
    </cfRule>
  </conditionalFormatting>
  <conditionalFormatting sqref="AK50">
    <cfRule type="expression" dxfId="21502" priority="8785">
      <formula>#REF!="TO"</formula>
    </cfRule>
    <cfRule type="expression" dxfId="21501" priority="8786">
      <formula>#REF!="IO"</formula>
    </cfRule>
    <cfRule type="expression" dxfId="21500" priority="8787">
      <formula>#REF!="L"</formula>
    </cfRule>
  </conditionalFormatting>
  <conditionalFormatting sqref="V49">
    <cfRule type="expression" dxfId="21499" priority="8875">
      <formula>#REF!="TO"</formula>
    </cfRule>
    <cfRule type="expression" dxfId="21498" priority="8876">
      <formula>#REF!="IO"</formula>
    </cfRule>
    <cfRule type="expression" dxfId="21497" priority="8877">
      <formula>#REF!="L"</formula>
    </cfRule>
  </conditionalFormatting>
  <conditionalFormatting sqref="X49">
    <cfRule type="expression" dxfId="21496" priority="8872">
      <formula>#REF!="TO"</formula>
    </cfRule>
    <cfRule type="expression" dxfId="21495" priority="8873">
      <formula>#REF!="IO"</formula>
    </cfRule>
    <cfRule type="expression" dxfId="21494" priority="8874">
      <formula>#REF!="L"</formula>
    </cfRule>
  </conditionalFormatting>
  <conditionalFormatting sqref="Y49">
    <cfRule type="expression" dxfId="21493" priority="8869">
      <formula>#REF!="TO"</formula>
    </cfRule>
    <cfRule type="expression" dxfId="21492" priority="8870">
      <formula>#REF!="IO"</formula>
    </cfRule>
    <cfRule type="expression" dxfId="21491" priority="8871">
      <formula>#REF!="L"</formula>
    </cfRule>
  </conditionalFormatting>
  <conditionalFormatting sqref="AH49">
    <cfRule type="expression" dxfId="21490" priority="8866">
      <formula>#REF!="TO"</formula>
    </cfRule>
    <cfRule type="expression" dxfId="21489" priority="8867">
      <formula>#REF!="IO"</formula>
    </cfRule>
    <cfRule type="expression" dxfId="21488" priority="8868">
      <formula>#REF!="L"</formula>
    </cfRule>
  </conditionalFormatting>
  <conditionalFormatting sqref="AJ49">
    <cfRule type="expression" dxfId="21487" priority="8863">
      <formula>#REF!="TO"</formula>
    </cfRule>
    <cfRule type="expression" dxfId="21486" priority="8864">
      <formula>#REF!="IO"</formula>
    </cfRule>
    <cfRule type="expression" dxfId="21485" priority="8865">
      <formula>#REF!="L"</formula>
    </cfRule>
  </conditionalFormatting>
  <conditionalFormatting sqref="AM49">
    <cfRule type="expression" dxfId="21484" priority="8857">
      <formula>#REF!="TO"</formula>
    </cfRule>
    <cfRule type="expression" dxfId="21483" priority="8858">
      <formula>#REF!="IO"</formula>
    </cfRule>
    <cfRule type="expression" dxfId="21482" priority="8859">
      <formula>#REF!="L"</formula>
    </cfRule>
  </conditionalFormatting>
  <conditionalFormatting sqref="AQ49">
    <cfRule type="expression" dxfId="21481" priority="8854">
      <formula>#REF!="TO"</formula>
    </cfRule>
    <cfRule type="expression" dxfId="21480" priority="8855">
      <formula>#REF!="IO"</formula>
    </cfRule>
    <cfRule type="expression" dxfId="21479" priority="8856">
      <formula>#REF!="L"</formula>
    </cfRule>
  </conditionalFormatting>
  <conditionalFormatting sqref="AR49">
    <cfRule type="expression" dxfId="21478" priority="8851">
      <formula>#REF!="TO"</formula>
    </cfRule>
    <cfRule type="expression" dxfId="21477" priority="8852">
      <formula>#REF!="IO"</formula>
    </cfRule>
    <cfRule type="expression" dxfId="21476" priority="8853">
      <formula>#REF!="L"</formula>
    </cfRule>
  </conditionalFormatting>
  <conditionalFormatting sqref="AH51:AH98">
    <cfRule type="expression" dxfId="21475" priority="8587">
      <formula>#REF!="TO"</formula>
    </cfRule>
    <cfRule type="expression" dxfId="21474" priority="8588">
      <formula>#REF!="IO"</formula>
    </cfRule>
    <cfRule type="expression" dxfId="21473" priority="8589">
      <formula>#REF!="L"</formula>
    </cfRule>
  </conditionalFormatting>
  <conditionalFormatting sqref="P49">
    <cfRule type="expression" dxfId="21472" priority="8845">
      <formula>#REF!="TO"</formula>
    </cfRule>
    <cfRule type="expression" dxfId="21471" priority="8846">
      <formula>#REF!="IO"</formula>
    </cfRule>
    <cfRule type="expression" dxfId="21470" priority="8847">
      <formula>#REF!="L"</formula>
    </cfRule>
  </conditionalFormatting>
  <conditionalFormatting sqref="AT49">
    <cfRule type="expression" dxfId="21469" priority="8842">
      <formula>#REF!="TO"</formula>
    </cfRule>
    <cfRule type="expression" dxfId="21468" priority="8843">
      <formula>#REF!="IO"</formula>
    </cfRule>
    <cfRule type="expression" dxfId="21467" priority="8844">
      <formula>#REF!="L"</formula>
    </cfRule>
  </conditionalFormatting>
  <conditionalFormatting sqref="AF49">
    <cfRule type="expression" dxfId="21466" priority="8839">
      <formula>#REF!="TO"</formula>
    </cfRule>
    <cfRule type="expression" dxfId="21465" priority="8840">
      <formula>#REF!="IO"</formula>
    </cfRule>
    <cfRule type="expression" dxfId="21464" priority="8841">
      <formula>#REF!="L"</formula>
    </cfRule>
  </conditionalFormatting>
  <conditionalFormatting sqref="S49">
    <cfRule type="expression" dxfId="21463" priority="8836">
      <formula>#REF!="TO"</formula>
    </cfRule>
    <cfRule type="expression" dxfId="21462" priority="8837">
      <formula>#REF!="IO"</formula>
    </cfRule>
    <cfRule type="expression" dxfId="21461" priority="8838">
      <formula>#REF!="L"</formula>
    </cfRule>
  </conditionalFormatting>
  <conditionalFormatting sqref="O49:P49">
    <cfRule type="expression" dxfId="21460" priority="8833">
      <formula>#REF!="TO"</formula>
    </cfRule>
    <cfRule type="expression" dxfId="21459" priority="8834">
      <formula>#REF!="IO"</formula>
    </cfRule>
    <cfRule type="expression" dxfId="21458" priority="8835">
      <formula>#REF!="L"</formula>
    </cfRule>
  </conditionalFormatting>
  <conditionalFormatting sqref="B50">
    <cfRule type="expression" dxfId="21457" priority="8827">
      <formula>#REF!="TO"</formula>
    </cfRule>
    <cfRule type="expression" dxfId="21456" priority="8828">
      <formula>#REF!="IO"</formula>
    </cfRule>
    <cfRule type="expression" dxfId="21455" priority="8829">
      <formula>#REF!="L"</formula>
    </cfRule>
  </conditionalFormatting>
  <conditionalFormatting sqref="E50">
    <cfRule type="expression" dxfId="21454" priority="8824">
      <formula>#REF!="TO"</formula>
    </cfRule>
    <cfRule type="expression" dxfId="21453" priority="8825">
      <formula>#REF!="IO"</formula>
    </cfRule>
    <cfRule type="expression" dxfId="21452" priority="8826">
      <formula>#REF!="L"</formula>
    </cfRule>
  </conditionalFormatting>
  <conditionalFormatting sqref="G50">
    <cfRule type="expression" dxfId="21451" priority="8821">
      <formula>#REF!="TO"</formula>
    </cfRule>
    <cfRule type="expression" dxfId="21450" priority="8822">
      <formula>#REF!="IO"</formula>
    </cfRule>
    <cfRule type="expression" dxfId="21449" priority="8823">
      <formula>#REF!="L"</formula>
    </cfRule>
  </conditionalFormatting>
  <conditionalFormatting sqref="P16">
    <cfRule type="expression" dxfId="21448" priority="8665">
      <formula>#REF!="TO"</formula>
    </cfRule>
    <cfRule type="expression" dxfId="21447" priority="8666">
      <formula>#REF!="IO"</formula>
    </cfRule>
    <cfRule type="expression" dxfId="21446" priority="8667">
      <formula>#REF!="L"</formula>
    </cfRule>
  </conditionalFormatting>
  <conditionalFormatting sqref="N50:P50">
    <cfRule type="expression" dxfId="21445" priority="8809">
      <formula>#REF!="TO"</formula>
    </cfRule>
    <cfRule type="expression" dxfId="21444" priority="8810">
      <formula>#REF!="IO"</formula>
    </cfRule>
    <cfRule type="expression" dxfId="21443" priority="8811">
      <formula>#REF!="L"</formula>
    </cfRule>
  </conditionalFormatting>
  <conditionalFormatting sqref="X51:X98">
    <cfRule type="expression" dxfId="21442" priority="8593">
      <formula>#REF!="TO"</formula>
    </cfRule>
    <cfRule type="expression" dxfId="21441" priority="8594">
      <formula>#REF!="IO"</formula>
    </cfRule>
    <cfRule type="expression" dxfId="21440" priority="8595">
      <formula>#REF!="L"</formula>
    </cfRule>
  </conditionalFormatting>
  <conditionalFormatting sqref="V50">
    <cfRule type="expression" dxfId="21439" priority="8800">
      <formula>#REF!="TO"</formula>
    </cfRule>
    <cfRule type="expression" dxfId="21438" priority="8801">
      <formula>#REF!="IO"</formula>
    </cfRule>
    <cfRule type="expression" dxfId="21437" priority="8802">
      <formula>#REF!="L"</formula>
    </cfRule>
  </conditionalFormatting>
  <conditionalFormatting sqref="X50">
    <cfRule type="expression" dxfId="21436" priority="8797">
      <formula>#REF!="TO"</formula>
    </cfRule>
    <cfRule type="expression" dxfId="21435" priority="8798">
      <formula>#REF!="IO"</formula>
    </cfRule>
    <cfRule type="expression" dxfId="21434" priority="8799">
      <formula>#REF!="L"</formula>
    </cfRule>
  </conditionalFormatting>
  <conditionalFormatting sqref="Y50">
    <cfRule type="expression" dxfId="21433" priority="8794">
      <formula>#REF!="TO"</formula>
    </cfRule>
    <cfRule type="expression" dxfId="21432" priority="8795">
      <formula>#REF!="IO"</formula>
    </cfRule>
    <cfRule type="expression" dxfId="21431" priority="8796">
      <formula>#REF!="L"</formula>
    </cfRule>
  </conditionalFormatting>
  <conditionalFormatting sqref="AH50">
    <cfRule type="expression" dxfId="21430" priority="8791">
      <formula>#REF!="TO"</formula>
    </cfRule>
    <cfRule type="expression" dxfId="21429" priority="8792">
      <formula>#REF!="IO"</formula>
    </cfRule>
    <cfRule type="expression" dxfId="21428" priority="8793">
      <formula>#REF!="L"</formula>
    </cfRule>
  </conditionalFormatting>
  <conditionalFormatting sqref="AJ50">
    <cfRule type="expression" dxfId="21427" priority="8788">
      <formula>#REF!="TO"</formula>
    </cfRule>
    <cfRule type="expression" dxfId="21426" priority="8789">
      <formula>#REF!="IO"</formula>
    </cfRule>
    <cfRule type="expression" dxfId="21425" priority="8790">
      <formula>#REF!="L"</formula>
    </cfRule>
  </conditionalFormatting>
  <conditionalFormatting sqref="N51:P98">
    <cfRule type="expression" dxfId="21424" priority="8605">
      <formula>#REF!="TO"</formula>
    </cfRule>
    <cfRule type="expression" dxfId="21423" priority="8606">
      <formula>#REF!="IO"</formula>
    </cfRule>
    <cfRule type="expression" dxfId="21422" priority="8607">
      <formula>#REF!="L"</formula>
    </cfRule>
  </conditionalFormatting>
  <conditionalFormatting sqref="AM50">
    <cfRule type="expression" dxfId="21421" priority="8782">
      <formula>#REF!="TO"</formula>
    </cfRule>
    <cfRule type="expression" dxfId="21420" priority="8783">
      <formula>#REF!="IO"</formula>
    </cfRule>
    <cfRule type="expression" dxfId="21419" priority="8784">
      <formula>#REF!="L"</formula>
    </cfRule>
  </conditionalFormatting>
  <conditionalFormatting sqref="AQ50">
    <cfRule type="expression" dxfId="21418" priority="8779">
      <formula>#REF!="TO"</formula>
    </cfRule>
    <cfRule type="expression" dxfId="21417" priority="8780">
      <formula>#REF!="IO"</formula>
    </cfRule>
    <cfRule type="expression" dxfId="21416" priority="8781">
      <formula>#REF!="L"</formula>
    </cfRule>
  </conditionalFormatting>
  <conditionalFormatting sqref="AR50">
    <cfRule type="expression" dxfId="21415" priority="8776">
      <formula>#REF!="TO"</formula>
    </cfRule>
    <cfRule type="expression" dxfId="21414" priority="8777">
      <formula>#REF!="IO"</formula>
    </cfRule>
    <cfRule type="expression" dxfId="21413" priority="8778">
      <formula>#REF!="L"</formula>
    </cfRule>
  </conditionalFormatting>
  <conditionalFormatting sqref="P50">
    <cfRule type="expression" dxfId="21412" priority="8770">
      <formula>#REF!="TO"</formula>
    </cfRule>
    <cfRule type="expression" dxfId="21411" priority="8771">
      <formula>#REF!="IO"</formula>
    </cfRule>
    <cfRule type="expression" dxfId="21410" priority="8772">
      <formula>#REF!="L"</formula>
    </cfRule>
  </conditionalFormatting>
  <conditionalFormatting sqref="AT50">
    <cfRule type="expression" dxfId="21409" priority="8767">
      <formula>#REF!="TO"</formula>
    </cfRule>
    <cfRule type="expression" dxfId="21408" priority="8768">
      <formula>#REF!="IO"</formula>
    </cfRule>
    <cfRule type="expression" dxfId="21407" priority="8769">
      <formula>#REF!="L"</formula>
    </cfRule>
  </conditionalFormatting>
  <conditionalFormatting sqref="AF50">
    <cfRule type="expression" dxfId="21406" priority="8764">
      <formula>#REF!="TO"</formula>
    </cfRule>
    <cfRule type="expression" dxfId="21405" priority="8765">
      <formula>#REF!="IO"</formula>
    </cfRule>
    <cfRule type="expression" dxfId="21404" priority="8766">
      <formula>#REF!="L"</formula>
    </cfRule>
  </conditionalFormatting>
  <conditionalFormatting sqref="S50">
    <cfRule type="expression" dxfId="21403" priority="8761">
      <formula>#REF!="TO"</formula>
    </cfRule>
    <cfRule type="expression" dxfId="21402" priority="8762">
      <formula>#REF!="IO"</formula>
    </cfRule>
    <cfRule type="expression" dxfId="21401" priority="8763">
      <formula>#REF!="L"</formula>
    </cfRule>
  </conditionalFormatting>
  <conditionalFormatting sqref="O50:P50">
    <cfRule type="expression" dxfId="21400" priority="8758">
      <formula>#REF!="TO"</formula>
    </cfRule>
    <cfRule type="expression" dxfId="21399" priority="8759">
      <formula>#REF!="IO"</formula>
    </cfRule>
    <cfRule type="expression" dxfId="21398" priority="8760">
      <formula>#REF!="L"</formula>
    </cfRule>
  </conditionalFormatting>
  <conditionalFormatting sqref="AT7">
    <cfRule type="expression" dxfId="21397" priority="8752">
      <formula>#REF!="TO"</formula>
    </cfRule>
    <cfRule type="expression" dxfId="21396" priority="8753">
      <formula>#REF!="IO"</formula>
    </cfRule>
    <cfRule type="expression" dxfId="21395" priority="8754">
      <formula>#REF!="L"</formula>
    </cfRule>
  </conditionalFormatting>
  <conditionalFormatting sqref="R9:R12">
    <cfRule type="expression" dxfId="21394" priority="8749">
      <formula>#REF!="TO"</formula>
    </cfRule>
    <cfRule type="expression" dxfId="21393" priority="8750">
      <formula>#REF!="IO"</formula>
    </cfRule>
    <cfRule type="expression" dxfId="21392" priority="8751">
      <formula>#REF!="L"</formula>
    </cfRule>
  </conditionalFormatting>
  <conditionalFormatting sqref="R16">
    <cfRule type="expression" dxfId="21391" priority="8746">
      <formula>#REF!="TO"</formula>
    </cfRule>
    <cfRule type="expression" dxfId="21390" priority="8747">
      <formula>#REF!="IO"</formula>
    </cfRule>
    <cfRule type="expression" dxfId="21389" priority="8748">
      <formula>#REF!="L"</formula>
    </cfRule>
  </conditionalFormatting>
  <conditionalFormatting sqref="R20">
    <cfRule type="expression" dxfId="21388" priority="8737">
      <formula>#REF!="TO"</formula>
    </cfRule>
    <cfRule type="expression" dxfId="21387" priority="8738">
      <formula>#REF!="IO"</formula>
    </cfRule>
    <cfRule type="expression" dxfId="21386" priority="8739">
      <formula>#REF!="L"</formula>
    </cfRule>
  </conditionalFormatting>
  <conditionalFormatting sqref="R13">
    <cfRule type="expression" dxfId="21385" priority="8734">
      <formula>#REF!="TO"</formula>
    </cfRule>
    <cfRule type="expression" dxfId="21384" priority="8735">
      <formula>#REF!="IO"</formula>
    </cfRule>
    <cfRule type="expression" dxfId="21383" priority="8736">
      <formula>#REF!="L"</formula>
    </cfRule>
  </conditionalFormatting>
  <conditionalFormatting sqref="R14">
    <cfRule type="expression" dxfId="21382" priority="8731">
      <formula>#REF!="TO"</formula>
    </cfRule>
    <cfRule type="expression" dxfId="21381" priority="8732">
      <formula>#REF!="IO"</formula>
    </cfRule>
    <cfRule type="expression" dxfId="21380" priority="8733">
      <formula>#REF!="L"</formula>
    </cfRule>
  </conditionalFormatting>
  <conditionalFormatting sqref="R15">
    <cfRule type="expression" dxfId="21379" priority="8728">
      <formula>#REF!="TO"</formula>
    </cfRule>
    <cfRule type="expression" dxfId="21378" priority="8729">
      <formula>#REF!="IO"</formula>
    </cfRule>
    <cfRule type="expression" dxfId="21377" priority="8730">
      <formula>#REF!="L"</formula>
    </cfRule>
  </conditionalFormatting>
  <conditionalFormatting sqref="R18">
    <cfRule type="expression" dxfId="21376" priority="8725">
      <formula>#REF!="TO"</formula>
    </cfRule>
    <cfRule type="expression" dxfId="21375" priority="8726">
      <formula>#REF!="IO"</formula>
    </cfRule>
    <cfRule type="expression" dxfId="21374" priority="8727">
      <formula>#REF!="L"</formula>
    </cfRule>
  </conditionalFormatting>
  <conditionalFormatting sqref="R21">
    <cfRule type="expression" dxfId="21373" priority="8722">
      <formula>#REF!="TO"</formula>
    </cfRule>
    <cfRule type="expression" dxfId="21372" priority="8723">
      <formula>#REF!="IO"</formula>
    </cfRule>
    <cfRule type="expression" dxfId="21371" priority="8724">
      <formula>#REF!="L"</formula>
    </cfRule>
  </conditionalFormatting>
  <conditionalFormatting sqref="R22">
    <cfRule type="expression" dxfId="21370" priority="8719">
      <formula>#REF!="TO"</formula>
    </cfRule>
    <cfRule type="expression" dxfId="21369" priority="8720">
      <formula>#REF!="IO"</formula>
    </cfRule>
    <cfRule type="expression" dxfId="21368" priority="8721">
      <formula>#REF!="L"</formula>
    </cfRule>
  </conditionalFormatting>
  <conditionalFormatting sqref="R23:R24">
    <cfRule type="expression" dxfId="21367" priority="8716">
      <formula>#REF!="TO"</formula>
    </cfRule>
    <cfRule type="expression" dxfId="21366" priority="8717">
      <formula>#REF!="IO"</formula>
    </cfRule>
    <cfRule type="expression" dxfId="21365" priority="8718">
      <formula>#REF!="L"</formula>
    </cfRule>
  </conditionalFormatting>
  <conditionalFormatting sqref="R25:R29">
    <cfRule type="expression" dxfId="21364" priority="8713">
      <formula>#REF!="TO"</formula>
    </cfRule>
    <cfRule type="expression" dxfId="21363" priority="8714">
      <formula>#REF!="IO"</formula>
    </cfRule>
    <cfRule type="expression" dxfId="21362" priority="8715">
      <formula>#REF!="L"</formula>
    </cfRule>
  </conditionalFormatting>
  <conditionalFormatting sqref="AQ51:AQ98">
    <cfRule type="expression" dxfId="21361" priority="8575">
      <formula>#REF!="TO"</formula>
    </cfRule>
    <cfRule type="expression" dxfId="21360" priority="8576">
      <formula>#REF!="IO"</formula>
    </cfRule>
    <cfRule type="expression" dxfId="21359" priority="8577">
      <formula>#REF!="L"</formula>
    </cfRule>
  </conditionalFormatting>
  <conditionalFormatting sqref="K51:K98">
    <cfRule type="expression" dxfId="21358" priority="8611">
      <formula>#REF!="TO"</formula>
    </cfRule>
    <cfRule type="expression" dxfId="21357" priority="8612">
      <formula>#REF!="IO"</formula>
    </cfRule>
    <cfRule type="expression" dxfId="21356" priority="8613">
      <formula>#REF!="L"</formula>
    </cfRule>
  </conditionalFormatting>
  <conditionalFormatting sqref="AA5">
    <cfRule type="expression" dxfId="21355" priority="8461">
      <formula>#REF!="TO"</formula>
    </cfRule>
    <cfRule type="expression" dxfId="21354" priority="8462">
      <formula>#REF!="IO"</formula>
    </cfRule>
    <cfRule type="expression" dxfId="21353" priority="8463">
      <formula>#REF!="L"</formula>
    </cfRule>
  </conditionalFormatting>
  <conditionalFormatting sqref="AA20">
    <cfRule type="expression" dxfId="21352" priority="8425">
      <formula>#REF!="TO"</formula>
    </cfRule>
    <cfRule type="expression" dxfId="21351" priority="8426">
      <formula>#REF!="IO"</formula>
    </cfRule>
    <cfRule type="expression" dxfId="21350" priority="8427">
      <formula>#REF!="L"</formula>
    </cfRule>
  </conditionalFormatting>
  <conditionalFormatting sqref="AA50">
    <cfRule type="expression" dxfId="21349" priority="8389">
      <formula>#REF!="TO"</formula>
    </cfRule>
    <cfRule type="expression" dxfId="21348" priority="8390">
      <formula>#REF!="IO"</formula>
    </cfRule>
    <cfRule type="expression" dxfId="21347" priority="8391">
      <formula>#REF!="L"</formula>
    </cfRule>
  </conditionalFormatting>
  <conditionalFormatting sqref="V51:V98">
    <cfRule type="expression" dxfId="21346" priority="8596">
      <formula>#REF!="TO"</formula>
    </cfRule>
    <cfRule type="expression" dxfId="21345" priority="8597">
      <formula>#REF!="IO"</formula>
    </cfRule>
    <cfRule type="expression" dxfId="21344" priority="8598">
      <formula>#REF!="L"</formula>
    </cfRule>
  </conditionalFormatting>
  <conditionalFormatting sqref="Y51:Y98">
    <cfRule type="expression" dxfId="21343" priority="8590">
      <formula>#REF!="TO"</formula>
    </cfRule>
    <cfRule type="expression" dxfId="21342" priority="8591">
      <formula>#REF!="IO"</formula>
    </cfRule>
    <cfRule type="expression" dxfId="21341" priority="8592">
      <formula>#REF!="L"</formula>
    </cfRule>
  </conditionalFormatting>
  <conditionalFormatting sqref="AJ51:AJ98">
    <cfRule type="expression" dxfId="21340" priority="8584">
      <formula>#REF!="TO"</formula>
    </cfRule>
    <cfRule type="expression" dxfId="21339" priority="8585">
      <formula>#REF!="IO"</formula>
    </cfRule>
    <cfRule type="expression" dxfId="21338" priority="8586">
      <formula>#REF!="L"</formula>
    </cfRule>
  </conditionalFormatting>
  <conditionalFormatting sqref="AK51:AK98">
    <cfRule type="expression" dxfId="21337" priority="8581">
      <formula>#REF!="TO"</formula>
    </cfRule>
    <cfRule type="expression" dxfId="21336" priority="8582">
      <formula>#REF!="IO"</formula>
    </cfRule>
    <cfRule type="expression" dxfId="21335" priority="8583">
      <formula>#REF!="L"</formula>
    </cfRule>
  </conditionalFormatting>
  <conditionalFormatting sqref="P17">
    <cfRule type="expression" dxfId="21334" priority="8662">
      <formula>#REF!="TO"</formula>
    </cfRule>
    <cfRule type="expression" dxfId="21333" priority="8663">
      <formula>#REF!="IO"</formula>
    </cfRule>
    <cfRule type="expression" dxfId="21332" priority="8664">
      <formula>#REF!="L"</formula>
    </cfRule>
  </conditionalFormatting>
  <conditionalFormatting sqref="P19">
    <cfRule type="expression" dxfId="21331" priority="8659">
      <formula>#REF!="TO"</formula>
    </cfRule>
    <cfRule type="expression" dxfId="21330" priority="8660">
      <formula>#REF!="IO"</formula>
    </cfRule>
    <cfRule type="expression" dxfId="21329" priority="8661">
      <formula>#REF!="L"</formula>
    </cfRule>
  </conditionalFormatting>
  <conditionalFormatting sqref="P20">
    <cfRule type="expression" dxfId="21328" priority="8656">
      <formula>#REF!="TO"</formula>
    </cfRule>
    <cfRule type="expression" dxfId="21327" priority="8657">
      <formula>#REF!="IO"</formula>
    </cfRule>
    <cfRule type="expression" dxfId="21326" priority="8658">
      <formula>#REF!="L"</formula>
    </cfRule>
  </conditionalFormatting>
  <conditionalFormatting sqref="P13">
    <cfRule type="expression" dxfId="21325" priority="8653">
      <formula>#REF!="TO"</formula>
    </cfRule>
    <cfRule type="expression" dxfId="21324" priority="8654">
      <formula>#REF!="IO"</formula>
    </cfRule>
    <cfRule type="expression" dxfId="21323" priority="8655">
      <formula>#REF!="L"</formula>
    </cfRule>
  </conditionalFormatting>
  <conditionalFormatting sqref="P14">
    <cfRule type="expression" dxfId="21322" priority="8650">
      <formula>#REF!="TO"</formula>
    </cfRule>
    <cfRule type="expression" dxfId="21321" priority="8651">
      <formula>#REF!="IO"</formula>
    </cfRule>
    <cfRule type="expression" dxfId="21320" priority="8652">
      <formula>#REF!="L"</formula>
    </cfRule>
  </conditionalFormatting>
  <conditionalFormatting sqref="P15">
    <cfRule type="expression" dxfId="21319" priority="8647">
      <formula>#REF!="TO"</formula>
    </cfRule>
    <cfRule type="expression" dxfId="21318" priority="8648">
      <formula>#REF!="IO"</formula>
    </cfRule>
    <cfRule type="expression" dxfId="21317" priority="8649">
      <formula>#REF!="L"</formula>
    </cfRule>
  </conditionalFormatting>
  <conditionalFormatting sqref="P18">
    <cfRule type="expression" dxfId="21316" priority="8644">
      <formula>#REF!="TO"</formula>
    </cfRule>
    <cfRule type="expression" dxfId="21315" priority="8645">
      <formula>#REF!="IO"</formula>
    </cfRule>
    <cfRule type="expression" dxfId="21314" priority="8646">
      <formula>#REF!="L"</formula>
    </cfRule>
  </conditionalFormatting>
  <conditionalFormatting sqref="P21">
    <cfRule type="expression" dxfId="21313" priority="8641">
      <formula>#REF!="TO"</formula>
    </cfRule>
    <cfRule type="expression" dxfId="21312" priority="8642">
      <formula>#REF!="IO"</formula>
    </cfRule>
    <cfRule type="expression" dxfId="21311" priority="8643">
      <formula>#REF!="L"</formula>
    </cfRule>
  </conditionalFormatting>
  <conditionalFormatting sqref="P22">
    <cfRule type="expression" dxfId="21310" priority="8638">
      <formula>#REF!="TO"</formula>
    </cfRule>
    <cfRule type="expression" dxfId="21309" priority="8639">
      <formula>#REF!="IO"</formula>
    </cfRule>
    <cfRule type="expression" dxfId="21308" priority="8640">
      <formula>#REF!="L"</formula>
    </cfRule>
  </conditionalFormatting>
  <conditionalFormatting sqref="P23:P24">
    <cfRule type="expression" dxfId="21307" priority="8635">
      <formula>#REF!="TO"</formula>
    </cfRule>
    <cfRule type="expression" dxfId="21306" priority="8636">
      <formula>#REF!="IO"</formula>
    </cfRule>
    <cfRule type="expression" dxfId="21305" priority="8637">
      <formula>#REF!="L"</formula>
    </cfRule>
  </conditionalFormatting>
  <conditionalFormatting sqref="P25:P29">
    <cfRule type="expression" dxfId="21304" priority="8632">
      <formula>#REF!="TO"</formula>
    </cfRule>
    <cfRule type="expression" dxfId="21303" priority="8633">
      <formula>#REF!="IO"</formula>
    </cfRule>
    <cfRule type="expression" dxfId="21302" priority="8634">
      <formula>#REF!="L"</formula>
    </cfRule>
  </conditionalFormatting>
  <conditionalFormatting sqref="A51:A98">
    <cfRule type="expression" dxfId="21301" priority="8626">
      <formula>#REF!="TO"</formula>
    </cfRule>
    <cfRule type="expression" dxfId="21300" priority="8627">
      <formula>#REF!="IO"</formula>
    </cfRule>
    <cfRule type="expression" dxfId="21299" priority="8628">
      <formula>#REF!="L"</formula>
    </cfRule>
  </conditionalFormatting>
  <conditionalFormatting sqref="B51:B98">
    <cfRule type="expression" dxfId="21298" priority="8623">
      <formula>#REF!="TO"</formula>
    </cfRule>
    <cfRule type="expression" dxfId="21297" priority="8624">
      <formula>#REF!="IO"</formula>
    </cfRule>
    <cfRule type="expression" dxfId="21296" priority="8625">
      <formula>#REF!="L"</formula>
    </cfRule>
  </conditionalFormatting>
  <conditionalFormatting sqref="E51:E98">
    <cfRule type="expression" dxfId="21295" priority="8620">
      <formula>#REF!="TO"</formula>
    </cfRule>
    <cfRule type="expression" dxfId="21294" priority="8621">
      <formula>#REF!="IO"</formula>
    </cfRule>
    <cfRule type="expression" dxfId="21293" priority="8622">
      <formula>#REF!="L"</formula>
    </cfRule>
  </conditionalFormatting>
  <conditionalFormatting sqref="G51:G98">
    <cfRule type="expression" dxfId="21292" priority="8617">
      <formula>#REF!="TO"</formula>
    </cfRule>
    <cfRule type="expression" dxfId="21291" priority="8618">
      <formula>#REF!="IO"</formula>
    </cfRule>
    <cfRule type="expression" dxfId="21290" priority="8619">
      <formula>#REF!="L"</formula>
    </cfRule>
  </conditionalFormatting>
  <conditionalFormatting sqref="AA17">
    <cfRule type="expression" dxfId="21289" priority="8434">
      <formula>#REF!="TO"</formula>
    </cfRule>
    <cfRule type="expression" dxfId="21288" priority="8435">
      <formula>#REF!="IO"</formula>
    </cfRule>
    <cfRule type="expression" dxfId="21287" priority="8436">
      <formula>#REF!="L"</formula>
    </cfRule>
  </conditionalFormatting>
  <conditionalFormatting sqref="AA18">
    <cfRule type="expression" dxfId="21286" priority="8431">
      <formula>#REF!="TO"</formula>
    </cfRule>
    <cfRule type="expression" dxfId="21285" priority="8432">
      <formula>#REF!="IO"</formula>
    </cfRule>
    <cfRule type="expression" dxfId="21284" priority="8433">
      <formula>#REF!="L"</formula>
    </cfRule>
  </conditionalFormatting>
  <conditionalFormatting sqref="AA19">
    <cfRule type="expression" dxfId="21283" priority="8428">
      <formula>#REF!="TO"</formula>
    </cfRule>
    <cfRule type="expression" dxfId="21282" priority="8429">
      <formula>#REF!="IO"</formula>
    </cfRule>
    <cfRule type="expression" dxfId="21281" priority="8430">
      <formula>#REF!="L"</formula>
    </cfRule>
  </conditionalFormatting>
  <conditionalFormatting sqref="AA21">
    <cfRule type="expression" dxfId="21280" priority="8422">
      <formula>#REF!="TO"</formula>
    </cfRule>
    <cfRule type="expression" dxfId="21279" priority="8423">
      <formula>#REF!="IO"</formula>
    </cfRule>
    <cfRule type="expression" dxfId="21278" priority="8424">
      <formula>#REF!="L"</formula>
    </cfRule>
  </conditionalFormatting>
  <conditionalFormatting sqref="AB43:AD43">
    <cfRule type="expression" dxfId="21277" priority="8326">
      <formula>#REF!="TO"</formula>
    </cfRule>
    <cfRule type="expression" dxfId="21276" priority="8327">
      <formula>#REF!="IO"</formula>
    </cfRule>
    <cfRule type="expression" dxfId="21275" priority="8328">
      <formula>#REF!="L"</formula>
    </cfRule>
  </conditionalFormatting>
  <conditionalFormatting sqref="AA22:AA29">
    <cfRule type="expression" dxfId="21274" priority="8416">
      <formula>#REF!="TO"</formula>
    </cfRule>
    <cfRule type="expression" dxfId="21273" priority="8417">
      <formula>#REF!="IO"</formula>
    </cfRule>
    <cfRule type="expression" dxfId="21272" priority="8418">
      <formula>#REF!="L"</formula>
    </cfRule>
  </conditionalFormatting>
  <conditionalFormatting sqref="AA42">
    <cfRule type="expression" dxfId="21271" priority="8413">
      <formula>#REF!="TO"</formula>
    </cfRule>
    <cfRule type="expression" dxfId="21270" priority="8414">
      <formula>#REF!="IO"</formula>
    </cfRule>
    <cfRule type="expression" dxfId="21269" priority="8415">
      <formula>#REF!="L"</formula>
    </cfRule>
  </conditionalFormatting>
  <conditionalFormatting sqref="AA43">
    <cfRule type="expression" dxfId="21268" priority="8410">
      <formula>#REF!="TO"</formula>
    </cfRule>
    <cfRule type="expression" dxfId="21267" priority="8411">
      <formula>#REF!="IO"</formula>
    </cfRule>
    <cfRule type="expression" dxfId="21266" priority="8412">
      <formula>#REF!="L"</formula>
    </cfRule>
  </conditionalFormatting>
  <conditionalFormatting sqref="AA44">
    <cfRule type="expression" dxfId="21265" priority="8407">
      <formula>#REF!="TO"</formula>
    </cfRule>
    <cfRule type="expression" dxfId="21264" priority="8408">
      <formula>#REF!="IO"</formula>
    </cfRule>
    <cfRule type="expression" dxfId="21263" priority="8409">
      <formula>#REF!="L"</formula>
    </cfRule>
  </conditionalFormatting>
  <conditionalFormatting sqref="AA45">
    <cfRule type="expression" dxfId="21262" priority="8404">
      <formula>#REF!="TO"</formula>
    </cfRule>
    <cfRule type="expression" dxfId="21261" priority="8405">
      <formula>#REF!="IO"</formula>
    </cfRule>
    <cfRule type="expression" dxfId="21260" priority="8406">
      <formula>#REF!="L"</formula>
    </cfRule>
  </conditionalFormatting>
  <conditionalFormatting sqref="AA46">
    <cfRule type="expression" dxfId="21259" priority="8401">
      <formula>#REF!="TO"</formula>
    </cfRule>
    <cfRule type="expression" dxfId="21258" priority="8402">
      <formula>#REF!="IO"</formula>
    </cfRule>
    <cfRule type="expression" dxfId="21257" priority="8403">
      <formula>#REF!="L"</formula>
    </cfRule>
  </conditionalFormatting>
  <conditionalFormatting sqref="AM51:AM98">
    <cfRule type="expression" dxfId="21256" priority="8578">
      <formula>#REF!="TO"</formula>
    </cfRule>
    <cfRule type="expression" dxfId="21255" priority="8579">
      <formula>#REF!="IO"</formula>
    </cfRule>
    <cfRule type="expression" dxfId="21254" priority="8580">
      <formula>#REF!="L"</formula>
    </cfRule>
  </conditionalFormatting>
  <conditionalFormatting sqref="AR51:AR98">
    <cfRule type="expression" dxfId="21253" priority="8572">
      <formula>#REF!="TO"</formula>
    </cfRule>
    <cfRule type="expression" dxfId="21252" priority="8573">
      <formula>#REF!="IO"</formula>
    </cfRule>
    <cfRule type="expression" dxfId="21251" priority="8574">
      <formula>#REF!="L"</formula>
    </cfRule>
  </conditionalFormatting>
  <conditionalFormatting sqref="P51:P98">
    <cfRule type="expression" dxfId="21250" priority="8566">
      <formula>#REF!="TO"</formula>
    </cfRule>
    <cfRule type="expression" dxfId="21249" priority="8567">
      <formula>#REF!="IO"</formula>
    </cfRule>
    <cfRule type="expression" dxfId="21248" priority="8568">
      <formula>#REF!="L"</formula>
    </cfRule>
  </conditionalFormatting>
  <conditionalFormatting sqref="AT51:AT98">
    <cfRule type="expression" dxfId="21247" priority="8563">
      <formula>#REF!="TO"</formula>
    </cfRule>
    <cfRule type="expression" dxfId="21246" priority="8564">
      <formula>#REF!="IO"</formula>
    </cfRule>
    <cfRule type="expression" dxfId="21245" priority="8565">
      <formula>#REF!="L"</formula>
    </cfRule>
  </conditionalFormatting>
  <conditionalFormatting sqref="AF51:AF98">
    <cfRule type="expression" dxfId="21244" priority="8560">
      <formula>#REF!="TO"</formula>
    </cfRule>
    <cfRule type="expression" dxfId="21243" priority="8561">
      <formula>#REF!="IO"</formula>
    </cfRule>
    <cfRule type="expression" dxfId="21242" priority="8562">
      <formula>#REF!="L"</formula>
    </cfRule>
  </conditionalFormatting>
  <conditionalFormatting sqref="S51:S98">
    <cfRule type="expression" dxfId="21241" priority="8557">
      <formula>#REF!="TO"</formula>
    </cfRule>
    <cfRule type="expression" dxfId="21240" priority="8558">
      <formula>#REF!="IO"</formula>
    </cfRule>
    <cfRule type="expression" dxfId="21239" priority="8559">
      <formula>#REF!="L"</formula>
    </cfRule>
  </conditionalFormatting>
  <conditionalFormatting sqref="O51:P98">
    <cfRule type="expression" dxfId="21238" priority="8554">
      <formula>#REF!="TO"</formula>
    </cfRule>
    <cfRule type="expression" dxfId="21237" priority="8555">
      <formula>#REF!="IO"</formula>
    </cfRule>
    <cfRule type="expression" dxfId="21236" priority="8556">
      <formula>#REF!="L"</formula>
    </cfRule>
  </conditionalFormatting>
  <conditionalFormatting sqref="AA38:AA41 AA23:AA29">
    <cfRule type="expression" dxfId="21235" priority="8464">
      <formula>#REF!="TO"</formula>
    </cfRule>
    <cfRule type="expression" dxfId="21234" priority="8465">
      <formula>#REF!="IO"</formula>
    </cfRule>
    <cfRule type="expression" dxfId="21233" priority="8466">
      <formula>#REF!="L"</formula>
    </cfRule>
  </conditionalFormatting>
  <conditionalFormatting sqref="AA6">
    <cfRule type="expression" dxfId="21232" priority="8458">
      <formula>#REF!="TO"</formula>
    </cfRule>
    <cfRule type="expression" dxfId="21231" priority="8459">
      <formula>#REF!="IO"</formula>
    </cfRule>
    <cfRule type="expression" dxfId="21230" priority="8460">
      <formula>#REF!="L"</formula>
    </cfRule>
  </conditionalFormatting>
  <conditionalFormatting sqref="AA7">
    <cfRule type="expression" dxfId="21229" priority="8455">
      <formula>#REF!="TO"</formula>
    </cfRule>
    <cfRule type="expression" dxfId="21228" priority="8456">
      <formula>#REF!="IO"</formula>
    </cfRule>
    <cfRule type="expression" dxfId="21227" priority="8457">
      <formula>#REF!="L"</formula>
    </cfRule>
  </conditionalFormatting>
  <conditionalFormatting sqref="AA8">
    <cfRule type="expression" dxfId="21226" priority="8452">
      <formula>#REF!="TO"</formula>
    </cfRule>
    <cfRule type="expression" dxfId="21225" priority="8453">
      <formula>#REF!="IO"</formula>
    </cfRule>
    <cfRule type="expression" dxfId="21224" priority="8454">
      <formula>#REF!="L"</formula>
    </cfRule>
  </conditionalFormatting>
  <conditionalFormatting sqref="AA9:AA12">
    <cfRule type="expression" dxfId="21223" priority="8449">
      <formula>#REF!="TO"</formula>
    </cfRule>
    <cfRule type="expression" dxfId="21222" priority="8450">
      <formula>#REF!="IO"</formula>
    </cfRule>
    <cfRule type="expression" dxfId="21221" priority="8451">
      <formula>#REF!="L"</formula>
    </cfRule>
  </conditionalFormatting>
  <conditionalFormatting sqref="AA13">
    <cfRule type="expression" dxfId="21220" priority="8446">
      <formula>#REF!="TO"</formula>
    </cfRule>
    <cfRule type="expression" dxfId="21219" priority="8447">
      <formula>#REF!="IO"</formula>
    </cfRule>
    <cfRule type="expression" dxfId="21218" priority="8448">
      <formula>#REF!="L"</formula>
    </cfRule>
  </conditionalFormatting>
  <conditionalFormatting sqref="AA14">
    <cfRule type="expression" dxfId="21217" priority="8443">
      <formula>#REF!="TO"</formula>
    </cfRule>
    <cfRule type="expression" dxfId="21216" priority="8444">
      <formula>#REF!="IO"</formula>
    </cfRule>
    <cfRule type="expression" dxfId="21215" priority="8445">
      <formula>#REF!="L"</formula>
    </cfRule>
  </conditionalFormatting>
  <conditionalFormatting sqref="AA15">
    <cfRule type="expression" dxfId="21214" priority="8440">
      <formula>#REF!="TO"</formula>
    </cfRule>
    <cfRule type="expression" dxfId="21213" priority="8441">
      <formula>#REF!="IO"</formula>
    </cfRule>
    <cfRule type="expression" dxfId="21212" priority="8442">
      <formula>#REF!="L"</formula>
    </cfRule>
  </conditionalFormatting>
  <conditionalFormatting sqref="AA16">
    <cfRule type="expression" dxfId="21211" priority="8437">
      <formula>#REF!="TO"</formula>
    </cfRule>
    <cfRule type="expression" dxfId="21210" priority="8438">
      <formula>#REF!="IO"</formula>
    </cfRule>
    <cfRule type="expression" dxfId="21209" priority="8439">
      <formula>#REF!="L"</formula>
    </cfRule>
  </conditionalFormatting>
  <conditionalFormatting sqref="AA47">
    <cfRule type="expression" dxfId="21208" priority="8398">
      <formula>#REF!="TO"</formula>
    </cfRule>
    <cfRule type="expression" dxfId="21207" priority="8399">
      <formula>#REF!="IO"</formula>
    </cfRule>
    <cfRule type="expression" dxfId="21206" priority="8400">
      <formula>#REF!="L"</formula>
    </cfRule>
  </conditionalFormatting>
  <conditionalFormatting sqref="AA48">
    <cfRule type="expression" dxfId="21205" priority="8395">
      <formula>#REF!="TO"</formula>
    </cfRule>
    <cfRule type="expression" dxfId="21204" priority="8396">
      <formula>#REF!="IO"</formula>
    </cfRule>
    <cfRule type="expression" dxfId="21203" priority="8397">
      <formula>#REF!="L"</formula>
    </cfRule>
  </conditionalFormatting>
  <conditionalFormatting sqref="AA49">
    <cfRule type="expression" dxfId="21202" priority="8392">
      <formula>#REF!="TO"</formula>
    </cfRule>
    <cfRule type="expression" dxfId="21201" priority="8393">
      <formula>#REF!="IO"</formula>
    </cfRule>
    <cfRule type="expression" dxfId="21200" priority="8394">
      <formula>#REF!="L"</formula>
    </cfRule>
  </conditionalFormatting>
  <conditionalFormatting sqref="AA51:AA98">
    <cfRule type="expression" dxfId="21199" priority="8386">
      <formula>#REF!="TO"</formula>
    </cfRule>
    <cfRule type="expression" dxfId="21198" priority="8387">
      <formula>#REF!="IO"</formula>
    </cfRule>
    <cfRule type="expression" dxfId="21197" priority="8388">
      <formula>#REF!="L"</formula>
    </cfRule>
  </conditionalFormatting>
  <conditionalFormatting sqref="AB38:AD41 AB23:AD29">
    <cfRule type="expression" dxfId="21196" priority="8380">
      <formula>#REF!="TO"</formula>
    </cfRule>
    <cfRule type="expression" dxfId="21195" priority="8381">
      <formula>#REF!="IO"</formula>
    </cfRule>
    <cfRule type="expression" dxfId="21194" priority="8382">
      <formula>#REF!="L"</formula>
    </cfRule>
  </conditionalFormatting>
  <conditionalFormatting sqref="AB5:AD5">
    <cfRule type="expression" dxfId="21193" priority="8377">
      <formula>#REF!="TO"</formula>
    </cfRule>
    <cfRule type="expression" dxfId="21192" priority="8378">
      <formula>#REF!="IO"</formula>
    </cfRule>
    <cfRule type="expression" dxfId="21191" priority="8379">
      <formula>#REF!="L"</formula>
    </cfRule>
  </conditionalFormatting>
  <conditionalFormatting sqref="AB6:AD6">
    <cfRule type="expression" dxfId="21190" priority="8374">
      <formula>#REF!="TO"</formula>
    </cfRule>
    <cfRule type="expression" dxfId="21189" priority="8375">
      <formula>#REF!="IO"</formula>
    </cfRule>
    <cfRule type="expression" dxfId="21188" priority="8376">
      <formula>#REF!="L"</formula>
    </cfRule>
  </conditionalFormatting>
  <conditionalFormatting sqref="AB7:AD7">
    <cfRule type="expression" dxfId="21187" priority="8371">
      <formula>#REF!="TO"</formula>
    </cfRule>
    <cfRule type="expression" dxfId="21186" priority="8372">
      <formula>#REF!="IO"</formula>
    </cfRule>
    <cfRule type="expression" dxfId="21185" priority="8373">
      <formula>#REF!="L"</formula>
    </cfRule>
  </conditionalFormatting>
  <conditionalFormatting sqref="AB8:AD8">
    <cfRule type="expression" dxfId="21184" priority="8368">
      <formula>#REF!="TO"</formula>
    </cfRule>
    <cfRule type="expression" dxfId="21183" priority="8369">
      <formula>#REF!="IO"</formula>
    </cfRule>
    <cfRule type="expression" dxfId="21182" priority="8370">
      <formula>#REF!="L"</formula>
    </cfRule>
  </conditionalFormatting>
  <conditionalFormatting sqref="AB9:AD12">
    <cfRule type="expression" dxfId="21181" priority="8365">
      <formula>#REF!="TO"</formula>
    </cfRule>
    <cfRule type="expression" dxfId="21180" priority="8366">
      <formula>#REF!="IO"</formula>
    </cfRule>
    <cfRule type="expression" dxfId="21179" priority="8367">
      <formula>#REF!="L"</formula>
    </cfRule>
  </conditionalFormatting>
  <conditionalFormatting sqref="AB14:AD14">
    <cfRule type="expression" dxfId="21178" priority="8359">
      <formula>#REF!="TO"</formula>
    </cfRule>
    <cfRule type="expression" dxfId="21177" priority="8360">
      <formula>#REF!="IO"</formula>
    </cfRule>
    <cfRule type="expression" dxfId="21176" priority="8361">
      <formula>#REF!="L"</formula>
    </cfRule>
  </conditionalFormatting>
  <conditionalFormatting sqref="AB13:AD13">
    <cfRule type="expression" dxfId="21175" priority="8362">
      <formula>#REF!="TO"</formula>
    </cfRule>
    <cfRule type="expression" dxfId="21174" priority="8363">
      <formula>#REF!="IO"</formula>
    </cfRule>
    <cfRule type="expression" dxfId="21173" priority="8364">
      <formula>#REF!="L"</formula>
    </cfRule>
  </conditionalFormatting>
  <conditionalFormatting sqref="AB15:AD15">
    <cfRule type="expression" dxfId="21172" priority="8356">
      <formula>#REF!="TO"</formula>
    </cfRule>
    <cfRule type="expression" dxfId="21171" priority="8357">
      <formula>#REF!="IO"</formula>
    </cfRule>
    <cfRule type="expression" dxfId="21170" priority="8358">
      <formula>#REF!="L"</formula>
    </cfRule>
  </conditionalFormatting>
  <conditionalFormatting sqref="AB16:AD16">
    <cfRule type="expression" dxfId="21169" priority="8353">
      <formula>#REF!="TO"</formula>
    </cfRule>
    <cfRule type="expression" dxfId="21168" priority="8354">
      <formula>#REF!="IO"</formula>
    </cfRule>
    <cfRule type="expression" dxfId="21167" priority="8355">
      <formula>#REF!="L"</formula>
    </cfRule>
  </conditionalFormatting>
  <conditionalFormatting sqref="AB20:AD20">
    <cfRule type="expression" dxfId="21166" priority="8341">
      <formula>#REF!="TO"</formula>
    </cfRule>
    <cfRule type="expression" dxfId="21165" priority="8342">
      <formula>#REF!="IO"</formula>
    </cfRule>
    <cfRule type="expression" dxfId="21164" priority="8343">
      <formula>#REF!="L"</formula>
    </cfRule>
  </conditionalFormatting>
  <conditionalFormatting sqref="AB17:AD17">
    <cfRule type="expression" dxfId="21163" priority="8350">
      <formula>#REF!="TO"</formula>
    </cfRule>
    <cfRule type="expression" dxfId="21162" priority="8351">
      <formula>#REF!="IO"</formula>
    </cfRule>
    <cfRule type="expression" dxfId="21161" priority="8352">
      <formula>#REF!="L"</formula>
    </cfRule>
  </conditionalFormatting>
  <conditionalFormatting sqref="AB18:AD18">
    <cfRule type="expression" dxfId="21160" priority="8347">
      <formula>#REF!="TO"</formula>
    </cfRule>
    <cfRule type="expression" dxfId="21159" priority="8348">
      <formula>#REF!="IO"</formula>
    </cfRule>
    <cfRule type="expression" dxfId="21158" priority="8349">
      <formula>#REF!="L"</formula>
    </cfRule>
  </conditionalFormatting>
  <conditionalFormatting sqref="AB19:AD19">
    <cfRule type="expression" dxfId="21157" priority="8344">
      <formula>#REF!="TO"</formula>
    </cfRule>
    <cfRule type="expression" dxfId="21156" priority="8345">
      <formula>#REF!="IO"</formula>
    </cfRule>
    <cfRule type="expression" dxfId="21155" priority="8346">
      <formula>#REF!="L"</formula>
    </cfRule>
  </conditionalFormatting>
  <conditionalFormatting sqref="AB21:AD21">
    <cfRule type="expression" dxfId="21154" priority="8338">
      <formula>#REF!="TO"</formula>
    </cfRule>
    <cfRule type="expression" dxfId="21153" priority="8339">
      <formula>#REF!="IO"</formula>
    </cfRule>
    <cfRule type="expression" dxfId="21152" priority="8340">
      <formula>#REF!="L"</formula>
    </cfRule>
  </conditionalFormatting>
  <conditionalFormatting sqref="T42">
    <cfRule type="expression" dxfId="21151" priority="7873">
      <formula>#REF!="TO"</formula>
    </cfRule>
    <cfRule type="expression" dxfId="21150" priority="7874">
      <formula>#REF!="IO"</formula>
    </cfRule>
    <cfRule type="expression" dxfId="21149" priority="7875">
      <formula>#REF!="L"</formula>
    </cfRule>
  </conditionalFormatting>
  <conditionalFormatting sqref="AB22:AD29">
    <cfRule type="expression" dxfId="21148" priority="8332">
      <formula>#REF!="TO"</formula>
    </cfRule>
    <cfRule type="expression" dxfId="21147" priority="8333">
      <formula>#REF!="IO"</formula>
    </cfRule>
    <cfRule type="expression" dxfId="21146" priority="8334">
      <formula>#REF!="L"</formula>
    </cfRule>
  </conditionalFormatting>
  <conditionalFormatting sqref="AB42:AD42">
    <cfRule type="expression" dxfId="21145" priority="8329">
      <formula>#REF!="TO"</formula>
    </cfRule>
    <cfRule type="expression" dxfId="21144" priority="8330">
      <formula>#REF!="IO"</formula>
    </cfRule>
    <cfRule type="expression" dxfId="21143" priority="8331">
      <formula>#REF!="L"</formula>
    </cfRule>
  </conditionalFormatting>
  <conditionalFormatting sqref="AB44:AD44">
    <cfRule type="expression" dxfId="21142" priority="8323">
      <formula>#REF!="TO"</formula>
    </cfRule>
    <cfRule type="expression" dxfId="21141" priority="8324">
      <formula>#REF!="IO"</formula>
    </cfRule>
    <cfRule type="expression" dxfId="21140" priority="8325">
      <formula>#REF!="L"</formula>
    </cfRule>
  </conditionalFormatting>
  <conditionalFormatting sqref="AB45:AD45">
    <cfRule type="expression" dxfId="21139" priority="8320">
      <formula>#REF!="TO"</formula>
    </cfRule>
    <cfRule type="expression" dxfId="21138" priority="8321">
      <formula>#REF!="IO"</formula>
    </cfRule>
    <cfRule type="expression" dxfId="21137" priority="8322">
      <formula>#REF!="L"</formula>
    </cfRule>
  </conditionalFormatting>
  <conditionalFormatting sqref="AB46:AD46">
    <cfRule type="expression" dxfId="21136" priority="8317">
      <formula>#REF!="TO"</formula>
    </cfRule>
    <cfRule type="expression" dxfId="21135" priority="8318">
      <formula>#REF!="IO"</formula>
    </cfRule>
    <cfRule type="expression" dxfId="21134" priority="8319">
      <formula>#REF!="L"</formula>
    </cfRule>
  </conditionalFormatting>
  <conditionalFormatting sqref="AB47:AD47">
    <cfRule type="expression" dxfId="21133" priority="8314">
      <formula>#REF!="TO"</formula>
    </cfRule>
    <cfRule type="expression" dxfId="21132" priority="8315">
      <formula>#REF!="IO"</formula>
    </cfRule>
    <cfRule type="expression" dxfId="21131" priority="8316">
      <formula>#REF!="L"</formula>
    </cfRule>
  </conditionalFormatting>
  <conditionalFormatting sqref="AB48:AD48">
    <cfRule type="expression" dxfId="21130" priority="8311">
      <formula>#REF!="TO"</formula>
    </cfRule>
    <cfRule type="expression" dxfId="21129" priority="8312">
      <formula>#REF!="IO"</formula>
    </cfRule>
    <cfRule type="expression" dxfId="21128" priority="8313">
      <formula>#REF!="L"</formula>
    </cfRule>
  </conditionalFormatting>
  <conditionalFormatting sqref="AB49:AD49">
    <cfRule type="expression" dxfId="21127" priority="8308">
      <formula>#REF!="TO"</formula>
    </cfRule>
    <cfRule type="expression" dxfId="21126" priority="8309">
      <formula>#REF!="IO"</formula>
    </cfRule>
    <cfRule type="expression" dxfId="21125" priority="8310">
      <formula>#REF!="L"</formula>
    </cfRule>
  </conditionalFormatting>
  <conditionalFormatting sqref="AB50:AD50">
    <cfRule type="expression" dxfId="21124" priority="8305">
      <formula>#REF!="TO"</formula>
    </cfRule>
    <cfRule type="expression" dxfId="21123" priority="8306">
      <formula>#REF!="IO"</formula>
    </cfRule>
    <cfRule type="expression" dxfId="21122" priority="8307">
      <formula>#REF!="L"</formula>
    </cfRule>
  </conditionalFormatting>
  <conditionalFormatting sqref="AB51:AD98">
    <cfRule type="expression" dxfId="21121" priority="8302">
      <formula>#REF!="TO"</formula>
    </cfRule>
    <cfRule type="expression" dxfId="21120" priority="8303">
      <formula>#REF!="IO"</formula>
    </cfRule>
    <cfRule type="expression" dxfId="21119" priority="8304">
      <formula>#REF!="L"</formula>
    </cfRule>
  </conditionalFormatting>
  <conditionalFormatting sqref="T20">
    <cfRule type="expression" dxfId="21118" priority="7885">
      <formula>#REF!="TO"</formula>
    </cfRule>
    <cfRule type="expression" dxfId="21117" priority="7886">
      <formula>#REF!="IO"</formula>
    </cfRule>
    <cfRule type="expression" dxfId="21116" priority="7887">
      <formula>#REF!="L"</formula>
    </cfRule>
  </conditionalFormatting>
  <conditionalFormatting sqref="U18">
    <cfRule type="expression" dxfId="21115" priority="7954">
      <formula>#REF!="TO"</formula>
    </cfRule>
    <cfRule type="expression" dxfId="21114" priority="7955">
      <formula>#REF!="IO"</formula>
    </cfRule>
    <cfRule type="expression" dxfId="21113" priority="7956">
      <formula>#REF!="L"</formula>
    </cfRule>
  </conditionalFormatting>
  <conditionalFormatting sqref="U19">
    <cfRule type="expression" dxfId="21112" priority="7951">
      <formula>#REF!="TO"</formula>
    </cfRule>
    <cfRule type="expression" dxfId="21111" priority="7952">
      <formula>#REF!="IO"</formula>
    </cfRule>
    <cfRule type="expression" dxfId="21110" priority="7953">
      <formula>#REF!="L"</formula>
    </cfRule>
  </conditionalFormatting>
  <conditionalFormatting sqref="U20">
    <cfRule type="expression" dxfId="21109" priority="7948">
      <formula>#REF!="TO"</formula>
    </cfRule>
    <cfRule type="expression" dxfId="21108" priority="7949">
      <formula>#REF!="IO"</formula>
    </cfRule>
    <cfRule type="expression" dxfId="21107" priority="7950">
      <formula>#REF!="L"</formula>
    </cfRule>
  </conditionalFormatting>
  <conditionalFormatting sqref="U22:U29">
    <cfRule type="expression" dxfId="21106" priority="7942">
      <formula>#REF!="TO"</formula>
    </cfRule>
    <cfRule type="expression" dxfId="21105" priority="7943">
      <formula>#REF!="IO"</formula>
    </cfRule>
    <cfRule type="expression" dxfId="21104" priority="7944">
      <formula>#REF!="L"</formula>
    </cfRule>
  </conditionalFormatting>
  <conditionalFormatting sqref="U51:U98">
    <cfRule type="expression" dxfId="21103" priority="7939">
      <formula>#REF!="TO"</formula>
    </cfRule>
    <cfRule type="expression" dxfId="21102" priority="7940">
      <formula>#REF!="IO"</formula>
    </cfRule>
    <cfRule type="expression" dxfId="21101" priority="7941">
      <formula>#REF!="L"</formula>
    </cfRule>
  </conditionalFormatting>
  <conditionalFormatting sqref="G28:G29">
    <cfRule type="expression" dxfId="21100" priority="8149">
      <formula>#REF!="TO"</formula>
    </cfRule>
    <cfRule type="expression" dxfId="21099" priority="8150">
      <formula>#REF!="IO"</formula>
    </cfRule>
    <cfRule type="expression" dxfId="21098" priority="8151">
      <formula>#REF!="L"</formula>
    </cfRule>
    <cfRule type="expression" dxfId="21097" priority="8089">
      <formula>#REF!="TO"</formula>
    </cfRule>
    <cfRule type="expression" dxfId="21096" priority="8090">
      <formula>#REF!="IO"</formula>
    </cfRule>
    <cfRule type="expression" dxfId="21095" priority="8091">
      <formula>#REF!="L"</formula>
    </cfRule>
  </conditionalFormatting>
  <conditionalFormatting sqref="U28:U29">
    <cfRule type="expression" dxfId="21094" priority="7933">
      <formula>#REF!="TO"</formula>
    </cfRule>
    <cfRule type="expression" dxfId="21093" priority="7934">
      <formula>#REF!="IO"</formula>
    </cfRule>
    <cfRule type="expression" dxfId="21092" priority="7935">
      <formula>#REF!="L"</formula>
    </cfRule>
    <cfRule type="expression" dxfId="21091" priority="7930">
      <formula>#REF!="TO"</formula>
    </cfRule>
    <cfRule type="expression" dxfId="21090" priority="7931">
      <formula>#REF!="IO"</formula>
    </cfRule>
    <cfRule type="expression" dxfId="21089" priority="7932">
      <formula>#REF!="L"</formula>
    </cfRule>
  </conditionalFormatting>
  <conditionalFormatting sqref="T5">
    <cfRule type="expression" dxfId="21088" priority="7921">
      <formula>#REF!="TO"</formula>
    </cfRule>
    <cfRule type="expression" dxfId="21087" priority="7922">
      <formula>#REF!="IO"</formula>
    </cfRule>
    <cfRule type="expression" dxfId="21086" priority="7923">
      <formula>#REF!="L"</formula>
    </cfRule>
  </conditionalFormatting>
  <conditionalFormatting sqref="T7">
    <cfRule type="expression" dxfId="21085" priority="7915">
      <formula>#REF!="TO"</formula>
    </cfRule>
    <cfRule type="expression" dxfId="21084" priority="7916">
      <formula>#REF!="IO"</formula>
    </cfRule>
    <cfRule type="expression" dxfId="21083" priority="7917">
      <formula>#REF!="L"</formula>
    </cfRule>
  </conditionalFormatting>
  <conditionalFormatting sqref="T9:T12">
    <cfRule type="expression" dxfId="21082" priority="7909">
      <formula>#REF!="TO"</formula>
    </cfRule>
    <cfRule type="expression" dxfId="21081" priority="7910">
      <formula>#REF!="IO"</formula>
    </cfRule>
    <cfRule type="expression" dxfId="21080" priority="7911">
      <formula>#REF!="L"</formula>
    </cfRule>
  </conditionalFormatting>
  <conditionalFormatting sqref="AC2:AC22 BR2:BR22 BA2:BA4">
    <cfRule type="expression" dxfId="21079" priority="8239">
      <formula>L2="TO"</formula>
    </cfRule>
    <cfRule type="expression" dxfId="21078" priority="8240">
      <formula>L2="IO"</formula>
    </cfRule>
    <cfRule type="expression" dxfId="21077" priority="8241">
      <formula>L2="L"</formula>
    </cfRule>
  </conditionalFormatting>
  <conditionalFormatting sqref="T14">
    <cfRule type="expression" dxfId="21076" priority="7903">
      <formula>#REF!="TO"</formula>
    </cfRule>
    <cfRule type="expression" dxfId="21075" priority="7904">
      <formula>#REF!="IO"</formula>
    </cfRule>
    <cfRule type="expression" dxfId="21074" priority="7905">
      <formula>#REF!="L"</formula>
    </cfRule>
  </conditionalFormatting>
  <conditionalFormatting sqref="T15">
    <cfRule type="expression" dxfId="21073" priority="7900">
      <formula>#REF!="TO"</formula>
    </cfRule>
    <cfRule type="expression" dxfId="21072" priority="7901">
      <formula>#REF!="IO"</formula>
    </cfRule>
    <cfRule type="expression" dxfId="21071" priority="7902">
      <formula>#REF!="L"</formula>
    </cfRule>
  </conditionalFormatting>
  <conditionalFormatting sqref="T16">
    <cfRule type="expression" dxfId="21070" priority="7897">
      <formula>#REF!="TO"</formula>
    </cfRule>
    <cfRule type="expression" dxfId="21069" priority="7898">
      <formula>#REF!="IO"</formula>
    </cfRule>
    <cfRule type="expression" dxfId="21068" priority="7899">
      <formula>#REF!="L"</formula>
    </cfRule>
  </conditionalFormatting>
  <conditionalFormatting sqref="T17">
    <cfRule type="expression" dxfId="21067" priority="7894">
      <formula>#REF!="TO"</formula>
    </cfRule>
    <cfRule type="expression" dxfId="21066" priority="7895">
      <formula>#REF!="IO"</formula>
    </cfRule>
    <cfRule type="expression" dxfId="21065" priority="7896">
      <formula>#REF!="L"</formula>
    </cfRule>
  </conditionalFormatting>
  <conditionalFormatting sqref="T18">
    <cfRule type="expression" dxfId="21064" priority="7891">
      <formula>#REF!="TO"</formula>
    </cfRule>
    <cfRule type="expression" dxfId="21063" priority="7892">
      <formula>#REF!="IO"</formula>
    </cfRule>
    <cfRule type="expression" dxfId="21062" priority="7893">
      <formula>#REF!="L"</formula>
    </cfRule>
  </conditionalFormatting>
  <conditionalFormatting sqref="T22:T29">
    <cfRule type="expression" dxfId="21061" priority="7879">
      <formula>#REF!="TO"</formula>
    </cfRule>
    <cfRule type="expression" dxfId="21060" priority="7880">
      <formula>#REF!="IO"</formula>
    </cfRule>
    <cfRule type="expression" dxfId="21059" priority="7881">
      <formula>#REF!="L"</formula>
    </cfRule>
  </conditionalFormatting>
  <conditionalFormatting sqref="T49">
    <cfRule type="expression" dxfId="21058" priority="7852">
      <formula>#REF!="TO"</formula>
    </cfRule>
    <cfRule type="expression" dxfId="21057" priority="7853">
      <formula>#REF!="IO"</formula>
    </cfRule>
    <cfRule type="expression" dxfId="21056" priority="7854">
      <formula>#REF!="L"</formula>
    </cfRule>
  </conditionalFormatting>
  <conditionalFormatting sqref="T47">
    <cfRule type="expression" dxfId="21055" priority="7858">
      <formula>#REF!="TO"</formula>
    </cfRule>
    <cfRule type="expression" dxfId="21054" priority="7859">
      <formula>#REF!="IO"</formula>
    </cfRule>
    <cfRule type="expression" dxfId="21053" priority="7860">
      <formula>#REF!="L"</formula>
    </cfRule>
  </conditionalFormatting>
  <conditionalFormatting sqref="T50">
    <cfRule type="expression" dxfId="21052" priority="7849">
      <formula>#REF!="TO"</formula>
    </cfRule>
    <cfRule type="expression" dxfId="21051" priority="7850">
      <formula>#REF!="IO"</formula>
    </cfRule>
    <cfRule type="expression" dxfId="21050" priority="7851">
      <formula>#REF!="L"</formula>
    </cfRule>
  </conditionalFormatting>
  <conditionalFormatting sqref="T51:T98">
    <cfRule type="expression" dxfId="21049" priority="7846">
      <formula>#REF!="TO"</formula>
    </cfRule>
    <cfRule type="expression" dxfId="21048" priority="7847">
      <formula>#REF!="IO"</formula>
    </cfRule>
    <cfRule type="expression" dxfId="21047" priority="7848">
      <formula>#REF!="L"</formula>
    </cfRule>
  </conditionalFormatting>
  <conditionalFormatting sqref="Y28:Y29">
    <cfRule type="expression" dxfId="21046" priority="8074">
      <formula>#REF!="TO"</formula>
    </cfRule>
    <cfRule type="expression" dxfId="21045" priority="8075">
      <formula>#REF!="IO"</formula>
    </cfRule>
    <cfRule type="expression" dxfId="21044" priority="8076">
      <formula>#REF!="L"</formula>
    </cfRule>
    <cfRule type="expression" dxfId="21043" priority="8128">
      <formula>#REF!="TO"</formula>
    </cfRule>
    <cfRule type="expression" dxfId="21042" priority="8129">
      <formula>#REF!="IO"</formula>
    </cfRule>
    <cfRule type="expression" dxfId="21041" priority="8130">
      <formula>#REF!="L"</formula>
    </cfRule>
  </conditionalFormatting>
  <conditionalFormatting sqref="T28:T29">
    <cfRule type="expression" dxfId="21040" priority="7837">
      <formula>#REF!="TO"</formula>
    </cfRule>
    <cfRule type="expression" dxfId="21039" priority="7838">
      <formula>#REF!="IO"</formula>
    </cfRule>
    <cfRule type="expression" dxfId="21038" priority="7839">
      <formula>#REF!="L"</formula>
    </cfRule>
    <cfRule type="expression" dxfId="21037" priority="7840">
      <formula>#REF!="TO"</formula>
    </cfRule>
    <cfRule type="expression" dxfId="21036" priority="7841">
      <formula>#REF!="IO"</formula>
    </cfRule>
    <cfRule type="expression" dxfId="21035" priority="7842">
      <formula>#REF!="L"</formula>
    </cfRule>
  </conditionalFormatting>
  <conditionalFormatting sqref="A2">
    <cfRule type="expression" dxfId="21034" priority="7831">
      <formula>#REF!="TO"</formula>
    </cfRule>
    <cfRule type="expression" dxfId="21033" priority="7832">
      <formula>#REF!="IO"</formula>
    </cfRule>
    <cfRule type="expression" dxfId="21032" priority="7833">
      <formula>#REF!="L"</formula>
    </cfRule>
  </conditionalFormatting>
  <conditionalFormatting sqref="A28:A29">
    <cfRule type="expression" dxfId="21031" priority="8155">
      <formula>#REF!="TO"</formula>
    </cfRule>
    <cfRule type="expression" dxfId="21030" priority="8156">
      <formula>#REF!="IO"</formula>
    </cfRule>
    <cfRule type="expression" dxfId="21029" priority="8157">
      <formula>#REF!="L"</formula>
    </cfRule>
  </conditionalFormatting>
  <conditionalFormatting sqref="B28:B29">
    <cfRule type="expression" dxfId="21028" priority="8152">
      <formula>#REF!="TO"</formula>
    </cfRule>
    <cfRule type="expression" dxfId="21027" priority="8153">
      <formula>#REF!="IO"</formula>
    </cfRule>
    <cfRule type="expression" dxfId="21026" priority="8154">
      <formula>#REF!="L"</formula>
    </cfRule>
    <cfRule type="expression" dxfId="21025" priority="8092">
      <formula>#REF!="TO"</formula>
    </cfRule>
    <cfRule type="expression" dxfId="21024" priority="8093">
      <formula>#REF!="IO"</formula>
    </cfRule>
    <cfRule type="expression" dxfId="21023" priority="8094">
      <formula>#REF!="L"</formula>
    </cfRule>
  </conditionalFormatting>
  <conditionalFormatting sqref="K28:K29">
    <cfRule type="expression" dxfId="21022" priority="8143">
      <formula>#REF!="TO"</formula>
    </cfRule>
    <cfRule type="expression" dxfId="21021" priority="8144">
      <formula>#REF!="IO"</formula>
    </cfRule>
    <cfRule type="expression" dxfId="21020" priority="8145">
      <formula>#REF!="L"</formula>
    </cfRule>
  </conditionalFormatting>
  <conditionalFormatting sqref="E28:E29">
    <cfRule type="expression" dxfId="21019" priority="8140">
      <formula>#REF!="TO"</formula>
    </cfRule>
    <cfRule type="expression" dxfId="21018" priority="8141">
      <formula>#REF!="IO"</formula>
    </cfRule>
    <cfRule type="expression" dxfId="21017" priority="8142">
      <formula>#REF!="L"</formula>
    </cfRule>
    <cfRule type="expression" dxfId="21016" priority="8086">
      <formula>#REF!="TO"</formula>
    </cfRule>
    <cfRule type="expression" dxfId="21015" priority="8087">
      <formula>#REF!="IO"</formula>
    </cfRule>
    <cfRule type="expression" dxfId="21014" priority="8088">
      <formula>#REF!="L"</formula>
    </cfRule>
  </conditionalFormatting>
  <conditionalFormatting sqref="N28:P29">
    <cfRule type="expression" dxfId="21013" priority="8137">
      <formula>#REF!="TO"</formula>
    </cfRule>
    <cfRule type="expression" dxfId="21012" priority="8138">
      <formula>#REF!="IO"</formula>
    </cfRule>
    <cfRule type="expression" dxfId="21011" priority="8139">
      <formula>#REF!="L"</formula>
    </cfRule>
    <cfRule type="expression" dxfId="21010" priority="8083">
      <formula>#REF!="TO"</formula>
    </cfRule>
    <cfRule type="expression" dxfId="21009" priority="8084">
      <formula>#REF!="IO"</formula>
    </cfRule>
    <cfRule type="expression" dxfId="21008" priority="8085">
      <formula>#REF!="L"</formula>
    </cfRule>
  </conditionalFormatting>
  <conditionalFormatting sqref="V28:V29">
    <cfRule type="expression" dxfId="21007" priority="8134">
      <formula>#REF!="TO"</formula>
    </cfRule>
    <cfRule type="expression" dxfId="21006" priority="8135">
      <formula>#REF!="IO"</formula>
    </cfRule>
    <cfRule type="expression" dxfId="21005" priority="8136">
      <formula>#REF!="L"</formula>
    </cfRule>
  </conditionalFormatting>
  <conditionalFormatting sqref="X28:X29">
    <cfRule type="expression" dxfId="21004" priority="8131">
      <formula>#REF!="TO"</formula>
    </cfRule>
    <cfRule type="expression" dxfId="21003" priority="8132">
      <formula>#REF!="IO"</formula>
    </cfRule>
    <cfRule type="expression" dxfId="21002" priority="8133">
      <formula>#REF!="L"</formula>
    </cfRule>
    <cfRule type="expression" dxfId="21001" priority="8077">
      <formula>#REF!="TO"</formula>
    </cfRule>
    <cfRule type="expression" dxfId="21000" priority="8078">
      <formula>#REF!="IO"</formula>
    </cfRule>
    <cfRule type="expression" dxfId="20999" priority="8079">
      <formula>#REF!="L"</formula>
    </cfRule>
  </conditionalFormatting>
  <conditionalFormatting sqref="AH28:AH29">
    <cfRule type="expression" dxfId="20998" priority="8125">
      <formula>#REF!="TO"</formula>
    </cfRule>
    <cfRule type="expression" dxfId="20997" priority="8126">
      <formula>#REF!="IO"</formula>
    </cfRule>
    <cfRule type="expression" dxfId="20996" priority="8127">
      <formula>#REF!="L"</formula>
    </cfRule>
  </conditionalFormatting>
  <conditionalFormatting sqref="AJ28:AJ29">
    <cfRule type="expression" dxfId="20995" priority="8122">
      <formula>#REF!="TO"</formula>
    </cfRule>
    <cfRule type="expression" dxfId="20994" priority="8123">
      <formula>#REF!="IO"</formula>
    </cfRule>
    <cfRule type="expression" dxfId="20993" priority="8124">
      <formula>#REF!="L"</formula>
    </cfRule>
    <cfRule type="expression" dxfId="20992" priority="8071">
      <formula>#REF!="TO"</formula>
    </cfRule>
    <cfRule type="expression" dxfId="20991" priority="8072">
      <formula>#REF!="IO"</formula>
    </cfRule>
    <cfRule type="expression" dxfId="20990" priority="8073">
      <formula>#REF!="L"</formula>
    </cfRule>
  </conditionalFormatting>
  <conditionalFormatting sqref="AK28:AK29">
    <cfRule type="expression" dxfId="20989" priority="8119">
      <formula>#REF!="TO"</formula>
    </cfRule>
    <cfRule type="expression" dxfId="20988" priority="8120">
      <formula>#REF!="IO"</formula>
    </cfRule>
    <cfRule type="expression" dxfId="20987" priority="8121">
      <formula>#REF!="L"</formula>
    </cfRule>
    <cfRule type="expression" dxfId="20986" priority="8068">
      <formula>#REF!="TO"</formula>
    </cfRule>
    <cfRule type="expression" dxfId="20985" priority="8069">
      <formula>#REF!="IO"</formula>
    </cfRule>
    <cfRule type="expression" dxfId="20984" priority="8070">
      <formula>#REF!="L"</formula>
    </cfRule>
  </conditionalFormatting>
  <conditionalFormatting sqref="AM28:AM29">
    <cfRule type="expression" dxfId="20983" priority="8116">
      <formula>#REF!="TO"</formula>
    </cfRule>
    <cfRule type="expression" dxfId="20982" priority="8117">
      <formula>#REF!="IO"</formula>
    </cfRule>
    <cfRule type="expression" dxfId="20981" priority="8118">
      <formula>#REF!="L"</formula>
    </cfRule>
  </conditionalFormatting>
  <conditionalFormatting sqref="AQ28:AQ29">
    <cfRule type="expression" dxfId="20980" priority="8113">
      <formula>#REF!="TO"</formula>
    </cfRule>
    <cfRule type="expression" dxfId="20979" priority="8114">
      <formula>#REF!="IO"</formula>
    </cfRule>
    <cfRule type="expression" dxfId="20978" priority="8115">
      <formula>#REF!="L"</formula>
    </cfRule>
    <cfRule type="expression" dxfId="20977" priority="8110">
      <formula>#REF!="TO"</formula>
    </cfRule>
    <cfRule type="expression" dxfId="20976" priority="8111">
      <formula>#REF!="IO"</formula>
    </cfRule>
    <cfRule type="expression" dxfId="20975" priority="8112">
      <formula>#REF!="L"</formula>
    </cfRule>
  </conditionalFormatting>
  <conditionalFormatting sqref="AR28:AR29">
    <cfRule type="expression" dxfId="20974" priority="8107">
      <formula>#REF!="TO"</formula>
    </cfRule>
    <cfRule type="expression" dxfId="20973" priority="8108">
      <formula>#REF!="IO"</formula>
    </cfRule>
    <cfRule type="expression" dxfId="20972" priority="8109">
      <formula>#REF!="L"</formula>
    </cfRule>
  </conditionalFormatting>
  <conditionalFormatting sqref="S28:S29">
    <cfRule type="expression" dxfId="20971" priority="8101">
      <formula>#REF!="TO"</formula>
    </cfRule>
    <cfRule type="expression" dxfId="20970" priority="8102">
      <formula>#REF!="IO"</formula>
    </cfRule>
    <cfRule type="expression" dxfId="20969" priority="8103">
      <formula>#REF!="L"</formula>
    </cfRule>
  </conditionalFormatting>
  <conditionalFormatting sqref="O28:P29">
    <cfRule type="expression" dxfId="20968" priority="8104">
      <formula>#REF!="TO"</formula>
    </cfRule>
    <cfRule type="expression" dxfId="20967" priority="8105">
      <formula>#REF!="IO"</formula>
    </cfRule>
    <cfRule type="expression" dxfId="20966" priority="8106">
      <formula>#REF!="L"</formula>
    </cfRule>
  </conditionalFormatting>
  <conditionalFormatting sqref="AT28:AT29">
    <cfRule type="expression" dxfId="20965" priority="8098">
      <formula>#REF!="TO"</formula>
    </cfRule>
    <cfRule type="expression" dxfId="20964" priority="8099">
      <formula>#REF!="IO"</formula>
    </cfRule>
    <cfRule type="expression" dxfId="20963" priority="8100">
      <formula>#REF!="L"</formula>
    </cfRule>
  </conditionalFormatting>
  <conditionalFormatting sqref="AF28:AF29">
    <cfRule type="expression" dxfId="20962" priority="8095">
      <formula>#REF!="TO"</formula>
    </cfRule>
    <cfRule type="expression" dxfId="20961" priority="8096">
      <formula>#REF!="IO"</formula>
    </cfRule>
    <cfRule type="expression" dxfId="20960" priority="8097">
      <formula>#REF!="L"</formula>
    </cfRule>
    <cfRule type="expression" dxfId="20959" priority="8053">
      <formula>#REF!="TO"</formula>
    </cfRule>
    <cfRule type="expression" dxfId="20958" priority="8054">
      <formula>#REF!="IO"</formula>
    </cfRule>
    <cfRule type="expression" dxfId="20957" priority="8055">
      <formula>#REF!="L"</formula>
    </cfRule>
  </conditionalFormatting>
  <conditionalFormatting sqref="Z28:Z29">
    <cfRule type="expression" dxfId="20956" priority="8062">
      <formula>#REF!="TO"</formula>
    </cfRule>
    <cfRule type="expression" dxfId="20955" priority="8063">
      <formula>#REF!="IO"</formula>
    </cfRule>
    <cfRule type="expression" dxfId="20954" priority="8064">
      <formula>#REF!="L"</formula>
    </cfRule>
    <cfRule type="expression" dxfId="20953" priority="8065">
      <formula>H28="TO"</formula>
    </cfRule>
    <cfRule type="expression" dxfId="20952" priority="8066">
      <formula>H28="IO"</formula>
    </cfRule>
    <cfRule type="expression" dxfId="20951" priority="8067">
      <formula>H28="L"</formula>
    </cfRule>
  </conditionalFormatting>
  <conditionalFormatting sqref="AE28:AE29">
    <cfRule type="expression" dxfId="20950" priority="8056">
      <formula>#REF!="TO"</formula>
    </cfRule>
    <cfRule type="expression" dxfId="20949" priority="8057">
      <formula>#REF!="IO"</formula>
    </cfRule>
    <cfRule type="expression" dxfId="20948" priority="8058">
      <formula>#REF!="L"</formula>
    </cfRule>
    <cfRule type="expression" dxfId="20947" priority="8059">
      <formula>E28="TO"</formula>
    </cfRule>
    <cfRule type="expression" dxfId="20946" priority="8060">
      <formula>E28="IO"</formula>
    </cfRule>
    <cfRule type="expression" dxfId="20945" priority="8061">
      <formula>E28="L"</formula>
    </cfRule>
  </conditionalFormatting>
  <conditionalFormatting sqref="M28:M29">
    <cfRule type="expression" dxfId="20944" priority="8050">
      <formula>#REF!="TO"</formula>
    </cfRule>
    <cfRule type="expression" dxfId="20943" priority="8051">
      <formula>#REF!="IO"</formula>
    </cfRule>
    <cfRule type="expression" dxfId="20942" priority="8052">
      <formula>#REF!="L"</formula>
    </cfRule>
  </conditionalFormatting>
  <conditionalFormatting sqref="Q28:Q29">
    <cfRule type="expression" dxfId="20941" priority="8047">
      <formula>#REF!="TO"</formula>
    </cfRule>
    <cfRule type="expression" dxfId="20940" priority="8048">
      <formula>#REF!="IO"</formula>
    </cfRule>
    <cfRule type="expression" dxfId="20939" priority="8049">
      <formula>#REF!="L"</formula>
    </cfRule>
  </conditionalFormatting>
  <conditionalFormatting sqref="R28:R29">
    <cfRule type="expression" dxfId="20938" priority="8044">
      <formula>#REF!="TO"</formula>
    </cfRule>
    <cfRule type="expression" dxfId="20937" priority="8045">
      <formula>#REF!="IO"</formula>
    </cfRule>
    <cfRule type="expression" dxfId="20936" priority="8046">
      <formula>#REF!="L"</formula>
    </cfRule>
  </conditionalFormatting>
  <conditionalFormatting sqref="U21">
    <cfRule type="expression" dxfId="20935" priority="7945">
      <formula>#REF!="TO"</formula>
    </cfRule>
    <cfRule type="expression" dxfId="20934" priority="7946">
      <formula>#REF!="IO"</formula>
    </cfRule>
    <cfRule type="expression" dxfId="20933" priority="7947">
      <formula>#REF!="L"</formula>
    </cfRule>
  </conditionalFormatting>
  <conditionalFormatting sqref="P28:P29">
    <cfRule type="expression" dxfId="20932" priority="8035">
      <formula>#REF!="TO"</formula>
    </cfRule>
    <cfRule type="expression" dxfId="20931" priority="8036">
      <formula>#REF!="IO"</formula>
    </cfRule>
    <cfRule type="expression" dxfId="20930" priority="8037">
      <formula>#REF!="L"</formula>
    </cfRule>
  </conditionalFormatting>
  <conditionalFormatting sqref="AA28:AA29">
    <cfRule type="expression" dxfId="20929" priority="8032">
      <formula>#REF!="TO"</formula>
    </cfRule>
    <cfRule type="expression" dxfId="20928" priority="8033">
      <formula>#REF!="IO"</formula>
    </cfRule>
    <cfRule type="expression" dxfId="20927" priority="8034">
      <formula>#REF!="L"</formula>
    </cfRule>
    <cfRule type="expression" dxfId="20926" priority="8029">
      <formula>#REF!="TO"</formula>
    </cfRule>
    <cfRule type="expression" dxfId="20925" priority="8030">
      <formula>#REF!="IO"</formula>
    </cfRule>
    <cfRule type="expression" dxfId="20924" priority="8031">
      <formula>#REF!="L"</formula>
    </cfRule>
  </conditionalFormatting>
  <conditionalFormatting sqref="AB28:AD29">
    <cfRule type="expression" dxfId="20923" priority="8026">
      <formula>#REF!="TO"</formula>
    </cfRule>
    <cfRule type="expression" dxfId="20922" priority="8027">
      <formula>#REF!="IO"</formula>
    </cfRule>
    <cfRule type="expression" dxfId="20921" priority="8028">
      <formula>#REF!="L"</formula>
    </cfRule>
    <cfRule type="expression" dxfId="20920" priority="8023">
      <formula>#REF!="TO"</formula>
    </cfRule>
    <cfRule type="expression" dxfId="20919" priority="8024">
      <formula>#REF!="IO"</formula>
    </cfRule>
    <cfRule type="expression" dxfId="20918" priority="8025">
      <formula>#REF!="L"</formula>
    </cfRule>
  </conditionalFormatting>
  <conditionalFormatting sqref="U38:U41">
    <cfRule type="expression" dxfId="20917" priority="8017">
      <formula>#REF!="TO"</formula>
    </cfRule>
    <cfRule type="expression" dxfId="20916" priority="8018">
      <formula>#REF!="IO"</formula>
    </cfRule>
    <cfRule type="expression" dxfId="20915" priority="8019">
      <formula>#REF!="L"</formula>
    </cfRule>
  </conditionalFormatting>
  <conditionalFormatting sqref="U5">
    <cfRule type="expression" dxfId="20914" priority="8014">
      <formula>#REF!="TO"</formula>
    </cfRule>
    <cfRule type="expression" dxfId="20913" priority="8015">
      <formula>#REF!="IO"</formula>
    </cfRule>
    <cfRule type="expression" dxfId="20912" priority="8016">
      <formula>#REF!="L"</formula>
    </cfRule>
  </conditionalFormatting>
  <conditionalFormatting sqref="U6">
    <cfRule type="expression" dxfId="20911" priority="8011">
      <formula>#REF!="TO"</formula>
    </cfRule>
    <cfRule type="expression" dxfId="20910" priority="8012">
      <formula>#REF!="IO"</formula>
    </cfRule>
    <cfRule type="expression" dxfId="20909" priority="8013">
      <formula>#REF!="L"</formula>
    </cfRule>
  </conditionalFormatting>
  <conditionalFormatting sqref="U7">
    <cfRule type="expression" dxfId="20908" priority="8008">
      <formula>#REF!="TO"</formula>
    </cfRule>
    <cfRule type="expression" dxfId="20907" priority="8009">
      <formula>#REF!="IO"</formula>
    </cfRule>
    <cfRule type="expression" dxfId="20906" priority="8010">
      <formula>#REF!="L"</formula>
    </cfRule>
  </conditionalFormatting>
  <conditionalFormatting sqref="U8">
    <cfRule type="expression" dxfId="20905" priority="8005">
      <formula>#REF!="TO"</formula>
    </cfRule>
    <cfRule type="expression" dxfId="20904" priority="8006">
      <formula>#REF!="IO"</formula>
    </cfRule>
    <cfRule type="expression" dxfId="20903" priority="8007">
      <formula>#REF!="L"</formula>
    </cfRule>
  </conditionalFormatting>
  <conditionalFormatting sqref="U42">
    <cfRule type="expression" dxfId="20902" priority="8002">
      <formula>#REF!="TO"</formula>
    </cfRule>
    <cfRule type="expression" dxfId="20901" priority="8003">
      <formula>#REF!="IO"</formula>
    </cfRule>
    <cfRule type="expression" dxfId="20900" priority="8004">
      <formula>#REF!="L"</formula>
    </cfRule>
  </conditionalFormatting>
  <conditionalFormatting sqref="U43">
    <cfRule type="expression" dxfId="20899" priority="7999">
      <formula>#REF!="TO"</formula>
    </cfRule>
    <cfRule type="expression" dxfId="20898" priority="8000">
      <formula>#REF!="IO"</formula>
    </cfRule>
    <cfRule type="expression" dxfId="20897" priority="8001">
      <formula>#REF!="L"</formula>
    </cfRule>
  </conditionalFormatting>
  <conditionalFormatting sqref="U44">
    <cfRule type="expression" dxfId="20896" priority="7996">
      <formula>#REF!="TO"</formula>
    </cfRule>
    <cfRule type="expression" dxfId="20895" priority="7997">
      <formula>#REF!="IO"</formula>
    </cfRule>
    <cfRule type="expression" dxfId="20894" priority="7998">
      <formula>#REF!="L"</formula>
    </cfRule>
  </conditionalFormatting>
  <conditionalFormatting sqref="U46">
    <cfRule type="expression" dxfId="20893" priority="7990">
      <formula>#REF!="TO"</formula>
    </cfRule>
    <cfRule type="expression" dxfId="20892" priority="7991">
      <formula>#REF!="IO"</formula>
    </cfRule>
    <cfRule type="expression" dxfId="20891" priority="7992">
      <formula>#REF!="L"</formula>
    </cfRule>
  </conditionalFormatting>
  <conditionalFormatting sqref="U45">
    <cfRule type="expression" dxfId="20890" priority="7993">
      <formula>#REF!="TO"</formula>
    </cfRule>
    <cfRule type="expression" dxfId="20889" priority="7994">
      <formula>#REF!="IO"</formula>
    </cfRule>
    <cfRule type="expression" dxfId="20888" priority="7995">
      <formula>#REF!="L"</formula>
    </cfRule>
  </conditionalFormatting>
  <conditionalFormatting sqref="U47">
    <cfRule type="expression" dxfId="20887" priority="7987">
      <formula>#REF!="TO"</formula>
    </cfRule>
    <cfRule type="expression" dxfId="20886" priority="7988">
      <formula>#REF!="IO"</formula>
    </cfRule>
    <cfRule type="expression" dxfId="20885" priority="7989">
      <formula>#REF!="L"</formula>
    </cfRule>
  </conditionalFormatting>
  <conditionalFormatting sqref="U48">
    <cfRule type="expression" dxfId="20884" priority="7984">
      <formula>#REF!="TO"</formula>
    </cfRule>
    <cfRule type="expression" dxfId="20883" priority="7985">
      <formula>#REF!="IO"</formula>
    </cfRule>
    <cfRule type="expression" dxfId="20882" priority="7986">
      <formula>#REF!="L"</formula>
    </cfRule>
  </conditionalFormatting>
  <conditionalFormatting sqref="U49">
    <cfRule type="expression" dxfId="20881" priority="7981">
      <formula>#REF!="TO"</formula>
    </cfRule>
    <cfRule type="expression" dxfId="20880" priority="7982">
      <formula>#REF!="IO"</formula>
    </cfRule>
    <cfRule type="expression" dxfId="20879" priority="7983">
      <formula>#REF!="L"</formula>
    </cfRule>
  </conditionalFormatting>
  <conditionalFormatting sqref="U50">
    <cfRule type="expression" dxfId="20878" priority="7978">
      <formula>#REF!="TO"</formula>
    </cfRule>
    <cfRule type="expression" dxfId="20877" priority="7979">
      <formula>#REF!="IO"</formula>
    </cfRule>
    <cfRule type="expression" dxfId="20876" priority="7980">
      <formula>#REF!="L"</formula>
    </cfRule>
  </conditionalFormatting>
  <conditionalFormatting sqref="U23:U29">
    <cfRule type="expression" dxfId="20875" priority="7975">
      <formula>#REF!="TO"</formula>
    </cfRule>
    <cfRule type="expression" dxfId="20874" priority="7976">
      <formula>#REF!="IO"</formula>
    </cfRule>
    <cfRule type="expression" dxfId="20873" priority="7977">
      <formula>#REF!="L"</formula>
    </cfRule>
  </conditionalFormatting>
  <conditionalFormatting sqref="U9:U12">
    <cfRule type="expression" dxfId="20872" priority="7972">
      <formula>#REF!="TO"</formula>
    </cfRule>
    <cfRule type="expression" dxfId="20871" priority="7973">
      <formula>#REF!="IO"</formula>
    </cfRule>
    <cfRule type="expression" dxfId="20870" priority="7974">
      <formula>#REF!="L"</formula>
    </cfRule>
  </conditionalFormatting>
  <conditionalFormatting sqref="U13">
    <cfRule type="expression" dxfId="20869" priority="7969">
      <formula>#REF!="TO"</formula>
    </cfRule>
    <cfRule type="expression" dxfId="20868" priority="7970">
      <formula>#REF!="IO"</formula>
    </cfRule>
    <cfRule type="expression" dxfId="20867" priority="7971">
      <formula>#REF!="L"</formula>
    </cfRule>
  </conditionalFormatting>
  <conditionalFormatting sqref="U14">
    <cfRule type="expression" dxfId="20866" priority="7966">
      <formula>#REF!="TO"</formula>
    </cfRule>
    <cfRule type="expression" dxfId="20865" priority="7967">
      <formula>#REF!="IO"</formula>
    </cfRule>
    <cfRule type="expression" dxfId="20864" priority="7968">
      <formula>#REF!="L"</formula>
    </cfRule>
  </conditionalFormatting>
  <conditionalFormatting sqref="U15">
    <cfRule type="expression" dxfId="20863" priority="7963">
      <formula>#REF!="TO"</formula>
    </cfRule>
    <cfRule type="expression" dxfId="20862" priority="7964">
      <formula>#REF!="IO"</formula>
    </cfRule>
    <cfRule type="expression" dxfId="20861" priority="7965">
      <formula>#REF!="L"</formula>
    </cfRule>
  </conditionalFormatting>
  <conditionalFormatting sqref="U16">
    <cfRule type="expression" dxfId="20860" priority="7960">
      <formula>#REF!="TO"</formula>
    </cfRule>
    <cfRule type="expression" dxfId="20859" priority="7961">
      <formula>#REF!="IO"</formula>
    </cfRule>
    <cfRule type="expression" dxfId="20858" priority="7962">
      <formula>#REF!="L"</formula>
    </cfRule>
  </conditionalFormatting>
  <conditionalFormatting sqref="U17">
    <cfRule type="expression" dxfId="20857" priority="7957">
      <formula>#REF!="TO"</formula>
    </cfRule>
    <cfRule type="expression" dxfId="20856" priority="7958">
      <formula>#REF!="IO"</formula>
    </cfRule>
    <cfRule type="expression" dxfId="20855" priority="7959">
      <formula>#REF!="L"</formula>
    </cfRule>
  </conditionalFormatting>
  <conditionalFormatting sqref="Y2">
    <cfRule type="expression" dxfId="20854" priority="7765">
      <formula>#REF!="TO"</formula>
    </cfRule>
    <cfRule type="expression" dxfId="20853" priority="7766">
      <formula>#REF!="IO"</formula>
    </cfRule>
    <cfRule type="expression" dxfId="20852" priority="7767">
      <formula>#REF!="L"</formula>
    </cfRule>
  </conditionalFormatting>
  <conditionalFormatting sqref="C21">
    <cfRule type="expression" dxfId="20851" priority="7609">
      <formula>#REF!="TO"</formula>
    </cfRule>
    <cfRule type="expression" dxfId="20850" priority="7610">
      <formula>#REF!="IO"</formula>
    </cfRule>
    <cfRule type="expression" dxfId="20849" priority="7611">
      <formula>#REF!="L"</formula>
    </cfRule>
  </conditionalFormatting>
  <conditionalFormatting sqref="T23:T29">
    <cfRule type="expression" dxfId="20848" priority="7924">
      <formula>#REF!="TO"</formula>
    </cfRule>
    <cfRule type="expression" dxfId="20847" priority="7925">
      <formula>#REF!="IO"</formula>
    </cfRule>
    <cfRule type="expression" dxfId="20846" priority="7926">
      <formula>#REF!="L"</formula>
    </cfRule>
  </conditionalFormatting>
  <conditionalFormatting sqref="T6">
    <cfRule type="expression" dxfId="20845" priority="7918">
      <formula>#REF!="TO"</formula>
    </cfRule>
    <cfRule type="expression" dxfId="20844" priority="7919">
      <formula>#REF!="IO"</formula>
    </cfRule>
    <cfRule type="expression" dxfId="20843" priority="7920">
      <formula>#REF!="L"</formula>
    </cfRule>
  </conditionalFormatting>
  <conditionalFormatting sqref="T8">
    <cfRule type="expression" dxfId="20842" priority="7912">
      <formula>#REF!="TO"</formula>
    </cfRule>
    <cfRule type="expression" dxfId="20841" priority="7913">
      <formula>#REF!="IO"</formula>
    </cfRule>
    <cfRule type="expression" dxfId="20840" priority="7914">
      <formula>#REF!="L"</formula>
    </cfRule>
  </conditionalFormatting>
  <conditionalFormatting sqref="T13">
    <cfRule type="expression" dxfId="20839" priority="7906">
      <formula>#REF!="TO"</formula>
    </cfRule>
    <cfRule type="expression" dxfId="20838" priority="7907">
      <formula>#REF!="IO"</formula>
    </cfRule>
    <cfRule type="expression" dxfId="20837" priority="7908">
      <formula>#REF!="L"</formula>
    </cfRule>
  </conditionalFormatting>
  <conditionalFormatting sqref="T19">
    <cfRule type="expression" dxfId="20836" priority="7888">
      <formula>#REF!="TO"</formula>
    </cfRule>
    <cfRule type="expression" dxfId="20835" priority="7889">
      <formula>#REF!="IO"</formula>
    </cfRule>
    <cfRule type="expression" dxfId="20834" priority="7890">
      <formula>#REF!="L"</formula>
    </cfRule>
  </conditionalFormatting>
  <conditionalFormatting sqref="T21">
    <cfRule type="expression" dxfId="20833" priority="7882">
      <formula>#REF!="TO"</formula>
    </cfRule>
    <cfRule type="expression" dxfId="20832" priority="7883">
      <formula>#REF!="IO"</formula>
    </cfRule>
    <cfRule type="expression" dxfId="20831" priority="7884">
      <formula>#REF!="L"</formula>
    </cfRule>
  </conditionalFormatting>
  <conditionalFormatting sqref="T38:T41">
    <cfRule type="expression" dxfId="20830" priority="7876">
      <formula>#REF!="TO"</formula>
    </cfRule>
    <cfRule type="expression" dxfId="20829" priority="7877">
      <formula>#REF!="IO"</formula>
    </cfRule>
    <cfRule type="expression" dxfId="20828" priority="7878">
      <formula>#REF!="L"</formula>
    </cfRule>
  </conditionalFormatting>
  <conditionalFormatting sqref="T43">
    <cfRule type="expression" dxfId="20827" priority="7870">
      <formula>#REF!="TO"</formula>
    </cfRule>
    <cfRule type="expression" dxfId="20826" priority="7871">
      <formula>#REF!="IO"</formula>
    </cfRule>
    <cfRule type="expression" dxfId="20825" priority="7872">
      <formula>#REF!="L"</formula>
    </cfRule>
  </conditionalFormatting>
  <conditionalFormatting sqref="T44">
    <cfRule type="expression" dxfId="20824" priority="7867">
      <formula>#REF!="TO"</formula>
    </cfRule>
    <cfRule type="expression" dxfId="20823" priority="7868">
      <formula>#REF!="IO"</formula>
    </cfRule>
    <cfRule type="expression" dxfId="20822" priority="7869">
      <formula>#REF!="L"</formula>
    </cfRule>
  </conditionalFormatting>
  <conditionalFormatting sqref="T45">
    <cfRule type="expression" dxfId="20821" priority="7864">
      <formula>#REF!="TO"</formula>
    </cfRule>
    <cfRule type="expression" dxfId="20820" priority="7865">
      <formula>#REF!="IO"</formula>
    </cfRule>
    <cfRule type="expression" dxfId="20819" priority="7866">
      <formula>#REF!="L"</formula>
    </cfRule>
  </conditionalFormatting>
  <conditionalFormatting sqref="T46">
    <cfRule type="expression" dxfId="20818" priority="7861">
      <formula>#REF!="TO"</formula>
    </cfRule>
    <cfRule type="expression" dxfId="20817" priority="7862">
      <formula>#REF!="IO"</formula>
    </cfRule>
    <cfRule type="expression" dxfId="20816" priority="7863">
      <formula>#REF!="L"</formula>
    </cfRule>
  </conditionalFormatting>
  <conditionalFormatting sqref="T48">
    <cfRule type="expression" dxfId="20815" priority="7855">
      <formula>#REF!="TO"</formula>
    </cfRule>
    <cfRule type="expression" dxfId="20814" priority="7856">
      <formula>#REF!="IO"</formula>
    </cfRule>
    <cfRule type="expression" dxfId="20813" priority="7857">
      <formula>#REF!="L"</formula>
    </cfRule>
  </conditionalFormatting>
  <conditionalFormatting sqref="AD9:AD12">
    <cfRule type="expression" dxfId="20812" priority="7516">
      <formula>#REF!="TO"</formula>
    </cfRule>
    <cfRule type="expression" dxfId="20811" priority="7517">
      <formula>#REF!="IO"</formula>
    </cfRule>
    <cfRule type="expression" dxfId="20810" priority="7518">
      <formula>#REF!="L"</formula>
    </cfRule>
  </conditionalFormatting>
  <conditionalFormatting sqref="AS2">
    <cfRule type="expression" dxfId="20809" priority="7702">
      <formula>#REF!="TO"</formula>
    </cfRule>
    <cfRule type="expression" dxfId="20808" priority="7703">
      <formula>#REF!="IO"</formula>
    </cfRule>
    <cfRule type="expression" dxfId="20807" priority="7704">
      <formula>#REF!="L"</formula>
    </cfRule>
  </conditionalFormatting>
  <conditionalFormatting sqref="B2">
    <cfRule type="expression" dxfId="20806" priority="7828">
      <formula>#REF!="TO"</formula>
    </cfRule>
    <cfRule type="expression" dxfId="20805" priority="7829">
      <formula>#REF!="IO"</formula>
    </cfRule>
    <cfRule type="expression" dxfId="20804" priority="7830">
      <formula>#REF!="L"</formula>
    </cfRule>
  </conditionalFormatting>
  <conditionalFormatting sqref="AN2 AP2">
    <cfRule type="expression" dxfId="20803" priority="7717">
      <formula>#REF!="TO"</formula>
    </cfRule>
    <cfRule type="expression" dxfId="20802" priority="7718">
      <formula>#REF!="IO"</formula>
    </cfRule>
    <cfRule type="expression" dxfId="20801" priority="7719">
      <formula>#REF!="L"</formula>
    </cfRule>
  </conditionalFormatting>
  <conditionalFormatting sqref="D2">
    <cfRule type="expression" dxfId="20800" priority="7819">
      <formula>#REF!="TO"</formula>
    </cfRule>
    <cfRule type="expression" dxfId="20799" priority="7820">
      <formula>#REF!="IO"</formula>
    </cfRule>
    <cfRule type="expression" dxfId="20798" priority="7821">
      <formula>#REF!="L"</formula>
    </cfRule>
    <cfRule type="expression" dxfId="20797" priority="13015">
      <formula>#REF!="TO"</formula>
    </cfRule>
    <cfRule type="expression" dxfId="20796" priority="13016">
      <formula>#REF!="IO"</formula>
    </cfRule>
    <cfRule type="expression" dxfId="20795" priority="13017">
      <formula>#REF!="L"</formula>
    </cfRule>
  </conditionalFormatting>
  <conditionalFormatting sqref="F2">
    <cfRule type="expression" dxfId="20794" priority="7813">
      <formula>#REF!="TO"</formula>
    </cfRule>
    <cfRule type="expression" dxfId="20793" priority="7814">
      <formula>#REF!="IO"</formula>
    </cfRule>
    <cfRule type="expression" dxfId="20792" priority="7815">
      <formula>#REF!="L"</formula>
    </cfRule>
    <cfRule type="expression" dxfId="20791" priority="12691">
      <formula>#REF!="TO"</formula>
    </cfRule>
    <cfRule type="expression" dxfId="20790" priority="12692">
      <formula>#REF!="IO"</formula>
    </cfRule>
    <cfRule type="expression" dxfId="20789" priority="12693">
      <formula>#REF!="L"</formula>
    </cfRule>
  </conditionalFormatting>
  <conditionalFormatting sqref="G2">
    <cfRule type="expression" dxfId="20788" priority="7810">
      <formula>#REF!="TO"</formula>
    </cfRule>
    <cfRule type="expression" dxfId="20787" priority="7811">
      <formula>#REF!="IO"</formula>
    </cfRule>
    <cfRule type="expression" dxfId="20786" priority="7812">
      <formula>#REF!="L"</formula>
    </cfRule>
  </conditionalFormatting>
  <conditionalFormatting sqref="K2">
    <cfRule type="expression" dxfId="20785" priority="7801">
      <formula>#REF!="TO"</formula>
    </cfRule>
    <cfRule type="expression" dxfId="20784" priority="7802">
      <formula>#REF!="IO"</formula>
    </cfRule>
    <cfRule type="expression" dxfId="20783" priority="7803">
      <formula>#REF!="L"</formula>
    </cfRule>
  </conditionalFormatting>
  <conditionalFormatting sqref="E2">
    <cfRule type="expression" dxfId="20782" priority="7798">
      <formula>#REF!="TO"</formula>
    </cfRule>
    <cfRule type="expression" dxfId="20781" priority="7799">
      <formula>#REF!="IO"</formula>
    </cfRule>
    <cfRule type="expression" dxfId="20780" priority="7800">
      <formula>#REF!="L"</formula>
    </cfRule>
  </conditionalFormatting>
  <conditionalFormatting sqref="AE2">
    <cfRule type="expression" dxfId="20779" priority="7681">
      <formula>#REF!="TO"</formula>
    </cfRule>
    <cfRule type="expression" dxfId="20778" priority="7682">
      <formula>#REF!="IO"</formula>
    </cfRule>
    <cfRule type="expression" dxfId="20777" priority="7683">
      <formula>#REF!="L"</formula>
    </cfRule>
  </conditionalFormatting>
  <conditionalFormatting sqref="M2">
    <cfRule type="expression" dxfId="20776" priority="7789">
      <formula>#REF!="TO"</formula>
    </cfRule>
    <cfRule type="expression" dxfId="20775" priority="7790">
      <formula>#REF!="IO"</formula>
    </cfRule>
    <cfRule type="expression" dxfId="20774" priority="7791">
      <formula>#REF!="L"</formula>
    </cfRule>
  </conditionalFormatting>
  <conditionalFormatting sqref="N2:P2">
    <cfRule type="expression" dxfId="20773" priority="7786">
      <formula>#REF!="TO"</formula>
    </cfRule>
    <cfRule type="expression" dxfId="20772" priority="7787">
      <formula>#REF!="IO"</formula>
    </cfRule>
    <cfRule type="expression" dxfId="20771" priority="7788">
      <formula>#REF!="L"</formula>
    </cfRule>
  </conditionalFormatting>
  <conditionalFormatting sqref="V2">
    <cfRule type="expression" dxfId="20770" priority="7780">
      <formula>#REF!="TO"</formula>
    </cfRule>
    <cfRule type="expression" dxfId="20769" priority="7781">
      <formula>#REF!="IO"</formula>
    </cfRule>
    <cfRule type="expression" dxfId="20768" priority="7782">
      <formula>#REF!="L"</formula>
    </cfRule>
  </conditionalFormatting>
  <conditionalFormatting sqref="W2">
    <cfRule type="expression" dxfId="20767" priority="7771">
      <formula>#REF!="TO"</formula>
    </cfRule>
    <cfRule type="expression" dxfId="20766" priority="7772">
      <formula>#REF!="IO"</formula>
    </cfRule>
    <cfRule type="expression" dxfId="20765" priority="7773">
      <formula>#REF!="L"</formula>
    </cfRule>
  </conditionalFormatting>
  <conditionalFormatting sqref="X2">
    <cfRule type="expression" dxfId="20764" priority="7768">
      <formula>#REF!="TO"</formula>
    </cfRule>
    <cfRule type="expression" dxfId="20763" priority="7769">
      <formula>#REF!="IO"</formula>
    </cfRule>
    <cfRule type="expression" dxfId="20762" priority="7770">
      <formula>#REF!="L"</formula>
    </cfRule>
  </conditionalFormatting>
  <conditionalFormatting sqref="AC2 AG2">
    <cfRule type="expression" dxfId="20761" priority="7756">
      <formula>#REF!="TO"</formula>
    </cfRule>
    <cfRule type="expression" dxfId="20760" priority="7757">
      <formula>#REF!="IO"</formula>
    </cfRule>
    <cfRule type="expression" dxfId="20759" priority="7758">
      <formula>#REF!="L"</formula>
    </cfRule>
  </conditionalFormatting>
  <conditionalFormatting sqref="AH2">
    <cfRule type="expression" dxfId="20758" priority="7753">
      <formula>#REF!="TO"</formula>
    </cfRule>
    <cfRule type="expression" dxfId="20757" priority="7754">
      <formula>#REF!="IO"</formula>
    </cfRule>
    <cfRule type="expression" dxfId="20756" priority="7755">
      <formula>#REF!="L"</formula>
    </cfRule>
  </conditionalFormatting>
  <conditionalFormatting sqref="AI2">
    <cfRule type="expression" dxfId="20755" priority="7744">
      <formula>#REF!="TO"</formula>
    </cfRule>
    <cfRule type="expression" dxfId="20754" priority="7745">
      <formula>#REF!="IO"</formula>
    </cfRule>
    <cfRule type="expression" dxfId="20753" priority="7746">
      <formula>#REF!="L"</formula>
    </cfRule>
  </conditionalFormatting>
  <conditionalFormatting sqref="AJ2">
    <cfRule type="expression" dxfId="20752" priority="7741">
      <formula>#REF!="TO"</formula>
    </cfRule>
    <cfRule type="expression" dxfId="20751" priority="7742">
      <formula>#REF!="IO"</formula>
    </cfRule>
    <cfRule type="expression" dxfId="20750" priority="7743">
      <formula>#REF!="L"</formula>
    </cfRule>
  </conditionalFormatting>
  <conditionalFormatting sqref="AK2">
    <cfRule type="expression" dxfId="20749" priority="7738">
      <formula>#REF!="TO"</formula>
    </cfRule>
    <cfRule type="expression" dxfId="20748" priority="7739">
      <formula>#REF!="IO"</formula>
    </cfRule>
    <cfRule type="expression" dxfId="20747" priority="7740">
      <formula>#REF!="L"</formula>
    </cfRule>
  </conditionalFormatting>
  <conditionalFormatting sqref="AL2">
    <cfRule type="expression" dxfId="20746" priority="7729">
      <formula>#REF!="TO"</formula>
    </cfRule>
    <cfRule type="expression" dxfId="20745" priority="7730">
      <formula>#REF!="IO"</formula>
    </cfRule>
    <cfRule type="expression" dxfId="20744" priority="7731">
      <formula>#REF!="L"</formula>
    </cfRule>
  </conditionalFormatting>
  <conditionalFormatting sqref="AM2">
    <cfRule type="expression" dxfId="20743" priority="7726">
      <formula>#REF!="TO"</formula>
    </cfRule>
    <cfRule type="expression" dxfId="20742" priority="7727">
      <formula>#REF!="IO"</formula>
    </cfRule>
    <cfRule type="expression" dxfId="20741" priority="7728">
      <formula>#REF!="L"</formula>
    </cfRule>
  </conditionalFormatting>
  <conditionalFormatting sqref="AQ2">
    <cfRule type="expression" dxfId="20740" priority="7714">
      <formula>#REF!="TO"</formula>
    </cfRule>
    <cfRule type="expression" dxfId="20739" priority="7715">
      <formula>#REF!="IO"</formula>
    </cfRule>
    <cfRule type="expression" dxfId="20738" priority="7716">
      <formula>#REF!="L"</formula>
    </cfRule>
  </conditionalFormatting>
  <conditionalFormatting sqref="AR2">
    <cfRule type="expression" dxfId="20737" priority="7711">
      <formula>#REF!="TO"</formula>
    </cfRule>
    <cfRule type="expression" dxfId="20736" priority="7712">
      <formula>#REF!="IO"</formula>
    </cfRule>
    <cfRule type="expression" dxfId="20735" priority="7713">
      <formula>#REF!="L"</formula>
    </cfRule>
  </conditionalFormatting>
  <conditionalFormatting sqref="Z2">
    <cfRule type="expression" dxfId="20734" priority="7693">
      <formula>#REF!="TO"</formula>
    </cfRule>
    <cfRule type="expression" dxfId="20733" priority="7694">
      <formula>#REF!="IO"</formula>
    </cfRule>
    <cfRule type="expression" dxfId="20732" priority="7695">
      <formula>#REF!="L"</formula>
    </cfRule>
  </conditionalFormatting>
  <conditionalFormatting sqref="AT2">
    <cfRule type="expression" dxfId="20731" priority="7690">
      <formula>#REF!="TO"</formula>
    </cfRule>
    <cfRule type="expression" dxfId="20730" priority="7691">
      <formula>#REF!="IO"</formula>
    </cfRule>
    <cfRule type="expression" dxfId="20729" priority="7692">
      <formula>#REF!="L"</formula>
    </cfRule>
  </conditionalFormatting>
  <conditionalFormatting sqref="AF2">
    <cfRule type="expression" dxfId="20728" priority="7678">
      <formula>#REF!="TO"</formula>
    </cfRule>
    <cfRule type="expression" dxfId="20727" priority="7679">
      <formula>#REF!="IO"</formula>
    </cfRule>
    <cfRule type="expression" dxfId="20726" priority="7680">
      <formula>#REF!="L"</formula>
    </cfRule>
  </conditionalFormatting>
  <conditionalFormatting sqref="AA2">
    <cfRule type="expression" dxfId="20725" priority="7675">
      <formula>#REF!="TO"</formula>
    </cfRule>
    <cfRule type="expression" dxfId="20724" priority="7676">
      <formula>#REF!="IO"</formula>
    </cfRule>
    <cfRule type="expression" dxfId="20723" priority="7677">
      <formula>#REF!="L"</formula>
    </cfRule>
  </conditionalFormatting>
  <conditionalFormatting sqref="AB2:AD2">
    <cfRule type="expression" dxfId="20722" priority="7672">
      <formula>#REF!="TO"</formula>
    </cfRule>
    <cfRule type="expression" dxfId="20721" priority="7673">
      <formula>#REF!="IO"</formula>
    </cfRule>
    <cfRule type="expression" dxfId="20720" priority="7674">
      <formula>#REF!="L"</formula>
    </cfRule>
  </conditionalFormatting>
  <conditionalFormatting sqref="U2">
    <cfRule type="expression" dxfId="20719" priority="7669">
      <formula>#REF!="TO"</formula>
    </cfRule>
    <cfRule type="expression" dxfId="20718" priority="7670">
      <formula>#REF!="IO"</formula>
    </cfRule>
    <cfRule type="expression" dxfId="20717" priority="7671">
      <formula>#REF!="L"</formula>
    </cfRule>
  </conditionalFormatting>
  <conditionalFormatting sqref="T2">
    <cfRule type="expression" dxfId="20716" priority="7666">
      <formula>#REF!="TO"</formula>
    </cfRule>
    <cfRule type="expression" dxfId="20715" priority="7667">
      <formula>#REF!="IO"</formula>
    </cfRule>
    <cfRule type="expression" dxfId="20714" priority="7668">
      <formula>#REF!="L"</formula>
    </cfRule>
  </conditionalFormatting>
  <conditionalFormatting sqref="Q2">
    <cfRule type="expression" dxfId="20713" priority="7657">
      <formula>#REF!="TO"</formula>
    </cfRule>
    <cfRule type="expression" dxfId="20712" priority="7658">
      <formula>#REF!="IO"</formula>
    </cfRule>
    <cfRule type="expression" dxfId="20711" priority="7659">
      <formula>#REF!="L"</formula>
    </cfRule>
  </conditionalFormatting>
  <conditionalFormatting sqref="C38:C41 C23:C29">
    <cfRule type="expression" dxfId="20710" priority="7651">
      <formula>#REF!="TO"</formula>
    </cfRule>
    <cfRule type="expression" dxfId="20709" priority="7652">
      <formula>#REF!="IO"</formula>
    </cfRule>
    <cfRule type="expression" dxfId="20708" priority="7653">
      <formula>#REF!="L"</formula>
    </cfRule>
  </conditionalFormatting>
  <conditionalFormatting sqref="C5">
    <cfRule type="expression" dxfId="20707" priority="7648">
      <formula>#REF!="TO"</formula>
    </cfRule>
    <cfRule type="expression" dxfId="20706" priority="7649">
      <formula>#REF!="IO"</formula>
    </cfRule>
    <cfRule type="expression" dxfId="20705" priority="7650">
      <formula>#REF!="L"</formula>
    </cfRule>
  </conditionalFormatting>
  <conditionalFormatting sqref="C6">
    <cfRule type="expression" dxfId="20704" priority="7645">
      <formula>#REF!="TO"</formula>
    </cfRule>
    <cfRule type="expression" dxfId="20703" priority="7646">
      <formula>#REF!="IO"</formula>
    </cfRule>
    <cfRule type="expression" dxfId="20702" priority="7647">
      <formula>#REF!="L"</formula>
    </cfRule>
  </conditionalFormatting>
  <conditionalFormatting sqref="C7">
    <cfRule type="expression" dxfId="20701" priority="7642">
      <formula>#REF!="TO"</formula>
    </cfRule>
    <cfRule type="expression" dxfId="20700" priority="7643">
      <formula>#REF!="IO"</formula>
    </cfRule>
    <cfRule type="expression" dxfId="20699" priority="7644">
      <formula>#REF!="L"</formula>
    </cfRule>
  </conditionalFormatting>
  <conditionalFormatting sqref="C8">
    <cfRule type="expression" dxfId="20698" priority="7639">
      <formula>#REF!="TO"</formula>
    </cfRule>
    <cfRule type="expression" dxfId="20697" priority="7640">
      <formula>#REF!="IO"</formula>
    </cfRule>
    <cfRule type="expression" dxfId="20696" priority="7641">
      <formula>#REF!="L"</formula>
    </cfRule>
  </conditionalFormatting>
  <conditionalFormatting sqref="C9:C12">
    <cfRule type="expression" dxfId="20695" priority="7636">
      <formula>#REF!="TO"</formula>
    </cfRule>
    <cfRule type="expression" dxfId="20694" priority="7637">
      <formula>#REF!="IO"</formula>
    </cfRule>
    <cfRule type="expression" dxfId="20693" priority="7638">
      <formula>#REF!="L"</formula>
    </cfRule>
  </conditionalFormatting>
  <conditionalFormatting sqref="C13">
    <cfRule type="expression" dxfId="20692" priority="7633">
      <formula>#REF!="TO"</formula>
    </cfRule>
    <cfRule type="expression" dxfId="20691" priority="7634">
      <formula>#REF!="IO"</formula>
    </cfRule>
    <cfRule type="expression" dxfId="20690" priority="7635">
      <formula>#REF!="L"</formula>
    </cfRule>
  </conditionalFormatting>
  <conditionalFormatting sqref="C14">
    <cfRule type="expression" dxfId="20689" priority="7630">
      <formula>#REF!="TO"</formula>
    </cfRule>
    <cfRule type="expression" dxfId="20688" priority="7631">
      <formula>#REF!="IO"</formula>
    </cfRule>
    <cfRule type="expression" dxfId="20687" priority="7632">
      <formula>#REF!="L"</formula>
    </cfRule>
  </conditionalFormatting>
  <conditionalFormatting sqref="C15">
    <cfRule type="expression" dxfId="20686" priority="7627">
      <formula>#REF!="TO"</formula>
    </cfRule>
    <cfRule type="expression" dxfId="20685" priority="7628">
      <formula>#REF!="IO"</formula>
    </cfRule>
    <cfRule type="expression" dxfId="20684" priority="7629">
      <formula>#REF!="L"</formula>
    </cfRule>
  </conditionalFormatting>
  <conditionalFormatting sqref="C16">
    <cfRule type="expression" dxfId="20683" priority="7624">
      <formula>#REF!="TO"</formula>
    </cfRule>
    <cfRule type="expression" dxfId="20682" priority="7625">
      <formula>#REF!="IO"</formula>
    </cfRule>
    <cfRule type="expression" dxfId="20681" priority="7626">
      <formula>#REF!="L"</formula>
    </cfRule>
  </conditionalFormatting>
  <conditionalFormatting sqref="C20">
    <cfRule type="expression" dxfId="20680" priority="7612">
      <formula>#REF!="TO"</formula>
    </cfRule>
    <cfRule type="expression" dxfId="20679" priority="7613">
      <formula>#REF!="IO"</formula>
    </cfRule>
    <cfRule type="expression" dxfId="20678" priority="7614">
      <formula>#REF!="L"</formula>
    </cfRule>
  </conditionalFormatting>
  <conditionalFormatting sqref="C17">
    <cfRule type="expression" dxfId="20677" priority="7621">
      <formula>#REF!="TO"</formula>
    </cfRule>
    <cfRule type="expression" dxfId="20676" priority="7622">
      <formula>#REF!="IO"</formula>
    </cfRule>
    <cfRule type="expression" dxfId="20675" priority="7623">
      <formula>#REF!="L"</formula>
    </cfRule>
  </conditionalFormatting>
  <conditionalFormatting sqref="C18">
    <cfRule type="expression" dxfId="20674" priority="7618">
      <formula>#REF!="TO"</formula>
    </cfRule>
    <cfRule type="expression" dxfId="20673" priority="7619">
      <formula>#REF!="IO"</formula>
    </cfRule>
    <cfRule type="expression" dxfId="20672" priority="7620">
      <formula>#REF!="L"</formula>
    </cfRule>
  </conditionalFormatting>
  <conditionalFormatting sqref="C19">
    <cfRule type="expression" dxfId="20671" priority="7615">
      <formula>#REF!="TO"</formula>
    </cfRule>
    <cfRule type="expression" dxfId="20670" priority="7616">
      <formula>#REF!="IO"</formula>
    </cfRule>
    <cfRule type="expression" dxfId="20669" priority="7617">
      <formula>#REF!="L"</formula>
    </cfRule>
  </conditionalFormatting>
  <conditionalFormatting sqref="C22:C29">
    <cfRule type="expression" dxfId="20668" priority="7606">
      <formula>#REF!="TO"</formula>
    </cfRule>
    <cfRule type="expression" dxfId="20667" priority="7607">
      <formula>#REF!="IO"</formula>
    </cfRule>
    <cfRule type="expression" dxfId="20666" priority="7608">
      <formula>#REF!="L"</formula>
    </cfRule>
  </conditionalFormatting>
  <conditionalFormatting sqref="C42">
    <cfRule type="expression" dxfId="20665" priority="7603">
      <formula>#REF!="TO"</formula>
    </cfRule>
    <cfRule type="expression" dxfId="20664" priority="7604">
      <formula>#REF!="IO"</formula>
    </cfRule>
    <cfRule type="expression" dxfId="20663" priority="7605">
      <formula>#REF!="L"</formula>
    </cfRule>
  </conditionalFormatting>
  <conditionalFormatting sqref="C43">
    <cfRule type="expression" dxfId="20662" priority="7600">
      <formula>#REF!="TO"</formula>
    </cfRule>
    <cfRule type="expression" dxfId="20661" priority="7601">
      <formula>#REF!="IO"</formula>
    </cfRule>
    <cfRule type="expression" dxfId="20660" priority="7602">
      <formula>#REF!="L"</formula>
    </cfRule>
  </conditionalFormatting>
  <conditionalFormatting sqref="C44">
    <cfRule type="expression" dxfId="20659" priority="7597">
      <formula>#REF!="TO"</formula>
    </cfRule>
    <cfRule type="expression" dxfId="20658" priority="7598">
      <formula>#REF!="IO"</formula>
    </cfRule>
    <cfRule type="expression" dxfId="20657" priority="7599">
      <formula>#REF!="L"</formula>
    </cfRule>
  </conditionalFormatting>
  <conditionalFormatting sqref="C45">
    <cfRule type="expression" dxfId="20656" priority="7594">
      <formula>#REF!="TO"</formula>
    </cfRule>
    <cfRule type="expression" dxfId="20655" priority="7595">
      <formula>#REF!="IO"</formula>
    </cfRule>
    <cfRule type="expression" dxfId="20654" priority="7596">
      <formula>#REF!="L"</formula>
    </cfRule>
  </conditionalFormatting>
  <conditionalFormatting sqref="C46">
    <cfRule type="expression" dxfId="20653" priority="7591">
      <formula>#REF!="TO"</formula>
    </cfRule>
    <cfRule type="expression" dxfId="20652" priority="7592">
      <formula>#REF!="IO"</formula>
    </cfRule>
    <cfRule type="expression" dxfId="20651" priority="7593">
      <formula>#REF!="L"</formula>
    </cfRule>
  </conditionalFormatting>
  <conditionalFormatting sqref="C47">
    <cfRule type="expression" dxfId="20650" priority="7588">
      <formula>#REF!="TO"</formula>
    </cfRule>
    <cfRule type="expression" dxfId="20649" priority="7589">
      <formula>#REF!="IO"</formula>
    </cfRule>
    <cfRule type="expression" dxfId="20648" priority="7590">
      <formula>#REF!="L"</formula>
    </cfRule>
  </conditionalFormatting>
  <conditionalFormatting sqref="C48">
    <cfRule type="expression" dxfId="20647" priority="7585">
      <formula>#REF!="TO"</formula>
    </cfRule>
    <cfRule type="expression" dxfId="20646" priority="7586">
      <formula>#REF!="IO"</formula>
    </cfRule>
    <cfRule type="expression" dxfId="20645" priority="7587">
      <formula>#REF!="L"</formula>
    </cfRule>
  </conditionalFormatting>
  <conditionalFormatting sqref="C49">
    <cfRule type="expression" dxfId="20644" priority="7582">
      <formula>#REF!="TO"</formula>
    </cfRule>
    <cfRule type="expression" dxfId="20643" priority="7583">
      <formula>#REF!="IO"</formula>
    </cfRule>
    <cfRule type="expression" dxfId="20642" priority="7584">
      <formula>#REF!="L"</formula>
    </cfRule>
  </conditionalFormatting>
  <conditionalFormatting sqref="C50">
    <cfRule type="expression" dxfId="20641" priority="7579">
      <formula>#REF!="TO"</formula>
    </cfRule>
    <cfRule type="expression" dxfId="20640" priority="7580">
      <formula>#REF!="IO"</formula>
    </cfRule>
    <cfRule type="expression" dxfId="20639" priority="7581">
      <formula>#REF!="L"</formula>
    </cfRule>
  </conditionalFormatting>
  <conditionalFormatting sqref="C51:C98">
    <cfRule type="expression" dxfId="20638" priority="7576">
      <formula>#REF!="TO"</formula>
    </cfRule>
    <cfRule type="expression" dxfId="20637" priority="7577">
      <formula>#REF!="IO"</formula>
    </cfRule>
    <cfRule type="expression" dxfId="20636" priority="7578">
      <formula>#REF!="L"</formula>
    </cfRule>
  </conditionalFormatting>
  <conditionalFormatting sqref="C28:C29">
    <cfRule type="expression" dxfId="20635" priority="7570">
      <formula>#REF!="TO"</formula>
    </cfRule>
    <cfRule type="expression" dxfId="20634" priority="7571">
      <formula>#REF!="IO"</formula>
    </cfRule>
    <cfRule type="expression" dxfId="20633" priority="7572">
      <formula>#REF!="L"</formula>
    </cfRule>
    <cfRule type="expression" dxfId="20632" priority="7567">
      <formula>#REF!="TO"</formula>
    </cfRule>
    <cfRule type="expression" dxfId="20631" priority="7568">
      <formula>#REF!="IO"</formula>
    </cfRule>
    <cfRule type="expression" dxfId="20630" priority="7569">
      <formula>#REF!="L"</formula>
    </cfRule>
  </conditionalFormatting>
  <conditionalFormatting sqref="C2">
    <cfRule type="expression" dxfId="20629" priority="7564">
      <formula>#REF!="TO"</formula>
    </cfRule>
    <cfRule type="expression" dxfId="20628" priority="7565">
      <formula>#REF!="IO"</formula>
    </cfRule>
    <cfRule type="expression" dxfId="20627" priority="7566">
      <formula>#REF!="L"</formula>
    </cfRule>
  </conditionalFormatting>
  <conditionalFormatting sqref="AD38:AD41 AD23:AD29">
    <cfRule type="expression" dxfId="20626" priority="7531">
      <formula>#REF!="TO"</formula>
    </cfRule>
    <cfRule type="expression" dxfId="20625" priority="7532">
      <formula>#REF!="IO"</formula>
    </cfRule>
    <cfRule type="expression" dxfId="20624" priority="7533">
      <formula>#REF!="L"</formula>
    </cfRule>
  </conditionalFormatting>
  <conditionalFormatting sqref="AD5">
    <cfRule type="expression" dxfId="20623" priority="7528">
      <formula>#REF!="TO"</formula>
    </cfRule>
    <cfRule type="expression" dxfId="20622" priority="7529">
      <formula>#REF!="IO"</formula>
    </cfRule>
    <cfRule type="expression" dxfId="20621" priority="7530">
      <formula>#REF!="L"</formula>
    </cfRule>
  </conditionalFormatting>
  <conditionalFormatting sqref="AD6">
    <cfRule type="expression" dxfId="20620" priority="7525">
      <formula>#REF!="TO"</formula>
    </cfRule>
    <cfRule type="expression" dxfId="20619" priority="7526">
      <formula>#REF!="IO"</formula>
    </cfRule>
    <cfRule type="expression" dxfId="20618" priority="7527">
      <formula>#REF!="L"</formula>
    </cfRule>
  </conditionalFormatting>
  <conditionalFormatting sqref="AD7">
    <cfRule type="expression" dxfId="20617" priority="7522">
      <formula>#REF!="TO"</formula>
    </cfRule>
    <cfRule type="expression" dxfId="20616" priority="7523">
      <formula>#REF!="IO"</formula>
    </cfRule>
    <cfRule type="expression" dxfId="20615" priority="7524">
      <formula>#REF!="L"</formula>
    </cfRule>
  </conditionalFormatting>
  <conditionalFormatting sqref="AD8">
    <cfRule type="expression" dxfId="20614" priority="7519">
      <formula>#REF!="TO"</formula>
    </cfRule>
    <cfRule type="expression" dxfId="20613" priority="7520">
      <formula>#REF!="IO"</formula>
    </cfRule>
    <cfRule type="expression" dxfId="20612" priority="7521">
      <formula>#REF!="L"</formula>
    </cfRule>
  </conditionalFormatting>
  <conditionalFormatting sqref="AD13">
    <cfRule type="expression" dxfId="20611" priority="7513">
      <formula>#REF!="TO"</formula>
    </cfRule>
    <cfRule type="expression" dxfId="20610" priority="7514">
      <formula>#REF!="IO"</formula>
    </cfRule>
    <cfRule type="expression" dxfId="20609" priority="7515">
      <formula>#REF!="L"</formula>
    </cfRule>
  </conditionalFormatting>
  <conditionalFormatting sqref="AD14">
    <cfRule type="expression" dxfId="20608" priority="7510">
      <formula>#REF!="TO"</formula>
    </cfRule>
    <cfRule type="expression" dxfId="20607" priority="7511">
      <formula>#REF!="IO"</formula>
    </cfRule>
    <cfRule type="expression" dxfId="20606" priority="7512">
      <formula>#REF!="L"</formula>
    </cfRule>
  </conditionalFormatting>
  <conditionalFormatting sqref="AD15">
    <cfRule type="expression" dxfId="20605" priority="7507">
      <formula>#REF!="TO"</formula>
    </cfRule>
    <cfRule type="expression" dxfId="20604" priority="7508">
      <formula>#REF!="IO"</formula>
    </cfRule>
    <cfRule type="expression" dxfId="20603" priority="7509">
      <formula>#REF!="L"</formula>
    </cfRule>
  </conditionalFormatting>
  <conditionalFormatting sqref="AD16">
    <cfRule type="expression" dxfId="20602" priority="7504">
      <formula>#REF!="TO"</formula>
    </cfRule>
    <cfRule type="expression" dxfId="20601" priority="7505">
      <formula>#REF!="IO"</formula>
    </cfRule>
    <cfRule type="expression" dxfId="20600" priority="7506">
      <formula>#REF!="L"</formula>
    </cfRule>
  </conditionalFormatting>
  <conditionalFormatting sqref="AD17">
    <cfRule type="expression" dxfId="20599" priority="7501">
      <formula>#REF!="TO"</formula>
    </cfRule>
    <cfRule type="expression" dxfId="20598" priority="7502">
      <formula>#REF!="IO"</formula>
    </cfRule>
    <cfRule type="expression" dxfId="20597" priority="7503">
      <formula>#REF!="L"</formula>
    </cfRule>
  </conditionalFormatting>
  <conditionalFormatting sqref="AD18">
    <cfRule type="expression" dxfId="20596" priority="7498">
      <formula>#REF!="TO"</formula>
    </cfRule>
    <cfRule type="expression" dxfId="20595" priority="7499">
      <formula>#REF!="IO"</formula>
    </cfRule>
    <cfRule type="expression" dxfId="20594" priority="7500">
      <formula>#REF!="L"</formula>
    </cfRule>
  </conditionalFormatting>
  <conditionalFormatting sqref="AD19">
    <cfRule type="expression" dxfId="20593" priority="7495">
      <formula>#REF!="TO"</formula>
    </cfRule>
    <cfRule type="expression" dxfId="20592" priority="7496">
      <formula>#REF!="IO"</formula>
    </cfRule>
    <cfRule type="expression" dxfId="20591" priority="7497">
      <formula>#REF!="L"</formula>
    </cfRule>
  </conditionalFormatting>
  <conditionalFormatting sqref="AD20">
    <cfRule type="expression" dxfId="20590" priority="7492">
      <formula>#REF!="TO"</formula>
    </cfRule>
    <cfRule type="expression" dxfId="20589" priority="7493">
      <formula>#REF!="IO"</formula>
    </cfRule>
    <cfRule type="expression" dxfId="20588" priority="7494">
      <formula>#REF!="L"</formula>
    </cfRule>
  </conditionalFormatting>
  <conditionalFormatting sqref="AD21">
    <cfRule type="expression" dxfId="20587" priority="7489">
      <formula>#REF!="TO"</formula>
    </cfRule>
    <cfRule type="expression" dxfId="20586" priority="7490">
      <formula>#REF!="IO"</formula>
    </cfRule>
    <cfRule type="expression" dxfId="20585" priority="7491">
      <formula>#REF!="L"</formula>
    </cfRule>
  </conditionalFormatting>
  <conditionalFormatting sqref="AD22:AD29">
    <cfRule type="expression" dxfId="20584" priority="7486">
      <formula>#REF!="TO"</formula>
    </cfRule>
    <cfRule type="expression" dxfId="20583" priority="7487">
      <formula>#REF!="IO"</formula>
    </cfRule>
    <cfRule type="expression" dxfId="20582" priority="7488">
      <formula>#REF!="L"</formula>
    </cfRule>
  </conditionalFormatting>
  <conditionalFormatting sqref="AD42">
    <cfRule type="expression" dxfId="20581" priority="7483">
      <formula>#REF!="TO"</formula>
    </cfRule>
    <cfRule type="expression" dxfId="20580" priority="7484">
      <formula>#REF!="IO"</formula>
    </cfRule>
    <cfRule type="expression" dxfId="20579" priority="7485">
      <formula>#REF!="L"</formula>
    </cfRule>
  </conditionalFormatting>
  <conditionalFormatting sqref="AD43">
    <cfRule type="expression" dxfId="20578" priority="7480">
      <formula>#REF!="TO"</formula>
    </cfRule>
    <cfRule type="expression" dxfId="20577" priority="7481">
      <formula>#REF!="IO"</formula>
    </cfRule>
    <cfRule type="expression" dxfId="20576" priority="7482">
      <formula>#REF!="L"</formula>
    </cfRule>
  </conditionalFormatting>
  <conditionalFormatting sqref="AD44">
    <cfRule type="expression" dxfId="20575" priority="7477">
      <formula>#REF!="TO"</formula>
    </cfRule>
    <cfRule type="expression" dxfId="20574" priority="7478">
      <formula>#REF!="IO"</formula>
    </cfRule>
    <cfRule type="expression" dxfId="20573" priority="7479">
      <formula>#REF!="L"</formula>
    </cfRule>
  </conditionalFormatting>
  <conditionalFormatting sqref="AD45">
    <cfRule type="expression" dxfId="20572" priority="7474">
      <formula>#REF!="TO"</formula>
    </cfRule>
    <cfRule type="expression" dxfId="20571" priority="7475">
      <formula>#REF!="IO"</formula>
    </cfRule>
    <cfRule type="expression" dxfId="20570" priority="7476">
      <formula>#REF!="L"</formula>
    </cfRule>
  </conditionalFormatting>
  <conditionalFormatting sqref="AD46">
    <cfRule type="expression" dxfId="20569" priority="7471">
      <formula>#REF!="TO"</formula>
    </cfRule>
    <cfRule type="expression" dxfId="20568" priority="7472">
      <formula>#REF!="IO"</formula>
    </cfRule>
    <cfRule type="expression" dxfId="20567" priority="7473">
      <formula>#REF!="L"</formula>
    </cfRule>
  </conditionalFormatting>
  <conditionalFormatting sqref="AD47">
    <cfRule type="expression" dxfId="20566" priority="7468">
      <formula>#REF!="TO"</formula>
    </cfRule>
    <cfRule type="expression" dxfId="20565" priority="7469">
      <formula>#REF!="IO"</formula>
    </cfRule>
    <cfRule type="expression" dxfId="20564" priority="7470">
      <formula>#REF!="L"</formula>
    </cfRule>
  </conditionalFormatting>
  <conditionalFormatting sqref="AD48">
    <cfRule type="expression" dxfId="20563" priority="7465">
      <formula>#REF!="TO"</formula>
    </cfRule>
    <cfRule type="expression" dxfId="20562" priority="7466">
      <formula>#REF!="IO"</formula>
    </cfRule>
    <cfRule type="expression" dxfId="20561" priority="7467">
      <formula>#REF!="L"</formula>
    </cfRule>
  </conditionalFormatting>
  <conditionalFormatting sqref="AD49">
    <cfRule type="expression" dxfId="20560" priority="7462">
      <formula>#REF!="TO"</formula>
    </cfRule>
    <cfRule type="expression" dxfId="20559" priority="7463">
      <formula>#REF!="IO"</formula>
    </cfRule>
    <cfRule type="expression" dxfId="20558" priority="7464">
      <formula>#REF!="L"</formula>
    </cfRule>
  </conditionalFormatting>
  <conditionalFormatting sqref="AD50">
    <cfRule type="expression" dxfId="20557" priority="7459">
      <formula>#REF!="TO"</formula>
    </cfRule>
    <cfRule type="expression" dxfId="20556" priority="7460">
      <formula>#REF!="IO"</formula>
    </cfRule>
    <cfRule type="expression" dxfId="20555" priority="7461">
      <formula>#REF!="L"</formula>
    </cfRule>
  </conditionalFormatting>
  <conditionalFormatting sqref="AD51:AD98">
    <cfRule type="expression" dxfId="20554" priority="7456">
      <formula>#REF!="TO"</formula>
    </cfRule>
    <cfRule type="expression" dxfId="20553" priority="7457">
      <formula>#REF!="IO"</formula>
    </cfRule>
    <cfRule type="expression" dxfId="20552" priority="7458">
      <formula>#REF!="L"</formula>
    </cfRule>
  </conditionalFormatting>
  <conditionalFormatting sqref="AD28:AD29">
    <cfRule type="expression" dxfId="20551" priority="7450">
      <formula>#REF!="TO"</formula>
    </cfRule>
    <cfRule type="expression" dxfId="20550" priority="7451">
      <formula>#REF!="IO"</formula>
    </cfRule>
    <cfRule type="expression" dxfId="20549" priority="7452">
      <formula>#REF!="L"</formula>
    </cfRule>
    <cfRule type="expression" dxfId="20548" priority="7447">
      <formula>#REF!="TO"</formula>
    </cfRule>
    <cfRule type="expression" dxfId="20547" priority="7448">
      <formula>#REF!="IO"</formula>
    </cfRule>
    <cfRule type="expression" dxfId="20546" priority="7449">
      <formula>#REF!="L"</formula>
    </cfRule>
  </conditionalFormatting>
  <conditionalFormatting sqref="AD2">
    <cfRule type="expression" dxfId="20545" priority="7444">
      <formula>#REF!="TO"</formula>
    </cfRule>
    <cfRule type="expression" dxfId="20544" priority="7445">
      <formula>#REF!="IO"</formula>
    </cfRule>
    <cfRule type="expression" dxfId="20543" priority="7446">
      <formula>#REF!="L"</formula>
    </cfRule>
  </conditionalFormatting>
  <conditionalFormatting sqref="Q38:R41">
    <cfRule type="expression" dxfId="20542" priority="7441">
      <formula>#REF!="TO"</formula>
    </cfRule>
    <cfRule type="expression" dxfId="20541" priority="7442">
      <formula>#REF!="IO"</formula>
    </cfRule>
    <cfRule type="expression" dxfId="20540" priority="7443">
      <formula>#REF!="L"</formula>
    </cfRule>
    <cfRule type="expression" dxfId="20539" priority="7429">
      <formula>#REF!="TO"</formula>
    </cfRule>
    <cfRule type="expression" dxfId="20538" priority="7430">
      <formula>#REF!="IO"</formula>
    </cfRule>
    <cfRule type="expression" dxfId="20537" priority="7431">
      <formula>#REF!="L"</formula>
    </cfRule>
  </conditionalFormatting>
  <conditionalFormatting sqref="Q42:R42">
    <cfRule type="expression" dxfId="20536" priority="7438">
      <formula>#REF!="TO"</formula>
    </cfRule>
    <cfRule type="expression" dxfId="20535" priority="7439">
      <formula>#REF!="IO"</formula>
    </cfRule>
    <cfRule type="expression" dxfId="20534" priority="7440">
      <formula>#REF!="L"</formula>
    </cfRule>
    <cfRule type="expression" dxfId="20533" priority="7426">
      <formula>#REF!="TO"</formula>
    </cfRule>
    <cfRule type="expression" dxfId="20532" priority="7427">
      <formula>#REF!="IO"</formula>
    </cfRule>
    <cfRule type="expression" dxfId="20531" priority="7428">
      <formula>#REF!="L"</formula>
    </cfRule>
  </conditionalFormatting>
  <conditionalFormatting sqref="Q43:R43">
    <cfRule type="expression" dxfId="20530" priority="7435">
      <formula>#REF!="TO"</formula>
    </cfRule>
    <cfRule type="expression" dxfId="20529" priority="7436">
      <formula>#REF!="IO"</formula>
    </cfRule>
    <cfRule type="expression" dxfId="20528" priority="7437">
      <formula>#REF!="L"</formula>
    </cfRule>
    <cfRule type="expression" dxfId="20527" priority="7423">
      <formula>#REF!="TO"</formula>
    </cfRule>
    <cfRule type="expression" dxfId="20526" priority="7424">
      <formula>#REF!="IO"</formula>
    </cfRule>
    <cfRule type="expression" dxfId="20525" priority="7425">
      <formula>#REF!="L"</formula>
    </cfRule>
  </conditionalFormatting>
  <conditionalFormatting sqref="Q44:R44">
    <cfRule type="expression" dxfId="20524" priority="7432">
      <formula>#REF!="TO"</formula>
    </cfRule>
    <cfRule type="expression" dxfId="20523" priority="7433">
      <formula>#REF!="IO"</formula>
    </cfRule>
    <cfRule type="expression" dxfId="20522" priority="7434">
      <formula>#REF!="L"</formula>
    </cfRule>
    <cfRule type="expression" dxfId="20521" priority="7420">
      <formula>#REF!="TO"</formula>
    </cfRule>
    <cfRule type="expression" dxfId="20520" priority="7421">
      <formula>#REF!="IO"</formula>
    </cfRule>
    <cfRule type="expression" dxfId="20519" priority="7422">
      <formula>#REF!="L"</formula>
    </cfRule>
  </conditionalFormatting>
  <conditionalFormatting sqref="Q45:R45">
    <cfRule type="expression" dxfId="20518" priority="7417">
      <formula>#REF!="TO"</formula>
    </cfRule>
    <cfRule type="expression" dxfId="20517" priority="7418">
      <formula>#REF!="IO"</formula>
    </cfRule>
    <cfRule type="expression" dxfId="20516" priority="7419">
      <formula>#REF!="L"</formula>
    </cfRule>
    <cfRule type="expression" dxfId="20515" priority="7414">
      <formula>#REF!="TO"</formula>
    </cfRule>
    <cfRule type="expression" dxfId="20514" priority="7415">
      <formula>#REF!="IO"</formula>
    </cfRule>
    <cfRule type="expression" dxfId="20513" priority="7416">
      <formula>#REF!="L"</formula>
    </cfRule>
  </conditionalFormatting>
  <conditionalFormatting sqref="Q46:R46">
    <cfRule type="expression" dxfId="20512" priority="7411">
      <formula>#REF!="TO"</formula>
    </cfRule>
    <cfRule type="expression" dxfId="20511" priority="7412">
      <formula>#REF!="IO"</formula>
    </cfRule>
    <cfRule type="expression" dxfId="20510" priority="7413">
      <formula>#REF!="L"</formula>
    </cfRule>
    <cfRule type="expression" dxfId="20509" priority="7408">
      <formula>#REF!="TO"</formula>
    </cfRule>
    <cfRule type="expression" dxfId="20508" priority="7409">
      <formula>#REF!="IO"</formula>
    </cfRule>
    <cfRule type="expression" dxfId="20507" priority="7410">
      <formula>#REF!="L"</formula>
    </cfRule>
  </conditionalFormatting>
  <conditionalFormatting sqref="Q47:R47">
    <cfRule type="expression" dxfId="20506" priority="7405">
      <formula>#REF!="TO"</formula>
    </cfRule>
    <cfRule type="expression" dxfId="20505" priority="7406">
      <formula>#REF!="IO"</formula>
    </cfRule>
    <cfRule type="expression" dxfId="20504" priority="7407">
      <formula>#REF!="L"</formula>
    </cfRule>
    <cfRule type="expression" dxfId="20503" priority="7402">
      <formula>#REF!="TO"</formula>
    </cfRule>
    <cfRule type="expression" dxfId="20502" priority="7403">
      <formula>#REF!="IO"</formula>
    </cfRule>
    <cfRule type="expression" dxfId="20501" priority="7404">
      <formula>#REF!="L"</formula>
    </cfRule>
  </conditionalFormatting>
  <conditionalFormatting sqref="Q48:R48">
    <cfRule type="expression" dxfId="20500" priority="7399">
      <formula>#REF!="TO"</formula>
    </cfRule>
    <cfRule type="expression" dxfId="20499" priority="7400">
      <formula>#REF!="IO"</formula>
    </cfRule>
    <cfRule type="expression" dxfId="20498" priority="7401">
      <formula>#REF!="L"</formula>
    </cfRule>
    <cfRule type="expression" dxfId="20497" priority="7396">
      <formula>#REF!="TO"</formula>
    </cfRule>
    <cfRule type="expression" dxfId="20496" priority="7397">
      <formula>#REF!="IO"</formula>
    </cfRule>
    <cfRule type="expression" dxfId="20495" priority="7398">
      <formula>#REF!="L"</formula>
    </cfRule>
  </conditionalFormatting>
  <conditionalFormatting sqref="Q49:R49">
    <cfRule type="expression" dxfId="20494" priority="7393">
      <formula>#REF!="TO"</formula>
    </cfRule>
    <cfRule type="expression" dxfId="20493" priority="7394">
      <formula>#REF!="IO"</formula>
    </cfRule>
    <cfRule type="expression" dxfId="20492" priority="7395">
      <formula>#REF!="L"</formula>
    </cfRule>
    <cfRule type="expression" dxfId="20491" priority="7390">
      <formula>#REF!="TO"</formula>
    </cfRule>
    <cfRule type="expression" dxfId="20490" priority="7391">
      <formula>#REF!="IO"</formula>
    </cfRule>
    <cfRule type="expression" dxfId="20489" priority="7392">
      <formula>#REF!="L"</formula>
    </cfRule>
  </conditionalFormatting>
  <conditionalFormatting sqref="Q50:R50">
    <cfRule type="expression" dxfId="20488" priority="7387">
      <formula>#REF!="TO"</formula>
    </cfRule>
    <cfRule type="expression" dxfId="20487" priority="7388">
      <formula>#REF!="IO"</formula>
    </cfRule>
    <cfRule type="expression" dxfId="20486" priority="7389">
      <formula>#REF!="L"</formula>
    </cfRule>
    <cfRule type="expression" dxfId="20485" priority="7384">
      <formula>#REF!="TO"</formula>
    </cfRule>
    <cfRule type="expression" dxfId="20484" priority="7385">
      <formula>#REF!="IO"</formula>
    </cfRule>
    <cfRule type="expression" dxfId="20483" priority="7386">
      <formula>#REF!="L"</formula>
    </cfRule>
  </conditionalFormatting>
  <conditionalFormatting sqref="Q51:R77 Q87:R98">
    <cfRule type="expression" dxfId="20482" priority="7381">
      <formula>#REF!="TO"</formula>
    </cfRule>
    <cfRule type="expression" dxfId="20481" priority="7382">
      <formula>#REF!="IO"</formula>
    </cfRule>
    <cfRule type="expression" dxfId="20480" priority="7383">
      <formula>#REF!="L"</formula>
    </cfRule>
    <cfRule type="expression" dxfId="20479" priority="7378">
      <formula>#REF!="TO"</formula>
    </cfRule>
    <cfRule type="expression" dxfId="20478" priority="7379">
      <formula>#REF!="IO"</formula>
    </cfRule>
    <cfRule type="expression" dxfId="20477" priority="7380">
      <formula>#REF!="L"</formula>
    </cfRule>
  </conditionalFormatting>
  <conditionalFormatting sqref="M38:M41">
    <cfRule type="expression" dxfId="20476" priority="7375">
      <formula>#REF!="TO"</formula>
    </cfRule>
    <cfRule type="expression" dxfId="20475" priority="7376">
      <formula>#REF!="IO"</formula>
    </cfRule>
    <cfRule type="expression" dxfId="20474" priority="7377">
      <formula>#REF!="L"</formula>
    </cfRule>
  </conditionalFormatting>
  <conditionalFormatting sqref="M42">
    <cfRule type="expression" dxfId="20473" priority="7372">
      <formula>#REF!="TO"</formula>
    </cfRule>
    <cfRule type="expression" dxfId="20472" priority="7373">
      <formula>#REF!="IO"</formula>
    </cfRule>
    <cfRule type="expression" dxfId="20471" priority="7374">
      <formula>#REF!="L"</formula>
    </cfRule>
  </conditionalFormatting>
  <conditionalFormatting sqref="M43">
    <cfRule type="expression" dxfId="20470" priority="7369">
      <formula>#REF!="TO"</formula>
    </cfRule>
    <cfRule type="expression" dxfId="20469" priority="7370">
      <formula>#REF!="IO"</formula>
    </cfRule>
    <cfRule type="expression" dxfId="20468" priority="7371">
      <formula>#REF!="L"</formula>
    </cfRule>
  </conditionalFormatting>
  <conditionalFormatting sqref="M44">
    <cfRule type="expression" dxfId="20467" priority="7366">
      <formula>#REF!="TO"</formula>
    </cfRule>
    <cfRule type="expression" dxfId="20466" priority="7367">
      <formula>#REF!="IO"</formula>
    </cfRule>
    <cfRule type="expression" dxfId="20465" priority="7368">
      <formula>#REF!="L"</formula>
    </cfRule>
  </conditionalFormatting>
  <conditionalFormatting sqref="M45">
    <cfRule type="expression" dxfId="20464" priority="7363">
      <formula>#REF!="TO"</formula>
    </cfRule>
    <cfRule type="expression" dxfId="20463" priority="7364">
      <formula>#REF!="IO"</formula>
    </cfRule>
    <cfRule type="expression" dxfId="20462" priority="7365">
      <formula>#REF!="L"</formula>
    </cfRule>
  </conditionalFormatting>
  <conditionalFormatting sqref="M46">
    <cfRule type="expression" dxfId="20461" priority="7360">
      <formula>#REF!="TO"</formula>
    </cfRule>
    <cfRule type="expression" dxfId="20460" priority="7361">
      <formula>#REF!="IO"</formula>
    </cfRule>
    <cfRule type="expression" dxfId="20459" priority="7362">
      <formula>#REF!="L"</formula>
    </cfRule>
  </conditionalFormatting>
  <conditionalFormatting sqref="M47">
    <cfRule type="expression" dxfId="20458" priority="7357">
      <formula>#REF!="TO"</formula>
    </cfRule>
    <cfRule type="expression" dxfId="20457" priority="7358">
      <formula>#REF!="IO"</formula>
    </cfRule>
    <cfRule type="expression" dxfId="20456" priority="7359">
      <formula>#REF!="L"</formula>
    </cfRule>
  </conditionalFormatting>
  <conditionalFormatting sqref="M48">
    <cfRule type="expression" dxfId="20455" priority="7354">
      <formula>#REF!="TO"</formula>
    </cfRule>
    <cfRule type="expression" dxfId="20454" priority="7355">
      <formula>#REF!="IO"</formula>
    </cfRule>
    <cfRule type="expression" dxfId="20453" priority="7356">
      <formula>#REF!="L"</formula>
    </cfRule>
  </conditionalFormatting>
  <conditionalFormatting sqref="M49">
    <cfRule type="expression" dxfId="20452" priority="7351">
      <formula>#REF!="TO"</formula>
    </cfRule>
    <cfRule type="expression" dxfId="20451" priority="7352">
      <formula>#REF!="IO"</formula>
    </cfRule>
    <cfRule type="expression" dxfId="20450" priority="7353">
      <formula>#REF!="L"</formula>
    </cfRule>
  </conditionalFormatting>
  <conditionalFormatting sqref="M50">
    <cfRule type="expression" dxfId="20449" priority="7348">
      <formula>#REF!="TO"</formula>
    </cfRule>
    <cfRule type="expression" dxfId="20448" priority="7349">
      <formula>#REF!="IO"</formula>
    </cfRule>
    <cfRule type="expression" dxfId="20447" priority="7350">
      <formula>#REF!="L"</formula>
    </cfRule>
  </conditionalFormatting>
  <conditionalFormatting sqref="M51:M98">
    <cfRule type="expression" dxfId="20446" priority="7345">
      <formula>#REF!="TO"</formula>
    </cfRule>
    <cfRule type="expression" dxfId="20445" priority="7346">
      <formula>#REF!="IO"</formula>
    </cfRule>
    <cfRule type="expression" dxfId="20444" priority="7347">
      <formula>#REF!="L"</formula>
    </cfRule>
  </conditionalFormatting>
  <conditionalFormatting sqref="L5">
    <cfRule type="expression" dxfId="20443" priority="7330">
      <formula>#REF!="TO"</formula>
    </cfRule>
    <cfRule type="expression" dxfId="20442" priority="7331">
      <formula>#REF!="IO"</formula>
    </cfRule>
    <cfRule type="expression" dxfId="20441" priority="7332">
      <formula>#REF!="L"</formula>
    </cfRule>
  </conditionalFormatting>
  <conditionalFormatting sqref="L6">
    <cfRule type="expression" dxfId="20440" priority="7324">
      <formula>#REF!="TO"</formula>
    </cfRule>
    <cfRule type="expression" dxfId="20439" priority="7325">
      <formula>#REF!="IO"</formula>
    </cfRule>
    <cfRule type="expression" dxfId="20438" priority="7326">
      <formula>#REF!="L"</formula>
    </cfRule>
  </conditionalFormatting>
  <conditionalFormatting sqref="L7">
    <cfRule type="expression" dxfId="20437" priority="7318">
      <formula>#REF!="TO"</formula>
    </cfRule>
    <cfRule type="expression" dxfId="20436" priority="7319">
      <formula>#REF!="IO"</formula>
    </cfRule>
    <cfRule type="expression" dxfId="20435" priority="7320">
      <formula>#REF!="L"</formula>
    </cfRule>
  </conditionalFormatting>
  <conditionalFormatting sqref="L8">
    <cfRule type="expression" dxfId="20434" priority="7312">
      <formula>#REF!="TO"</formula>
    </cfRule>
    <cfRule type="expression" dxfId="20433" priority="7313">
      <formula>#REF!="IO"</formula>
    </cfRule>
    <cfRule type="expression" dxfId="20432" priority="7314">
      <formula>#REF!="L"</formula>
    </cfRule>
  </conditionalFormatting>
  <conditionalFormatting sqref="L9:L12">
    <cfRule type="expression" dxfId="20431" priority="7306">
      <formula>#REF!="TO"</formula>
    </cfRule>
    <cfRule type="expression" dxfId="20430" priority="7307">
      <formula>#REF!="IO"</formula>
    </cfRule>
    <cfRule type="expression" dxfId="20429" priority="7308">
      <formula>#REF!="L"</formula>
    </cfRule>
  </conditionalFormatting>
  <conditionalFormatting sqref="L14">
    <cfRule type="expression" dxfId="20428" priority="7294">
      <formula>#REF!="TO"</formula>
    </cfRule>
    <cfRule type="expression" dxfId="20427" priority="7295">
      <formula>#REF!="IO"</formula>
    </cfRule>
    <cfRule type="expression" dxfId="20426" priority="7296">
      <formula>#REF!="L"</formula>
    </cfRule>
  </conditionalFormatting>
  <conditionalFormatting sqref="L13">
    <cfRule type="expression" dxfId="20425" priority="7300">
      <formula>#REF!="TO"</formula>
    </cfRule>
    <cfRule type="expression" dxfId="20424" priority="7301">
      <formula>#REF!="IO"</formula>
    </cfRule>
    <cfRule type="expression" dxfId="20423" priority="7302">
      <formula>#REF!="L"</formula>
    </cfRule>
  </conditionalFormatting>
  <conditionalFormatting sqref="L15">
    <cfRule type="expression" dxfId="20422" priority="7288">
      <formula>#REF!="TO"</formula>
    </cfRule>
    <cfRule type="expression" dxfId="20421" priority="7289">
      <formula>#REF!="IO"</formula>
    </cfRule>
    <cfRule type="expression" dxfId="20420" priority="7290">
      <formula>#REF!="L"</formula>
    </cfRule>
  </conditionalFormatting>
  <conditionalFormatting sqref="L16">
    <cfRule type="expression" dxfId="20419" priority="7282">
      <formula>#REF!="TO"</formula>
    </cfRule>
    <cfRule type="expression" dxfId="20418" priority="7283">
      <formula>#REF!="IO"</formula>
    </cfRule>
    <cfRule type="expression" dxfId="20417" priority="7284">
      <formula>#REF!="L"</formula>
    </cfRule>
  </conditionalFormatting>
  <conditionalFormatting sqref="L20">
    <cfRule type="expression" dxfId="20416" priority="7258">
      <formula>#REF!="TO"</formula>
    </cfRule>
    <cfRule type="expression" dxfId="20415" priority="7259">
      <formula>#REF!="IO"</formula>
    </cfRule>
    <cfRule type="expression" dxfId="20414" priority="7260">
      <formula>#REF!="L"</formula>
    </cfRule>
  </conditionalFormatting>
  <conditionalFormatting sqref="L17">
    <cfRule type="expression" dxfId="20413" priority="7276">
      <formula>#REF!="TO"</formula>
    </cfRule>
    <cfRule type="expression" dxfId="20412" priority="7277">
      <formula>#REF!="IO"</formula>
    </cfRule>
    <cfRule type="expression" dxfId="20411" priority="7278">
      <formula>#REF!="L"</formula>
    </cfRule>
  </conditionalFormatting>
  <conditionalFormatting sqref="L18">
    <cfRule type="expression" dxfId="20410" priority="7270">
      <formula>#REF!="TO"</formula>
    </cfRule>
    <cfRule type="expression" dxfId="20409" priority="7271">
      <formula>#REF!="IO"</formula>
    </cfRule>
    <cfRule type="expression" dxfId="20408" priority="7272">
      <formula>#REF!="L"</formula>
    </cfRule>
  </conditionalFormatting>
  <conditionalFormatting sqref="L19">
    <cfRule type="expression" dxfId="20407" priority="7264">
      <formula>#REF!="TO"</formula>
    </cfRule>
    <cfRule type="expression" dxfId="20406" priority="7265">
      <formula>#REF!="IO"</formula>
    </cfRule>
    <cfRule type="expression" dxfId="20405" priority="7266">
      <formula>#REF!="L"</formula>
    </cfRule>
  </conditionalFormatting>
  <conditionalFormatting sqref="L21">
    <cfRule type="expression" dxfId="20404" priority="7252">
      <formula>#REF!="TO"</formula>
    </cfRule>
    <cfRule type="expression" dxfId="20403" priority="7253">
      <formula>#REF!="IO"</formula>
    </cfRule>
    <cfRule type="expression" dxfId="20402" priority="7254">
      <formula>#REF!="L"</formula>
    </cfRule>
  </conditionalFormatting>
  <conditionalFormatting sqref="L22">
    <cfRule type="expression" dxfId="20401" priority="7246">
      <formula>#REF!="TO"</formula>
    </cfRule>
    <cfRule type="expression" dxfId="20400" priority="7247">
      <formula>#REF!="IO"</formula>
    </cfRule>
    <cfRule type="expression" dxfId="20399" priority="7248">
      <formula>#REF!="L"</formula>
    </cfRule>
  </conditionalFormatting>
  <conditionalFormatting sqref="L2">
    <cfRule type="expression" dxfId="20398" priority="7231">
      <formula>#REF!="TO"</formula>
    </cfRule>
    <cfRule type="expression" dxfId="20397" priority="7232">
      <formula>#REF!="IO"</formula>
    </cfRule>
    <cfRule type="expression" dxfId="20396" priority="7233">
      <formula>#REF!="L"</formula>
    </cfRule>
    <cfRule type="expression" dxfId="20395" priority="14329">
      <formula>#REF!="TO"</formula>
    </cfRule>
    <cfRule type="expression" dxfId="20394" priority="14330">
      <formula>#REF!="IO"</formula>
    </cfRule>
    <cfRule type="expression" dxfId="20393" priority="14331">
      <formula>#REF!="L"</formula>
    </cfRule>
  </conditionalFormatting>
  <conditionalFormatting sqref="AO38:AO41 AO23:AO29">
    <cfRule type="expression" dxfId="20392" priority="7225">
      <formula>#REF!="TO"</formula>
    </cfRule>
    <cfRule type="expression" dxfId="20391" priority="7226">
      <formula>#REF!="IO"</formula>
    </cfRule>
    <cfRule type="expression" dxfId="20390" priority="7227">
      <formula>#REF!="L"</formula>
    </cfRule>
  </conditionalFormatting>
  <conditionalFormatting sqref="AO5">
    <cfRule type="expression" dxfId="20389" priority="7222">
      <formula>#REF!="TO"</formula>
    </cfRule>
    <cfRule type="expression" dxfId="20388" priority="7223">
      <formula>#REF!="IO"</formula>
    </cfRule>
    <cfRule type="expression" dxfId="20387" priority="7224">
      <formula>#REF!="L"</formula>
    </cfRule>
  </conditionalFormatting>
  <conditionalFormatting sqref="AO6">
    <cfRule type="expression" dxfId="20386" priority="7219">
      <formula>#REF!="TO"</formula>
    </cfRule>
    <cfRule type="expression" dxfId="20385" priority="7220">
      <formula>#REF!="IO"</formula>
    </cfRule>
    <cfRule type="expression" dxfId="20384" priority="7221">
      <formula>#REF!="L"</formula>
    </cfRule>
  </conditionalFormatting>
  <conditionalFormatting sqref="AO7">
    <cfRule type="expression" dxfId="20383" priority="7216">
      <formula>#REF!="TO"</formula>
    </cfRule>
    <cfRule type="expression" dxfId="20382" priority="7217">
      <formula>#REF!="IO"</formula>
    </cfRule>
    <cfRule type="expression" dxfId="20381" priority="7218">
      <formula>#REF!="L"</formula>
    </cfRule>
  </conditionalFormatting>
  <conditionalFormatting sqref="AO8">
    <cfRule type="expression" dxfId="20380" priority="7213">
      <formula>#REF!="TO"</formula>
    </cfRule>
    <cfRule type="expression" dxfId="20379" priority="7214">
      <formula>#REF!="IO"</formula>
    </cfRule>
    <cfRule type="expression" dxfId="20378" priority="7215">
      <formula>#REF!="L"</formula>
    </cfRule>
  </conditionalFormatting>
  <conditionalFormatting sqref="AO9:AO12">
    <cfRule type="expression" dxfId="20377" priority="7210">
      <formula>#REF!="TO"</formula>
    </cfRule>
    <cfRule type="expression" dxfId="20376" priority="7211">
      <formula>#REF!="IO"</formula>
    </cfRule>
    <cfRule type="expression" dxfId="20375" priority="7212">
      <formula>#REF!="L"</formula>
    </cfRule>
  </conditionalFormatting>
  <conditionalFormatting sqref="AO13">
    <cfRule type="expression" dxfId="20374" priority="7207">
      <formula>#REF!="TO"</formula>
    </cfRule>
    <cfRule type="expression" dxfId="20373" priority="7208">
      <formula>#REF!="IO"</formula>
    </cfRule>
    <cfRule type="expression" dxfId="20372" priority="7209">
      <formula>#REF!="L"</formula>
    </cfRule>
  </conditionalFormatting>
  <conditionalFormatting sqref="AO14">
    <cfRule type="expression" dxfId="20371" priority="7204">
      <formula>#REF!="TO"</formula>
    </cfRule>
    <cfRule type="expression" dxfId="20370" priority="7205">
      <formula>#REF!="IO"</formula>
    </cfRule>
    <cfRule type="expression" dxfId="20369" priority="7206">
      <formula>#REF!="L"</formula>
    </cfRule>
  </conditionalFormatting>
  <conditionalFormatting sqref="AO15">
    <cfRule type="expression" dxfId="20368" priority="7201">
      <formula>#REF!="TO"</formula>
    </cfRule>
    <cfRule type="expression" dxfId="20367" priority="7202">
      <formula>#REF!="IO"</formula>
    </cfRule>
    <cfRule type="expression" dxfId="20366" priority="7203">
      <formula>#REF!="L"</formula>
    </cfRule>
  </conditionalFormatting>
  <conditionalFormatting sqref="AO16">
    <cfRule type="expression" dxfId="20365" priority="7198">
      <formula>#REF!="TO"</formula>
    </cfRule>
    <cfRule type="expression" dxfId="20364" priority="7199">
      <formula>#REF!="IO"</formula>
    </cfRule>
    <cfRule type="expression" dxfId="20363" priority="7200">
      <formula>#REF!="L"</formula>
    </cfRule>
  </conditionalFormatting>
  <conditionalFormatting sqref="AO20">
    <cfRule type="expression" dxfId="20362" priority="7186">
      <formula>#REF!="TO"</formula>
    </cfRule>
    <cfRule type="expression" dxfId="20361" priority="7187">
      <formula>#REF!="IO"</formula>
    </cfRule>
    <cfRule type="expression" dxfId="20360" priority="7188">
      <formula>#REF!="L"</formula>
    </cfRule>
  </conditionalFormatting>
  <conditionalFormatting sqref="AO17">
    <cfRule type="expression" dxfId="20359" priority="7195">
      <formula>#REF!="TO"</formula>
    </cfRule>
    <cfRule type="expression" dxfId="20358" priority="7196">
      <formula>#REF!="IO"</formula>
    </cfRule>
    <cfRule type="expression" dxfId="20357" priority="7197">
      <formula>#REF!="L"</formula>
    </cfRule>
  </conditionalFormatting>
  <conditionalFormatting sqref="AO18">
    <cfRule type="expression" dxfId="20356" priority="7192">
      <formula>#REF!="TO"</formula>
    </cfRule>
    <cfRule type="expression" dxfId="20355" priority="7193">
      <formula>#REF!="IO"</formula>
    </cfRule>
    <cfRule type="expression" dxfId="20354" priority="7194">
      <formula>#REF!="L"</formula>
    </cfRule>
  </conditionalFormatting>
  <conditionalFormatting sqref="AO19">
    <cfRule type="expression" dxfId="20353" priority="7189">
      <formula>#REF!="TO"</formula>
    </cfRule>
    <cfRule type="expression" dxfId="20352" priority="7190">
      <formula>#REF!="IO"</formula>
    </cfRule>
    <cfRule type="expression" dxfId="20351" priority="7191">
      <formula>#REF!="L"</formula>
    </cfRule>
  </conditionalFormatting>
  <conditionalFormatting sqref="AO21">
    <cfRule type="expression" dxfId="20350" priority="7183">
      <formula>#REF!="TO"</formula>
    </cfRule>
    <cfRule type="expression" dxfId="20349" priority="7184">
      <formula>#REF!="IO"</formula>
    </cfRule>
    <cfRule type="expression" dxfId="20348" priority="7185">
      <formula>#REF!="L"</formula>
    </cfRule>
  </conditionalFormatting>
  <conditionalFormatting sqref="AO22">
    <cfRule type="expression" dxfId="20347" priority="7180">
      <formula>#REF!="TO"</formula>
    </cfRule>
    <cfRule type="expression" dxfId="20346" priority="7181">
      <formula>#REF!="IO"</formula>
    </cfRule>
    <cfRule type="expression" dxfId="20345" priority="7182">
      <formula>#REF!="L"</formula>
    </cfRule>
  </conditionalFormatting>
  <conditionalFormatting sqref="AO42">
    <cfRule type="expression" dxfId="20344" priority="7177">
      <formula>#REF!="TO"</formula>
    </cfRule>
    <cfRule type="expression" dxfId="20343" priority="7178">
      <formula>#REF!="IO"</formula>
    </cfRule>
    <cfRule type="expression" dxfId="20342" priority="7179">
      <formula>#REF!="L"</formula>
    </cfRule>
  </conditionalFormatting>
  <conditionalFormatting sqref="AO43">
    <cfRule type="expression" dxfId="20341" priority="7174">
      <formula>#REF!="TO"</formula>
    </cfRule>
    <cfRule type="expression" dxfId="20340" priority="7175">
      <formula>#REF!="IO"</formula>
    </cfRule>
    <cfRule type="expression" dxfId="20339" priority="7176">
      <formula>#REF!="L"</formula>
    </cfRule>
  </conditionalFormatting>
  <conditionalFormatting sqref="AO44">
    <cfRule type="expression" dxfId="20338" priority="7171">
      <formula>#REF!="TO"</formula>
    </cfRule>
    <cfRule type="expression" dxfId="20337" priority="7172">
      <formula>#REF!="IO"</formula>
    </cfRule>
    <cfRule type="expression" dxfId="20336" priority="7173">
      <formula>#REF!="L"</formula>
    </cfRule>
  </conditionalFormatting>
  <conditionalFormatting sqref="AO45">
    <cfRule type="expression" dxfId="20335" priority="7168">
      <formula>#REF!="TO"</formula>
    </cfRule>
    <cfRule type="expression" dxfId="20334" priority="7169">
      <formula>#REF!="IO"</formula>
    </cfRule>
    <cfRule type="expression" dxfId="20333" priority="7170">
      <formula>#REF!="L"</formula>
    </cfRule>
  </conditionalFormatting>
  <conditionalFormatting sqref="AO46">
    <cfRule type="expression" dxfId="20332" priority="7165">
      <formula>#REF!="TO"</formula>
    </cfRule>
    <cfRule type="expression" dxfId="20331" priority="7166">
      <formula>#REF!="IO"</formula>
    </cfRule>
    <cfRule type="expression" dxfId="20330" priority="7167">
      <formula>#REF!="L"</formula>
    </cfRule>
  </conditionalFormatting>
  <conditionalFormatting sqref="AO47">
    <cfRule type="expression" dxfId="20329" priority="7162">
      <formula>#REF!="TO"</formula>
    </cfRule>
    <cfRule type="expression" dxfId="20328" priority="7163">
      <formula>#REF!="IO"</formula>
    </cfRule>
    <cfRule type="expression" dxfId="20327" priority="7164">
      <formula>#REF!="L"</formula>
    </cfRule>
  </conditionalFormatting>
  <conditionalFormatting sqref="AO48">
    <cfRule type="expression" dxfId="20326" priority="7159">
      <formula>#REF!="TO"</formula>
    </cfRule>
    <cfRule type="expression" dxfId="20325" priority="7160">
      <formula>#REF!="IO"</formula>
    </cfRule>
    <cfRule type="expression" dxfId="20324" priority="7161">
      <formula>#REF!="L"</formula>
    </cfRule>
  </conditionalFormatting>
  <conditionalFormatting sqref="AO49">
    <cfRule type="expression" dxfId="20323" priority="7156">
      <formula>#REF!="TO"</formula>
    </cfRule>
    <cfRule type="expression" dxfId="20322" priority="7157">
      <formula>#REF!="IO"</formula>
    </cfRule>
    <cfRule type="expression" dxfId="20321" priority="7158">
      <formula>#REF!="L"</formula>
    </cfRule>
  </conditionalFormatting>
  <conditionalFormatting sqref="AO50">
    <cfRule type="expression" dxfId="20320" priority="7153">
      <formula>#REF!="TO"</formula>
    </cfRule>
    <cfRule type="expression" dxfId="20319" priority="7154">
      <formula>#REF!="IO"</formula>
    </cfRule>
    <cfRule type="expression" dxfId="20318" priority="7155">
      <formula>#REF!="L"</formula>
    </cfRule>
  </conditionalFormatting>
  <conditionalFormatting sqref="AO51:AO98">
    <cfRule type="expression" dxfId="20317" priority="7150">
      <formula>#REF!="TO"</formula>
    </cfRule>
    <cfRule type="expression" dxfId="20316" priority="7151">
      <formula>#REF!="IO"</formula>
    </cfRule>
    <cfRule type="expression" dxfId="20315" priority="7152">
      <formula>#REF!="L"</formula>
    </cfRule>
  </conditionalFormatting>
  <conditionalFormatting sqref="AK30">
    <cfRule type="expression" dxfId="20314" priority="6820">
      <formula>#REF!="TO"</formula>
    </cfRule>
    <cfRule type="expression" dxfId="20313" priority="6821">
      <formula>#REF!="IO"</formula>
    </cfRule>
    <cfRule type="expression" dxfId="20312" priority="6822">
      <formula>#REF!="L"</formula>
    </cfRule>
    <cfRule type="expression" dxfId="20311" priority="6772">
      <formula>#REF!="TO"</formula>
    </cfRule>
    <cfRule type="expression" dxfId="20310" priority="6773">
      <formula>#REF!="IO"</formula>
    </cfRule>
    <cfRule type="expression" dxfId="20309" priority="6774">
      <formula>#REF!="L"</formula>
    </cfRule>
    <cfRule type="expression" dxfId="20308" priority="6946">
      <formula>#REF!="TO"</formula>
    </cfRule>
    <cfRule type="expression" dxfId="20307" priority="6947">
      <formula>#REF!="IO"</formula>
    </cfRule>
    <cfRule type="expression" dxfId="20306" priority="6948">
      <formula>#REF!="L"</formula>
    </cfRule>
    <cfRule type="expression" dxfId="20305" priority="6895">
      <formula>#REF!="TO"</formula>
    </cfRule>
    <cfRule type="expression" dxfId="20304" priority="6896">
      <formula>#REF!="IO"</formula>
    </cfRule>
    <cfRule type="expression" dxfId="20303" priority="6897">
      <formula>#REF!="L"</formula>
    </cfRule>
  </conditionalFormatting>
  <conditionalFormatting sqref="AO28:AO29">
    <cfRule type="expression" dxfId="20302" priority="7144">
      <formula>#REF!="TO"</formula>
    </cfRule>
    <cfRule type="expression" dxfId="20301" priority="7145">
      <formula>#REF!="IO"</formula>
    </cfRule>
    <cfRule type="expression" dxfId="20300" priority="7146">
      <formula>#REF!="L"</formula>
    </cfRule>
  </conditionalFormatting>
  <conditionalFormatting sqref="AO2">
    <cfRule type="expression" dxfId="20299" priority="7141">
      <formula>#REF!="TO"</formula>
    </cfRule>
    <cfRule type="expression" dxfId="20298" priority="7142">
      <formula>#REF!="IO"</formula>
    </cfRule>
    <cfRule type="expression" dxfId="20297" priority="7143">
      <formula>#REF!="L"</formula>
    </cfRule>
  </conditionalFormatting>
  <conditionalFormatting sqref="S30">
    <cfRule type="expression" dxfId="20296" priority="6802">
      <formula>#REF!="TO"</formula>
    </cfRule>
    <cfRule type="expression" dxfId="20295" priority="6803">
      <formula>#REF!="IO"</formula>
    </cfRule>
    <cfRule type="expression" dxfId="20294" priority="6804">
      <formula>#REF!="L"</formula>
    </cfRule>
    <cfRule type="expression" dxfId="20293" priority="6925">
      <formula>#REF!="TO"</formula>
    </cfRule>
    <cfRule type="expression" dxfId="20292" priority="6926">
      <formula>#REF!="IO"</formula>
    </cfRule>
    <cfRule type="expression" dxfId="20291" priority="6927">
      <formula>#REF!="L"</formula>
    </cfRule>
  </conditionalFormatting>
  <conditionalFormatting sqref="U30">
    <cfRule type="expression" dxfId="20290" priority="6730">
      <formula>#REF!="TO"</formula>
    </cfRule>
    <cfRule type="expression" dxfId="20289" priority="6731">
      <formula>#REF!="IO"</formula>
    </cfRule>
    <cfRule type="expression" dxfId="20288" priority="6732">
      <formula>#REF!="L"</formula>
    </cfRule>
    <cfRule type="expression" dxfId="20287" priority="6727">
      <formula>#REF!="TO"</formula>
    </cfRule>
    <cfRule type="expression" dxfId="20286" priority="6728">
      <formula>#REF!="IO"</formula>
    </cfRule>
    <cfRule type="expression" dxfId="20285" priority="6729">
      <formula>#REF!="L"</formula>
    </cfRule>
    <cfRule type="expression" dxfId="20284" priority="6724">
      <formula>#REF!="TO"</formula>
    </cfRule>
    <cfRule type="expression" dxfId="20283" priority="6725">
      <formula>#REF!="IO"</formula>
    </cfRule>
    <cfRule type="expression" dxfId="20282" priority="6726">
      <formula>#REF!="L"</formula>
    </cfRule>
    <cfRule type="expression" dxfId="20281" priority="6721">
      <formula>#REF!="TO"</formula>
    </cfRule>
    <cfRule type="expression" dxfId="20280" priority="6722">
      <formula>#REF!="IO"</formula>
    </cfRule>
    <cfRule type="expression" dxfId="20279" priority="6723">
      <formula>#REF!="L"</formula>
    </cfRule>
  </conditionalFormatting>
  <conditionalFormatting sqref="G30">
    <cfRule type="expression" dxfId="20278" priority="6790">
      <formula>#REF!="TO"</formula>
    </cfRule>
    <cfRule type="expression" dxfId="20277" priority="6791">
      <formula>#REF!="IO"</formula>
    </cfRule>
    <cfRule type="expression" dxfId="20276" priority="6792">
      <formula>#REF!="L"</formula>
    </cfRule>
    <cfRule type="expression" dxfId="20275" priority="6973">
      <formula>#REF!="TO"</formula>
    </cfRule>
    <cfRule type="expression" dxfId="20274" priority="6974">
      <formula>#REF!="IO"</formula>
    </cfRule>
    <cfRule type="expression" dxfId="20273" priority="6975">
      <formula>#REF!="L"</formula>
    </cfRule>
    <cfRule type="expression" dxfId="20272" priority="6913">
      <formula>#REF!="TO"</formula>
    </cfRule>
    <cfRule type="expression" dxfId="20271" priority="6914">
      <formula>#REF!="IO"</formula>
    </cfRule>
    <cfRule type="expression" dxfId="20270" priority="6915">
      <formula>#REF!="L"</formula>
    </cfRule>
    <cfRule type="expression" dxfId="20269" priority="6847">
      <formula>#REF!="TO"</formula>
    </cfRule>
    <cfRule type="expression" dxfId="20268" priority="6848">
      <formula>#REF!="IO"</formula>
    </cfRule>
    <cfRule type="expression" dxfId="20267" priority="6849">
      <formula>#REF!="L"</formula>
    </cfRule>
  </conditionalFormatting>
  <conditionalFormatting sqref="E30">
    <cfRule type="expression" dxfId="20266" priority="6787">
      <formula>#REF!="TO"</formula>
    </cfRule>
    <cfRule type="expression" dxfId="20265" priority="6788">
      <formula>#REF!="IO"</formula>
    </cfRule>
    <cfRule type="expression" dxfId="20264" priority="6789">
      <formula>#REF!="L"</formula>
    </cfRule>
    <cfRule type="expression" dxfId="20263" priority="6967">
      <formula>#REF!="TO"</formula>
    </cfRule>
    <cfRule type="expression" dxfId="20262" priority="6968">
      <formula>#REF!="IO"</formula>
    </cfRule>
    <cfRule type="expression" dxfId="20261" priority="6969">
      <formula>#REF!="L"</formula>
    </cfRule>
    <cfRule type="expression" dxfId="20260" priority="6910">
      <formula>#REF!="TO"</formula>
    </cfRule>
    <cfRule type="expression" dxfId="20259" priority="6911">
      <formula>#REF!="IO"</formula>
    </cfRule>
    <cfRule type="expression" dxfId="20258" priority="6912">
      <formula>#REF!="L"</formula>
    </cfRule>
    <cfRule type="expression" dxfId="20257" priority="6841">
      <formula>#REF!="TO"</formula>
    </cfRule>
    <cfRule type="expression" dxfId="20256" priority="6842">
      <formula>#REF!="IO"</formula>
    </cfRule>
    <cfRule type="expression" dxfId="20255" priority="6843">
      <formula>#REF!="L"</formula>
    </cfRule>
  </conditionalFormatting>
  <conditionalFormatting sqref="N30:P30">
    <cfRule type="expression" dxfId="20254" priority="6784">
      <formula>#REF!="TO"</formula>
    </cfRule>
    <cfRule type="expression" dxfId="20253" priority="6785">
      <formula>#REF!="IO"</formula>
    </cfRule>
    <cfRule type="expression" dxfId="20252" priority="6786">
      <formula>#REF!="L"</formula>
    </cfRule>
    <cfRule type="expression" dxfId="20251" priority="6964">
      <formula>#REF!="TO"</formula>
    </cfRule>
    <cfRule type="expression" dxfId="20250" priority="6965">
      <formula>#REF!="IO"</formula>
    </cfRule>
    <cfRule type="expression" dxfId="20249" priority="6966">
      <formula>#REF!="L"</formula>
    </cfRule>
    <cfRule type="expression" dxfId="20248" priority="6907">
      <formula>#REF!="TO"</formula>
    </cfRule>
    <cfRule type="expression" dxfId="20247" priority="6908">
      <formula>#REF!="IO"</formula>
    </cfRule>
    <cfRule type="expression" dxfId="20246" priority="6909">
      <formula>#REF!="L"</formula>
    </cfRule>
    <cfRule type="expression" dxfId="20245" priority="6838">
      <formula>#REF!="TO"</formula>
    </cfRule>
    <cfRule type="expression" dxfId="20244" priority="6839">
      <formula>#REF!="IO"</formula>
    </cfRule>
    <cfRule type="expression" dxfId="20243" priority="6840">
      <formula>#REF!="L"</formula>
    </cfRule>
  </conditionalFormatting>
  <conditionalFormatting sqref="X30">
    <cfRule type="expression" dxfId="20242" priority="6781">
      <formula>#REF!="TO"</formula>
    </cfRule>
    <cfRule type="expression" dxfId="20241" priority="6782">
      <formula>#REF!="IO"</formula>
    </cfRule>
    <cfRule type="expression" dxfId="20240" priority="6783">
      <formula>#REF!="L"</formula>
    </cfRule>
    <cfRule type="expression" dxfId="20239" priority="6958">
      <formula>#REF!="TO"</formula>
    </cfRule>
    <cfRule type="expression" dxfId="20238" priority="6959">
      <formula>#REF!="IO"</formula>
    </cfRule>
    <cfRule type="expression" dxfId="20237" priority="6960">
      <formula>#REF!="L"</formula>
    </cfRule>
    <cfRule type="expression" dxfId="20236" priority="6904">
      <formula>#REF!="TO"</formula>
    </cfRule>
    <cfRule type="expression" dxfId="20235" priority="6905">
      <formula>#REF!="IO"</formula>
    </cfRule>
    <cfRule type="expression" dxfId="20234" priority="6906">
      <formula>#REF!="L"</formula>
    </cfRule>
    <cfRule type="expression" dxfId="20233" priority="6832">
      <formula>#REF!="TO"</formula>
    </cfRule>
    <cfRule type="expression" dxfId="20232" priority="6833">
      <formula>#REF!="IO"</formula>
    </cfRule>
    <cfRule type="expression" dxfId="20231" priority="6834">
      <formula>#REF!="L"</formula>
    </cfRule>
  </conditionalFormatting>
  <conditionalFormatting sqref="Y30">
    <cfRule type="expression" dxfId="20230" priority="6778">
      <formula>#REF!="TO"</formula>
    </cfRule>
    <cfRule type="expression" dxfId="20229" priority="6779">
      <formula>#REF!="IO"</formula>
    </cfRule>
    <cfRule type="expression" dxfId="20228" priority="6780">
      <formula>#REF!="L"</formula>
    </cfRule>
    <cfRule type="expression" dxfId="20227" priority="6955">
      <formula>#REF!="TO"</formula>
    </cfRule>
    <cfRule type="expression" dxfId="20226" priority="6956">
      <formula>#REF!="IO"</formula>
    </cfRule>
    <cfRule type="expression" dxfId="20225" priority="6957">
      <formula>#REF!="L"</formula>
    </cfRule>
    <cfRule type="expression" dxfId="20224" priority="6901">
      <formula>#REF!="TO"</formula>
    </cfRule>
    <cfRule type="expression" dxfId="20223" priority="6902">
      <formula>#REF!="IO"</formula>
    </cfRule>
    <cfRule type="expression" dxfId="20222" priority="6903">
      <formula>#REF!="L"</formula>
    </cfRule>
    <cfRule type="expression" dxfId="20221" priority="6829">
      <formula>#REF!="TO"</formula>
    </cfRule>
    <cfRule type="expression" dxfId="20220" priority="6830">
      <formula>#REF!="IO"</formula>
    </cfRule>
    <cfRule type="expression" dxfId="20219" priority="6831">
      <formula>#REF!="L"</formula>
    </cfRule>
  </conditionalFormatting>
  <conditionalFormatting sqref="AJ30">
    <cfRule type="expression" dxfId="20218" priority="6775">
      <formula>#REF!="TO"</formula>
    </cfRule>
    <cfRule type="expression" dxfId="20217" priority="6776">
      <formula>#REF!="IO"</formula>
    </cfRule>
    <cfRule type="expression" dxfId="20216" priority="6777">
      <formula>#REF!="L"</formula>
    </cfRule>
    <cfRule type="expression" dxfId="20215" priority="6949">
      <formula>#REF!="TO"</formula>
    </cfRule>
    <cfRule type="expression" dxfId="20214" priority="6950">
      <formula>#REF!="IO"</formula>
    </cfRule>
    <cfRule type="expression" dxfId="20213" priority="6951">
      <formula>#REF!="L"</formula>
    </cfRule>
    <cfRule type="expression" dxfId="20212" priority="6898">
      <formula>#REF!="TO"</formula>
    </cfRule>
    <cfRule type="expression" dxfId="20211" priority="6899">
      <formula>#REF!="IO"</formula>
    </cfRule>
    <cfRule type="expression" dxfId="20210" priority="6900">
      <formula>#REF!="L"</formula>
    </cfRule>
    <cfRule type="expression" dxfId="20209" priority="6823">
      <formula>#REF!="TO"</formula>
    </cfRule>
    <cfRule type="expression" dxfId="20208" priority="6824">
      <formula>#REF!="IO"</formula>
    </cfRule>
    <cfRule type="expression" dxfId="20207" priority="6825">
      <formula>#REF!="L"</formula>
    </cfRule>
  </conditionalFormatting>
  <conditionalFormatting sqref="AE30">
    <cfRule type="expression" dxfId="20206" priority="6760">
      <formula>#REF!="TO"</formula>
    </cfRule>
    <cfRule type="expression" dxfId="20205" priority="6761">
      <formula>#REF!="IO"</formula>
    </cfRule>
    <cfRule type="expression" dxfId="20204" priority="6762">
      <formula>#REF!="L"</formula>
    </cfRule>
    <cfRule type="expression" dxfId="20203" priority="6883">
      <formula>#REF!="TO"</formula>
    </cfRule>
    <cfRule type="expression" dxfId="20202" priority="6884">
      <formula>#REF!="IO"</formula>
    </cfRule>
    <cfRule type="expression" dxfId="20201" priority="6885">
      <formula>#REF!="L"</formula>
    </cfRule>
    <cfRule type="expression" dxfId="20200" priority="6886">
      <formula>E30="TO"</formula>
    </cfRule>
    <cfRule type="expression" dxfId="20199" priority="6887">
      <formula>E30="IO"</formula>
    </cfRule>
    <cfRule type="expression" dxfId="20198" priority="6888">
      <formula>E30="L"</formula>
    </cfRule>
    <cfRule type="expression" dxfId="20197" priority="6763">
      <formula>E30="TO"</formula>
    </cfRule>
    <cfRule type="expression" dxfId="20196" priority="6764">
      <formula>E30="IO"</formula>
    </cfRule>
    <cfRule type="expression" dxfId="20195" priority="6765">
      <formula>E30="L"</formula>
    </cfRule>
  </conditionalFormatting>
  <conditionalFormatting sqref="Q30">
    <cfRule type="expression" dxfId="20194" priority="6751">
      <formula>#REF!="TO"</formula>
    </cfRule>
    <cfRule type="expression" dxfId="20193" priority="6752">
      <formula>#REF!="IO"</formula>
    </cfRule>
    <cfRule type="expression" dxfId="20192" priority="6753">
      <formula>#REF!="L"</formula>
    </cfRule>
    <cfRule type="expression" dxfId="20191" priority="6874">
      <formula>#REF!="TO"</formula>
    </cfRule>
    <cfRule type="expression" dxfId="20190" priority="6875">
      <formula>#REF!="IO"</formula>
    </cfRule>
    <cfRule type="expression" dxfId="20189" priority="6876">
      <formula>#REF!="L"</formula>
    </cfRule>
  </conditionalFormatting>
  <conditionalFormatting sqref="P30">
    <cfRule type="expression" dxfId="20188" priority="6745">
      <formula>#REF!="TO"</formula>
    </cfRule>
    <cfRule type="expression" dxfId="20187" priority="6746">
      <formula>#REF!="IO"</formula>
    </cfRule>
    <cfRule type="expression" dxfId="20186" priority="6747">
      <formula>#REF!="L"</formula>
    </cfRule>
    <cfRule type="expression" dxfId="20185" priority="6868">
      <formula>#REF!="TO"</formula>
    </cfRule>
    <cfRule type="expression" dxfId="20184" priority="6869">
      <formula>#REF!="IO"</formula>
    </cfRule>
    <cfRule type="expression" dxfId="20183" priority="6870">
      <formula>#REF!="L"</formula>
    </cfRule>
  </conditionalFormatting>
  <conditionalFormatting sqref="AA30">
    <cfRule type="expression" dxfId="20182" priority="6742">
      <formula>#REF!="TO"</formula>
    </cfRule>
    <cfRule type="expression" dxfId="20181" priority="6743">
      <formula>#REF!="IO"</formula>
    </cfRule>
    <cfRule type="expression" dxfId="20180" priority="6744">
      <formula>#REF!="L"</formula>
    </cfRule>
    <cfRule type="expression" dxfId="20179" priority="6739">
      <formula>#REF!="TO"</formula>
    </cfRule>
    <cfRule type="expression" dxfId="20178" priority="6740">
      <formula>#REF!="IO"</formula>
    </cfRule>
    <cfRule type="expression" dxfId="20177" priority="6741">
      <formula>#REF!="L"</formula>
    </cfRule>
    <cfRule type="expression" dxfId="20176" priority="6862">
      <formula>#REF!="TO"</formula>
    </cfRule>
    <cfRule type="expression" dxfId="20175" priority="6863">
      <formula>#REF!="IO"</formula>
    </cfRule>
    <cfRule type="expression" dxfId="20174" priority="6864">
      <formula>#REF!="L"</formula>
    </cfRule>
    <cfRule type="expression" dxfId="20173" priority="6865">
      <formula>#REF!="TO"</formula>
    </cfRule>
    <cfRule type="expression" dxfId="20172" priority="6866">
      <formula>#REF!="IO"</formula>
    </cfRule>
    <cfRule type="expression" dxfId="20171" priority="6867">
      <formula>#REF!="L"</formula>
    </cfRule>
  </conditionalFormatting>
  <conditionalFormatting sqref="AB30:AD30">
    <cfRule type="expression" dxfId="20170" priority="6736">
      <formula>#REF!="TO"</formula>
    </cfRule>
    <cfRule type="expression" dxfId="20169" priority="6737">
      <formula>#REF!="IO"</formula>
    </cfRule>
    <cfRule type="expression" dxfId="20168" priority="6738">
      <formula>#REF!="L"</formula>
    </cfRule>
    <cfRule type="expression" dxfId="20167" priority="6733">
      <formula>#REF!="TO"</formula>
    </cfRule>
    <cfRule type="expression" dxfId="20166" priority="6734">
      <formula>#REF!="IO"</formula>
    </cfRule>
    <cfRule type="expression" dxfId="20165" priority="6735">
      <formula>#REF!="L"</formula>
    </cfRule>
    <cfRule type="expression" dxfId="20164" priority="6859">
      <formula>#REF!="TO"</formula>
    </cfRule>
    <cfRule type="expression" dxfId="20163" priority="6860">
      <formula>#REF!="IO"</formula>
    </cfRule>
    <cfRule type="expression" dxfId="20162" priority="6861">
      <formula>#REF!="L"</formula>
    </cfRule>
    <cfRule type="expression" dxfId="20161" priority="6856">
      <formula>#REF!="TO"</formula>
    </cfRule>
    <cfRule type="expression" dxfId="20160" priority="6857">
      <formula>#REF!="IO"</formula>
    </cfRule>
    <cfRule type="expression" dxfId="20159" priority="6858">
      <formula>#REF!="L"</formula>
    </cfRule>
  </conditionalFormatting>
  <conditionalFormatting sqref="C30">
    <cfRule type="expression" dxfId="20158" priority="6697">
      <formula>#REF!="TO"</formula>
    </cfRule>
    <cfRule type="expression" dxfId="20157" priority="6698">
      <formula>#REF!="IO"</formula>
    </cfRule>
    <cfRule type="expression" dxfId="20156" priority="6699">
      <formula>#REF!="L"</formula>
    </cfRule>
    <cfRule type="expression" dxfId="20155" priority="6703">
      <formula>#REF!="TO"</formula>
    </cfRule>
    <cfRule type="expression" dxfId="20154" priority="6704">
      <formula>#REF!="IO"</formula>
    </cfRule>
    <cfRule type="expression" dxfId="20153" priority="6705">
      <formula>#REF!="L"</formula>
    </cfRule>
    <cfRule type="expression" dxfId="20152" priority="6706">
      <formula>#REF!="TO"</formula>
    </cfRule>
    <cfRule type="expression" dxfId="20151" priority="6707">
      <formula>#REF!="IO"</formula>
    </cfRule>
    <cfRule type="expression" dxfId="20150" priority="6708">
      <formula>#REF!="L"</formula>
    </cfRule>
    <cfRule type="expression" dxfId="20149" priority="6700">
      <formula>#REF!="TO"</formula>
    </cfRule>
    <cfRule type="expression" dxfId="20148" priority="6701">
      <formula>#REF!="IO"</formula>
    </cfRule>
    <cfRule type="expression" dxfId="20147" priority="6702">
      <formula>#REF!="L"</formula>
    </cfRule>
  </conditionalFormatting>
  <conditionalFormatting sqref="J30">
    <cfRule type="expression" dxfId="20146" priority="6694">
      <formula>#REF!="TO"</formula>
    </cfRule>
    <cfRule type="expression" dxfId="20145" priority="6695">
      <formula>#REF!="IO"</formula>
    </cfRule>
    <cfRule type="expression" dxfId="20144" priority="6696">
      <formula>#REF!="L"</formula>
    </cfRule>
    <cfRule type="expression" dxfId="20143" priority="6691">
      <formula>#REF!="TO"</formula>
    </cfRule>
    <cfRule type="expression" dxfId="20142" priority="6692">
      <formula>#REF!="IO"</formula>
    </cfRule>
    <cfRule type="expression" dxfId="20141" priority="6693">
      <formula>#REF!="L"</formula>
    </cfRule>
    <cfRule type="expression" dxfId="20140" priority="6688">
      <formula>#REF!="TO"</formula>
    </cfRule>
    <cfRule type="expression" dxfId="20139" priority="6689">
      <formula>#REF!="IO"</formula>
    </cfRule>
    <cfRule type="expression" dxfId="20138" priority="6690">
      <formula>#REF!="L"</formula>
    </cfRule>
    <cfRule type="expression" dxfId="20137" priority="6685">
      <formula>#REF!="TO"</formula>
    </cfRule>
    <cfRule type="expression" dxfId="20136" priority="6686">
      <formula>#REF!="IO"</formula>
    </cfRule>
    <cfRule type="expression" dxfId="20135" priority="6687">
      <formula>#REF!="L"</formula>
    </cfRule>
  </conditionalFormatting>
  <conditionalFormatting sqref="I30">
    <cfRule type="expression" dxfId="20134" priority="6682">
      <formula>#REF!="TO"</formula>
    </cfRule>
    <cfRule type="expression" dxfId="20133" priority="6683">
      <formula>#REF!="IO"</formula>
    </cfRule>
    <cfRule type="expression" dxfId="20132" priority="6684">
      <formula>#REF!="L"</formula>
    </cfRule>
    <cfRule type="expression" dxfId="20131" priority="6679">
      <formula>#REF!="TO"</formula>
    </cfRule>
    <cfRule type="expression" dxfId="20130" priority="6680">
      <formula>#REF!="IO"</formula>
    </cfRule>
    <cfRule type="expression" dxfId="20129" priority="6681">
      <formula>#REF!="L"</formula>
    </cfRule>
    <cfRule type="expression" dxfId="20128" priority="6676">
      <formula>#REF!="TO"</formula>
    </cfRule>
    <cfRule type="expression" dxfId="20127" priority="6677">
      <formula>#REF!="IO"</formula>
    </cfRule>
    <cfRule type="expression" dxfId="20126" priority="6678">
      <formula>#REF!="L"</formula>
    </cfRule>
    <cfRule type="expression" dxfId="20125" priority="6673">
      <formula>#REF!="TO"</formula>
    </cfRule>
    <cfRule type="expression" dxfId="20124" priority="6674">
      <formula>#REF!="IO"</formula>
    </cfRule>
    <cfRule type="expression" dxfId="20123" priority="6675">
      <formula>#REF!="L"</formula>
    </cfRule>
  </conditionalFormatting>
  <conditionalFormatting sqref="AD30">
    <cfRule type="expression" dxfId="20122" priority="6670">
      <formula>#REF!="TO"</formula>
    </cfRule>
    <cfRule type="expression" dxfId="20121" priority="6671">
      <formula>#REF!="IO"</formula>
    </cfRule>
    <cfRule type="expression" dxfId="20120" priority="6672">
      <formula>#REF!="L"</formula>
    </cfRule>
    <cfRule type="expression" dxfId="20119" priority="6667">
      <formula>#REF!="TO"</formula>
    </cfRule>
    <cfRule type="expression" dxfId="20118" priority="6668">
      <formula>#REF!="IO"</formula>
    </cfRule>
    <cfRule type="expression" dxfId="20117" priority="6669">
      <formula>#REF!="L"</formula>
    </cfRule>
    <cfRule type="expression" dxfId="20116" priority="6664">
      <formula>#REF!="TO"</formula>
    </cfRule>
    <cfRule type="expression" dxfId="20115" priority="6665">
      <formula>#REF!="IO"</formula>
    </cfRule>
    <cfRule type="expression" dxfId="20114" priority="6666">
      <formula>#REF!="L"</formula>
    </cfRule>
    <cfRule type="expression" dxfId="20113" priority="6661">
      <formula>#REF!="TO"</formula>
    </cfRule>
    <cfRule type="expression" dxfId="20112" priority="6662">
      <formula>#REF!="IO"</formula>
    </cfRule>
    <cfRule type="expression" dxfId="20111" priority="6663">
      <formula>#REF!="L"</formula>
    </cfRule>
  </conditionalFormatting>
  <conditionalFormatting sqref="AR30">
    <cfRule type="expression" dxfId="20110" priority="6808">
      <formula>#REF!="TO"</formula>
    </cfRule>
    <cfRule type="expression" dxfId="20109" priority="6809">
      <formula>#REF!="IO"</formula>
    </cfRule>
    <cfRule type="expression" dxfId="20108" priority="6810">
      <formula>#REF!="L"</formula>
    </cfRule>
    <cfRule type="expression" dxfId="20107" priority="6934">
      <formula>#REF!="TO"</formula>
    </cfRule>
    <cfRule type="expression" dxfId="20106" priority="6935">
      <formula>#REF!="IO"</formula>
    </cfRule>
    <cfRule type="expression" dxfId="20105" priority="6936">
      <formula>#REF!="L"</formula>
    </cfRule>
  </conditionalFormatting>
  <conditionalFormatting sqref="AQ30">
    <cfRule type="expression" dxfId="20104" priority="6811">
      <formula>#REF!="TO"</formula>
    </cfRule>
    <cfRule type="expression" dxfId="20103" priority="6812">
      <formula>#REF!="IO"</formula>
    </cfRule>
    <cfRule type="expression" dxfId="20102" priority="6813">
      <formula>#REF!="L"</formula>
    </cfRule>
    <cfRule type="expression" dxfId="20101" priority="6940">
      <formula>#REF!="TO"</formula>
    </cfRule>
    <cfRule type="expression" dxfId="20100" priority="6941">
      <formula>#REF!="IO"</formula>
    </cfRule>
    <cfRule type="expression" dxfId="20099" priority="6942">
      <formula>#REF!="L"</formula>
    </cfRule>
    <cfRule type="expression" dxfId="20098" priority="6937">
      <formula>#REF!="TO"</formula>
    </cfRule>
    <cfRule type="expression" dxfId="20097" priority="6938">
      <formula>#REF!="IO"</formula>
    </cfRule>
    <cfRule type="expression" dxfId="20096" priority="6939">
      <formula>#REF!="L"</formula>
    </cfRule>
    <cfRule type="expression" dxfId="20095" priority="6814">
      <formula>#REF!="TO"</formula>
    </cfRule>
    <cfRule type="expression" dxfId="20094" priority="6815">
      <formula>#REF!="IO"</formula>
    </cfRule>
    <cfRule type="expression" dxfId="20093" priority="6816">
      <formula>#REF!="L"</formula>
    </cfRule>
  </conditionalFormatting>
  <conditionalFormatting sqref="AO30">
    <cfRule type="expression" dxfId="20092" priority="6658">
      <formula>#REF!="TO"</formula>
    </cfRule>
    <cfRule type="expression" dxfId="20091" priority="6659">
      <formula>#REF!="IO"</formula>
    </cfRule>
    <cfRule type="expression" dxfId="20090" priority="6660">
      <formula>#REF!="L"</formula>
    </cfRule>
    <cfRule type="expression" dxfId="20089" priority="6655">
      <formula>#REF!="TO"</formula>
    </cfRule>
    <cfRule type="expression" dxfId="20088" priority="6656">
      <formula>#REF!="IO"</formula>
    </cfRule>
    <cfRule type="expression" dxfId="20087" priority="6657">
      <formula>#REF!="L"</formula>
    </cfRule>
  </conditionalFormatting>
  <conditionalFormatting sqref="S30 O30:P30 H30">
    <cfRule type="expression" dxfId="20086" priority="6931">
      <formula>#REF!="TO"</formula>
    </cfRule>
    <cfRule type="expression" dxfId="20085" priority="6932">
      <formula>#REF!="IO"</formula>
    </cfRule>
    <cfRule type="expression" dxfId="20084" priority="6933">
      <formula>#REF!="L"</formula>
    </cfRule>
  </conditionalFormatting>
  <conditionalFormatting sqref="A30">
    <cfRule type="expression" dxfId="20083" priority="6979">
      <formula>#REF!="TO"</formula>
    </cfRule>
    <cfRule type="expression" dxfId="20082" priority="6980">
      <formula>#REF!="IO"</formula>
    </cfRule>
    <cfRule type="expression" dxfId="20081" priority="6981">
      <formula>#REF!="L"</formula>
    </cfRule>
    <cfRule type="expression" dxfId="20080" priority="6853">
      <formula>#REF!="TO"</formula>
    </cfRule>
    <cfRule type="expression" dxfId="20079" priority="6854">
      <formula>#REF!="IO"</formula>
    </cfRule>
    <cfRule type="expression" dxfId="20078" priority="6855">
      <formula>#REF!="L"</formula>
    </cfRule>
  </conditionalFormatting>
  <conditionalFormatting sqref="B30">
    <cfRule type="expression" dxfId="20077" priority="6976">
      <formula>#REF!="TO"</formula>
    </cfRule>
    <cfRule type="expression" dxfId="20076" priority="6977">
      <formula>#REF!="IO"</formula>
    </cfRule>
    <cfRule type="expression" dxfId="20075" priority="6978">
      <formula>#REF!="L"</formula>
    </cfRule>
    <cfRule type="expression" dxfId="20074" priority="6916">
      <formula>#REF!="TO"</formula>
    </cfRule>
    <cfRule type="expression" dxfId="20073" priority="6917">
      <formula>#REF!="IO"</formula>
    </cfRule>
    <cfRule type="expression" dxfId="20072" priority="6918">
      <formula>#REF!="L"</formula>
    </cfRule>
    <cfRule type="expression" dxfId="20071" priority="6850">
      <formula>#REF!="TO"</formula>
    </cfRule>
    <cfRule type="expression" dxfId="20070" priority="6851">
      <formula>#REF!="IO"</formula>
    </cfRule>
    <cfRule type="expression" dxfId="20069" priority="6852">
      <formula>#REF!="L"</formula>
    </cfRule>
    <cfRule type="expression" dxfId="20068" priority="6793">
      <formula>#REF!="TO"</formula>
    </cfRule>
    <cfRule type="expression" dxfId="20067" priority="6794">
      <formula>#REF!="IO"</formula>
    </cfRule>
    <cfRule type="expression" dxfId="20066" priority="6795">
      <formula>#REF!="L"</formula>
    </cfRule>
  </conditionalFormatting>
  <conditionalFormatting sqref="K30">
    <cfRule type="expression" dxfId="20065" priority="6970">
      <formula>#REF!="TO"</formula>
    </cfRule>
    <cfRule type="expression" dxfId="20064" priority="6971">
      <formula>#REF!="IO"</formula>
    </cfRule>
    <cfRule type="expression" dxfId="20063" priority="6972">
      <formula>#REF!="L"</formula>
    </cfRule>
    <cfRule type="expression" dxfId="20062" priority="6844">
      <formula>#REF!="TO"</formula>
    </cfRule>
    <cfRule type="expression" dxfId="20061" priority="6845">
      <formula>#REF!="IO"</formula>
    </cfRule>
    <cfRule type="expression" dxfId="20060" priority="6846">
      <formula>#REF!="L"</formula>
    </cfRule>
  </conditionalFormatting>
  <conditionalFormatting sqref="V30">
    <cfRule type="expression" dxfId="20059" priority="6961">
      <formula>#REF!="TO"</formula>
    </cfRule>
    <cfRule type="expression" dxfId="20058" priority="6962">
      <formula>#REF!="IO"</formula>
    </cfRule>
    <cfRule type="expression" dxfId="20057" priority="6963">
      <formula>#REF!="L"</formula>
    </cfRule>
    <cfRule type="expression" dxfId="20056" priority="6835">
      <formula>#REF!="TO"</formula>
    </cfRule>
    <cfRule type="expression" dxfId="20055" priority="6836">
      <formula>#REF!="IO"</formula>
    </cfRule>
    <cfRule type="expression" dxfId="20054" priority="6837">
      <formula>#REF!="L"</formula>
    </cfRule>
  </conditionalFormatting>
  <conditionalFormatting sqref="AH30">
    <cfRule type="expression" dxfId="20053" priority="6952">
      <formula>#REF!="TO"</formula>
    </cfRule>
    <cfRule type="expression" dxfId="20052" priority="6953">
      <formula>#REF!="IO"</formula>
    </cfRule>
    <cfRule type="expression" dxfId="20051" priority="6954">
      <formula>#REF!="L"</formula>
    </cfRule>
    <cfRule type="expression" dxfId="20050" priority="6826">
      <formula>#REF!="TO"</formula>
    </cfRule>
    <cfRule type="expression" dxfId="20049" priority="6827">
      <formula>#REF!="IO"</formula>
    </cfRule>
    <cfRule type="expression" dxfId="20048" priority="6828">
      <formula>#REF!="L"</formula>
    </cfRule>
  </conditionalFormatting>
  <conditionalFormatting sqref="AM30">
    <cfRule type="expression" dxfId="20047" priority="6943">
      <formula>#REF!="TO"</formula>
    </cfRule>
    <cfRule type="expression" dxfId="20046" priority="6944">
      <formula>#REF!="IO"</formula>
    </cfRule>
    <cfRule type="expression" dxfId="20045" priority="6945">
      <formula>#REF!="L"</formula>
    </cfRule>
    <cfRule type="expression" dxfId="20044" priority="6817">
      <formula>#REF!="TO"</formula>
    </cfRule>
    <cfRule type="expression" dxfId="20043" priority="6818">
      <formula>#REF!="IO"</formula>
    </cfRule>
    <cfRule type="expression" dxfId="20042" priority="6819">
      <formula>#REF!="L"</formula>
    </cfRule>
  </conditionalFormatting>
  <conditionalFormatting sqref="O30:P30">
    <cfRule type="expression" dxfId="20041" priority="6928">
      <formula>#REF!="TO"</formula>
    </cfRule>
    <cfRule type="expression" dxfId="20040" priority="6929">
      <formula>#REF!="IO"</formula>
    </cfRule>
    <cfRule type="expression" dxfId="20039" priority="6930">
      <formula>#REF!="L"</formula>
    </cfRule>
    <cfRule type="expression" dxfId="20038" priority="6805">
      <formula>#REF!="TO"</formula>
    </cfRule>
    <cfRule type="expression" dxfId="20037" priority="6806">
      <formula>#REF!="IO"</formula>
    </cfRule>
    <cfRule type="expression" dxfId="20036" priority="6807">
      <formula>#REF!="L"</formula>
    </cfRule>
  </conditionalFormatting>
  <conditionalFormatting sqref="AT30">
    <cfRule type="expression" dxfId="20035" priority="6922">
      <formula>#REF!="TO"</formula>
    </cfRule>
    <cfRule type="expression" dxfId="20034" priority="6923">
      <formula>#REF!="IO"</formula>
    </cfRule>
    <cfRule type="expression" dxfId="20033" priority="6924">
      <formula>#REF!="L"</formula>
    </cfRule>
    <cfRule type="expression" dxfId="20032" priority="6799">
      <formula>#REF!="TO"</formula>
    </cfRule>
    <cfRule type="expression" dxfId="20031" priority="6800">
      <formula>#REF!="IO"</formula>
    </cfRule>
    <cfRule type="expression" dxfId="20030" priority="6801">
      <formula>#REF!="L"</formula>
    </cfRule>
  </conditionalFormatting>
  <conditionalFormatting sqref="AF30">
    <cfRule type="expression" dxfId="20029" priority="6919">
      <formula>#REF!="TO"</formula>
    </cfRule>
    <cfRule type="expression" dxfId="20028" priority="6920">
      <formula>#REF!="IO"</formula>
    </cfRule>
    <cfRule type="expression" dxfId="20027" priority="6921">
      <formula>#REF!="L"</formula>
    </cfRule>
    <cfRule type="expression" dxfId="20026" priority="6880">
      <formula>#REF!="TO"</formula>
    </cfRule>
    <cfRule type="expression" dxfId="20025" priority="6881">
      <formula>#REF!="IO"</formula>
    </cfRule>
    <cfRule type="expression" dxfId="20024" priority="6882">
      <formula>#REF!="L"</formula>
    </cfRule>
    <cfRule type="expression" dxfId="20023" priority="6796">
      <formula>#REF!="TO"</formula>
    </cfRule>
    <cfRule type="expression" dxfId="20022" priority="6797">
      <formula>#REF!="IO"</formula>
    </cfRule>
    <cfRule type="expression" dxfId="20021" priority="6798">
      <formula>#REF!="L"</formula>
    </cfRule>
    <cfRule type="expression" dxfId="20020" priority="6757">
      <formula>#REF!="TO"</formula>
    </cfRule>
    <cfRule type="expression" dxfId="20019" priority="6758">
      <formula>#REF!="IO"</formula>
    </cfRule>
    <cfRule type="expression" dxfId="20018" priority="6759">
      <formula>#REF!="L"</formula>
    </cfRule>
  </conditionalFormatting>
  <conditionalFormatting sqref="Z30">
    <cfRule type="expression" dxfId="20017" priority="6889">
      <formula>#REF!="TO"</formula>
    </cfRule>
    <cfRule type="expression" dxfId="20016" priority="6890">
      <formula>#REF!="IO"</formula>
    </cfRule>
    <cfRule type="expression" dxfId="20015" priority="6891">
      <formula>#REF!="L"</formula>
    </cfRule>
    <cfRule type="expression" dxfId="20014" priority="6892">
      <formula>H30="TO"</formula>
    </cfRule>
    <cfRule type="expression" dxfId="20013" priority="6893">
      <formula>H30="IO"</formula>
    </cfRule>
    <cfRule type="expression" dxfId="20012" priority="6894">
      <formula>H30="L"</formula>
    </cfRule>
    <cfRule type="expression" dxfId="20011" priority="6766">
      <formula>#REF!="TO"</formula>
    </cfRule>
    <cfRule type="expression" dxfId="20010" priority="6767">
      <formula>#REF!="IO"</formula>
    </cfRule>
    <cfRule type="expression" dxfId="20009" priority="6768">
      <formula>#REF!="L"</formula>
    </cfRule>
    <cfRule type="expression" dxfId="20008" priority="6769">
      <formula>H30="TO"</formula>
    </cfRule>
    <cfRule type="expression" dxfId="20007" priority="6770">
      <formula>H30="IO"</formula>
    </cfRule>
    <cfRule type="expression" dxfId="20006" priority="6771">
      <formula>H30="L"</formula>
    </cfRule>
  </conditionalFormatting>
  <conditionalFormatting sqref="M30">
    <cfRule type="expression" dxfId="20005" priority="6877">
      <formula>#REF!="TO"</formula>
    </cfRule>
    <cfRule type="expression" dxfId="20004" priority="6878">
      <formula>#REF!="IO"</formula>
    </cfRule>
    <cfRule type="expression" dxfId="20003" priority="6879">
      <formula>#REF!="L"</formula>
    </cfRule>
    <cfRule type="expression" dxfId="20002" priority="6754">
      <formula>#REF!="TO"</formula>
    </cfRule>
    <cfRule type="expression" dxfId="20001" priority="6755">
      <formula>#REF!="IO"</formula>
    </cfRule>
    <cfRule type="expression" dxfId="20000" priority="6756">
      <formula>#REF!="L"</formula>
    </cfRule>
  </conditionalFormatting>
  <conditionalFormatting sqref="R30">
    <cfRule type="expression" dxfId="19999" priority="6871">
      <formula>#REF!="TO"</formula>
    </cfRule>
    <cfRule type="expression" dxfId="19998" priority="6872">
      <formula>#REF!="IO"</formula>
    </cfRule>
    <cfRule type="expression" dxfId="19997" priority="6873">
      <formula>#REF!="L"</formula>
    </cfRule>
    <cfRule type="expression" dxfId="19996" priority="6748">
      <formula>#REF!="TO"</formula>
    </cfRule>
    <cfRule type="expression" dxfId="19995" priority="6749">
      <formula>#REF!="IO"</formula>
    </cfRule>
    <cfRule type="expression" dxfId="19994" priority="6750">
      <formula>#REF!="L"</formula>
    </cfRule>
  </conditionalFormatting>
  <conditionalFormatting sqref="T30">
    <cfRule type="expression" dxfId="19993" priority="6718">
      <formula>#REF!="TO"</formula>
    </cfRule>
    <cfRule type="expression" dxfId="19992" priority="6719">
      <formula>#REF!="IO"</formula>
    </cfRule>
    <cfRule type="expression" dxfId="19991" priority="6720">
      <formula>#REF!="L"</formula>
    </cfRule>
    <cfRule type="expression" dxfId="19990" priority="6715">
      <formula>#REF!="TO"</formula>
    </cfRule>
    <cfRule type="expression" dxfId="19989" priority="6716">
      <formula>#REF!="IO"</formula>
    </cfRule>
    <cfRule type="expression" dxfId="19988" priority="6717">
      <formula>#REF!="L"</formula>
    </cfRule>
    <cfRule type="expression" dxfId="19987" priority="6712">
      <formula>#REF!="TO"</formula>
    </cfRule>
    <cfRule type="expression" dxfId="19986" priority="6713">
      <formula>#REF!="IO"</formula>
    </cfRule>
    <cfRule type="expression" dxfId="19985" priority="6714">
      <formula>#REF!="L"</formula>
    </cfRule>
    <cfRule type="expression" dxfId="19984" priority="6709">
      <formula>#REF!="TO"</formula>
    </cfRule>
    <cfRule type="expression" dxfId="19983" priority="6710">
      <formula>#REF!="IO"</formula>
    </cfRule>
    <cfRule type="expression" dxfId="19982" priority="6711">
      <formula>#REF!="L"</formula>
    </cfRule>
  </conditionalFormatting>
  <conditionalFormatting sqref="S31">
    <cfRule type="expression" dxfId="19981" priority="6316">
      <formula>#REF!="TO"</formula>
    </cfRule>
    <cfRule type="expression" dxfId="19980" priority="6317">
      <formula>#REF!="IO"</formula>
    </cfRule>
    <cfRule type="expression" dxfId="19979" priority="6318">
      <formula>#REF!="L"</formula>
    </cfRule>
    <cfRule type="expression" dxfId="19978" priority="6439">
      <formula>#REF!="TO"</formula>
    </cfRule>
    <cfRule type="expression" dxfId="19977" priority="6440">
      <formula>#REF!="IO"</formula>
    </cfRule>
    <cfRule type="expression" dxfId="19976" priority="6441">
      <formula>#REF!="L"</formula>
    </cfRule>
  </conditionalFormatting>
  <conditionalFormatting sqref="B31">
    <cfRule type="expression" dxfId="19975" priority="6307">
      <formula>#REF!="TO"</formula>
    </cfRule>
    <cfRule type="expression" dxfId="19974" priority="6308">
      <formula>#REF!="IO"</formula>
    </cfRule>
    <cfRule type="expression" dxfId="19973" priority="6309">
      <formula>#REF!="L"</formula>
    </cfRule>
    <cfRule type="expression" dxfId="19972" priority="6490">
      <formula>#REF!="TO"</formula>
    </cfRule>
    <cfRule type="expression" dxfId="19971" priority="6491">
      <formula>#REF!="IO"</formula>
    </cfRule>
    <cfRule type="expression" dxfId="19970" priority="6492">
      <formula>#REF!="L"</formula>
    </cfRule>
    <cfRule type="expression" dxfId="19969" priority="6430">
      <formula>#REF!="TO"</formula>
    </cfRule>
    <cfRule type="expression" dxfId="19968" priority="6431">
      <formula>#REF!="IO"</formula>
    </cfRule>
    <cfRule type="expression" dxfId="19967" priority="6432">
      <formula>#REF!="L"</formula>
    </cfRule>
    <cfRule type="expression" dxfId="19966" priority="6364">
      <formula>#REF!="TO"</formula>
    </cfRule>
    <cfRule type="expression" dxfId="19965" priority="6365">
      <formula>#REF!="IO"</formula>
    </cfRule>
    <cfRule type="expression" dxfId="19964" priority="6366">
      <formula>#REF!="L"</formula>
    </cfRule>
  </conditionalFormatting>
  <conditionalFormatting sqref="U31">
    <cfRule type="expression" dxfId="19963" priority="6244">
      <formula>#REF!="TO"</formula>
    </cfRule>
    <cfRule type="expression" dxfId="19962" priority="6245">
      <formula>#REF!="IO"</formula>
    </cfRule>
    <cfRule type="expression" dxfId="19961" priority="6246">
      <formula>#REF!="L"</formula>
    </cfRule>
    <cfRule type="expression" dxfId="19960" priority="6241">
      <formula>#REF!="TO"</formula>
    </cfRule>
    <cfRule type="expression" dxfId="19959" priority="6242">
      <formula>#REF!="IO"</formula>
    </cfRule>
    <cfRule type="expression" dxfId="19958" priority="6243">
      <formula>#REF!="L"</formula>
    </cfRule>
    <cfRule type="expression" dxfId="19957" priority="6238">
      <formula>#REF!="TO"</formula>
    </cfRule>
    <cfRule type="expression" dxfId="19956" priority="6239">
      <formula>#REF!="IO"</formula>
    </cfRule>
    <cfRule type="expression" dxfId="19955" priority="6240">
      <formula>#REF!="L"</formula>
    </cfRule>
    <cfRule type="expression" dxfId="19954" priority="6235">
      <formula>#REF!="TO"</formula>
    </cfRule>
    <cfRule type="expression" dxfId="19953" priority="6236">
      <formula>#REF!="IO"</formula>
    </cfRule>
    <cfRule type="expression" dxfId="19952" priority="6237">
      <formula>#REF!="L"</formula>
    </cfRule>
  </conditionalFormatting>
  <conditionalFormatting sqref="G31">
    <cfRule type="expression" dxfId="19951" priority="6304">
      <formula>#REF!="TO"</formula>
    </cfRule>
    <cfRule type="expression" dxfId="19950" priority="6305">
      <formula>#REF!="IO"</formula>
    </cfRule>
    <cfRule type="expression" dxfId="19949" priority="6306">
      <formula>#REF!="L"</formula>
    </cfRule>
    <cfRule type="expression" dxfId="19948" priority="6487">
      <formula>#REF!="TO"</formula>
    </cfRule>
    <cfRule type="expression" dxfId="19947" priority="6488">
      <formula>#REF!="IO"</formula>
    </cfRule>
    <cfRule type="expression" dxfId="19946" priority="6489">
      <formula>#REF!="L"</formula>
    </cfRule>
    <cfRule type="expression" dxfId="19945" priority="6427">
      <formula>#REF!="TO"</formula>
    </cfRule>
    <cfRule type="expression" dxfId="19944" priority="6428">
      <formula>#REF!="IO"</formula>
    </cfRule>
    <cfRule type="expression" dxfId="19943" priority="6429">
      <formula>#REF!="L"</formula>
    </cfRule>
    <cfRule type="expression" dxfId="19942" priority="6361">
      <formula>#REF!="TO"</formula>
    </cfRule>
    <cfRule type="expression" dxfId="19941" priority="6362">
      <formula>#REF!="IO"</formula>
    </cfRule>
    <cfRule type="expression" dxfId="19940" priority="6363">
      <formula>#REF!="L"</formula>
    </cfRule>
  </conditionalFormatting>
  <conditionalFormatting sqref="E31">
    <cfRule type="expression" dxfId="19939" priority="6301">
      <formula>#REF!="TO"</formula>
    </cfRule>
    <cfRule type="expression" dxfId="19938" priority="6302">
      <formula>#REF!="IO"</formula>
    </cfRule>
    <cfRule type="expression" dxfId="19937" priority="6303">
      <formula>#REF!="L"</formula>
    </cfRule>
    <cfRule type="expression" dxfId="19936" priority="6481">
      <formula>#REF!="TO"</formula>
    </cfRule>
    <cfRule type="expression" dxfId="19935" priority="6482">
      <formula>#REF!="IO"</formula>
    </cfRule>
    <cfRule type="expression" dxfId="19934" priority="6483">
      <formula>#REF!="L"</formula>
    </cfRule>
    <cfRule type="expression" dxfId="19933" priority="6424">
      <formula>#REF!="TO"</formula>
    </cfRule>
    <cfRule type="expression" dxfId="19932" priority="6425">
      <formula>#REF!="IO"</formula>
    </cfRule>
    <cfRule type="expression" dxfId="19931" priority="6426">
      <formula>#REF!="L"</formula>
    </cfRule>
    <cfRule type="expression" dxfId="19930" priority="6355">
      <formula>#REF!="TO"</formula>
    </cfRule>
    <cfRule type="expression" dxfId="19929" priority="6356">
      <formula>#REF!="IO"</formula>
    </cfRule>
    <cfRule type="expression" dxfId="19928" priority="6357">
      <formula>#REF!="L"</formula>
    </cfRule>
  </conditionalFormatting>
  <conditionalFormatting sqref="N31:P31">
    <cfRule type="expression" dxfId="19927" priority="6298">
      <formula>#REF!="TO"</formula>
    </cfRule>
    <cfRule type="expression" dxfId="19926" priority="6299">
      <formula>#REF!="IO"</formula>
    </cfRule>
    <cfRule type="expression" dxfId="19925" priority="6300">
      <formula>#REF!="L"</formula>
    </cfRule>
    <cfRule type="expression" dxfId="19924" priority="6478">
      <formula>#REF!="TO"</formula>
    </cfRule>
    <cfRule type="expression" dxfId="19923" priority="6479">
      <formula>#REF!="IO"</formula>
    </cfRule>
    <cfRule type="expression" dxfId="19922" priority="6480">
      <formula>#REF!="L"</formula>
    </cfRule>
    <cfRule type="expression" dxfId="19921" priority="6421">
      <formula>#REF!="TO"</formula>
    </cfRule>
    <cfRule type="expression" dxfId="19920" priority="6422">
      <formula>#REF!="IO"</formula>
    </cfRule>
    <cfRule type="expression" dxfId="19919" priority="6423">
      <formula>#REF!="L"</formula>
    </cfRule>
    <cfRule type="expression" dxfId="19918" priority="6352">
      <formula>#REF!="TO"</formula>
    </cfRule>
    <cfRule type="expression" dxfId="19917" priority="6353">
      <formula>#REF!="IO"</formula>
    </cfRule>
    <cfRule type="expression" dxfId="19916" priority="6354">
      <formula>#REF!="L"</formula>
    </cfRule>
  </conditionalFormatting>
  <conditionalFormatting sqref="X31">
    <cfRule type="expression" dxfId="19915" priority="6295">
      <formula>#REF!="TO"</formula>
    </cfRule>
    <cfRule type="expression" dxfId="19914" priority="6296">
      <formula>#REF!="IO"</formula>
    </cfRule>
    <cfRule type="expression" dxfId="19913" priority="6297">
      <formula>#REF!="L"</formula>
    </cfRule>
    <cfRule type="expression" dxfId="19912" priority="6472">
      <formula>#REF!="TO"</formula>
    </cfRule>
    <cfRule type="expression" dxfId="19911" priority="6473">
      <formula>#REF!="IO"</formula>
    </cfRule>
    <cfRule type="expression" dxfId="19910" priority="6474">
      <formula>#REF!="L"</formula>
    </cfRule>
    <cfRule type="expression" dxfId="19909" priority="6418">
      <formula>#REF!="TO"</formula>
    </cfRule>
    <cfRule type="expression" dxfId="19908" priority="6419">
      <formula>#REF!="IO"</formula>
    </cfRule>
    <cfRule type="expression" dxfId="19907" priority="6420">
      <formula>#REF!="L"</formula>
    </cfRule>
    <cfRule type="expression" dxfId="19906" priority="6346">
      <formula>#REF!="TO"</formula>
    </cfRule>
    <cfRule type="expression" dxfId="19905" priority="6347">
      <formula>#REF!="IO"</formula>
    </cfRule>
    <cfRule type="expression" dxfId="19904" priority="6348">
      <formula>#REF!="L"</formula>
    </cfRule>
  </conditionalFormatting>
  <conditionalFormatting sqref="Y31">
    <cfRule type="expression" dxfId="19903" priority="6292">
      <formula>#REF!="TO"</formula>
    </cfRule>
    <cfRule type="expression" dxfId="19902" priority="6293">
      <formula>#REF!="IO"</formula>
    </cfRule>
    <cfRule type="expression" dxfId="19901" priority="6294">
      <formula>#REF!="L"</formula>
    </cfRule>
    <cfRule type="expression" dxfId="19900" priority="6469">
      <formula>#REF!="TO"</formula>
    </cfRule>
    <cfRule type="expression" dxfId="19899" priority="6470">
      <formula>#REF!="IO"</formula>
    </cfRule>
    <cfRule type="expression" dxfId="19898" priority="6471">
      <formula>#REF!="L"</formula>
    </cfRule>
    <cfRule type="expression" dxfId="19897" priority="6415">
      <formula>#REF!="TO"</formula>
    </cfRule>
    <cfRule type="expression" dxfId="19896" priority="6416">
      <formula>#REF!="IO"</formula>
    </cfRule>
    <cfRule type="expression" dxfId="19895" priority="6417">
      <formula>#REF!="L"</formula>
    </cfRule>
    <cfRule type="expression" dxfId="19894" priority="6343">
      <formula>#REF!="TO"</formula>
    </cfRule>
    <cfRule type="expression" dxfId="19893" priority="6344">
      <formula>#REF!="IO"</formula>
    </cfRule>
    <cfRule type="expression" dxfId="19892" priority="6345">
      <formula>#REF!="L"</formula>
    </cfRule>
  </conditionalFormatting>
  <conditionalFormatting sqref="AJ31">
    <cfRule type="expression" dxfId="19891" priority="6289">
      <formula>#REF!="TO"</formula>
    </cfRule>
    <cfRule type="expression" dxfId="19890" priority="6290">
      <formula>#REF!="IO"</formula>
    </cfRule>
    <cfRule type="expression" dxfId="19889" priority="6291">
      <formula>#REF!="L"</formula>
    </cfRule>
    <cfRule type="expression" dxfId="19888" priority="6463">
      <formula>#REF!="TO"</formula>
    </cfRule>
    <cfRule type="expression" dxfId="19887" priority="6464">
      <formula>#REF!="IO"</formula>
    </cfRule>
    <cfRule type="expression" dxfId="19886" priority="6465">
      <formula>#REF!="L"</formula>
    </cfRule>
    <cfRule type="expression" dxfId="19885" priority="6412">
      <formula>#REF!="TO"</formula>
    </cfRule>
    <cfRule type="expression" dxfId="19884" priority="6413">
      <formula>#REF!="IO"</formula>
    </cfRule>
    <cfRule type="expression" dxfId="19883" priority="6414">
      <formula>#REF!="L"</formula>
    </cfRule>
    <cfRule type="expression" dxfId="19882" priority="6337">
      <formula>#REF!="TO"</formula>
    </cfRule>
    <cfRule type="expression" dxfId="19881" priority="6338">
      <formula>#REF!="IO"</formula>
    </cfRule>
    <cfRule type="expression" dxfId="19880" priority="6339">
      <formula>#REF!="L"</formula>
    </cfRule>
  </conditionalFormatting>
  <conditionalFormatting sqref="AK31">
    <cfRule type="expression" dxfId="19879" priority="6286">
      <formula>#REF!="TO"</formula>
    </cfRule>
    <cfRule type="expression" dxfId="19878" priority="6287">
      <formula>#REF!="IO"</formula>
    </cfRule>
    <cfRule type="expression" dxfId="19877" priority="6288">
      <formula>#REF!="L"</formula>
    </cfRule>
    <cfRule type="expression" dxfId="19876" priority="6334">
      <formula>#REF!="TO"</formula>
    </cfRule>
    <cfRule type="expression" dxfId="19875" priority="6335">
      <formula>#REF!="IO"</formula>
    </cfRule>
    <cfRule type="expression" dxfId="19874" priority="6336">
      <formula>#REF!="L"</formula>
    </cfRule>
    <cfRule type="expression" dxfId="19873" priority="6460">
      <formula>#REF!="TO"</formula>
    </cfRule>
    <cfRule type="expression" dxfId="19872" priority="6461">
      <formula>#REF!="IO"</formula>
    </cfRule>
    <cfRule type="expression" dxfId="19871" priority="6462">
      <formula>#REF!="L"</formula>
    </cfRule>
    <cfRule type="expression" dxfId="19870" priority="6409">
      <formula>#REF!="TO"</formula>
    </cfRule>
    <cfRule type="expression" dxfId="19869" priority="6410">
      <formula>#REF!="IO"</formula>
    </cfRule>
    <cfRule type="expression" dxfId="19868" priority="6411">
      <formula>#REF!="L"</formula>
    </cfRule>
  </conditionalFormatting>
  <conditionalFormatting sqref="AE31">
    <cfRule type="expression" dxfId="19867" priority="6274">
      <formula>#REF!="TO"</formula>
    </cfRule>
    <cfRule type="expression" dxfId="19866" priority="6275">
      <formula>#REF!="IO"</formula>
    </cfRule>
    <cfRule type="expression" dxfId="19865" priority="6276">
      <formula>#REF!="L"</formula>
    </cfRule>
    <cfRule type="expression" dxfId="19864" priority="6397">
      <formula>#REF!="TO"</formula>
    </cfRule>
    <cfRule type="expression" dxfId="19863" priority="6398">
      <formula>#REF!="IO"</formula>
    </cfRule>
    <cfRule type="expression" dxfId="19862" priority="6399">
      <formula>#REF!="L"</formula>
    </cfRule>
    <cfRule type="expression" dxfId="19861" priority="6400">
      <formula>E31="TO"</formula>
    </cfRule>
    <cfRule type="expression" dxfId="19860" priority="6401">
      <formula>E31="IO"</formula>
    </cfRule>
    <cfRule type="expression" dxfId="19859" priority="6402">
      <formula>E31="L"</formula>
    </cfRule>
    <cfRule type="expression" dxfId="19858" priority="6277">
      <formula>E31="TO"</formula>
    </cfRule>
    <cfRule type="expression" dxfId="19857" priority="6278">
      <formula>E31="IO"</formula>
    </cfRule>
    <cfRule type="expression" dxfId="19856" priority="6279">
      <formula>E31="L"</formula>
    </cfRule>
  </conditionalFormatting>
  <conditionalFormatting sqref="Q31">
    <cfRule type="expression" dxfId="19855" priority="6265">
      <formula>#REF!="TO"</formula>
    </cfRule>
    <cfRule type="expression" dxfId="19854" priority="6266">
      <formula>#REF!="IO"</formula>
    </cfRule>
    <cfRule type="expression" dxfId="19853" priority="6267">
      <formula>#REF!="L"</formula>
    </cfRule>
    <cfRule type="expression" dxfId="19852" priority="6388">
      <formula>#REF!="TO"</formula>
    </cfRule>
    <cfRule type="expression" dxfId="19851" priority="6389">
      <formula>#REF!="IO"</formula>
    </cfRule>
    <cfRule type="expression" dxfId="19850" priority="6390">
      <formula>#REF!="L"</formula>
    </cfRule>
  </conditionalFormatting>
  <conditionalFormatting sqref="P31">
    <cfRule type="expression" dxfId="19849" priority="6259">
      <formula>#REF!="TO"</formula>
    </cfRule>
    <cfRule type="expression" dxfId="19848" priority="6260">
      <formula>#REF!="IO"</formula>
    </cfRule>
    <cfRule type="expression" dxfId="19847" priority="6261">
      <formula>#REF!="L"</formula>
    </cfRule>
    <cfRule type="expression" dxfId="19846" priority="6382">
      <formula>#REF!="TO"</formula>
    </cfRule>
    <cfRule type="expression" dxfId="19845" priority="6383">
      <formula>#REF!="IO"</formula>
    </cfRule>
    <cfRule type="expression" dxfId="19844" priority="6384">
      <formula>#REF!="L"</formula>
    </cfRule>
  </conditionalFormatting>
  <conditionalFormatting sqref="AA31">
    <cfRule type="expression" dxfId="19843" priority="6256">
      <formula>#REF!="TO"</formula>
    </cfRule>
    <cfRule type="expression" dxfId="19842" priority="6257">
      <formula>#REF!="IO"</formula>
    </cfRule>
    <cfRule type="expression" dxfId="19841" priority="6258">
      <formula>#REF!="L"</formula>
    </cfRule>
    <cfRule type="expression" dxfId="19840" priority="6253">
      <formula>#REF!="TO"</formula>
    </cfRule>
    <cfRule type="expression" dxfId="19839" priority="6254">
      <formula>#REF!="IO"</formula>
    </cfRule>
    <cfRule type="expression" dxfId="19838" priority="6255">
      <formula>#REF!="L"</formula>
    </cfRule>
    <cfRule type="expression" dxfId="19837" priority="6376">
      <formula>#REF!="TO"</formula>
    </cfRule>
    <cfRule type="expression" dxfId="19836" priority="6377">
      <formula>#REF!="IO"</formula>
    </cfRule>
    <cfRule type="expression" dxfId="19835" priority="6378">
      <formula>#REF!="L"</formula>
    </cfRule>
    <cfRule type="expression" dxfId="19834" priority="6379">
      <formula>#REF!="TO"</formula>
    </cfRule>
    <cfRule type="expression" dxfId="19833" priority="6380">
      <formula>#REF!="IO"</formula>
    </cfRule>
    <cfRule type="expression" dxfId="19832" priority="6381">
      <formula>#REF!="L"</formula>
    </cfRule>
  </conditionalFormatting>
  <conditionalFormatting sqref="AB31:AD31">
    <cfRule type="expression" dxfId="19831" priority="6250">
      <formula>#REF!="TO"</formula>
    </cfRule>
    <cfRule type="expression" dxfId="19830" priority="6251">
      <formula>#REF!="IO"</formula>
    </cfRule>
    <cfRule type="expression" dxfId="19829" priority="6252">
      <formula>#REF!="L"</formula>
    </cfRule>
    <cfRule type="expression" dxfId="19828" priority="6247">
      <formula>#REF!="TO"</formula>
    </cfRule>
    <cfRule type="expression" dxfId="19827" priority="6248">
      <formula>#REF!="IO"</formula>
    </cfRule>
    <cfRule type="expression" dxfId="19826" priority="6249">
      <formula>#REF!="L"</formula>
    </cfRule>
    <cfRule type="expression" dxfId="19825" priority="6373">
      <formula>#REF!="TO"</formula>
    </cfRule>
    <cfRule type="expression" dxfId="19824" priority="6374">
      <formula>#REF!="IO"</formula>
    </cfRule>
    <cfRule type="expression" dxfId="19823" priority="6375">
      <formula>#REF!="L"</formula>
    </cfRule>
    <cfRule type="expression" dxfId="19822" priority="6370">
      <formula>#REF!="TO"</formula>
    </cfRule>
    <cfRule type="expression" dxfId="19821" priority="6371">
      <formula>#REF!="IO"</formula>
    </cfRule>
    <cfRule type="expression" dxfId="19820" priority="6372">
      <formula>#REF!="L"</formula>
    </cfRule>
  </conditionalFormatting>
  <conditionalFormatting sqref="C31">
    <cfRule type="expression" dxfId="19819" priority="6211">
      <formula>#REF!="TO"</formula>
    </cfRule>
    <cfRule type="expression" dxfId="19818" priority="6212">
      <formula>#REF!="IO"</formula>
    </cfRule>
    <cfRule type="expression" dxfId="19817" priority="6213">
      <formula>#REF!="L"</formula>
    </cfRule>
    <cfRule type="expression" dxfId="19816" priority="6217">
      <formula>#REF!="TO"</formula>
    </cfRule>
    <cfRule type="expression" dxfId="19815" priority="6218">
      <formula>#REF!="IO"</formula>
    </cfRule>
    <cfRule type="expression" dxfId="19814" priority="6219">
      <formula>#REF!="L"</formula>
    </cfRule>
    <cfRule type="expression" dxfId="19813" priority="6220">
      <formula>#REF!="TO"</formula>
    </cfRule>
    <cfRule type="expression" dxfId="19812" priority="6221">
      <formula>#REF!="IO"</formula>
    </cfRule>
    <cfRule type="expression" dxfId="19811" priority="6222">
      <formula>#REF!="L"</formula>
    </cfRule>
    <cfRule type="expression" dxfId="19810" priority="6214">
      <formula>#REF!="TO"</formula>
    </cfRule>
    <cfRule type="expression" dxfId="19809" priority="6215">
      <formula>#REF!="IO"</formula>
    </cfRule>
    <cfRule type="expression" dxfId="19808" priority="6216">
      <formula>#REF!="L"</formula>
    </cfRule>
  </conditionalFormatting>
  <conditionalFormatting sqref="J31">
    <cfRule type="expression" dxfId="19807" priority="6208">
      <formula>#REF!="TO"</formula>
    </cfRule>
    <cfRule type="expression" dxfId="19806" priority="6209">
      <formula>#REF!="IO"</formula>
    </cfRule>
    <cfRule type="expression" dxfId="19805" priority="6210">
      <formula>#REF!="L"</formula>
    </cfRule>
    <cfRule type="expression" dxfId="19804" priority="6205">
      <formula>#REF!="TO"</formula>
    </cfRule>
    <cfRule type="expression" dxfId="19803" priority="6206">
      <formula>#REF!="IO"</formula>
    </cfRule>
    <cfRule type="expression" dxfId="19802" priority="6207">
      <formula>#REF!="L"</formula>
    </cfRule>
    <cfRule type="expression" dxfId="19801" priority="6202">
      <formula>#REF!="TO"</formula>
    </cfRule>
    <cfRule type="expression" dxfId="19800" priority="6203">
      <formula>#REF!="IO"</formula>
    </cfRule>
    <cfRule type="expression" dxfId="19799" priority="6204">
      <formula>#REF!="L"</formula>
    </cfRule>
    <cfRule type="expression" dxfId="19798" priority="6199">
      <formula>#REF!="TO"</formula>
    </cfRule>
    <cfRule type="expression" dxfId="19797" priority="6200">
      <formula>#REF!="IO"</formula>
    </cfRule>
    <cfRule type="expression" dxfId="19796" priority="6201">
      <formula>#REF!="L"</formula>
    </cfRule>
  </conditionalFormatting>
  <conditionalFormatting sqref="I31">
    <cfRule type="expression" dxfId="19795" priority="6196">
      <formula>#REF!="TO"</formula>
    </cfRule>
    <cfRule type="expression" dxfId="19794" priority="6197">
      <formula>#REF!="IO"</formula>
    </cfRule>
    <cfRule type="expression" dxfId="19793" priority="6198">
      <formula>#REF!="L"</formula>
    </cfRule>
    <cfRule type="expression" dxfId="19792" priority="6193">
      <formula>#REF!="TO"</formula>
    </cfRule>
    <cfRule type="expression" dxfId="19791" priority="6194">
      <formula>#REF!="IO"</formula>
    </cfRule>
    <cfRule type="expression" dxfId="19790" priority="6195">
      <formula>#REF!="L"</formula>
    </cfRule>
    <cfRule type="expression" dxfId="19789" priority="6190">
      <formula>#REF!="TO"</formula>
    </cfRule>
    <cfRule type="expression" dxfId="19788" priority="6191">
      <formula>#REF!="IO"</formula>
    </cfRule>
    <cfRule type="expression" dxfId="19787" priority="6192">
      <formula>#REF!="L"</formula>
    </cfRule>
    <cfRule type="expression" dxfId="19786" priority="6187">
      <formula>#REF!="TO"</formula>
    </cfRule>
    <cfRule type="expression" dxfId="19785" priority="6188">
      <formula>#REF!="IO"</formula>
    </cfRule>
    <cfRule type="expression" dxfId="19784" priority="6189">
      <formula>#REF!="L"</formula>
    </cfRule>
  </conditionalFormatting>
  <conditionalFormatting sqref="AD31">
    <cfRule type="expression" dxfId="19783" priority="6184">
      <formula>#REF!="TO"</formula>
    </cfRule>
    <cfRule type="expression" dxfId="19782" priority="6185">
      <formula>#REF!="IO"</formula>
    </cfRule>
    <cfRule type="expression" dxfId="19781" priority="6186">
      <formula>#REF!="L"</formula>
    </cfRule>
    <cfRule type="expression" dxfId="19780" priority="6181">
      <formula>#REF!="TO"</formula>
    </cfRule>
    <cfRule type="expression" dxfId="19779" priority="6182">
      <formula>#REF!="IO"</formula>
    </cfRule>
    <cfRule type="expression" dxfId="19778" priority="6183">
      <formula>#REF!="L"</formula>
    </cfRule>
    <cfRule type="expression" dxfId="19777" priority="6178">
      <formula>#REF!="TO"</formula>
    </cfRule>
    <cfRule type="expression" dxfId="19776" priority="6179">
      <formula>#REF!="IO"</formula>
    </cfRule>
    <cfRule type="expression" dxfId="19775" priority="6180">
      <formula>#REF!="L"</formula>
    </cfRule>
    <cfRule type="expression" dxfId="19774" priority="6175">
      <formula>#REF!="TO"</formula>
    </cfRule>
    <cfRule type="expression" dxfId="19773" priority="6176">
      <formula>#REF!="IO"</formula>
    </cfRule>
    <cfRule type="expression" dxfId="19772" priority="6177">
      <formula>#REF!="L"</formula>
    </cfRule>
  </conditionalFormatting>
  <conditionalFormatting sqref="AR31">
    <cfRule type="expression" dxfId="19771" priority="6322">
      <formula>#REF!="TO"</formula>
    </cfRule>
    <cfRule type="expression" dxfId="19770" priority="6323">
      <formula>#REF!="IO"</formula>
    </cfRule>
    <cfRule type="expression" dxfId="19769" priority="6324">
      <formula>#REF!="L"</formula>
    </cfRule>
    <cfRule type="expression" dxfId="19768" priority="6448">
      <formula>#REF!="TO"</formula>
    </cfRule>
    <cfRule type="expression" dxfId="19767" priority="6449">
      <formula>#REF!="IO"</formula>
    </cfRule>
    <cfRule type="expression" dxfId="19766" priority="6450">
      <formula>#REF!="L"</formula>
    </cfRule>
  </conditionalFormatting>
  <conditionalFormatting sqref="AQ31">
    <cfRule type="expression" dxfId="19765" priority="6325">
      <formula>#REF!="TO"</formula>
    </cfRule>
    <cfRule type="expression" dxfId="19764" priority="6326">
      <formula>#REF!="IO"</formula>
    </cfRule>
    <cfRule type="expression" dxfId="19763" priority="6327">
      <formula>#REF!="L"</formula>
    </cfRule>
    <cfRule type="expression" dxfId="19762" priority="6454">
      <formula>#REF!="TO"</formula>
    </cfRule>
    <cfRule type="expression" dxfId="19761" priority="6455">
      <formula>#REF!="IO"</formula>
    </cfRule>
    <cfRule type="expression" dxfId="19760" priority="6456">
      <formula>#REF!="L"</formula>
    </cfRule>
    <cfRule type="expression" dxfId="19759" priority="6451">
      <formula>#REF!="TO"</formula>
    </cfRule>
    <cfRule type="expression" dxfId="19758" priority="6452">
      <formula>#REF!="IO"</formula>
    </cfRule>
    <cfRule type="expression" dxfId="19757" priority="6453">
      <formula>#REF!="L"</formula>
    </cfRule>
    <cfRule type="expression" dxfId="19756" priority="6328">
      <formula>#REF!="TO"</formula>
    </cfRule>
    <cfRule type="expression" dxfId="19755" priority="6329">
      <formula>#REF!="IO"</formula>
    </cfRule>
    <cfRule type="expression" dxfId="19754" priority="6330">
      <formula>#REF!="L"</formula>
    </cfRule>
  </conditionalFormatting>
  <conditionalFormatting sqref="AO31">
    <cfRule type="expression" dxfId="19753" priority="6172">
      <formula>#REF!="TO"</formula>
    </cfRule>
    <cfRule type="expression" dxfId="19752" priority="6173">
      <formula>#REF!="IO"</formula>
    </cfRule>
    <cfRule type="expression" dxfId="19751" priority="6174">
      <formula>#REF!="L"</formula>
    </cfRule>
    <cfRule type="expression" dxfId="19750" priority="6169">
      <formula>#REF!="TO"</formula>
    </cfRule>
    <cfRule type="expression" dxfId="19749" priority="6170">
      <formula>#REF!="IO"</formula>
    </cfRule>
    <cfRule type="expression" dxfId="19748" priority="6171">
      <formula>#REF!="L"</formula>
    </cfRule>
  </conditionalFormatting>
  <conditionalFormatting sqref="S31 O31:P31 H31">
    <cfRule type="expression" dxfId="19747" priority="6445">
      <formula>#REF!="TO"</formula>
    </cfRule>
    <cfRule type="expression" dxfId="19746" priority="6446">
      <formula>#REF!="IO"</formula>
    </cfRule>
    <cfRule type="expression" dxfId="19745" priority="6447">
      <formula>#REF!="L"</formula>
    </cfRule>
  </conditionalFormatting>
  <conditionalFormatting sqref="A31">
    <cfRule type="expression" dxfId="19744" priority="6493">
      <formula>#REF!="TO"</formula>
    </cfRule>
    <cfRule type="expression" dxfId="19743" priority="6494">
      <formula>#REF!="IO"</formula>
    </cfRule>
    <cfRule type="expression" dxfId="19742" priority="6495">
      <formula>#REF!="L"</formula>
    </cfRule>
    <cfRule type="expression" dxfId="19741" priority="6367">
      <formula>#REF!="TO"</formula>
    </cfRule>
    <cfRule type="expression" dxfId="19740" priority="6368">
      <formula>#REF!="IO"</formula>
    </cfRule>
    <cfRule type="expression" dxfId="19739" priority="6369">
      <formula>#REF!="L"</formula>
    </cfRule>
  </conditionalFormatting>
  <conditionalFormatting sqref="K31">
    <cfRule type="expression" dxfId="19738" priority="6484">
      <formula>#REF!="TO"</formula>
    </cfRule>
    <cfRule type="expression" dxfId="19737" priority="6485">
      <formula>#REF!="IO"</formula>
    </cfRule>
    <cfRule type="expression" dxfId="19736" priority="6486">
      <formula>#REF!="L"</formula>
    </cfRule>
    <cfRule type="expression" dxfId="19735" priority="6358">
      <formula>#REF!="TO"</formula>
    </cfRule>
    <cfRule type="expression" dxfId="19734" priority="6359">
      <formula>#REF!="IO"</formula>
    </cfRule>
    <cfRule type="expression" dxfId="19733" priority="6360">
      <formula>#REF!="L"</formula>
    </cfRule>
  </conditionalFormatting>
  <conditionalFormatting sqref="V31">
    <cfRule type="expression" dxfId="19732" priority="6475">
      <formula>#REF!="TO"</formula>
    </cfRule>
    <cfRule type="expression" dxfId="19731" priority="6476">
      <formula>#REF!="IO"</formula>
    </cfRule>
    <cfRule type="expression" dxfId="19730" priority="6477">
      <formula>#REF!="L"</formula>
    </cfRule>
    <cfRule type="expression" dxfId="19729" priority="6349">
      <formula>#REF!="TO"</formula>
    </cfRule>
    <cfRule type="expression" dxfId="19728" priority="6350">
      <formula>#REF!="IO"</formula>
    </cfRule>
    <cfRule type="expression" dxfId="19727" priority="6351">
      <formula>#REF!="L"</formula>
    </cfRule>
  </conditionalFormatting>
  <conditionalFormatting sqref="AH31">
    <cfRule type="expression" dxfId="19726" priority="6466">
      <formula>#REF!="TO"</formula>
    </cfRule>
    <cfRule type="expression" dxfId="19725" priority="6467">
      <formula>#REF!="IO"</formula>
    </cfRule>
    <cfRule type="expression" dxfId="19724" priority="6468">
      <formula>#REF!="L"</formula>
    </cfRule>
    <cfRule type="expression" dxfId="19723" priority="6340">
      <formula>#REF!="TO"</formula>
    </cfRule>
    <cfRule type="expression" dxfId="19722" priority="6341">
      <formula>#REF!="IO"</formula>
    </cfRule>
    <cfRule type="expression" dxfId="19721" priority="6342">
      <formula>#REF!="L"</formula>
    </cfRule>
  </conditionalFormatting>
  <conditionalFormatting sqref="AM31">
    <cfRule type="expression" dxfId="19720" priority="6457">
      <formula>#REF!="TO"</formula>
    </cfRule>
    <cfRule type="expression" dxfId="19719" priority="6458">
      <formula>#REF!="IO"</formula>
    </cfRule>
    <cfRule type="expression" dxfId="19718" priority="6459">
      <formula>#REF!="L"</formula>
    </cfRule>
    <cfRule type="expression" dxfId="19717" priority="6331">
      <formula>#REF!="TO"</formula>
    </cfRule>
    <cfRule type="expression" dxfId="19716" priority="6332">
      <formula>#REF!="IO"</formula>
    </cfRule>
    <cfRule type="expression" dxfId="19715" priority="6333">
      <formula>#REF!="L"</formula>
    </cfRule>
  </conditionalFormatting>
  <conditionalFormatting sqref="O31:P31">
    <cfRule type="expression" dxfId="19714" priority="6442">
      <formula>#REF!="TO"</formula>
    </cfRule>
    <cfRule type="expression" dxfId="19713" priority="6443">
      <formula>#REF!="IO"</formula>
    </cfRule>
    <cfRule type="expression" dxfId="19712" priority="6444">
      <formula>#REF!="L"</formula>
    </cfRule>
    <cfRule type="expression" dxfId="19711" priority="6319">
      <formula>#REF!="TO"</formula>
    </cfRule>
    <cfRule type="expression" dxfId="19710" priority="6320">
      <formula>#REF!="IO"</formula>
    </cfRule>
    <cfRule type="expression" dxfId="19709" priority="6321">
      <formula>#REF!="L"</formula>
    </cfRule>
  </conditionalFormatting>
  <conditionalFormatting sqref="AT31">
    <cfRule type="expression" dxfId="19708" priority="6436">
      <formula>#REF!="TO"</formula>
    </cfRule>
    <cfRule type="expression" dxfId="19707" priority="6437">
      <formula>#REF!="IO"</formula>
    </cfRule>
    <cfRule type="expression" dxfId="19706" priority="6438">
      <formula>#REF!="L"</formula>
    </cfRule>
    <cfRule type="expression" dxfId="19705" priority="6313">
      <formula>#REF!="TO"</formula>
    </cfRule>
    <cfRule type="expression" dxfId="19704" priority="6314">
      <formula>#REF!="IO"</formula>
    </cfRule>
    <cfRule type="expression" dxfId="19703" priority="6315">
      <formula>#REF!="L"</formula>
    </cfRule>
  </conditionalFormatting>
  <conditionalFormatting sqref="AF31">
    <cfRule type="expression" dxfId="19702" priority="6433">
      <formula>#REF!="TO"</formula>
    </cfRule>
    <cfRule type="expression" dxfId="19701" priority="6434">
      <formula>#REF!="IO"</formula>
    </cfRule>
    <cfRule type="expression" dxfId="19700" priority="6435">
      <formula>#REF!="L"</formula>
    </cfRule>
    <cfRule type="expression" dxfId="19699" priority="6394">
      <formula>#REF!="TO"</formula>
    </cfRule>
    <cfRule type="expression" dxfId="19698" priority="6395">
      <formula>#REF!="IO"</formula>
    </cfRule>
    <cfRule type="expression" dxfId="19697" priority="6396">
      <formula>#REF!="L"</formula>
    </cfRule>
    <cfRule type="expression" dxfId="19696" priority="6310">
      <formula>#REF!="TO"</formula>
    </cfRule>
    <cfRule type="expression" dxfId="19695" priority="6311">
      <formula>#REF!="IO"</formula>
    </cfRule>
    <cfRule type="expression" dxfId="19694" priority="6312">
      <formula>#REF!="L"</formula>
    </cfRule>
    <cfRule type="expression" dxfId="19693" priority="6271">
      <formula>#REF!="TO"</formula>
    </cfRule>
    <cfRule type="expression" dxfId="19692" priority="6272">
      <formula>#REF!="IO"</formula>
    </cfRule>
    <cfRule type="expression" dxfId="19691" priority="6273">
      <formula>#REF!="L"</formula>
    </cfRule>
  </conditionalFormatting>
  <conditionalFormatting sqref="Z31">
    <cfRule type="expression" dxfId="19690" priority="6403">
      <formula>#REF!="TO"</formula>
    </cfRule>
    <cfRule type="expression" dxfId="19689" priority="6404">
      <formula>#REF!="IO"</formula>
    </cfRule>
    <cfRule type="expression" dxfId="19688" priority="6405">
      <formula>#REF!="L"</formula>
    </cfRule>
    <cfRule type="expression" dxfId="19687" priority="6406">
      <formula>H31="TO"</formula>
    </cfRule>
    <cfRule type="expression" dxfId="19686" priority="6407">
      <formula>H31="IO"</formula>
    </cfRule>
    <cfRule type="expression" dxfId="19685" priority="6408">
      <formula>H31="L"</formula>
    </cfRule>
    <cfRule type="expression" dxfId="19684" priority="6280">
      <formula>#REF!="TO"</formula>
    </cfRule>
    <cfRule type="expression" dxfId="19683" priority="6281">
      <formula>#REF!="IO"</formula>
    </cfRule>
    <cfRule type="expression" dxfId="19682" priority="6282">
      <formula>#REF!="L"</formula>
    </cfRule>
    <cfRule type="expression" dxfId="19681" priority="6283">
      <formula>H31="TO"</formula>
    </cfRule>
    <cfRule type="expression" dxfId="19680" priority="6284">
      <formula>H31="IO"</formula>
    </cfRule>
    <cfRule type="expression" dxfId="19679" priority="6285">
      <formula>H31="L"</formula>
    </cfRule>
  </conditionalFormatting>
  <conditionalFormatting sqref="M31">
    <cfRule type="expression" dxfId="19678" priority="6391">
      <formula>#REF!="TO"</formula>
    </cfRule>
    <cfRule type="expression" dxfId="19677" priority="6392">
      <formula>#REF!="IO"</formula>
    </cfRule>
    <cfRule type="expression" dxfId="19676" priority="6393">
      <formula>#REF!="L"</formula>
    </cfRule>
    <cfRule type="expression" dxfId="19675" priority="6268">
      <formula>#REF!="TO"</formula>
    </cfRule>
    <cfRule type="expression" dxfId="19674" priority="6269">
      <formula>#REF!="IO"</formula>
    </cfRule>
    <cfRule type="expression" dxfId="19673" priority="6270">
      <formula>#REF!="L"</formula>
    </cfRule>
  </conditionalFormatting>
  <conditionalFormatting sqref="R31">
    <cfRule type="expression" dxfId="19672" priority="6385">
      <formula>#REF!="TO"</formula>
    </cfRule>
    <cfRule type="expression" dxfId="19671" priority="6386">
      <formula>#REF!="IO"</formula>
    </cfRule>
    <cfRule type="expression" dxfId="19670" priority="6387">
      <formula>#REF!="L"</formula>
    </cfRule>
    <cfRule type="expression" dxfId="19669" priority="6262">
      <formula>#REF!="TO"</formula>
    </cfRule>
    <cfRule type="expression" dxfId="19668" priority="6263">
      <formula>#REF!="IO"</formula>
    </cfRule>
    <cfRule type="expression" dxfId="19667" priority="6264">
      <formula>#REF!="L"</formula>
    </cfRule>
  </conditionalFormatting>
  <conditionalFormatting sqref="T31">
    <cfRule type="expression" dxfId="19666" priority="6232">
      <formula>#REF!="TO"</formula>
    </cfRule>
    <cfRule type="expression" dxfId="19665" priority="6233">
      <formula>#REF!="IO"</formula>
    </cfRule>
    <cfRule type="expression" dxfId="19664" priority="6234">
      <formula>#REF!="L"</formula>
    </cfRule>
    <cfRule type="expression" dxfId="19663" priority="6229">
      <formula>#REF!="TO"</formula>
    </cfRule>
    <cfRule type="expression" dxfId="19662" priority="6230">
      <formula>#REF!="IO"</formula>
    </cfRule>
    <cfRule type="expression" dxfId="19661" priority="6231">
      <formula>#REF!="L"</formula>
    </cfRule>
    <cfRule type="expression" dxfId="19660" priority="6226">
      <formula>#REF!="TO"</formula>
    </cfRule>
    <cfRule type="expression" dxfId="19659" priority="6227">
      <formula>#REF!="IO"</formula>
    </cfRule>
    <cfRule type="expression" dxfId="19658" priority="6228">
      <formula>#REF!="L"</formula>
    </cfRule>
    <cfRule type="expression" dxfId="19657" priority="6223">
      <formula>#REF!="TO"</formula>
    </cfRule>
    <cfRule type="expression" dxfId="19656" priority="6224">
      <formula>#REF!="IO"</formula>
    </cfRule>
    <cfRule type="expression" dxfId="19655" priority="6225">
      <formula>#REF!="L"</formula>
    </cfRule>
  </conditionalFormatting>
  <conditionalFormatting sqref="J32">
    <cfRule type="expression" dxfId="19654" priority="5674">
      <formula>#REF!="TO"</formula>
    </cfRule>
    <cfRule type="expression" dxfId="19653" priority="5675">
      <formula>#REF!="IO"</formula>
    </cfRule>
    <cfRule type="expression" dxfId="19652" priority="5676">
      <formula>#REF!="L"</formula>
    </cfRule>
    <cfRule type="expression" dxfId="19651" priority="5671">
      <formula>#REF!="TO"</formula>
    </cfRule>
    <cfRule type="expression" dxfId="19650" priority="5672">
      <formula>#REF!="IO"</formula>
    </cfRule>
    <cfRule type="expression" dxfId="19649" priority="5673">
      <formula>#REF!="L"</formula>
    </cfRule>
    <cfRule type="expression" dxfId="19648" priority="5677">
      <formula>#REF!="TO"</formula>
    </cfRule>
    <cfRule type="expression" dxfId="19647" priority="5678">
      <formula>#REF!="IO"</formula>
    </cfRule>
    <cfRule type="expression" dxfId="19646" priority="5679">
      <formula>#REF!="L"</formula>
    </cfRule>
    <cfRule type="expression" dxfId="19645" priority="5668">
      <formula>#REF!="TO"</formula>
    </cfRule>
    <cfRule type="expression" dxfId="19644" priority="5669">
      <formula>#REF!="IO"</formula>
    </cfRule>
    <cfRule type="expression" dxfId="19643" priority="5670">
      <formula>#REF!="L"</formula>
    </cfRule>
  </conditionalFormatting>
  <conditionalFormatting sqref="AL2:AL22">
    <cfRule type="expression" dxfId="19642" priority="14308">
      <formula>P2="TO"</formula>
    </cfRule>
    <cfRule type="expression" dxfId="19641" priority="14309">
      <formula>P2="IO"</formula>
    </cfRule>
    <cfRule type="expression" dxfId="19640" priority="14310">
      <formula>P2="L"</formula>
    </cfRule>
  </conditionalFormatting>
  <conditionalFormatting sqref="B32">
    <cfRule type="expression" dxfId="19639" priority="5776">
      <formula>#REF!="TO"</formula>
    </cfRule>
    <cfRule type="expression" dxfId="19638" priority="5777">
      <formula>#REF!="IO"</formula>
    </cfRule>
    <cfRule type="expression" dxfId="19637" priority="5778">
      <formula>#REF!="L"</formula>
    </cfRule>
    <cfRule type="expression" dxfId="19636" priority="5959">
      <formula>#REF!="TO"</formula>
    </cfRule>
    <cfRule type="expression" dxfId="19635" priority="5960">
      <formula>#REF!="IO"</formula>
    </cfRule>
    <cfRule type="expression" dxfId="19634" priority="5961">
      <formula>#REF!="L"</formula>
    </cfRule>
    <cfRule type="expression" dxfId="19633" priority="5899">
      <formula>#REF!="TO"</formula>
    </cfRule>
    <cfRule type="expression" dxfId="19632" priority="5900">
      <formula>#REF!="IO"</formula>
    </cfRule>
    <cfRule type="expression" dxfId="19631" priority="5901">
      <formula>#REF!="L"</formula>
    </cfRule>
    <cfRule type="expression" dxfId="19630" priority="5833">
      <formula>#REF!="TO"</formula>
    </cfRule>
    <cfRule type="expression" dxfId="19629" priority="5834">
      <formula>#REF!="IO"</formula>
    </cfRule>
    <cfRule type="expression" dxfId="19628" priority="5835">
      <formula>#REF!="L"</formula>
    </cfRule>
  </conditionalFormatting>
  <conditionalFormatting sqref="U32">
    <cfRule type="expression" dxfId="19627" priority="5713">
      <formula>#REF!="TO"</formula>
    </cfRule>
    <cfRule type="expression" dxfId="19626" priority="5714">
      <formula>#REF!="IO"</formula>
    </cfRule>
    <cfRule type="expression" dxfId="19625" priority="5715">
      <formula>#REF!="L"</formula>
    </cfRule>
    <cfRule type="expression" dxfId="19624" priority="5710">
      <formula>#REF!="TO"</formula>
    </cfRule>
    <cfRule type="expression" dxfId="19623" priority="5711">
      <formula>#REF!="IO"</formula>
    </cfRule>
    <cfRule type="expression" dxfId="19622" priority="5712">
      <formula>#REF!="L"</formula>
    </cfRule>
    <cfRule type="expression" dxfId="19621" priority="5707">
      <formula>#REF!="TO"</formula>
    </cfRule>
    <cfRule type="expression" dxfId="19620" priority="5708">
      <formula>#REF!="IO"</formula>
    </cfRule>
    <cfRule type="expression" dxfId="19619" priority="5709">
      <formula>#REF!="L"</formula>
    </cfRule>
    <cfRule type="expression" dxfId="19618" priority="5704">
      <formula>#REF!="TO"</formula>
    </cfRule>
    <cfRule type="expression" dxfId="19617" priority="5705">
      <formula>#REF!="IO"</formula>
    </cfRule>
    <cfRule type="expression" dxfId="19616" priority="5706">
      <formula>#REF!="L"</formula>
    </cfRule>
  </conditionalFormatting>
  <conditionalFormatting sqref="G32">
    <cfRule type="expression" dxfId="19615" priority="5773">
      <formula>#REF!="TO"</formula>
    </cfRule>
    <cfRule type="expression" dxfId="19614" priority="5774">
      <formula>#REF!="IO"</formula>
    </cfRule>
    <cfRule type="expression" dxfId="19613" priority="5775">
      <formula>#REF!="L"</formula>
    </cfRule>
    <cfRule type="expression" dxfId="19612" priority="5956">
      <formula>#REF!="TO"</formula>
    </cfRule>
    <cfRule type="expression" dxfId="19611" priority="5957">
      <formula>#REF!="IO"</formula>
    </cfRule>
    <cfRule type="expression" dxfId="19610" priority="5958">
      <formula>#REF!="L"</formula>
    </cfRule>
    <cfRule type="expression" dxfId="19609" priority="5896">
      <formula>#REF!="TO"</formula>
    </cfRule>
    <cfRule type="expression" dxfId="19608" priority="5897">
      <formula>#REF!="IO"</formula>
    </cfRule>
    <cfRule type="expression" dxfId="19607" priority="5898">
      <formula>#REF!="L"</formula>
    </cfRule>
    <cfRule type="expression" dxfId="19606" priority="5830">
      <formula>#REF!="TO"</formula>
    </cfRule>
    <cfRule type="expression" dxfId="19605" priority="5831">
      <formula>#REF!="IO"</formula>
    </cfRule>
    <cfRule type="expression" dxfId="19604" priority="5832">
      <formula>#REF!="L"</formula>
    </cfRule>
  </conditionalFormatting>
  <conditionalFormatting sqref="E32">
    <cfRule type="expression" dxfId="19603" priority="5770">
      <formula>#REF!="TO"</formula>
    </cfRule>
    <cfRule type="expression" dxfId="19602" priority="5771">
      <formula>#REF!="IO"</formula>
    </cfRule>
    <cfRule type="expression" dxfId="19601" priority="5772">
      <formula>#REF!="L"</formula>
    </cfRule>
    <cfRule type="expression" dxfId="19600" priority="5950">
      <formula>#REF!="TO"</formula>
    </cfRule>
    <cfRule type="expression" dxfId="19599" priority="5951">
      <formula>#REF!="IO"</formula>
    </cfRule>
    <cfRule type="expression" dxfId="19598" priority="5952">
      <formula>#REF!="L"</formula>
    </cfRule>
    <cfRule type="expression" dxfId="19597" priority="5893">
      <formula>#REF!="TO"</formula>
    </cfRule>
    <cfRule type="expression" dxfId="19596" priority="5894">
      <formula>#REF!="IO"</formula>
    </cfRule>
    <cfRule type="expression" dxfId="19595" priority="5895">
      <formula>#REF!="L"</formula>
    </cfRule>
    <cfRule type="expression" dxfId="19594" priority="5824">
      <formula>#REF!="TO"</formula>
    </cfRule>
    <cfRule type="expression" dxfId="19593" priority="5825">
      <formula>#REF!="IO"</formula>
    </cfRule>
    <cfRule type="expression" dxfId="19592" priority="5826">
      <formula>#REF!="L"</formula>
    </cfRule>
  </conditionalFormatting>
  <conditionalFormatting sqref="N32:P32">
    <cfRule type="expression" dxfId="19591" priority="5767">
      <formula>#REF!="TO"</formula>
    </cfRule>
    <cfRule type="expression" dxfId="19590" priority="5768">
      <formula>#REF!="IO"</formula>
    </cfRule>
    <cfRule type="expression" dxfId="19589" priority="5769">
      <formula>#REF!="L"</formula>
    </cfRule>
    <cfRule type="expression" dxfId="19588" priority="5947">
      <formula>#REF!="TO"</formula>
    </cfRule>
    <cfRule type="expression" dxfId="19587" priority="5948">
      <formula>#REF!="IO"</formula>
    </cfRule>
    <cfRule type="expression" dxfId="19586" priority="5949">
      <formula>#REF!="L"</formula>
    </cfRule>
    <cfRule type="expression" dxfId="19585" priority="5890">
      <formula>#REF!="TO"</formula>
    </cfRule>
    <cfRule type="expression" dxfId="19584" priority="5891">
      <formula>#REF!="IO"</formula>
    </cfRule>
    <cfRule type="expression" dxfId="19583" priority="5892">
      <formula>#REF!="L"</formula>
    </cfRule>
    <cfRule type="expression" dxfId="19582" priority="5821">
      <formula>#REF!="TO"</formula>
    </cfRule>
    <cfRule type="expression" dxfId="19581" priority="5822">
      <formula>#REF!="IO"</formula>
    </cfRule>
    <cfRule type="expression" dxfId="19580" priority="5823">
      <formula>#REF!="L"</formula>
    </cfRule>
  </conditionalFormatting>
  <conditionalFormatting sqref="X32">
    <cfRule type="expression" dxfId="19579" priority="5764">
      <formula>#REF!="TO"</formula>
    </cfRule>
    <cfRule type="expression" dxfId="19578" priority="5765">
      <formula>#REF!="IO"</formula>
    </cfRule>
    <cfRule type="expression" dxfId="19577" priority="5766">
      <formula>#REF!="L"</formula>
    </cfRule>
    <cfRule type="expression" dxfId="19576" priority="5941">
      <formula>#REF!="TO"</formula>
    </cfRule>
    <cfRule type="expression" dxfId="19575" priority="5942">
      <formula>#REF!="IO"</formula>
    </cfRule>
    <cfRule type="expression" dxfId="19574" priority="5943">
      <formula>#REF!="L"</formula>
    </cfRule>
    <cfRule type="expression" dxfId="19573" priority="5887">
      <formula>#REF!="TO"</formula>
    </cfRule>
    <cfRule type="expression" dxfId="19572" priority="5888">
      <formula>#REF!="IO"</formula>
    </cfRule>
    <cfRule type="expression" dxfId="19571" priority="5889">
      <formula>#REF!="L"</formula>
    </cfRule>
    <cfRule type="expression" dxfId="19570" priority="5815">
      <formula>#REF!="TO"</formula>
    </cfRule>
    <cfRule type="expression" dxfId="19569" priority="5816">
      <formula>#REF!="IO"</formula>
    </cfRule>
    <cfRule type="expression" dxfId="19568" priority="5817">
      <formula>#REF!="L"</formula>
    </cfRule>
  </conditionalFormatting>
  <conditionalFormatting sqref="Y32">
    <cfRule type="expression" dxfId="19567" priority="5761">
      <formula>#REF!="TO"</formula>
    </cfRule>
    <cfRule type="expression" dxfId="19566" priority="5762">
      <formula>#REF!="IO"</formula>
    </cfRule>
    <cfRule type="expression" dxfId="19565" priority="5763">
      <formula>#REF!="L"</formula>
    </cfRule>
    <cfRule type="expression" dxfId="19564" priority="5938">
      <formula>#REF!="TO"</formula>
    </cfRule>
    <cfRule type="expression" dxfId="19563" priority="5939">
      <formula>#REF!="IO"</formula>
    </cfRule>
    <cfRule type="expression" dxfId="19562" priority="5940">
      <formula>#REF!="L"</formula>
    </cfRule>
    <cfRule type="expression" dxfId="19561" priority="5884">
      <formula>#REF!="TO"</formula>
    </cfRule>
    <cfRule type="expression" dxfId="19560" priority="5885">
      <formula>#REF!="IO"</formula>
    </cfRule>
    <cfRule type="expression" dxfId="19559" priority="5886">
      <formula>#REF!="L"</formula>
    </cfRule>
    <cfRule type="expression" dxfId="19558" priority="5812">
      <formula>#REF!="TO"</formula>
    </cfRule>
    <cfRule type="expression" dxfId="19557" priority="5813">
      <formula>#REF!="IO"</formula>
    </cfRule>
    <cfRule type="expression" dxfId="19556" priority="5814">
      <formula>#REF!="L"</formula>
    </cfRule>
  </conditionalFormatting>
  <conditionalFormatting sqref="AJ32">
    <cfRule type="expression" dxfId="19555" priority="5758">
      <formula>#REF!="TO"</formula>
    </cfRule>
    <cfRule type="expression" dxfId="19554" priority="5759">
      <formula>#REF!="IO"</formula>
    </cfRule>
    <cfRule type="expression" dxfId="19553" priority="5760">
      <formula>#REF!="L"</formula>
    </cfRule>
    <cfRule type="expression" dxfId="19552" priority="5932">
      <formula>#REF!="TO"</formula>
    </cfRule>
    <cfRule type="expression" dxfId="19551" priority="5933">
      <formula>#REF!="IO"</formula>
    </cfRule>
    <cfRule type="expression" dxfId="19550" priority="5934">
      <formula>#REF!="L"</formula>
    </cfRule>
    <cfRule type="expression" dxfId="19549" priority="5881">
      <formula>#REF!="TO"</formula>
    </cfRule>
    <cfRule type="expression" dxfId="19548" priority="5882">
      <formula>#REF!="IO"</formula>
    </cfRule>
    <cfRule type="expression" dxfId="19547" priority="5883">
      <formula>#REF!="L"</formula>
    </cfRule>
    <cfRule type="expression" dxfId="19546" priority="5806">
      <formula>#REF!="TO"</formula>
    </cfRule>
    <cfRule type="expression" dxfId="19545" priority="5807">
      <formula>#REF!="IO"</formula>
    </cfRule>
    <cfRule type="expression" dxfId="19544" priority="5808">
      <formula>#REF!="L"</formula>
    </cfRule>
  </conditionalFormatting>
  <conditionalFormatting sqref="AK32">
    <cfRule type="expression" dxfId="19543" priority="5755">
      <formula>#REF!="TO"</formula>
    </cfRule>
    <cfRule type="expression" dxfId="19542" priority="5756">
      <formula>#REF!="IO"</formula>
    </cfRule>
    <cfRule type="expression" dxfId="19541" priority="5757">
      <formula>#REF!="L"</formula>
    </cfRule>
    <cfRule type="expression" dxfId="19540" priority="5803">
      <formula>#REF!="TO"</formula>
    </cfRule>
    <cfRule type="expression" dxfId="19539" priority="5804">
      <formula>#REF!="IO"</formula>
    </cfRule>
    <cfRule type="expression" dxfId="19538" priority="5805">
      <formula>#REF!="L"</formula>
    </cfRule>
    <cfRule type="expression" dxfId="19537" priority="5929">
      <formula>#REF!="TO"</formula>
    </cfRule>
    <cfRule type="expression" dxfId="19536" priority="5930">
      <formula>#REF!="IO"</formula>
    </cfRule>
    <cfRule type="expression" dxfId="19535" priority="5931">
      <formula>#REF!="L"</formula>
    </cfRule>
    <cfRule type="expression" dxfId="19534" priority="5878">
      <formula>#REF!="TO"</formula>
    </cfRule>
    <cfRule type="expression" dxfId="19533" priority="5879">
      <formula>#REF!="IO"</formula>
    </cfRule>
    <cfRule type="expression" dxfId="19532" priority="5880">
      <formula>#REF!="L"</formula>
    </cfRule>
  </conditionalFormatting>
  <conditionalFormatting sqref="AE32">
    <cfRule type="expression" dxfId="19531" priority="5743">
      <formula>#REF!="TO"</formula>
    </cfRule>
    <cfRule type="expression" dxfId="19530" priority="5744">
      <formula>#REF!="IO"</formula>
    </cfRule>
    <cfRule type="expression" dxfId="19529" priority="5745">
      <formula>#REF!="L"</formula>
    </cfRule>
    <cfRule type="expression" dxfId="19528" priority="5866">
      <formula>#REF!="TO"</formula>
    </cfRule>
    <cfRule type="expression" dxfId="19527" priority="5867">
      <formula>#REF!="IO"</formula>
    </cfRule>
    <cfRule type="expression" dxfId="19526" priority="5868">
      <formula>#REF!="L"</formula>
    </cfRule>
    <cfRule type="expression" dxfId="19525" priority="5869">
      <formula>E32="TO"</formula>
    </cfRule>
    <cfRule type="expression" dxfId="19524" priority="5870">
      <formula>E32="IO"</formula>
    </cfRule>
    <cfRule type="expression" dxfId="19523" priority="5871">
      <formula>E32="L"</formula>
    </cfRule>
    <cfRule type="expression" dxfId="19522" priority="5746">
      <formula>E32="TO"</formula>
    </cfRule>
    <cfRule type="expression" dxfId="19521" priority="5747">
      <formula>E32="IO"</formula>
    </cfRule>
    <cfRule type="expression" dxfId="19520" priority="5748">
      <formula>E32="L"</formula>
    </cfRule>
  </conditionalFormatting>
  <conditionalFormatting sqref="Q32">
    <cfRule type="expression" dxfId="19519" priority="5734">
      <formula>#REF!="TO"</formula>
    </cfRule>
    <cfRule type="expression" dxfId="19518" priority="5735">
      <formula>#REF!="IO"</formula>
    </cfRule>
    <cfRule type="expression" dxfId="19517" priority="5736">
      <formula>#REF!="L"</formula>
    </cfRule>
    <cfRule type="expression" dxfId="19516" priority="5857">
      <formula>#REF!="TO"</formula>
    </cfRule>
    <cfRule type="expression" dxfId="19515" priority="5858">
      <formula>#REF!="IO"</formula>
    </cfRule>
    <cfRule type="expression" dxfId="19514" priority="5859">
      <formula>#REF!="L"</formula>
    </cfRule>
  </conditionalFormatting>
  <conditionalFormatting sqref="P32">
    <cfRule type="expression" dxfId="19513" priority="5728">
      <formula>#REF!="TO"</formula>
    </cfRule>
    <cfRule type="expression" dxfId="19512" priority="5729">
      <formula>#REF!="IO"</formula>
    </cfRule>
    <cfRule type="expression" dxfId="19511" priority="5730">
      <formula>#REF!="L"</formula>
    </cfRule>
    <cfRule type="expression" dxfId="19510" priority="5851">
      <formula>#REF!="TO"</formula>
    </cfRule>
    <cfRule type="expression" dxfId="19509" priority="5852">
      <formula>#REF!="IO"</formula>
    </cfRule>
    <cfRule type="expression" dxfId="19508" priority="5853">
      <formula>#REF!="L"</formula>
    </cfRule>
  </conditionalFormatting>
  <conditionalFormatting sqref="AA32">
    <cfRule type="expression" dxfId="19507" priority="5725">
      <formula>#REF!="TO"</formula>
    </cfRule>
    <cfRule type="expression" dxfId="19506" priority="5726">
      <formula>#REF!="IO"</formula>
    </cfRule>
    <cfRule type="expression" dxfId="19505" priority="5727">
      <formula>#REF!="L"</formula>
    </cfRule>
    <cfRule type="expression" dxfId="19504" priority="5722">
      <formula>#REF!="TO"</formula>
    </cfRule>
    <cfRule type="expression" dxfId="19503" priority="5723">
      <formula>#REF!="IO"</formula>
    </cfRule>
    <cfRule type="expression" dxfId="19502" priority="5724">
      <formula>#REF!="L"</formula>
    </cfRule>
    <cfRule type="expression" dxfId="19501" priority="5845">
      <formula>#REF!="TO"</formula>
    </cfRule>
    <cfRule type="expression" dxfId="19500" priority="5846">
      <formula>#REF!="IO"</formula>
    </cfRule>
    <cfRule type="expression" dxfId="19499" priority="5847">
      <formula>#REF!="L"</formula>
    </cfRule>
    <cfRule type="expression" dxfId="19498" priority="5848">
      <formula>#REF!="TO"</formula>
    </cfRule>
    <cfRule type="expression" dxfId="19497" priority="5849">
      <formula>#REF!="IO"</formula>
    </cfRule>
    <cfRule type="expression" dxfId="19496" priority="5850">
      <formula>#REF!="L"</formula>
    </cfRule>
  </conditionalFormatting>
  <conditionalFormatting sqref="AB32:AD32">
    <cfRule type="expression" dxfId="19495" priority="5719">
      <formula>#REF!="TO"</formula>
    </cfRule>
    <cfRule type="expression" dxfId="19494" priority="5720">
      <formula>#REF!="IO"</formula>
    </cfRule>
    <cfRule type="expression" dxfId="19493" priority="5721">
      <formula>#REF!="L"</formula>
    </cfRule>
    <cfRule type="expression" dxfId="19492" priority="5716">
      <formula>#REF!="TO"</formula>
    </cfRule>
    <cfRule type="expression" dxfId="19491" priority="5717">
      <formula>#REF!="IO"</formula>
    </cfRule>
    <cfRule type="expression" dxfId="19490" priority="5718">
      <formula>#REF!="L"</formula>
    </cfRule>
    <cfRule type="expression" dxfId="19489" priority="5842">
      <formula>#REF!="TO"</formula>
    </cfRule>
    <cfRule type="expression" dxfId="19488" priority="5843">
      <formula>#REF!="IO"</formula>
    </cfRule>
    <cfRule type="expression" dxfId="19487" priority="5844">
      <formula>#REF!="L"</formula>
    </cfRule>
    <cfRule type="expression" dxfId="19486" priority="5839">
      <formula>#REF!="TO"</formula>
    </cfRule>
    <cfRule type="expression" dxfId="19485" priority="5840">
      <formula>#REF!="IO"</formula>
    </cfRule>
    <cfRule type="expression" dxfId="19484" priority="5841">
      <formula>#REF!="L"</formula>
    </cfRule>
  </conditionalFormatting>
  <conditionalFormatting sqref="C32">
    <cfRule type="expression" dxfId="19483" priority="5680">
      <formula>#REF!="TO"</formula>
    </cfRule>
    <cfRule type="expression" dxfId="19482" priority="5681">
      <formula>#REF!="IO"</formula>
    </cfRule>
    <cfRule type="expression" dxfId="19481" priority="5682">
      <formula>#REF!="L"</formula>
    </cfRule>
    <cfRule type="expression" dxfId="19480" priority="5686">
      <formula>#REF!="TO"</formula>
    </cfRule>
    <cfRule type="expression" dxfId="19479" priority="5687">
      <formula>#REF!="IO"</formula>
    </cfRule>
    <cfRule type="expression" dxfId="19478" priority="5688">
      <formula>#REF!="L"</formula>
    </cfRule>
    <cfRule type="expression" dxfId="19477" priority="5689">
      <formula>#REF!="TO"</formula>
    </cfRule>
    <cfRule type="expression" dxfId="19476" priority="5690">
      <formula>#REF!="IO"</formula>
    </cfRule>
    <cfRule type="expression" dxfId="19475" priority="5691">
      <formula>#REF!="L"</formula>
    </cfRule>
    <cfRule type="expression" dxfId="19474" priority="5683">
      <formula>#REF!="TO"</formula>
    </cfRule>
    <cfRule type="expression" dxfId="19473" priority="5684">
      <formula>#REF!="IO"</formula>
    </cfRule>
    <cfRule type="expression" dxfId="19472" priority="5685">
      <formula>#REF!="L"</formula>
    </cfRule>
  </conditionalFormatting>
  <conditionalFormatting sqref="I32">
    <cfRule type="expression" dxfId="19471" priority="5665">
      <formula>#REF!="TO"</formula>
    </cfRule>
    <cfRule type="expression" dxfId="19470" priority="5666">
      <formula>#REF!="IO"</formula>
    </cfRule>
    <cfRule type="expression" dxfId="19469" priority="5667">
      <formula>#REF!="L"</formula>
    </cfRule>
    <cfRule type="expression" dxfId="19468" priority="5662">
      <formula>#REF!="TO"</formula>
    </cfRule>
    <cfRule type="expression" dxfId="19467" priority="5663">
      <formula>#REF!="IO"</formula>
    </cfRule>
    <cfRule type="expression" dxfId="19466" priority="5664">
      <formula>#REF!="L"</formula>
    </cfRule>
    <cfRule type="expression" dxfId="19465" priority="5659">
      <formula>#REF!="TO"</formula>
    </cfRule>
    <cfRule type="expression" dxfId="19464" priority="5660">
      <formula>#REF!="IO"</formula>
    </cfRule>
    <cfRule type="expression" dxfId="19463" priority="5661">
      <formula>#REF!="L"</formula>
    </cfRule>
    <cfRule type="expression" dxfId="19462" priority="5656">
      <formula>#REF!="TO"</formula>
    </cfRule>
    <cfRule type="expression" dxfId="19461" priority="5657">
      <formula>#REF!="IO"</formula>
    </cfRule>
    <cfRule type="expression" dxfId="19460" priority="5658">
      <formula>#REF!="L"</formula>
    </cfRule>
  </conditionalFormatting>
  <conditionalFormatting sqref="AD32">
    <cfRule type="expression" dxfId="19459" priority="5653">
      <formula>#REF!="TO"</formula>
    </cfRule>
    <cfRule type="expression" dxfId="19458" priority="5654">
      <formula>#REF!="IO"</formula>
    </cfRule>
    <cfRule type="expression" dxfId="19457" priority="5655">
      <formula>#REF!="L"</formula>
    </cfRule>
    <cfRule type="expression" dxfId="19456" priority="5650">
      <formula>#REF!="TO"</formula>
    </cfRule>
    <cfRule type="expression" dxfId="19455" priority="5651">
      <formula>#REF!="IO"</formula>
    </cfRule>
    <cfRule type="expression" dxfId="19454" priority="5652">
      <formula>#REF!="L"</formula>
    </cfRule>
    <cfRule type="expression" dxfId="19453" priority="5647">
      <formula>#REF!="TO"</formula>
    </cfRule>
    <cfRule type="expression" dxfId="19452" priority="5648">
      <formula>#REF!="IO"</formula>
    </cfRule>
    <cfRule type="expression" dxfId="19451" priority="5649">
      <formula>#REF!="L"</formula>
    </cfRule>
    <cfRule type="expression" dxfId="19450" priority="5644">
      <formula>#REF!="TO"</formula>
    </cfRule>
    <cfRule type="expression" dxfId="19449" priority="5645">
      <formula>#REF!="IO"</formula>
    </cfRule>
    <cfRule type="expression" dxfId="19448" priority="5646">
      <formula>#REF!="L"</formula>
    </cfRule>
  </conditionalFormatting>
  <conditionalFormatting sqref="O32:P32">
    <cfRule type="expression" dxfId="19447" priority="5788">
      <formula>#REF!="TO"</formula>
    </cfRule>
    <cfRule type="expression" dxfId="19446" priority="5789">
      <formula>#REF!="IO"</formula>
    </cfRule>
    <cfRule type="expression" dxfId="19445" priority="5790">
      <formula>#REF!="L"</formula>
    </cfRule>
    <cfRule type="expression" dxfId="19444" priority="5911">
      <formula>#REF!="TO"</formula>
    </cfRule>
    <cfRule type="expression" dxfId="19443" priority="5912">
      <formula>#REF!="IO"</formula>
    </cfRule>
    <cfRule type="expression" dxfId="19442" priority="5913">
      <formula>#REF!="L"</formula>
    </cfRule>
  </conditionalFormatting>
  <conditionalFormatting sqref="AR32">
    <cfRule type="expression" dxfId="19441" priority="5791">
      <formula>#REF!="TO"</formula>
    </cfRule>
    <cfRule type="expression" dxfId="19440" priority="5792">
      <formula>#REF!="IO"</formula>
    </cfRule>
    <cfRule type="expression" dxfId="19439" priority="5793">
      <formula>#REF!="L"</formula>
    </cfRule>
    <cfRule type="expression" dxfId="19438" priority="5917">
      <formula>#REF!="TO"</formula>
    </cfRule>
    <cfRule type="expression" dxfId="19437" priority="5918">
      <formula>#REF!="IO"</formula>
    </cfRule>
    <cfRule type="expression" dxfId="19436" priority="5919">
      <formula>#REF!="L"</formula>
    </cfRule>
  </conditionalFormatting>
  <conditionalFormatting sqref="AO32">
    <cfRule type="expression" dxfId="19435" priority="5641">
      <formula>#REF!="TO"</formula>
    </cfRule>
    <cfRule type="expression" dxfId="19434" priority="5642">
      <formula>#REF!="IO"</formula>
    </cfRule>
    <cfRule type="expression" dxfId="19433" priority="5643">
      <formula>#REF!="L"</formula>
    </cfRule>
    <cfRule type="expression" dxfId="19432" priority="5638">
      <formula>#REF!="TO"</formula>
    </cfRule>
    <cfRule type="expression" dxfId="19431" priority="5639">
      <formula>#REF!="IO"</formula>
    </cfRule>
    <cfRule type="expression" dxfId="19430" priority="5640">
      <formula>#REF!="L"</formula>
    </cfRule>
  </conditionalFormatting>
  <conditionalFormatting sqref="S32 O32:P32 H32">
    <cfRule type="expression" dxfId="19429" priority="5914">
      <formula>#REF!="TO"</formula>
    </cfRule>
    <cfRule type="expression" dxfId="19428" priority="5915">
      <formula>#REF!="IO"</formula>
    </cfRule>
    <cfRule type="expression" dxfId="19427" priority="5916">
      <formula>#REF!="L"</formula>
    </cfRule>
  </conditionalFormatting>
  <conditionalFormatting sqref="A32">
    <cfRule type="expression" dxfId="19426" priority="5962">
      <formula>#REF!="TO"</formula>
    </cfRule>
    <cfRule type="expression" dxfId="19425" priority="5963">
      <formula>#REF!="IO"</formula>
    </cfRule>
    <cfRule type="expression" dxfId="19424" priority="5964">
      <formula>#REF!="L"</formula>
    </cfRule>
    <cfRule type="expression" dxfId="19423" priority="5836">
      <formula>#REF!="TO"</formula>
    </cfRule>
    <cfRule type="expression" dxfId="19422" priority="5837">
      <formula>#REF!="IO"</formula>
    </cfRule>
    <cfRule type="expression" dxfId="19421" priority="5838">
      <formula>#REF!="L"</formula>
    </cfRule>
  </conditionalFormatting>
  <conditionalFormatting sqref="K32">
    <cfRule type="expression" dxfId="19420" priority="5953">
      <formula>#REF!="TO"</formula>
    </cfRule>
    <cfRule type="expression" dxfId="19419" priority="5954">
      <formula>#REF!="IO"</formula>
    </cfRule>
    <cfRule type="expression" dxfId="19418" priority="5955">
      <formula>#REF!="L"</formula>
    </cfRule>
    <cfRule type="expression" dxfId="19417" priority="5827">
      <formula>#REF!="TO"</formula>
    </cfRule>
    <cfRule type="expression" dxfId="19416" priority="5828">
      <formula>#REF!="IO"</formula>
    </cfRule>
    <cfRule type="expression" dxfId="19415" priority="5829">
      <formula>#REF!="L"</formula>
    </cfRule>
  </conditionalFormatting>
  <conditionalFormatting sqref="V32">
    <cfRule type="expression" dxfId="19414" priority="5944">
      <formula>#REF!="TO"</formula>
    </cfRule>
    <cfRule type="expression" dxfId="19413" priority="5945">
      <formula>#REF!="IO"</formula>
    </cfRule>
    <cfRule type="expression" dxfId="19412" priority="5946">
      <formula>#REF!="L"</formula>
    </cfRule>
    <cfRule type="expression" dxfId="19411" priority="5818">
      <formula>#REF!="TO"</formula>
    </cfRule>
    <cfRule type="expression" dxfId="19410" priority="5819">
      <formula>#REF!="IO"</formula>
    </cfRule>
    <cfRule type="expression" dxfId="19409" priority="5820">
      <formula>#REF!="L"</formula>
    </cfRule>
  </conditionalFormatting>
  <conditionalFormatting sqref="AH32">
    <cfRule type="expression" dxfId="19408" priority="5935">
      <formula>#REF!="TO"</formula>
    </cfRule>
    <cfRule type="expression" dxfId="19407" priority="5936">
      <formula>#REF!="IO"</formula>
    </cfRule>
    <cfRule type="expression" dxfId="19406" priority="5937">
      <formula>#REF!="L"</formula>
    </cfRule>
    <cfRule type="expression" dxfId="19405" priority="5809">
      <formula>#REF!="TO"</formula>
    </cfRule>
    <cfRule type="expression" dxfId="19404" priority="5810">
      <formula>#REF!="IO"</formula>
    </cfRule>
    <cfRule type="expression" dxfId="19403" priority="5811">
      <formula>#REF!="L"</formula>
    </cfRule>
  </conditionalFormatting>
  <conditionalFormatting sqref="AM32">
    <cfRule type="expression" dxfId="19402" priority="5926">
      <formula>#REF!="TO"</formula>
    </cfRule>
    <cfRule type="expression" dxfId="19401" priority="5927">
      <formula>#REF!="IO"</formula>
    </cfRule>
    <cfRule type="expression" dxfId="19400" priority="5928">
      <formula>#REF!="L"</formula>
    </cfRule>
    <cfRule type="expression" dxfId="19399" priority="5800">
      <formula>#REF!="TO"</formula>
    </cfRule>
    <cfRule type="expression" dxfId="19398" priority="5801">
      <formula>#REF!="IO"</formula>
    </cfRule>
    <cfRule type="expression" dxfId="19397" priority="5802">
      <formula>#REF!="L"</formula>
    </cfRule>
  </conditionalFormatting>
  <conditionalFormatting sqref="AQ32">
    <cfRule type="expression" dxfId="19396" priority="5923">
      <formula>#REF!="TO"</formula>
    </cfRule>
    <cfRule type="expression" dxfId="19395" priority="5924">
      <formula>#REF!="IO"</formula>
    </cfRule>
    <cfRule type="expression" dxfId="19394" priority="5925">
      <formula>#REF!="L"</formula>
    </cfRule>
    <cfRule type="expression" dxfId="19393" priority="5920">
      <formula>#REF!="TO"</formula>
    </cfRule>
    <cfRule type="expression" dxfId="19392" priority="5921">
      <formula>#REF!="IO"</formula>
    </cfRule>
    <cfRule type="expression" dxfId="19391" priority="5922">
      <formula>#REF!="L"</formula>
    </cfRule>
    <cfRule type="expression" dxfId="19390" priority="5797">
      <formula>#REF!="TO"</formula>
    </cfRule>
    <cfRule type="expression" dxfId="19389" priority="5798">
      <formula>#REF!="IO"</formula>
    </cfRule>
    <cfRule type="expression" dxfId="19388" priority="5799">
      <formula>#REF!="L"</formula>
    </cfRule>
    <cfRule type="expression" dxfId="19387" priority="5794">
      <formula>#REF!="TO"</formula>
    </cfRule>
    <cfRule type="expression" dxfId="19386" priority="5795">
      <formula>#REF!="IO"</formula>
    </cfRule>
    <cfRule type="expression" dxfId="19385" priority="5796">
      <formula>#REF!="L"</formula>
    </cfRule>
  </conditionalFormatting>
  <conditionalFormatting sqref="S32">
    <cfRule type="expression" dxfId="19384" priority="5908">
      <formula>#REF!="TO"</formula>
    </cfRule>
    <cfRule type="expression" dxfId="19383" priority="5909">
      <formula>#REF!="IO"</formula>
    </cfRule>
    <cfRule type="expression" dxfId="19382" priority="5910">
      <formula>#REF!="L"</formula>
    </cfRule>
    <cfRule type="expression" dxfId="19381" priority="5785">
      <formula>#REF!="TO"</formula>
    </cfRule>
    <cfRule type="expression" dxfId="19380" priority="5786">
      <formula>#REF!="IO"</formula>
    </cfRule>
    <cfRule type="expression" dxfId="19379" priority="5787">
      <formula>#REF!="L"</formula>
    </cfRule>
  </conditionalFormatting>
  <conditionalFormatting sqref="AF32">
    <cfRule type="expression" dxfId="19378" priority="5902">
      <formula>#REF!="TO"</formula>
    </cfRule>
    <cfRule type="expression" dxfId="19377" priority="5903">
      <formula>#REF!="IO"</formula>
    </cfRule>
    <cfRule type="expression" dxfId="19376" priority="5904">
      <formula>#REF!="L"</formula>
    </cfRule>
    <cfRule type="expression" dxfId="19375" priority="5863">
      <formula>#REF!="TO"</formula>
    </cfRule>
    <cfRule type="expression" dxfId="19374" priority="5864">
      <formula>#REF!="IO"</formula>
    </cfRule>
    <cfRule type="expression" dxfId="19373" priority="5865">
      <formula>#REF!="L"</formula>
    </cfRule>
    <cfRule type="expression" dxfId="19372" priority="5779">
      <formula>#REF!="TO"</formula>
    </cfRule>
    <cfRule type="expression" dxfId="19371" priority="5780">
      <formula>#REF!="IO"</formula>
    </cfRule>
    <cfRule type="expression" dxfId="19370" priority="5781">
      <formula>#REF!="L"</formula>
    </cfRule>
    <cfRule type="expression" dxfId="19369" priority="5740">
      <formula>#REF!="TO"</formula>
    </cfRule>
    <cfRule type="expression" dxfId="19368" priority="5741">
      <formula>#REF!="IO"</formula>
    </cfRule>
    <cfRule type="expression" dxfId="19367" priority="5742">
      <formula>#REF!="L"</formula>
    </cfRule>
  </conditionalFormatting>
  <conditionalFormatting sqref="Z32">
    <cfRule type="expression" dxfId="19366" priority="5872">
      <formula>#REF!="TO"</formula>
    </cfRule>
    <cfRule type="expression" dxfId="19365" priority="5873">
      <formula>#REF!="IO"</formula>
    </cfRule>
    <cfRule type="expression" dxfId="19364" priority="5874">
      <formula>#REF!="L"</formula>
    </cfRule>
    <cfRule type="expression" dxfId="19363" priority="5875">
      <formula>H32="TO"</formula>
    </cfRule>
    <cfRule type="expression" dxfId="19362" priority="5876">
      <formula>H32="IO"</formula>
    </cfRule>
    <cfRule type="expression" dxfId="19361" priority="5877">
      <formula>H32="L"</formula>
    </cfRule>
    <cfRule type="expression" dxfId="19360" priority="5749">
      <formula>#REF!="TO"</formula>
    </cfRule>
    <cfRule type="expression" dxfId="19359" priority="5750">
      <formula>#REF!="IO"</formula>
    </cfRule>
    <cfRule type="expression" dxfId="19358" priority="5751">
      <formula>#REF!="L"</formula>
    </cfRule>
    <cfRule type="expression" dxfId="19357" priority="5752">
      <formula>H32="TO"</formula>
    </cfRule>
    <cfRule type="expression" dxfId="19356" priority="5753">
      <formula>H32="IO"</formula>
    </cfRule>
    <cfRule type="expression" dxfId="19355" priority="5754">
      <formula>H32="L"</formula>
    </cfRule>
  </conditionalFormatting>
  <conditionalFormatting sqref="M32">
    <cfRule type="expression" dxfId="19354" priority="5860">
      <formula>#REF!="TO"</formula>
    </cfRule>
    <cfRule type="expression" dxfId="19353" priority="5861">
      <formula>#REF!="IO"</formula>
    </cfRule>
    <cfRule type="expression" dxfId="19352" priority="5862">
      <formula>#REF!="L"</formula>
    </cfRule>
    <cfRule type="expression" dxfId="19351" priority="5737">
      <formula>#REF!="TO"</formula>
    </cfRule>
    <cfRule type="expression" dxfId="19350" priority="5738">
      <formula>#REF!="IO"</formula>
    </cfRule>
    <cfRule type="expression" dxfId="19349" priority="5739">
      <formula>#REF!="L"</formula>
    </cfRule>
  </conditionalFormatting>
  <conditionalFormatting sqref="R32">
    <cfRule type="expression" dxfId="19348" priority="5854">
      <formula>#REF!="TO"</formula>
    </cfRule>
    <cfRule type="expression" dxfId="19347" priority="5855">
      <formula>#REF!="IO"</formula>
    </cfRule>
    <cfRule type="expression" dxfId="19346" priority="5856">
      <formula>#REF!="L"</formula>
    </cfRule>
    <cfRule type="expression" dxfId="19345" priority="5731">
      <formula>#REF!="TO"</formula>
    </cfRule>
    <cfRule type="expression" dxfId="19344" priority="5732">
      <formula>#REF!="IO"</formula>
    </cfRule>
    <cfRule type="expression" dxfId="19343" priority="5733">
      <formula>#REF!="L"</formula>
    </cfRule>
  </conditionalFormatting>
  <conditionalFormatting sqref="T32">
    <cfRule type="expression" dxfId="19342" priority="5701">
      <formula>#REF!="TO"</formula>
    </cfRule>
    <cfRule type="expression" dxfId="19341" priority="5702">
      <formula>#REF!="IO"</formula>
    </cfRule>
    <cfRule type="expression" dxfId="19340" priority="5703">
      <formula>#REF!="L"</formula>
    </cfRule>
    <cfRule type="expression" dxfId="19339" priority="5698">
      <formula>#REF!="TO"</formula>
    </cfRule>
    <cfRule type="expression" dxfId="19338" priority="5699">
      <formula>#REF!="IO"</formula>
    </cfRule>
    <cfRule type="expression" dxfId="19337" priority="5700">
      <formula>#REF!="L"</formula>
    </cfRule>
    <cfRule type="expression" dxfId="19336" priority="5695">
      <formula>#REF!="TO"</formula>
    </cfRule>
    <cfRule type="expression" dxfId="19335" priority="5696">
      <formula>#REF!="IO"</formula>
    </cfRule>
    <cfRule type="expression" dxfId="19334" priority="5697">
      <formula>#REF!="L"</formula>
    </cfRule>
    <cfRule type="expression" dxfId="19333" priority="5692">
      <formula>#REF!="TO"</formula>
    </cfRule>
    <cfRule type="expression" dxfId="19332" priority="5693">
      <formula>#REF!="IO"</formula>
    </cfRule>
    <cfRule type="expression" dxfId="19331" priority="5694">
      <formula>#REF!="L"</formula>
    </cfRule>
  </conditionalFormatting>
  <conditionalFormatting sqref="Q78:R86">
    <cfRule type="expression" dxfId="19330" priority="5635">
      <formula>#REF!="TO"</formula>
    </cfRule>
    <cfRule type="expression" dxfId="19329" priority="5636">
      <formula>#REF!="IO"</formula>
    </cfRule>
    <cfRule type="expression" dxfId="19328" priority="5637">
      <formula>#REF!="L"</formula>
    </cfRule>
    <cfRule type="expression" dxfId="19327" priority="5629">
      <formula>#REF!="TO"</formula>
    </cfRule>
    <cfRule type="expression" dxfId="19326" priority="5630">
      <formula>#REF!="IO"</formula>
    </cfRule>
    <cfRule type="expression" dxfId="19325" priority="5631">
      <formula>#REF!="L"</formula>
    </cfRule>
  </conditionalFormatting>
  <conditionalFormatting sqref="R78:R86">
    <cfRule type="expression" dxfId="19324" priority="5632">
      <formula>#REF!="TO"</formula>
    </cfRule>
    <cfRule type="expression" dxfId="19323" priority="5633">
      <formula>#REF!="IO"</formula>
    </cfRule>
    <cfRule type="expression" dxfId="19322" priority="5634">
      <formula>#REF!="L"</formula>
    </cfRule>
  </conditionalFormatting>
  <conditionalFormatting sqref="AO33">
    <cfRule type="expression" dxfId="19321" priority="5125">
      <formula>#REF!="TO"</formula>
    </cfRule>
    <cfRule type="expression" dxfId="19320" priority="5126">
      <formula>#REF!="IO"</formula>
    </cfRule>
    <cfRule type="expression" dxfId="19319" priority="5127">
      <formula>#REF!="L"</formula>
    </cfRule>
    <cfRule type="expression" dxfId="19318" priority="5122">
      <formula>#REF!="TO"</formula>
    </cfRule>
    <cfRule type="expression" dxfId="19317" priority="5123">
      <formula>#REF!="IO"</formula>
    </cfRule>
    <cfRule type="expression" dxfId="19316" priority="5124">
      <formula>#REF!="L"</formula>
    </cfRule>
  </conditionalFormatting>
  <conditionalFormatting sqref="AD33">
    <cfRule type="expression" dxfId="19315" priority="5131">
      <formula>#REF!="TO"</formula>
    </cfRule>
    <cfRule type="expression" dxfId="19314" priority="5132">
      <formula>#REF!="IO"</formula>
    </cfRule>
    <cfRule type="expression" dxfId="19313" priority="5133">
      <formula>#REF!="L"</formula>
    </cfRule>
    <cfRule type="expression" dxfId="19312" priority="5137">
      <formula>#REF!="TO"</formula>
    </cfRule>
    <cfRule type="expression" dxfId="19311" priority="5138">
      <formula>#REF!="IO"</formula>
    </cfRule>
    <cfRule type="expression" dxfId="19310" priority="5139">
      <formula>#REF!="L"</formula>
    </cfRule>
    <cfRule type="expression" dxfId="19309" priority="5134">
      <formula>#REF!="TO"</formula>
    </cfRule>
    <cfRule type="expression" dxfId="19308" priority="5135">
      <formula>#REF!="IO"</formula>
    </cfRule>
    <cfRule type="expression" dxfId="19307" priority="5136">
      <formula>#REF!="L"</formula>
    </cfRule>
    <cfRule type="expression" dxfId="19306" priority="5128">
      <formula>#REF!="TO"</formula>
    </cfRule>
    <cfRule type="expression" dxfId="19305" priority="5129">
      <formula>#REF!="IO"</formula>
    </cfRule>
    <cfRule type="expression" dxfId="19304" priority="5130">
      <formula>#REF!="L"</formula>
    </cfRule>
  </conditionalFormatting>
  <conditionalFormatting sqref="BN6">
    <cfRule type="expression" dxfId="19303" priority="4999">
      <formula>#REF!="TO"</formula>
    </cfRule>
    <cfRule type="expression" dxfId="19302" priority="5000">
      <formula>#REF!="IO"</formula>
    </cfRule>
    <cfRule type="expression" dxfId="19301" priority="5001">
      <formula>#REF!="L"</formula>
    </cfRule>
  </conditionalFormatting>
  <conditionalFormatting sqref="BE38:BE41">
    <cfRule type="expression" dxfId="19300" priority="5056">
      <formula>#REF!="TO"</formula>
    </cfRule>
    <cfRule type="expression" dxfId="19299" priority="5057">
      <formula>#REF!="IO"</formula>
    </cfRule>
    <cfRule type="expression" dxfId="19298" priority="5058">
      <formula>#REF!="L"</formula>
    </cfRule>
  </conditionalFormatting>
  <conditionalFormatting sqref="BD23:BE29">
    <cfRule type="expression" dxfId="19297" priority="5053">
      <formula>#REF!="TO"</formula>
    </cfRule>
    <cfRule type="expression" dxfId="19296" priority="5054">
      <formula>#REF!="IO"</formula>
    </cfRule>
    <cfRule type="expression" dxfId="19295" priority="5055">
      <formula>#REF!="L"</formula>
    </cfRule>
  </conditionalFormatting>
  <conditionalFormatting sqref="BB5">
    <cfRule type="expression" dxfId="19294" priority="5044">
      <formula>#REF!="TO"</formula>
    </cfRule>
    <cfRule type="expression" dxfId="19293" priority="5045">
      <formula>#REF!="IO"</formula>
    </cfRule>
    <cfRule type="expression" dxfId="19292" priority="5046">
      <formula>#REF!="L"</formula>
    </cfRule>
  </conditionalFormatting>
  <conditionalFormatting sqref="BC5:BE5">
    <cfRule type="expression" dxfId="19291" priority="5041">
      <formula>#REF!="TO"</formula>
    </cfRule>
    <cfRule type="expression" dxfId="19290" priority="5042">
      <formula>#REF!="IO"</formula>
    </cfRule>
    <cfRule type="expression" dxfId="19289" priority="5043">
      <formula>#REF!="L"</formula>
    </cfRule>
  </conditionalFormatting>
  <conditionalFormatting sqref="BR5">
    <cfRule type="expression" dxfId="19288" priority="5026">
      <formula>#REF!="TO"</formula>
    </cfRule>
    <cfRule type="expression" dxfId="19287" priority="5027">
      <formula>#REF!="IO"</formula>
    </cfRule>
    <cfRule type="expression" dxfId="19286" priority="5028">
      <formula>#REF!="L"</formula>
    </cfRule>
  </conditionalFormatting>
  <conditionalFormatting sqref="BO5">
    <cfRule type="expression" dxfId="19285" priority="5020">
      <formula>#REF!="TO"</formula>
    </cfRule>
    <cfRule type="expression" dxfId="19284" priority="5021">
      <formula>#REF!="IO"</formula>
    </cfRule>
    <cfRule type="expression" dxfId="19283" priority="5022">
      <formula>#REF!="L"</formula>
    </cfRule>
    <cfRule type="expression" dxfId="19282" priority="5023">
      <formula>AT5="TO"</formula>
    </cfRule>
    <cfRule type="expression" dxfId="19281" priority="5024">
      <formula>AT5="IO"</formula>
    </cfRule>
    <cfRule type="expression" dxfId="19280" priority="5025">
      <formula>AT5="L"</formula>
    </cfRule>
  </conditionalFormatting>
  <conditionalFormatting sqref="BC6:BE6">
    <cfRule type="expression" dxfId="19279" priority="5011">
      <formula>#REF!="TO"</formula>
    </cfRule>
    <cfRule type="expression" dxfId="19278" priority="5012">
      <formula>#REF!="IO"</formula>
    </cfRule>
    <cfRule type="expression" dxfId="19277" priority="5013">
      <formula>#REF!="L"</formula>
    </cfRule>
  </conditionalFormatting>
  <conditionalFormatting sqref="BL6">
    <cfRule type="expression" dxfId="19276" priority="5005">
      <formula>#REF!="TO"</formula>
    </cfRule>
    <cfRule type="expression" dxfId="19275" priority="5006">
      <formula>#REF!="IO"</formula>
    </cfRule>
    <cfRule type="expression" dxfId="19274" priority="5007">
      <formula>#REF!="L"</formula>
    </cfRule>
    <cfRule type="expression" dxfId="19273" priority="5008">
      <formula>AS6="TO"</formula>
    </cfRule>
    <cfRule type="expression" dxfId="19272" priority="5009">
      <formula>AS6="IO"</formula>
    </cfRule>
    <cfRule type="expression" dxfId="19271" priority="5010">
      <formula>AS6="L"</formula>
    </cfRule>
  </conditionalFormatting>
  <conditionalFormatting sqref="BR6">
    <cfRule type="expression" dxfId="19270" priority="4996">
      <formula>#REF!="TO"</formula>
    </cfRule>
    <cfRule type="expression" dxfId="19269" priority="4997">
      <formula>#REF!="IO"</formula>
    </cfRule>
    <cfRule type="expression" dxfId="19268" priority="4998">
      <formula>#REF!="L"</formula>
    </cfRule>
  </conditionalFormatting>
  <conditionalFormatting sqref="BR7">
    <cfRule type="expression" dxfId="19267" priority="4966">
      <formula>#REF!="TO"</formula>
    </cfRule>
    <cfRule type="expression" dxfId="19266" priority="4967">
      <formula>#REF!="IO"</formula>
    </cfRule>
    <cfRule type="expression" dxfId="19265" priority="4968">
      <formula>#REF!="L"</formula>
    </cfRule>
  </conditionalFormatting>
  <conditionalFormatting sqref="BO7">
    <cfRule type="expression" dxfId="19264" priority="4960">
      <formula>#REF!="TO"</formula>
    </cfRule>
    <cfRule type="expression" dxfId="19263" priority="4961">
      <formula>#REF!="IO"</formula>
    </cfRule>
    <cfRule type="expression" dxfId="19262" priority="4962">
      <formula>#REF!="L"</formula>
    </cfRule>
    <cfRule type="expression" dxfId="19261" priority="4963">
      <formula>AT7="TO"</formula>
    </cfRule>
    <cfRule type="expression" dxfId="19260" priority="4964">
      <formula>AT7="IO"</formula>
    </cfRule>
    <cfRule type="expression" dxfId="19259" priority="4965">
      <formula>AT7="L"</formula>
    </cfRule>
  </conditionalFormatting>
  <conditionalFormatting sqref="BB8">
    <cfRule type="expression" dxfId="19258" priority="4954">
      <formula>#REF!="TO"</formula>
    </cfRule>
    <cfRule type="expression" dxfId="19257" priority="4955">
      <formula>#REF!="IO"</formula>
    </cfRule>
    <cfRule type="expression" dxfId="19256" priority="4956">
      <formula>#REF!="L"</formula>
    </cfRule>
  </conditionalFormatting>
  <conditionalFormatting sqref="BC8:BE8">
    <cfRule type="expression" dxfId="19255" priority="4951">
      <formula>#REF!="TO"</formula>
    </cfRule>
    <cfRule type="expression" dxfId="19254" priority="4952">
      <formula>#REF!="IO"</formula>
    </cfRule>
    <cfRule type="expression" dxfId="19253" priority="4953">
      <formula>#REF!="L"</formula>
    </cfRule>
  </conditionalFormatting>
  <conditionalFormatting sqref="BL8">
    <cfRule type="expression" dxfId="19252" priority="4945">
      <formula>#REF!="TO"</formula>
    </cfRule>
    <cfRule type="expression" dxfId="19251" priority="4946">
      <formula>#REF!="IO"</formula>
    </cfRule>
    <cfRule type="expression" dxfId="19250" priority="4947">
      <formula>#REF!="L"</formula>
    </cfRule>
    <cfRule type="expression" dxfId="19249" priority="4948">
      <formula>AS8="TO"</formula>
    </cfRule>
    <cfRule type="expression" dxfId="19248" priority="4949">
      <formula>AS8="IO"</formula>
    </cfRule>
    <cfRule type="expression" dxfId="19247" priority="4950">
      <formula>AS8="L"</formula>
    </cfRule>
  </conditionalFormatting>
  <conditionalFormatting sqref="BN8">
    <cfRule type="expression" dxfId="19246" priority="4939">
      <formula>#REF!="TO"</formula>
    </cfRule>
    <cfRule type="expression" dxfId="19245" priority="4940">
      <formula>#REF!="IO"</formula>
    </cfRule>
    <cfRule type="expression" dxfId="19244" priority="4941">
      <formula>#REF!="L"</formula>
    </cfRule>
  </conditionalFormatting>
  <conditionalFormatting sqref="BR8">
    <cfRule type="expression" dxfId="19243" priority="4936">
      <formula>#REF!="TO"</formula>
    </cfRule>
    <cfRule type="expression" dxfId="19242" priority="4937">
      <formula>#REF!="IO"</formula>
    </cfRule>
    <cfRule type="expression" dxfId="19241" priority="4938">
      <formula>#REF!="L"</formula>
    </cfRule>
  </conditionalFormatting>
  <conditionalFormatting sqref="J33">
    <cfRule type="expression" dxfId="19240" priority="5158">
      <formula>#REF!="TO"</formula>
    </cfRule>
    <cfRule type="expression" dxfId="19239" priority="5159">
      <formula>#REF!="IO"</formula>
    </cfRule>
    <cfRule type="expression" dxfId="19238" priority="5160">
      <formula>#REF!="L"</formula>
    </cfRule>
    <cfRule type="expression" dxfId="19237" priority="5155">
      <formula>#REF!="TO"</formula>
    </cfRule>
    <cfRule type="expression" dxfId="19236" priority="5156">
      <formula>#REF!="IO"</formula>
    </cfRule>
    <cfRule type="expression" dxfId="19235" priority="5157">
      <formula>#REF!="L"</formula>
    </cfRule>
    <cfRule type="expression" dxfId="19234" priority="5161">
      <formula>#REF!="TO"</formula>
    </cfRule>
    <cfRule type="expression" dxfId="19233" priority="5162">
      <formula>#REF!="IO"</formula>
    </cfRule>
    <cfRule type="expression" dxfId="19232" priority="5163">
      <formula>#REF!="L"</formula>
    </cfRule>
    <cfRule type="expression" dxfId="19231" priority="5152">
      <formula>#REF!="TO"</formula>
    </cfRule>
    <cfRule type="expression" dxfId="19230" priority="5153">
      <formula>#REF!="IO"</formula>
    </cfRule>
    <cfRule type="expression" dxfId="19229" priority="5154">
      <formula>#REF!="L"</formula>
    </cfRule>
  </conditionalFormatting>
  <conditionalFormatting sqref="AK33">
    <cfRule type="expression" dxfId="19228" priority="5287">
      <formula>#REF!="TO"</formula>
    </cfRule>
    <cfRule type="expression" dxfId="19227" priority="5288">
      <formula>#REF!="IO"</formula>
    </cfRule>
    <cfRule type="expression" dxfId="19226" priority="5289">
      <formula>#REF!="L"</formula>
    </cfRule>
    <cfRule type="expression" dxfId="19225" priority="5413">
      <formula>#REF!="TO"</formula>
    </cfRule>
    <cfRule type="expression" dxfId="19224" priority="5414">
      <formula>#REF!="IO"</formula>
    </cfRule>
    <cfRule type="expression" dxfId="19223" priority="5415">
      <formula>#REF!="L"</formula>
    </cfRule>
    <cfRule type="expression" dxfId="19222" priority="5362">
      <formula>#REF!="TO"</formula>
    </cfRule>
    <cfRule type="expression" dxfId="19221" priority="5363">
      <formula>#REF!="IO"</formula>
    </cfRule>
    <cfRule type="expression" dxfId="19220" priority="5364">
      <formula>#REF!="L"</formula>
    </cfRule>
    <cfRule type="expression" dxfId="19219" priority="5239">
      <formula>#REF!="TO"</formula>
    </cfRule>
    <cfRule type="expression" dxfId="19218" priority="5240">
      <formula>#REF!="IO"</formula>
    </cfRule>
    <cfRule type="expression" dxfId="19217" priority="5241">
      <formula>#REF!="L"</formula>
    </cfRule>
  </conditionalFormatting>
  <conditionalFormatting sqref="S33 O33:P33 H33">
    <cfRule type="expression" dxfId="19216" priority="5398">
      <formula>#REF!="TO"</formula>
    </cfRule>
    <cfRule type="expression" dxfId="19215" priority="5399">
      <formula>#REF!="IO"</formula>
    </cfRule>
    <cfRule type="expression" dxfId="19214" priority="5400">
      <formula>#REF!="L"</formula>
    </cfRule>
  </conditionalFormatting>
  <conditionalFormatting sqref="A33">
    <cfRule type="expression" dxfId="19213" priority="5446">
      <formula>#REF!="TO"</formula>
    </cfRule>
    <cfRule type="expression" dxfId="19212" priority="5447">
      <formula>#REF!="IO"</formula>
    </cfRule>
    <cfRule type="expression" dxfId="19211" priority="5448">
      <formula>#REF!="L"</formula>
    </cfRule>
    <cfRule type="expression" dxfId="19210" priority="5320">
      <formula>#REF!="TO"</formula>
    </cfRule>
    <cfRule type="expression" dxfId="19209" priority="5321">
      <formula>#REF!="IO"</formula>
    </cfRule>
    <cfRule type="expression" dxfId="19208" priority="5322">
      <formula>#REF!="L"</formula>
    </cfRule>
  </conditionalFormatting>
  <conditionalFormatting sqref="B33">
    <cfRule type="expression" dxfId="19207" priority="5443">
      <formula>#REF!="TO"</formula>
    </cfRule>
    <cfRule type="expression" dxfId="19206" priority="5444">
      <formula>#REF!="IO"</formula>
    </cfRule>
    <cfRule type="expression" dxfId="19205" priority="5445">
      <formula>#REF!="L"</formula>
    </cfRule>
    <cfRule type="expression" dxfId="19204" priority="5383">
      <formula>#REF!="TO"</formula>
    </cfRule>
    <cfRule type="expression" dxfId="19203" priority="5384">
      <formula>#REF!="IO"</formula>
    </cfRule>
    <cfRule type="expression" dxfId="19202" priority="5385">
      <formula>#REF!="L"</formula>
    </cfRule>
    <cfRule type="expression" dxfId="19201" priority="5317">
      <formula>#REF!="TO"</formula>
    </cfRule>
    <cfRule type="expression" dxfId="19200" priority="5318">
      <formula>#REF!="IO"</formula>
    </cfRule>
    <cfRule type="expression" dxfId="19199" priority="5319">
      <formula>#REF!="L"</formula>
    </cfRule>
    <cfRule type="expression" dxfId="19198" priority="5260">
      <formula>#REF!="TO"</formula>
    </cfRule>
    <cfRule type="expression" dxfId="19197" priority="5261">
      <formula>#REF!="IO"</formula>
    </cfRule>
    <cfRule type="expression" dxfId="19196" priority="5262">
      <formula>#REF!="L"</formula>
    </cfRule>
  </conditionalFormatting>
  <conditionalFormatting sqref="G33">
    <cfRule type="expression" dxfId="19195" priority="5440">
      <formula>#REF!="TO"</formula>
    </cfRule>
    <cfRule type="expression" dxfId="19194" priority="5441">
      <formula>#REF!="IO"</formula>
    </cfRule>
    <cfRule type="expression" dxfId="19193" priority="5442">
      <formula>#REF!="L"</formula>
    </cfRule>
    <cfRule type="expression" dxfId="19192" priority="5380">
      <formula>#REF!="TO"</formula>
    </cfRule>
    <cfRule type="expression" dxfId="19191" priority="5381">
      <formula>#REF!="IO"</formula>
    </cfRule>
    <cfRule type="expression" dxfId="19190" priority="5382">
      <formula>#REF!="L"</formula>
    </cfRule>
    <cfRule type="expression" dxfId="19189" priority="5314">
      <formula>#REF!="TO"</formula>
    </cfRule>
    <cfRule type="expression" dxfId="19188" priority="5315">
      <formula>#REF!="IO"</formula>
    </cfRule>
    <cfRule type="expression" dxfId="19187" priority="5316">
      <formula>#REF!="L"</formula>
    </cfRule>
    <cfRule type="expression" dxfId="19186" priority="5257">
      <formula>#REF!="TO"</formula>
    </cfRule>
    <cfRule type="expression" dxfId="19185" priority="5258">
      <formula>#REF!="IO"</formula>
    </cfRule>
    <cfRule type="expression" dxfId="19184" priority="5259">
      <formula>#REF!="L"</formula>
    </cfRule>
  </conditionalFormatting>
  <conditionalFormatting sqref="K33">
    <cfRule type="expression" dxfId="19183" priority="5437">
      <formula>#REF!="TO"</formula>
    </cfRule>
    <cfRule type="expression" dxfId="19182" priority="5438">
      <formula>#REF!="IO"</formula>
    </cfRule>
    <cfRule type="expression" dxfId="19181" priority="5439">
      <formula>#REF!="L"</formula>
    </cfRule>
    <cfRule type="expression" dxfId="19180" priority="5311">
      <formula>#REF!="TO"</formula>
    </cfRule>
    <cfRule type="expression" dxfId="19179" priority="5312">
      <formula>#REF!="IO"</formula>
    </cfRule>
    <cfRule type="expression" dxfId="19178" priority="5313">
      <formula>#REF!="L"</formula>
    </cfRule>
  </conditionalFormatting>
  <conditionalFormatting sqref="E33">
    <cfRule type="expression" dxfId="19177" priority="5434">
      <formula>#REF!="TO"</formula>
    </cfRule>
    <cfRule type="expression" dxfId="19176" priority="5435">
      <formula>#REF!="IO"</formula>
    </cfRule>
    <cfRule type="expression" dxfId="19175" priority="5436">
      <formula>#REF!="L"</formula>
    </cfRule>
    <cfRule type="expression" dxfId="19174" priority="5377">
      <formula>#REF!="TO"</formula>
    </cfRule>
    <cfRule type="expression" dxfId="19173" priority="5378">
      <formula>#REF!="IO"</formula>
    </cfRule>
    <cfRule type="expression" dxfId="19172" priority="5379">
      <formula>#REF!="L"</formula>
    </cfRule>
    <cfRule type="expression" dxfId="19171" priority="5308">
      <formula>#REF!="TO"</formula>
    </cfRule>
    <cfRule type="expression" dxfId="19170" priority="5309">
      <formula>#REF!="IO"</formula>
    </cfRule>
    <cfRule type="expression" dxfId="19169" priority="5310">
      <formula>#REF!="L"</formula>
    </cfRule>
    <cfRule type="expression" dxfId="19168" priority="5254">
      <formula>#REF!="TO"</formula>
    </cfRule>
    <cfRule type="expression" dxfId="19167" priority="5255">
      <formula>#REF!="IO"</formula>
    </cfRule>
    <cfRule type="expression" dxfId="19166" priority="5256">
      <formula>#REF!="L"</formula>
    </cfRule>
  </conditionalFormatting>
  <conditionalFormatting sqref="AJ33">
    <cfRule type="expression" dxfId="19165" priority="5416">
      <formula>#REF!="TO"</formula>
    </cfRule>
    <cfRule type="expression" dxfId="19164" priority="5417">
      <formula>#REF!="IO"</formula>
    </cfRule>
    <cfRule type="expression" dxfId="19163" priority="5418">
      <formula>#REF!="L"</formula>
    </cfRule>
    <cfRule type="expression" dxfId="19162" priority="5365">
      <formula>#REF!="TO"</formula>
    </cfRule>
    <cfRule type="expression" dxfId="19161" priority="5366">
      <formula>#REF!="IO"</formula>
    </cfRule>
    <cfRule type="expression" dxfId="19160" priority="5367">
      <formula>#REF!="L"</formula>
    </cfRule>
    <cfRule type="expression" dxfId="19159" priority="5290">
      <formula>#REF!="TO"</formula>
    </cfRule>
    <cfRule type="expression" dxfId="19158" priority="5291">
      <formula>#REF!="IO"</formula>
    </cfRule>
    <cfRule type="expression" dxfId="19157" priority="5292">
      <formula>#REF!="L"</formula>
    </cfRule>
    <cfRule type="expression" dxfId="19156" priority="5242">
      <formula>#REF!="TO"</formula>
    </cfRule>
    <cfRule type="expression" dxfId="19155" priority="5243">
      <formula>#REF!="IO"</formula>
    </cfRule>
    <cfRule type="expression" dxfId="19154" priority="5244">
      <formula>#REF!="L"</formula>
    </cfRule>
  </conditionalFormatting>
  <conditionalFormatting sqref="N33:P33">
    <cfRule type="expression" dxfId="19153" priority="5431">
      <formula>#REF!="TO"</formula>
    </cfRule>
    <cfRule type="expression" dxfId="19152" priority="5432">
      <formula>#REF!="IO"</formula>
    </cfRule>
    <cfRule type="expression" dxfId="19151" priority="5433">
      <formula>#REF!="L"</formula>
    </cfRule>
    <cfRule type="expression" dxfId="19150" priority="5374">
      <formula>#REF!="TO"</formula>
    </cfRule>
    <cfRule type="expression" dxfId="19149" priority="5375">
      <formula>#REF!="IO"</formula>
    </cfRule>
    <cfRule type="expression" dxfId="19148" priority="5376">
      <formula>#REF!="L"</formula>
    </cfRule>
    <cfRule type="expression" dxfId="19147" priority="5305">
      <formula>#REF!="TO"</formula>
    </cfRule>
    <cfRule type="expression" dxfId="19146" priority="5306">
      <formula>#REF!="IO"</formula>
    </cfRule>
    <cfRule type="expression" dxfId="19145" priority="5307">
      <formula>#REF!="L"</formula>
    </cfRule>
    <cfRule type="expression" dxfId="19144" priority="5251">
      <formula>#REF!="TO"</formula>
    </cfRule>
    <cfRule type="expression" dxfId="19143" priority="5252">
      <formula>#REF!="IO"</formula>
    </cfRule>
    <cfRule type="expression" dxfId="19142" priority="5253">
      <formula>#REF!="L"</formula>
    </cfRule>
  </conditionalFormatting>
  <conditionalFormatting sqref="V33">
    <cfRule type="expression" dxfId="19141" priority="5428">
      <formula>#REF!="TO"</formula>
    </cfRule>
    <cfRule type="expression" dxfId="19140" priority="5429">
      <formula>#REF!="IO"</formula>
    </cfRule>
    <cfRule type="expression" dxfId="19139" priority="5430">
      <formula>#REF!="L"</formula>
    </cfRule>
    <cfRule type="expression" dxfId="19138" priority="5302">
      <formula>#REF!="TO"</formula>
    </cfRule>
    <cfRule type="expression" dxfId="19137" priority="5303">
      <formula>#REF!="IO"</formula>
    </cfRule>
    <cfRule type="expression" dxfId="19136" priority="5304">
      <formula>#REF!="L"</formula>
    </cfRule>
  </conditionalFormatting>
  <conditionalFormatting sqref="X33">
    <cfRule type="expression" dxfId="19135" priority="5425">
      <formula>#REF!="TO"</formula>
    </cfRule>
    <cfRule type="expression" dxfId="19134" priority="5426">
      <formula>#REF!="IO"</formula>
    </cfRule>
    <cfRule type="expression" dxfId="19133" priority="5427">
      <formula>#REF!="L"</formula>
    </cfRule>
    <cfRule type="expression" dxfId="19132" priority="5371">
      <formula>#REF!="TO"</formula>
    </cfRule>
    <cfRule type="expression" dxfId="19131" priority="5372">
      <formula>#REF!="IO"</formula>
    </cfRule>
    <cfRule type="expression" dxfId="19130" priority="5373">
      <formula>#REF!="L"</formula>
    </cfRule>
    <cfRule type="expression" dxfId="19129" priority="5299">
      <formula>#REF!="TO"</formula>
    </cfRule>
    <cfRule type="expression" dxfId="19128" priority="5300">
      <formula>#REF!="IO"</formula>
    </cfRule>
    <cfRule type="expression" dxfId="19127" priority="5301">
      <formula>#REF!="L"</formula>
    </cfRule>
    <cfRule type="expression" dxfId="19126" priority="5248">
      <formula>#REF!="TO"</formula>
    </cfRule>
    <cfRule type="expression" dxfId="19125" priority="5249">
      <formula>#REF!="IO"</formula>
    </cfRule>
    <cfRule type="expression" dxfId="19124" priority="5250">
      <formula>#REF!="L"</formula>
    </cfRule>
  </conditionalFormatting>
  <conditionalFormatting sqref="Y33">
    <cfRule type="expression" dxfId="19123" priority="5422">
      <formula>#REF!="TO"</formula>
    </cfRule>
    <cfRule type="expression" dxfId="19122" priority="5423">
      <formula>#REF!="IO"</formula>
    </cfRule>
    <cfRule type="expression" dxfId="19121" priority="5424">
      <formula>#REF!="L"</formula>
    </cfRule>
    <cfRule type="expression" dxfId="19120" priority="5368">
      <formula>#REF!="TO"</formula>
    </cfRule>
    <cfRule type="expression" dxfId="19119" priority="5369">
      <formula>#REF!="IO"</formula>
    </cfRule>
    <cfRule type="expression" dxfId="19118" priority="5370">
      <formula>#REF!="L"</formula>
    </cfRule>
    <cfRule type="expression" dxfId="19117" priority="5245">
      <formula>#REF!="TO"</formula>
    </cfRule>
    <cfRule type="expression" dxfId="19116" priority="5246">
      <formula>#REF!="IO"</formula>
    </cfRule>
    <cfRule type="expression" dxfId="19115" priority="5247">
      <formula>#REF!="L"</formula>
    </cfRule>
    <cfRule type="expression" dxfId="19114" priority="5296">
      <formula>#REF!="TO"</formula>
    </cfRule>
    <cfRule type="expression" dxfId="19113" priority="5297">
      <formula>#REF!="IO"</formula>
    </cfRule>
    <cfRule type="expression" dxfId="19112" priority="5298">
      <formula>#REF!="L"</formula>
    </cfRule>
  </conditionalFormatting>
  <conditionalFormatting sqref="AH33">
    <cfRule type="expression" dxfId="19111" priority="5419">
      <formula>#REF!="TO"</formula>
    </cfRule>
    <cfRule type="expression" dxfId="19110" priority="5420">
      <formula>#REF!="IO"</formula>
    </cfRule>
    <cfRule type="expression" dxfId="19109" priority="5421">
      <formula>#REF!="L"</formula>
    </cfRule>
    <cfRule type="expression" dxfId="19108" priority="5293">
      <formula>#REF!="TO"</formula>
    </cfRule>
    <cfRule type="expression" dxfId="19107" priority="5294">
      <formula>#REF!="IO"</formula>
    </cfRule>
    <cfRule type="expression" dxfId="19106" priority="5295">
      <formula>#REF!="L"</formula>
    </cfRule>
  </conditionalFormatting>
  <conditionalFormatting sqref="AM33">
    <cfRule type="expression" dxfId="19105" priority="5410">
      <formula>#REF!="TO"</formula>
    </cfRule>
    <cfRule type="expression" dxfId="19104" priority="5411">
      <formula>#REF!="IO"</formula>
    </cfRule>
    <cfRule type="expression" dxfId="19103" priority="5412">
      <formula>#REF!="L"</formula>
    </cfRule>
    <cfRule type="expression" dxfId="19102" priority="5284">
      <formula>#REF!="TO"</formula>
    </cfRule>
    <cfRule type="expression" dxfId="19101" priority="5285">
      <formula>#REF!="IO"</formula>
    </cfRule>
    <cfRule type="expression" dxfId="19100" priority="5286">
      <formula>#REF!="L"</formula>
    </cfRule>
  </conditionalFormatting>
  <conditionalFormatting sqref="AQ33">
    <cfRule type="expression" dxfId="19099" priority="5407">
      <formula>#REF!="TO"</formula>
    </cfRule>
    <cfRule type="expression" dxfId="19098" priority="5408">
      <formula>#REF!="IO"</formula>
    </cfRule>
    <cfRule type="expression" dxfId="19097" priority="5409">
      <formula>#REF!="L"</formula>
    </cfRule>
    <cfRule type="expression" dxfId="19096" priority="5404">
      <formula>#REF!="TO"</formula>
    </cfRule>
    <cfRule type="expression" dxfId="19095" priority="5405">
      <formula>#REF!="IO"</formula>
    </cfRule>
    <cfRule type="expression" dxfId="19094" priority="5406">
      <formula>#REF!="L"</formula>
    </cfRule>
    <cfRule type="expression" dxfId="19093" priority="5281">
      <formula>#REF!="TO"</formula>
    </cfRule>
    <cfRule type="expression" dxfId="19092" priority="5282">
      <formula>#REF!="IO"</formula>
    </cfRule>
    <cfRule type="expression" dxfId="19091" priority="5283">
      <formula>#REF!="L"</formula>
    </cfRule>
    <cfRule type="expression" dxfId="19090" priority="5278">
      <formula>#REF!="TO"</formula>
    </cfRule>
    <cfRule type="expression" dxfId="19089" priority="5279">
      <formula>#REF!="IO"</formula>
    </cfRule>
    <cfRule type="expression" dxfId="19088" priority="5280">
      <formula>#REF!="L"</formula>
    </cfRule>
  </conditionalFormatting>
  <conditionalFormatting sqref="AR33">
    <cfRule type="expression" dxfId="19087" priority="5401">
      <formula>#REF!="TO"</formula>
    </cfRule>
    <cfRule type="expression" dxfId="19086" priority="5402">
      <formula>#REF!="IO"</formula>
    </cfRule>
    <cfRule type="expression" dxfId="19085" priority="5403">
      <formula>#REF!="L"</formula>
    </cfRule>
    <cfRule type="expression" dxfId="19084" priority="5275">
      <formula>#REF!="TO"</formula>
    </cfRule>
    <cfRule type="expression" dxfId="19083" priority="5276">
      <formula>#REF!="IO"</formula>
    </cfRule>
    <cfRule type="expression" dxfId="19082" priority="5277">
      <formula>#REF!="L"</formula>
    </cfRule>
  </conditionalFormatting>
  <conditionalFormatting sqref="S33">
    <cfRule type="expression" dxfId="19081" priority="5392">
      <formula>#REF!="TO"</formula>
    </cfRule>
    <cfRule type="expression" dxfId="19080" priority="5393">
      <formula>#REF!="IO"</formula>
    </cfRule>
    <cfRule type="expression" dxfId="19079" priority="5394">
      <formula>#REF!="L"</formula>
    </cfRule>
    <cfRule type="expression" dxfId="19078" priority="5269">
      <formula>#REF!="TO"</formula>
    </cfRule>
    <cfRule type="expression" dxfId="19077" priority="5270">
      <formula>#REF!="IO"</formula>
    </cfRule>
    <cfRule type="expression" dxfId="19076" priority="5271">
      <formula>#REF!="L"</formula>
    </cfRule>
  </conditionalFormatting>
  <conditionalFormatting sqref="O33:P33">
    <cfRule type="expression" dxfId="19075" priority="5395">
      <formula>#REF!="TO"</formula>
    </cfRule>
    <cfRule type="expression" dxfId="19074" priority="5396">
      <formula>#REF!="IO"</formula>
    </cfRule>
    <cfRule type="expression" dxfId="19073" priority="5397">
      <formula>#REF!="L"</formula>
    </cfRule>
    <cfRule type="expression" dxfId="19072" priority="5272">
      <formula>#REF!="TO"</formula>
    </cfRule>
    <cfRule type="expression" dxfId="19071" priority="5273">
      <formula>#REF!="IO"</formula>
    </cfRule>
    <cfRule type="expression" dxfId="19070" priority="5274">
      <formula>#REF!="L"</formula>
    </cfRule>
  </conditionalFormatting>
  <conditionalFormatting sqref="AT33">
    <cfRule type="expression" dxfId="19069" priority="5389">
      <formula>#REF!="TO"</formula>
    </cfRule>
    <cfRule type="expression" dxfId="19068" priority="5390">
      <formula>#REF!="IO"</formula>
    </cfRule>
    <cfRule type="expression" dxfId="19067" priority="5391">
      <formula>#REF!="L"</formula>
    </cfRule>
    <cfRule type="expression" dxfId="19066" priority="5266">
      <formula>#REF!="TO"</formula>
    </cfRule>
    <cfRule type="expression" dxfId="19065" priority="5267">
      <formula>#REF!="IO"</formula>
    </cfRule>
    <cfRule type="expression" dxfId="19064" priority="5268">
      <formula>#REF!="L"</formula>
    </cfRule>
  </conditionalFormatting>
  <conditionalFormatting sqref="AF33">
    <cfRule type="expression" dxfId="19063" priority="5386">
      <formula>#REF!="TO"</formula>
    </cfRule>
    <cfRule type="expression" dxfId="19062" priority="5387">
      <formula>#REF!="IO"</formula>
    </cfRule>
    <cfRule type="expression" dxfId="19061" priority="5388">
      <formula>#REF!="L"</formula>
    </cfRule>
    <cfRule type="expression" dxfId="19060" priority="5347">
      <formula>#REF!="TO"</formula>
    </cfRule>
    <cfRule type="expression" dxfId="19059" priority="5348">
      <formula>#REF!="IO"</formula>
    </cfRule>
    <cfRule type="expression" dxfId="19058" priority="5349">
      <formula>#REF!="L"</formula>
    </cfRule>
    <cfRule type="expression" dxfId="19057" priority="5263">
      <formula>#REF!="TO"</formula>
    </cfRule>
    <cfRule type="expression" dxfId="19056" priority="5264">
      <formula>#REF!="IO"</formula>
    </cfRule>
    <cfRule type="expression" dxfId="19055" priority="5265">
      <formula>#REF!="L"</formula>
    </cfRule>
    <cfRule type="expression" dxfId="19054" priority="5224">
      <formula>#REF!="TO"</formula>
    </cfRule>
    <cfRule type="expression" dxfId="19053" priority="5225">
      <formula>#REF!="IO"</formula>
    </cfRule>
    <cfRule type="expression" dxfId="19052" priority="5226">
      <formula>#REF!="L"</formula>
    </cfRule>
  </conditionalFormatting>
  <conditionalFormatting sqref="Z33">
    <cfRule type="expression" dxfId="19051" priority="5356">
      <formula>#REF!="TO"</formula>
    </cfRule>
    <cfRule type="expression" dxfId="19050" priority="5357">
      <formula>#REF!="IO"</formula>
    </cfRule>
    <cfRule type="expression" dxfId="19049" priority="5358">
      <formula>#REF!="L"</formula>
    </cfRule>
    <cfRule type="expression" dxfId="19048" priority="5359">
      <formula>H33="TO"</formula>
    </cfRule>
    <cfRule type="expression" dxfId="19047" priority="5360">
      <formula>H33="IO"</formula>
    </cfRule>
    <cfRule type="expression" dxfId="19046" priority="5361">
      <formula>H33="L"</formula>
    </cfRule>
    <cfRule type="expression" dxfId="19045" priority="5233">
      <formula>#REF!="TO"</formula>
    </cfRule>
    <cfRule type="expression" dxfId="19044" priority="5234">
      <formula>#REF!="IO"</formula>
    </cfRule>
    <cfRule type="expression" dxfId="19043" priority="5235">
      <formula>#REF!="L"</formula>
    </cfRule>
    <cfRule type="expression" dxfId="19042" priority="5236">
      <formula>H33="TO"</formula>
    </cfRule>
    <cfRule type="expression" dxfId="19041" priority="5237">
      <formula>H33="IO"</formula>
    </cfRule>
    <cfRule type="expression" dxfId="19040" priority="5238">
      <formula>H33="L"</formula>
    </cfRule>
  </conditionalFormatting>
  <conditionalFormatting sqref="AE33">
    <cfRule type="expression" dxfId="19039" priority="5350">
      <formula>#REF!="TO"</formula>
    </cfRule>
    <cfRule type="expression" dxfId="19038" priority="5351">
      <formula>#REF!="IO"</formula>
    </cfRule>
    <cfRule type="expression" dxfId="19037" priority="5352">
      <formula>#REF!="L"</formula>
    </cfRule>
    <cfRule type="expression" dxfId="19036" priority="5353">
      <formula>E33="TO"</formula>
    </cfRule>
    <cfRule type="expression" dxfId="19035" priority="5354">
      <formula>E33="IO"</formula>
    </cfRule>
    <cfRule type="expression" dxfId="19034" priority="5355">
      <formula>E33="L"</formula>
    </cfRule>
    <cfRule type="expression" dxfId="19033" priority="5227">
      <formula>#REF!="TO"</formula>
    </cfRule>
    <cfRule type="expression" dxfId="19032" priority="5228">
      <formula>#REF!="IO"</formula>
    </cfRule>
    <cfRule type="expression" dxfId="19031" priority="5229">
      <formula>#REF!="L"</formula>
    </cfRule>
    <cfRule type="expression" dxfId="19030" priority="5230">
      <formula>E33="TO"</formula>
    </cfRule>
    <cfRule type="expression" dxfId="19029" priority="5231">
      <formula>E33="IO"</formula>
    </cfRule>
    <cfRule type="expression" dxfId="19028" priority="5232">
      <formula>E33="L"</formula>
    </cfRule>
  </conditionalFormatting>
  <conditionalFormatting sqref="M33">
    <cfRule type="expression" dxfId="19027" priority="5344">
      <formula>#REF!="TO"</formula>
    </cfRule>
    <cfRule type="expression" dxfId="19026" priority="5345">
      <formula>#REF!="IO"</formula>
    </cfRule>
    <cfRule type="expression" dxfId="19025" priority="5346">
      <formula>#REF!="L"</formula>
    </cfRule>
    <cfRule type="expression" dxfId="19024" priority="5221">
      <formula>#REF!="TO"</formula>
    </cfRule>
    <cfRule type="expression" dxfId="19023" priority="5222">
      <formula>#REF!="IO"</formula>
    </cfRule>
    <cfRule type="expression" dxfId="19022" priority="5223">
      <formula>#REF!="L"</formula>
    </cfRule>
  </conditionalFormatting>
  <conditionalFormatting sqref="Q33">
    <cfRule type="expression" dxfId="19021" priority="5341">
      <formula>#REF!="TO"</formula>
    </cfRule>
    <cfRule type="expression" dxfId="19020" priority="5342">
      <formula>#REF!="IO"</formula>
    </cfRule>
    <cfRule type="expression" dxfId="19019" priority="5343">
      <formula>#REF!="L"</formula>
    </cfRule>
    <cfRule type="expression" dxfId="19018" priority="5218">
      <formula>#REF!="TO"</formula>
    </cfRule>
    <cfRule type="expression" dxfId="19017" priority="5219">
      <formula>#REF!="IO"</formula>
    </cfRule>
    <cfRule type="expression" dxfId="19016" priority="5220">
      <formula>#REF!="L"</formula>
    </cfRule>
  </conditionalFormatting>
  <conditionalFormatting sqref="R33">
    <cfRule type="expression" dxfId="19015" priority="5338">
      <formula>#REF!="TO"</formula>
    </cfRule>
    <cfRule type="expression" dxfId="19014" priority="5339">
      <formula>#REF!="IO"</formula>
    </cfRule>
    <cfRule type="expression" dxfId="19013" priority="5340">
      <formula>#REF!="L"</formula>
    </cfRule>
    <cfRule type="expression" dxfId="19012" priority="5215">
      <formula>#REF!="TO"</formula>
    </cfRule>
    <cfRule type="expression" dxfId="19011" priority="5216">
      <formula>#REF!="IO"</formula>
    </cfRule>
    <cfRule type="expression" dxfId="19010" priority="5217">
      <formula>#REF!="L"</formula>
    </cfRule>
  </conditionalFormatting>
  <conditionalFormatting sqref="P33">
    <cfRule type="expression" dxfId="19009" priority="5335">
      <formula>#REF!="TO"</formula>
    </cfRule>
    <cfRule type="expression" dxfId="19008" priority="5336">
      <formula>#REF!="IO"</formula>
    </cfRule>
    <cfRule type="expression" dxfId="19007" priority="5337">
      <formula>#REF!="L"</formula>
    </cfRule>
    <cfRule type="expression" dxfId="19006" priority="5212">
      <formula>#REF!="TO"</formula>
    </cfRule>
    <cfRule type="expression" dxfId="19005" priority="5213">
      <formula>#REF!="IO"</formula>
    </cfRule>
    <cfRule type="expression" dxfId="19004" priority="5214">
      <formula>#REF!="L"</formula>
    </cfRule>
  </conditionalFormatting>
  <conditionalFormatting sqref="AA33">
    <cfRule type="expression" dxfId="19003" priority="5329">
      <formula>#REF!="TO"</formula>
    </cfRule>
    <cfRule type="expression" dxfId="19002" priority="5330">
      <formula>#REF!="IO"</formula>
    </cfRule>
    <cfRule type="expression" dxfId="19001" priority="5331">
      <formula>#REF!="L"</formula>
    </cfRule>
    <cfRule type="expression" dxfId="19000" priority="5332">
      <formula>#REF!="TO"</formula>
    </cfRule>
    <cfRule type="expression" dxfId="18999" priority="5333">
      <formula>#REF!="IO"</formula>
    </cfRule>
    <cfRule type="expression" dxfId="18998" priority="5334">
      <formula>#REF!="L"</formula>
    </cfRule>
    <cfRule type="expression" dxfId="18997" priority="5209">
      <formula>#REF!="TO"</formula>
    </cfRule>
    <cfRule type="expression" dxfId="18996" priority="5210">
      <formula>#REF!="IO"</formula>
    </cfRule>
    <cfRule type="expression" dxfId="18995" priority="5211">
      <formula>#REF!="L"</formula>
    </cfRule>
    <cfRule type="expression" dxfId="18994" priority="5206">
      <formula>#REF!="TO"</formula>
    </cfRule>
    <cfRule type="expression" dxfId="18993" priority="5207">
      <formula>#REF!="IO"</formula>
    </cfRule>
    <cfRule type="expression" dxfId="18992" priority="5208">
      <formula>#REF!="L"</formula>
    </cfRule>
  </conditionalFormatting>
  <conditionalFormatting sqref="AB33:AD33">
    <cfRule type="expression" dxfId="18991" priority="5326">
      <formula>#REF!="TO"</formula>
    </cfRule>
    <cfRule type="expression" dxfId="18990" priority="5327">
      <formula>#REF!="IO"</formula>
    </cfRule>
    <cfRule type="expression" dxfId="18989" priority="5328">
      <formula>#REF!="L"</formula>
    </cfRule>
    <cfRule type="expression" dxfId="18988" priority="5323">
      <formula>#REF!="TO"</formula>
    </cfRule>
    <cfRule type="expression" dxfId="18987" priority="5324">
      <formula>#REF!="IO"</formula>
    </cfRule>
    <cfRule type="expression" dxfId="18986" priority="5325">
      <formula>#REF!="L"</formula>
    </cfRule>
    <cfRule type="expression" dxfId="18985" priority="5203">
      <formula>#REF!="TO"</formula>
    </cfRule>
    <cfRule type="expression" dxfId="18984" priority="5204">
      <formula>#REF!="IO"</formula>
    </cfRule>
    <cfRule type="expression" dxfId="18983" priority="5205">
      <formula>#REF!="L"</formula>
    </cfRule>
    <cfRule type="expression" dxfId="18982" priority="5200">
      <formula>#REF!="TO"</formula>
    </cfRule>
    <cfRule type="expression" dxfId="18981" priority="5201">
      <formula>#REF!="IO"</formula>
    </cfRule>
    <cfRule type="expression" dxfId="18980" priority="5202">
      <formula>#REF!="L"</formula>
    </cfRule>
  </conditionalFormatting>
  <conditionalFormatting sqref="U33">
    <cfRule type="expression" dxfId="18979" priority="5197">
      <formula>#REF!="TO"</formula>
    </cfRule>
    <cfRule type="expression" dxfId="18978" priority="5198">
      <formula>#REF!="IO"</formula>
    </cfRule>
    <cfRule type="expression" dxfId="18977" priority="5199">
      <formula>#REF!="L"</formula>
    </cfRule>
    <cfRule type="expression" dxfId="18976" priority="5194">
      <formula>#REF!="TO"</formula>
    </cfRule>
    <cfRule type="expression" dxfId="18975" priority="5195">
      <formula>#REF!="IO"</formula>
    </cfRule>
    <cfRule type="expression" dxfId="18974" priority="5196">
      <formula>#REF!="L"</formula>
    </cfRule>
    <cfRule type="expression" dxfId="18973" priority="5191">
      <formula>#REF!="TO"</formula>
    </cfRule>
    <cfRule type="expression" dxfId="18972" priority="5192">
      <formula>#REF!="IO"</formula>
    </cfRule>
    <cfRule type="expression" dxfId="18971" priority="5193">
      <formula>#REF!="L"</formula>
    </cfRule>
    <cfRule type="expression" dxfId="18970" priority="5188">
      <formula>#REF!="TO"</formula>
    </cfRule>
    <cfRule type="expression" dxfId="18969" priority="5189">
      <formula>#REF!="IO"</formula>
    </cfRule>
    <cfRule type="expression" dxfId="18968" priority="5190">
      <formula>#REF!="L"</formula>
    </cfRule>
  </conditionalFormatting>
  <conditionalFormatting sqref="T33">
    <cfRule type="expression" dxfId="18967" priority="5185">
      <formula>#REF!="TO"</formula>
    </cfRule>
    <cfRule type="expression" dxfId="18966" priority="5186">
      <formula>#REF!="IO"</formula>
    </cfRule>
    <cfRule type="expression" dxfId="18965" priority="5187">
      <formula>#REF!="L"</formula>
    </cfRule>
    <cfRule type="expression" dxfId="18964" priority="5182">
      <formula>#REF!="TO"</formula>
    </cfRule>
    <cfRule type="expression" dxfId="18963" priority="5183">
      <formula>#REF!="IO"</formula>
    </cfRule>
    <cfRule type="expression" dxfId="18962" priority="5184">
      <formula>#REF!="L"</formula>
    </cfRule>
    <cfRule type="expression" dxfId="18961" priority="5179">
      <formula>#REF!="TO"</formula>
    </cfRule>
    <cfRule type="expression" dxfId="18960" priority="5180">
      <formula>#REF!="IO"</formula>
    </cfRule>
    <cfRule type="expression" dxfId="18959" priority="5181">
      <formula>#REF!="L"</formula>
    </cfRule>
    <cfRule type="expression" dxfId="18958" priority="5176">
      <formula>#REF!="TO"</formula>
    </cfRule>
    <cfRule type="expression" dxfId="18957" priority="5177">
      <formula>#REF!="IO"</formula>
    </cfRule>
    <cfRule type="expression" dxfId="18956" priority="5178">
      <formula>#REF!="L"</formula>
    </cfRule>
  </conditionalFormatting>
  <conditionalFormatting sqref="C33">
    <cfRule type="expression" dxfId="18955" priority="5173">
      <formula>#REF!="TO"</formula>
    </cfRule>
    <cfRule type="expression" dxfId="18954" priority="5174">
      <formula>#REF!="IO"</formula>
    </cfRule>
    <cfRule type="expression" dxfId="18953" priority="5175">
      <formula>#REF!="L"</formula>
    </cfRule>
    <cfRule type="expression" dxfId="18952" priority="5170">
      <formula>#REF!="TO"</formula>
    </cfRule>
    <cfRule type="expression" dxfId="18951" priority="5171">
      <formula>#REF!="IO"</formula>
    </cfRule>
    <cfRule type="expression" dxfId="18950" priority="5172">
      <formula>#REF!="L"</formula>
    </cfRule>
    <cfRule type="expression" dxfId="18949" priority="5167">
      <formula>#REF!="TO"</formula>
    </cfRule>
    <cfRule type="expression" dxfId="18948" priority="5168">
      <formula>#REF!="IO"</formula>
    </cfRule>
    <cfRule type="expression" dxfId="18947" priority="5169">
      <formula>#REF!="L"</formula>
    </cfRule>
    <cfRule type="expression" dxfId="18946" priority="5164">
      <formula>#REF!="TO"</formula>
    </cfRule>
    <cfRule type="expression" dxfId="18945" priority="5165">
      <formula>#REF!="IO"</formula>
    </cfRule>
    <cfRule type="expression" dxfId="18944" priority="5166">
      <formula>#REF!="L"</formula>
    </cfRule>
  </conditionalFormatting>
  <conditionalFormatting sqref="I33">
    <cfRule type="expression" dxfId="18943" priority="5149">
      <formula>#REF!="TO"</formula>
    </cfRule>
    <cfRule type="expression" dxfId="18942" priority="5150">
      <formula>#REF!="IO"</formula>
    </cfRule>
    <cfRule type="expression" dxfId="18941" priority="5151">
      <formula>#REF!="L"</formula>
    </cfRule>
    <cfRule type="expression" dxfId="18940" priority="5146">
      <formula>#REF!="TO"</formula>
    </cfRule>
    <cfRule type="expression" dxfId="18939" priority="5147">
      <formula>#REF!="IO"</formula>
    </cfRule>
    <cfRule type="expression" dxfId="18938" priority="5148">
      <formula>#REF!="L"</formula>
    </cfRule>
    <cfRule type="expression" dxfId="18937" priority="5143">
      <formula>#REF!="TO"</formula>
    </cfRule>
    <cfRule type="expression" dxfId="18936" priority="5144">
      <formula>#REF!="IO"</formula>
    </cfRule>
    <cfRule type="expression" dxfId="18935" priority="5145">
      <formula>#REF!="L"</formula>
    </cfRule>
    <cfRule type="expression" dxfId="18934" priority="5140">
      <formula>#REF!="TO"</formula>
    </cfRule>
    <cfRule type="expression" dxfId="18933" priority="5141">
      <formula>#REF!="IO"</formula>
    </cfRule>
    <cfRule type="expression" dxfId="18932" priority="5142">
      <formula>#REF!="L"</formula>
    </cfRule>
  </conditionalFormatting>
  <conditionalFormatting sqref="BG2">
    <cfRule type="expression" dxfId="18931" priority="5068">
      <formula>#REF!="TO"</formula>
    </cfRule>
    <cfRule type="expression" dxfId="18930" priority="5069">
      <formula>#REF!="IO"</formula>
    </cfRule>
    <cfRule type="expression" dxfId="18929" priority="5070">
      <formula>#REF!="L"</formula>
    </cfRule>
  </conditionalFormatting>
  <conditionalFormatting sqref="BB18">
    <cfRule type="expression" dxfId="18928" priority="4717">
      <formula>#REF!="TO"</formula>
    </cfRule>
    <cfRule type="expression" dxfId="18927" priority="4718">
      <formula>#REF!="IO"</formula>
    </cfRule>
    <cfRule type="expression" dxfId="18926" priority="4719">
      <formula>#REF!="L"</formula>
    </cfRule>
  </conditionalFormatting>
  <conditionalFormatting sqref="BC18:BE18">
    <cfRule type="expression" dxfId="18925" priority="4714">
      <formula>#REF!="TO"</formula>
    </cfRule>
    <cfRule type="expression" dxfId="18924" priority="4715">
      <formula>#REF!="IO"</formula>
    </cfRule>
    <cfRule type="expression" dxfId="18923" priority="4716">
      <formula>#REF!="L"</formula>
    </cfRule>
  </conditionalFormatting>
  <conditionalFormatting sqref="BC38:BE41 BC23:BE29">
    <cfRule type="expression" dxfId="18922" priority="5107">
      <formula>#REF!="TO"</formula>
    </cfRule>
    <cfRule type="expression" dxfId="18921" priority="5108">
      <formula>#REF!="IO"</formula>
    </cfRule>
    <cfRule type="expression" dxfId="18920" priority="5109">
      <formula>#REF!="L"</formula>
    </cfRule>
  </conditionalFormatting>
  <conditionalFormatting sqref="BK38:BK41 BK23:BK29">
    <cfRule type="expression" dxfId="18919" priority="5101">
      <formula>#REF!="TO"</formula>
    </cfRule>
    <cfRule type="expression" dxfId="18918" priority="5102">
      <formula>#REF!="IO"</formula>
    </cfRule>
    <cfRule type="expression" dxfId="18917" priority="5103">
      <formula>#REF!="L"</formula>
    </cfRule>
  </conditionalFormatting>
  <conditionalFormatting sqref="BL2:BL4">
    <cfRule type="expression" dxfId="18916" priority="5098">
      <formula>AS2="TO"</formula>
    </cfRule>
    <cfRule type="expression" dxfId="18915" priority="5099">
      <formula>AS2="IO"</formula>
    </cfRule>
    <cfRule type="expression" dxfId="18914" priority="5100">
      <formula>AS2="L"</formula>
    </cfRule>
  </conditionalFormatting>
  <conditionalFormatting sqref="BM38:BM41 BM23:BM29">
    <cfRule type="expression" dxfId="18913" priority="5086">
      <formula>#REF!="TO"</formula>
    </cfRule>
    <cfRule type="expression" dxfId="18912" priority="5087">
      <formula>#REF!="IO"</formula>
    </cfRule>
    <cfRule type="expression" dxfId="18911" priority="5088">
      <formula>#REF!="L"</formula>
    </cfRule>
  </conditionalFormatting>
  <conditionalFormatting sqref="BN38:BN41 BN23:BN29">
    <cfRule type="expression" dxfId="18910" priority="5080">
      <formula>#REF!="TO"</formula>
    </cfRule>
    <cfRule type="expression" dxfId="18909" priority="5081">
      <formula>#REF!="IO"</formula>
    </cfRule>
    <cfRule type="expression" dxfId="18908" priority="5082">
      <formula>#REF!="L"</formula>
    </cfRule>
  </conditionalFormatting>
  <conditionalFormatting sqref="BH23:BH29">
    <cfRule type="expression" dxfId="18907" priority="5050">
      <formula>#REF!="TO"</formula>
    </cfRule>
    <cfRule type="expression" dxfId="18906" priority="5051">
      <formula>#REF!="IO"</formula>
    </cfRule>
    <cfRule type="expression" dxfId="18905" priority="5052">
      <formula>#REF!="L"</formula>
    </cfRule>
  </conditionalFormatting>
  <conditionalFormatting sqref="BC20:BE20">
    <cfRule type="expression" dxfId="18904" priority="4645">
      <formula>#REF!="TO"</formula>
    </cfRule>
    <cfRule type="expression" dxfId="18903" priority="4646">
      <formula>#REF!="IO"</formula>
    </cfRule>
    <cfRule type="expression" dxfId="18902" priority="4647">
      <formula>#REF!="L"</formula>
    </cfRule>
  </conditionalFormatting>
  <conditionalFormatting sqref="BL5">
    <cfRule type="expression" dxfId="18901" priority="5035">
      <formula>#REF!="TO"</formula>
    </cfRule>
    <cfRule type="expression" dxfId="18900" priority="5036">
      <formula>#REF!="IO"</formula>
    </cfRule>
    <cfRule type="expression" dxfId="18899" priority="5037">
      <formula>#REF!="L"</formula>
    </cfRule>
    <cfRule type="expression" dxfId="18898" priority="5038">
      <formula>AS5="TO"</formula>
    </cfRule>
    <cfRule type="expression" dxfId="18897" priority="5039">
      <formula>AS5="IO"</formula>
    </cfRule>
    <cfRule type="expression" dxfId="18896" priority="5040">
      <formula>AS5="L"</formula>
    </cfRule>
  </conditionalFormatting>
  <conditionalFormatting sqref="BM5">
    <cfRule type="expression" dxfId="18895" priority="5032">
      <formula>#REF!="TO"</formula>
    </cfRule>
    <cfRule type="expression" dxfId="18894" priority="5033">
      <formula>#REF!="IO"</formula>
    </cfRule>
    <cfRule type="expression" dxfId="18893" priority="5034">
      <formula>#REF!="L"</formula>
    </cfRule>
  </conditionalFormatting>
  <conditionalFormatting sqref="BN5">
    <cfRule type="expression" dxfId="18892" priority="5029">
      <formula>#REF!="TO"</formula>
    </cfRule>
    <cfRule type="expression" dxfId="18891" priority="5030">
      <formula>#REF!="IO"</formula>
    </cfRule>
    <cfRule type="expression" dxfId="18890" priority="5031">
      <formula>#REF!="L"</formula>
    </cfRule>
  </conditionalFormatting>
  <conditionalFormatting sqref="BB6">
    <cfRule type="expression" dxfId="18889" priority="5014">
      <formula>#REF!="TO"</formula>
    </cfRule>
    <cfRule type="expression" dxfId="18888" priority="5015">
      <formula>#REF!="IO"</formula>
    </cfRule>
    <cfRule type="expression" dxfId="18887" priority="5016">
      <formula>#REF!="L"</formula>
    </cfRule>
  </conditionalFormatting>
  <conditionalFormatting sqref="BM6">
    <cfRule type="expression" dxfId="18886" priority="5002">
      <formula>#REF!="TO"</formula>
    </cfRule>
    <cfRule type="expression" dxfId="18885" priority="5003">
      <formula>#REF!="IO"</formula>
    </cfRule>
    <cfRule type="expression" dxfId="18884" priority="5004">
      <formula>#REF!="L"</formula>
    </cfRule>
  </conditionalFormatting>
  <conditionalFormatting sqref="BO6">
    <cfRule type="expression" dxfId="18883" priority="4990">
      <formula>#REF!="TO"</formula>
    </cfRule>
    <cfRule type="expression" dxfId="18882" priority="4991">
      <formula>#REF!="IO"</formula>
    </cfRule>
    <cfRule type="expression" dxfId="18881" priority="4992">
      <formula>#REF!="L"</formula>
    </cfRule>
    <cfRule type="expression" dxfId="18880" priority="4993">
      <formula>AT6="TO"</formula>
    </cfRule>
    <cfRule type="expression" dxfId="18879" priority="4994">
      <formula>AT6="IO"</formula>
    </cfRule>
    <cfRule type="expression" dxfId="18878" priority="4995">
      <formula>AT6="L"</formula>
    </cfRule>
  </conditionalFormatting>
  <conditionalFormatting sqref="BK21">
    <cfRule type="expression" dxfId="18877" priority="4585">
      <formula>#REF!="TO"</formula>
    </cfRule>
    <cfRule type="expression" dxfId="18876" priority="4586">
      <formula>#REF!="IO"</formula>
    </cfRule>
    <cfRule type="expression" dxfId="18875" priority="4587">
      <formula>#REF!="L"</formula>
    </cfRule>
  </conditionalFormatting>
  <conditionalFormatting sqref="BB7">
    <cfRule type="expression" dxfId="18874" priority="4984">
      <formula>#REF!="TO"</formula>
    </cfRule>
    <cfRule type="expression" dxfId="18873" priority="4985">
      <formula>#REF!="IO"</formula>
    </cfRule>
    <cfRule type="expression" dxfId="18872" priority="4986">
      <formula>#REF!="L"</formula>
    </cfRule>
  </conditionalFormatting>
  <conditionalFormatting sqref="BC7:BE7">
    <cfRule type="expression" dxfId="18871" priority="4981">
      <formula>#REF!="TO"</formula>
    </cfRule>
    <cfRule type="expression" dxfId="18870" priority="4982">
      <formula>#REF!="IO"</formula>
    </cfRule>
    <cfRule type="expression" dxfId="18869" priority="4983">
      <formula>#REF!="L"</formula>
    </cfRule>
  </conditionalFormatting>
  <conditionalFormatting sqref="BL7">
    <cfRule type="expression" dxfId="18868" priority="4975">
      <formula>#REF!="TO"</formula>
    </cfRule>
    <cfRule type="expression" dxfId="18867" priority="4976">
      <formula>#REF!="IO"</formula>
    </cfRule>
    <cfRule type="expression" dxfId="18866" priority="4977">
      <formula>#REF!="L"</formula>
    </cfRule>
    <cfRule type="expression" dxfId="18865" priority="4978">
      <formula>AS7="TO"</formula>
    </cfRule>
    <cfRule type="expression" dxfId="18864" priority="4979">
      <formula>AS7="IO"</formula>
    </cfRule>
    <cfRule type="expression" dxfId="18863" priority="4980">
      <formula>AS7="L"</formula>
    </cfRule>
  </conditionalFormatting>
  <conditionalFormatting sqref="BM7">
    <cfRule type="expression" dxfId="18862" priority="4972">
      <formula>#REF!="TO"</formula>
    </cfRule>
    <cfRule type="expression" dxfId="18861" priority="4973">
      <formula>#REF!="IO"</formula>
    </cfRule>
    <cfRule type="expression" dxfId="18860" priority="4974">
      <formula>#REF!="L"</formula>
    </cfRule>
  </conditionalFormatting>
  <conditionalFormatting sqref="BN7">
    <cfRule type="expression" dxfId="18859" priority="4969">
      <formula>#REF!="TO"</formula>
    </cfRule>
    <cfRule type="expression" dxfId="18858" priority="4970">
      <formula>#REF!="IO"</formula>
    </cfRule>
    <cfRule type="expression" dxfId="18857" priority="4971">
      <formula>#REF!="L"</formula>
    </cfRule>
  </conditionalFormatting>
  <conditionalFormatting sqref="BC43:BE43">
    <cfRule type="expression" dxfId="18856" priority="4525">
      <formula>#REF!="TO"</formula>
    </cfRule>
    <cfRule type="expression" dxfId="18855" priority="4526">
      <formula>#REF!="IO"</formula>
    </cfRule>
    <cfRule type="expression" dxfId="18854" priority="4527">
      <formula>#REF!="L"</formula>
    </cfRule>
  </conditionalFormatting>
  <conditionalFormatting sqref="BM8">
    <cfRule type="expression" dxfId="18853" priority="4942">
      <formula>#REF!="TO"</formula>
    </cfRule>
    <cfRule type="expression" dxfId="18852" priority="4943">
      <formula>#REF!="IO"</formula>
    </cfRule>
    <cfRule type="expression" dxfId="18851" priority="4944">
      <formula>#REF!="L"</formula>
    </cfRule>
  </conditionalFormatting>
  <conditionalFormatting sqref="BO8">
    <cfRule type="expression" dxfId="18850" priority="4930">
      <formula>#REF!="TO"</formula>
    </cfRule>
    <cfRule type="expression" dxfId="18849" priority="4931">
      <formula>#REF!="IO"</formula>
    </cfRule>
    <cfRule type="expression" dxfId="18848" priority="4932">
      <formula>#REF!="L"</formula>
    </cfRule>
    <cfRule type="expression" dxfId="18847" priority="4933">
      <formula>AT8="TO"</formula>
    </cfRule>
    <cfRule type="expression" dxfId="18846" priority="4934">
      <formula>AT8="IO"</formula>
    </cfRule>
    <cfRule type="expression" dxfId="18845" priority="4935">
      <formula>AT8="L"</formula>
    </cfRule>
  </conditionalFormatting>
  <conditionalFormatting sqref="BB9:BB12">
    <cfRule type="expression" dxfId="18844" priority="4924">
      <formula>#REF!="TO"</formula>
    </cfRule>
    <cfRule type="expression" dxfId="18843" priority="4925">
      <formula>#REF!="IO"</formula>
    </cfRule>
    <cfRule type="expression" dxfId="18842" priority="4926">
      <formula>#REF!="L"</formula>
    </cfRule>
  </conditionalFormatting>
  <conditionalFormatting sqref="BC9:BE12">
    <cfRule type="expression" dxfId="18841" priority="4921">
      <formula>#REF!="TO"</formula>
    </cfRule>
    <cfRule type="expression" dxfId="18840" priority="4922">
      <formula>#REF!="IO"</formula>
    </cfRule>
    <cfRule type="expression" dxfId="18839" priority="4923">
      <formula>#REF!="L"</formula>
    </cfRule>
  </conditionalFormatting>
  <conditionalFormatting sqref="BF9:BF12">
    <cfRule type="expression" dxfId="18838" priority="4918">
      <formula>#REF!="TO"</formula>
    </cfRule>
    <cfRule type="expression" dxfId="18837" priority="4919">
      <formula>#REF!="IO"</formula>
    </cfRule>
    <cfRule type="expression" dxfId="18836" priority="4920">
      <formula>#REF!="L"</formula>
    </cfRule>
  </conditionalFormatting>
  <conditionalFormatting sqref="BL9:BL12">
    <cfRule type="expression" dxfId="18835" priority="4912">
      <formula>#REF!="TO"</formula>
    </cfRule>
    <cfRule type="expression" dxfId="18834" priority="4913">
      <formula>#REF!="IO"</formula>
    </cfRule>
    <cfRule type="expression" dxfId="18833" priority="4914">
      <formula>#REF!="L"</formula>
    </cfRule>
    <cfRule type="expression" dxfId="18832" priority="4915">
      <formula>AS9="TO"</formula>
    </cfRule>
    <cfRule type="expression" dxfId="18831" priority="4916">
      <formula>AS9="IO"</formula>
    </cfRule>
    <cfRule type="expression" dxfId="18830" priority="4917">
      <formula>AS9="L"</formula>
    </cfRule>
  </conditionalFormatting>
  <conditionalFormatting sqref="BM9:BM12">
    <cfRule type="expression" dxfId="18829" priority="4909">
      <formula>#REF!="TO"</formula>
    </cfRule>
    <cfRule type="expression" dxfId="18828" priority="4910">
      <formula>#REF!="IO"</formula>
    </cfRule>
    <cfRule type="expression" dxfId="18827" priority="4911">
      <formula>#REF!="L"</formula>
    </cfRule>
  </conditionalFormatting>
  <conditionalFormatting sqref="BN9:BN12">
    <cfRule type="expression" dxfId="18826" priority="4906">
      <formula>#REF!="TO"</formula>
    </cfRule>
    <cfRule type="expression" dxfId="18825" priority="4907">
      <formula>#REF!="IO"</formula>
    </cfRule>
    <cfRule type="expression" dxfId="18824" priority="4908">
      <formula>#REF!="L"</formula>
    </cfRule>
  </conditionalFormatting>
  <conditionalFormatting sqref="BR9:BR12">
    <cfRule type="expression" dxfId="18823" priority="4903">
      <formula>#REF!="TO"</formula>
    </cfRule>
    <cfRule type="expression" dxfId="18822" priority="4904">
      <formula>#REF!="IO"</formula>
    </cfRule>
    <cfRule type="expression" dxfId="18821" priority="4905">
      <formula>#REF!="L"</formula>
    </cfRule>
  </conditionalFormatting>
  <conditionalFormatting sqref="BO9:BO12">
    <cfRule type="expression" dxfId="18820" priority="4897">
      <formula>#REF!="TO"</formula>
    </cfRule>
    <cfRule type="expression" dxfId="18819" priority="4898">
      <formula>#REF!="IO"</formula>
    </cfRule>
    <cfRule type="expression" dxfId="18818" priority="4899">
      <formula>#REF!="L"</formula>
    </cfRule>
    <cfRule type="expression" dxfId="18817" priority="4900">
      <formula>AT9="TO"</formula>
    </cfRule>
    <cfRule type="expression" dxfId="18816" priority="4901">
      <formula>AT9="IO"</formula>
    </cfRule>
    <cfRule type="expression" dxfId="18815" priority="4902">
      <formula>AT9="L"</formula>
    </cfRule>
  </conditionalFormatting>
  <conditionalFormatting sqref="BK13">
    <cfRule type="expression" dxfId="18814" priority="4861">
      <formula>#REF!="TO"</formula>
    </cfRule>
    <cfRule type="expression" dxfId="18813" priority="4862">
      <formula>#REF!="IO"</formula>
    </cfRule>
    <cfRule type="expression" dxfId="18812" priority="4863">
      <formula>#REF!="L"</formula>
    </cfRule>
  </conditionalFormatting>
  <conditionalFormatting sqref="BK14">
    <cfRule type="expression" dxfId="18811" priority="4828">
      <formula>#REF!="TO"</formula>
    </cfRule>
    <cfRule type="expression" dxfId="18810" priority="4829">
      <formula>#REF!="IO"</formula>
    </cfRule>
    <cfRule type="expression" dxfId="18809" priority="4830">
      <formula>#REF!="L"</formula>
    </cfRule>
  </conditionalFormatting>
  <conditionalFormatting sqref="BD38:BE41">
    <cfRule type="expression" dxfId="18808" priority="4456">
      <formula>#REF!="TO"</formula>
    </cfRule>
    <cfRule type="expression" dxfId="18807" priority="4457">
      <formula>#REF!="IO"</formula>
    </cfRule>
    <cfRule type="expression" dxfId="18806" priority="4458">
      <formula>#REF!="L"</formula>
    </cfRule>
  </conditionalFormatting>
  <conditionalFormatting sqref="BB14">
    <cfRule type="expression" dxfId="18805" priority="4855">
      <formula>#REF!="TO"</formula>
    </cfRule>
    <cfRule type="expression" dxfId="18804" priority="4856">
      <formula>#REF!="IO"</formula>
    </cfRule>
    <cfRule type="expression" dxfId="18803" priority="4857">
      <formula>#REF!="L"</formula>
    </cfRule>
  </conditionalFormatting>
  <conditionalFormatting sqref="BC14:BE14">
    <cfRule type="expression" dxfId="18802" priority="4852">
      <formula>#REF!="TO"</formula>
    </cfRule>
    <cfRule type="expression" dxfId="18801" priority="4853">
      <formula>#REF!="IO"</formula>
    </cfRule>
    <cfRule type="expression" dxfId="18800" priority="4854">
      <formula>#REF!="L"</formula>
    </cfRule>
  </conditionalFormatting>
  <conditionalFormatting sqref="BL14">
    <cfRule type="expression" dxfId="18799" priority="4846">
      <formula>#REF!="TO"</formula>
    </cfRule>
    <cfRule type="expression" dxfId="18798" priority="4847">
      <formula>#REF!="IO"</formula>
    </cfRule>
    <cfRule type="expression" dxfId="18797" priority="4848">
      <formula>#REF!="L"</formula>
    </cfRule>
    <cfRule type="expression" dxfId="18796" priority="4849">
      <formula>AS14="TO"</formula>
    </cfRule>
    <cfRule type="expression" dxfId="18795" priority="4850">
      <formula>AS14="IO"</formula>
    </cfRule>
    <cfRule type="expression" dxfId="18794" priority="4851">
      <formula>AS14="L"</formula>
    </cfRule>
  </conditionalFormatting>
  <conditionalFormatting sqref="BN14">
    <cfRule type="expression" dxfId="18793" priority="4840">
      <formula>#REF!="TO"</formula>
    </cfRule>
    <cfRule type="expression" dxfId="18792" priority="4841">
      <formula>#REF!="IO"</formula>
    </cfRule>
    <cfRule type="expression" dxfId="18791" priority="4842">
      <formula>#REF!="L"</formula>
    </cfRule>
  </conditionalFormatting>
  <conditionalFormatting sqref="BR14">
    <cfRule type="expression" dxfId="18790" priority="4837">
      <formula>#REF!="TO"</formula>
    </cfRule>
    <cfRule type="expression" dxfId="18789" priority="4838">
      <formula>#REF!="IO"</formula>
    </cfRule>
    <cfRule type="expression" dxfId="18788" priority="4839">
      <formula>#REF!="L"</formula>
    </cfRule>
  </conditionalFormatting>
  <conditionalFormatting sqref="BO14">
    <cfRule type="expression" dxfId="18787" priority="4831">
      <formula>#REF!="TO"</formula>
    </cfRule>
    <cfRule type="expression" dxfId="18786" priority="4832">
      <formula>#REF!="IO"</formula>
    </cfRule>
    <cfRule type="expression" dxfId="18785" priority="4833">
      <formula>#REF!="L"</formula>
    </cfRule>
    <cfRule type="expression" dxfId="18784" priority="4834">
      <formula>AT14="TO"</formula>
    </cfRule>
    <cfRule type="expression" dxfId="18783" priority="4835">
      <formula>AT14="IO"</formula>
    </cfRule>
    <cfRule type="expression" dxfId="18782" priority="4836">
      <formula>AT14="L"</formula>
    </cfRule>
  </conditionalFormatting>
  <conditionalFormatting sqref="BF14">
    <cfRule type="expression" dxfId="18781" priority="4489">
      <formula>#REF!="TO"</formula>
    </cfRule>
    <cfRule type="expression" dxfId="18780" priority="4490">
      <formula>#REF!="IO"</formula>
    </cfRule>
    <cfRule type="expression" dxfId="18779" priority="4491">
      <formula>#REF!="L"</formula>
    </cfRule>
  </conditionalFormatting>
  <conditionalFormatting sqref="BB13">
    <cfRule type="expression" dxfId="18778" priority="4888">
      <formula>#REF!="TO"</formula>
    </cfRule>
    <cfRule type="expression" dxfId="18777" priority="4889">
      <formula>#REF!="IO"</formula>
    </cfRule>
    <cfRule type="expression" dxfId="18776" priority="4890">
      <formula>#REF!="L"</formula>
    </cfRule>
  </conditionalFormatting>
  <conditionalFormatting sqref="BC13:BE13">
    <cfRule type="expression" dxfId="18775" priority="4885">
      <formula>#REF!="TO"</formula>
    </cfRule>
    <cfRule type="expression" dxfId="18774" priority="4886">
      <formula>#REF!="IO"</formula>
    </cfRule>
    <cfRule type="expression" dxfId="18773" priority="4887">
      <formula>#REF!="L"</formula>
    </cfRule>
  </conditionalFormatting>
  <conditionalFormatting sqref="BL13">
    <cfRule type="expression" dxfId="18772" priority="4879">
      <formula>#REF!="TO"</formula>
    </cfRule>
    <cfRule type="expression" dxfId="18771" priority="4880">
      <formula>#REF!="IO"</formula>
    </cfRule>
    <cfRule type="expression" dxfId="18770" priority="4881">
      <formula>#REF!="L"</formula>
    </cfRule>
    <cfRule type="expression" dxfId="18769" priority="4882">
      <formula>AS13="TO"</formula>
    </cfRule>
    <cfRule type="expression" dxfId="18768" priority="4883">
      <formula>AS13="IO"</formula>
    </cfRule>
    <cfRule type="expression" dxfId="18767" priority="4884">
      <formula>AS13="L"</formula>
    </cfRule>
  </conditionalFormatting>
  <conditionalFormatting sqref="BM13">
    <cfRule type="expression" dxfId="18766" priority="4876">
      <formula>#REF!="TO"</formula>
    </cfRule>
    <cfRule type="expression" dxfId="18765" priority="4877">
      <formula>#REF!="IO"</formula>
    </cfRule>
    <cfRule type="expression" dxfId="18764" priority="4878">
      <formula>#REF!="L"</formula>
    </cfRule>
  </conditionalFormatting>
  <conditionalFormatting sqref="BN13">
    <cfRule type="expression" dxfId="18763" priority="4873">
      <formula>#REF!="TO"</formula>
    </cfRule>
    <cfRule type="expression" dxfId="18762" priority="4874">
      <formula>#REF!="IO"</formula>
    </cfRule>
    <cfRule type="expression" dxfId="18761" priority="4875">
      <formula>#REF!="L"</formula>
    </cfRule>
  </conditionalFormatting>
  <conditionalFormatting sqref="BR13">
    <cfRule type="expression" dxfId="18760" priority="4870">
      <formula>#REF!="TO"</formula>
    </cfRule>
    <cfRule type="expression" dxfId="18759" priority="4871">
      <formula>#REF!="IO"</formula>
    </cfRule>
    <cfRule type="expression" dxfId="18758" priority="4872">
      <formula>#REF!="L"</formula>
    </cfRule>
  </conditionalFormatting>
  <conditionalFormatting sqref="BO13">
    <cfRule type="expression" dxfId="18757" priority="4864">
      <formula>#REF!="TO"</formula>
    </cfRule>
    <cfRule type="expression" dxfId="18756" priority="4865">
      <formula>#REF!="IO"</formula>
    </cfRule>
    <cfRule type="expression" dxfId="18755" priority="4866">
      <formula>#REF!="L"</formula>
    </cfRule>
    <cfRule type="expression" dxfId="18754" priority="4867">
      <formula>AT13="TO"</formula>
    </cfRule>
    <cfRule type="expression" dxfId="18753" priority="4868">
      <formula>AT13="IO"</formula>
    </cfRule>
    <cfRule type="expression" dxfId="18752" priority="4869">
      <formula>AT13="L"</formula>
    </cfRule>
  </conditionalFormatting>
  <conditionalFormatting sqref="BM14">
    <cfRule type="expression" dxfId="18751" priority="4843">
      <formula>#REF!="TO"</formula>
    </cfRule>
    <cfRule type="expression" dxfId="18750" priority="4844">
      <formula>#REF!="IO"</formula>
    </cfRule>
    <cfRule type="expression" dxfId="18749" priority="4845">
      <formula>#REF!="L"</formula>
    </cfRule>
  </conditionalFormatting>
  <conditionalFormatting sqref="BD45:BE45">
    <cfRule type="expression" dxfId="18748" priority="4423">
      <formula>#REF!="TO"</formula>
    </cfRule>
    <cfRule type="expression" dxfId="18747" priority="4424">
      <formula>#REF!="IO"</formula>
    </cfRule>
    <cfRule type="expression" dxfId="18746" priority="4425">
      <formula>#REF!="L"</formula>
    </cfRule>
  </conditionalFormatting>
  <conditionalFormatting sqref="BB15">
    <cfRule type="expression" dxfId="18745" priority="4822">
      <formula>#REF!="TO"</formula>
    </cfRule>
    <cfRule type="expression" dxfId="18744" priority="4823">
      <formula>#REF!="IO"</formula>
    </cfRule>
    <cfRule type="expression" dxfId="18743" priority="4824">
      <formula>#REF!="L"</formula>
    </cfRule>
  </conditionalFormatting>
  <conditionalFormatting sqref="BC15:BE15">
    <cfRule type="expression" dxfId="18742" priority="4819">
      <formula>#REF!="TO"</formula>
    </cfRule>
    <cfRule type="expression" dxfId="18741" priority="4820">
      <formula>#REF!="IO"</formula>
    </cfRule>
    <cfRule type="expression" dxfId="18740" priority="4821">
      <formula>#REF!="L"</formula>
    </cfRule>
  </conditionalFormatting>
  <conditionalFormatting sqref="BL15">
    <cfRule type="expression" dxfId="18739" priority="4813">
      <formula>#REF!="TO"</formula>
    </cfRule>
    <cfRule type="expression" dxfId="18738" priority="4814">
      <formula>#REF!="IO"</formula>
    </cfRule>
    <cfRule type="expression" dxfId="18737" priority="4815">
      <formula>#REF!="L"</formula>
    </cfRule>
    <cfRule type="expression" dxfId="18736" priority="4816">
      <formula>AS15="TO"</formula>
    </cfRule>
    <cfRule type="expression" dxfId="18735" priority="4817">
      <formula>AS15="IO"</formula>
    </cfRule>
    <cfRule type="expression" dxfId="18734" priority="4818">
      <formula>AS15="L"</formula>
    </cfRule>
  </conditionalFormatting>
  <conditionalFormatting sqref="BM15">
    <cfRule type="expression" dxfId="18733" priority="4810">
      <formula>#REF!="TO"</formula>
    </cfRule>
    <cfRule type="expression" dxfId="18732" priority="4811">
      <formula>#REF!="IO"</formula>
    </cfRule>
    <cfRule type="expression" dxfId="18731" priority="4812">
      <formula>#REF!="L"</formula>
    </cfRule>
  </conditionalFormatting>
  <conditionalFormatting sqref="BN15">
    <cfRule type="expression" dxfId="18730" priority="4807">
      <formula>#REF!="TO"</formula>
    </cfRule>
    <cfRule type="expression" dxfId="18729" priority="4808">
      <formula>#REF!="IO"</formula>
    </cfRule>
    <cfRule type="expression" dxfId="18728" priority="4809">
      <formula>#REF!="L"</formula>
    </cfRule>
  </conditionalFormatting>
  <conditionalFormatting sqref="BR15">
    <cfRule type="expression" dxfId="18727" priority="4804">
      <formula>#REF!="TO"</formula>
    </cfRule>
    <cfRule type="expression" dxfId="18726" priority="4805">
      <formula>#REF!="IO"</formula>
    </cfRule>
    <cfRule type="expression" dxfId="18725" priority="4806">
      <formula>#REF!="L"</formula>
    </cfRule>
  </conditionalFormatting>
  <conditionalFormatting sqref="BO15">
    <cfRule type="expression" dxfId="18724" priority="4798">
      <formula>#REF!="TO"</formula>
    </cfRule>
    <cfRule type="expression" dxfId="18723" priority="4799">
      <formula>#REF!="IO"</formula>
    </cfRule>
    <cfRule type="expression" dxfId="18722" priority="4800">
      <formula>#REF!="L"</formula>
    </cfRule>
    <cfRule type="expression" dxfId="18721" priority="4801">
      <formula>AT15="TO"</formula>
    </cfRule>
    <cfRule type="expression" dxfId="18720" priority="4802">
      <formula>AT15="IO"</formula>
    </cfRule>
    <cfRule type="expression" dxfId="18719" priority="4803">
      <formula>AT15="L"</formula>
    </cfRule>
  </conditionalFormatting>
  <conditionalFormatting sqref="BK15">
    <cfRule type="expression" dxfId="18718" priority="4795">
      <formula>#REF!="TO"</formula>
    </cfRule>
    <cfRule type="expression" dxfId="18717" priority="4796">
      <formula>#REF!="IO"</formula>
    </cfRule>
    <cfRule type="expression" dxfId="18716" priority="4797">
      <formula>#REF!="L"</formula>
    </cfRule>
  </conditionalFormatting>
  <conditionalFormatting sqref="BK47">
    <cfRule type="expression" dxfId="18715" priority="4390">
      <formula>#REF!="TO"</formula>
    </cfRule>
    <cfRule type="expression" dxfId="18714" priority="4391">
      <formula>#REF!="IO"</formula>
    </cfRule>
    <cfRule type="expression" dxfId="18713" priority="4392">
      <formula>#REF!="L"</formula>
    </cfRule>
  </conditionalFormatting>
  <conditionalFormatting sqref="BB16">
    <cfRule type="expression" dxfId="18712" priority="4789">
      <formula>#REF!="TO"</formula>
    </cfRule>
    <cfRule type="expression" dxfId="18711" priority="4790">
      <formula>#REF!="IO"</formula>
    </cfRule>
    <cfRule type="expression" dxfId="18710" priority="4791">
      <formula>#REF!="L"</formula>
    </cfRule>
  </conditionalFormatting>
  <conditionalFormatting sqref="BC16:BE16">
    <cfRule type="expression" dxfId="18709" priority="4786">
      <formula>#REF!="TO"</formula>
    </cfRule>
    <cfRule type="expression" dxfId="18708" priority="4787">
      <formula>#REF!="IO"</formula>
    </cfRule>
    <cfRule type="expression" dxfId="18707" priority="4788">
      <formula>#REF!="L"</formula>
    </cfRule>
  </conditionalFormatting>
  <conditionalFormatting sqref="BF16">
    <cfRule type="expression" dxfId="18706" priority="4783">
      <formula>#REF!="TO"</formula>
    </cfRule>
    <cfRule type="expression" dxfId="18705" priority="4784">
      <formula>#REF!="IO"</formula>
    </cfRule>
    <cfRule type="expression" dxfId="18704" priority="4785">
      <formula>#REF!="L"</formula>
    </cfRule>
  </conditionalFormatting>
  <conditionalFormatting sqref="BL16">
    <cfRule type="expression" dxfId="18703" priority="4777">
      <formula>#REF!="TO"</formula>
    </cfRule>
    <cfRule type="expression" dxfId="18702" priority="4778">
      <formula>#REF!="IO"</formula>
    </cfRule>
    <cfRule type="expression" dxfId="18701" priority="4779">
      <formula>#REF!="L"</formula>
    </cfRule>
    <cfRule type="expression" dxfId="18700" priority="4780">
      <formula>AS16="TO"</formula>
    </cfRule>
    <cfRule type="expression" dxfId="18699" priority="4781">
      <formula>AS16="IO"</formula>
    </cfRule>
    <cfRule type="expression" dxfId="18698" priority="4782">
      <formula>AS16="L"</formula>
    </cfRule>
  </conditionalFormatting>
  <conditionalFormatting sqref="BM16">
    <cfRule type="expression" dxfId="18697" priority="4774">
      <formula>#REF!="TO"</formula>
    </cfRule>
    <cfRule type="expression" dxfId="18696" priority="4775">
      <formula>#REF!="IO"</formula>
    </cfRule>
    <cfRule type="expression" dxfId="18695" priority="4776">
      <formula>#REF!="L"</formula>
    </cfRule>
  </conditionalFormatting>
  <conditionalFormatting sqref="BN16">
    <cfRule type="expression" dxfId="18694" priority="4771">
      <formula>#REF!="TO"</formula>
    </cfRule>
    <cfRule type="expression" dxfId="18693" priority="4772">
      <formula>#REF!="IO"</formula>
    </cfRule>
    <cfRule type="expression" dxfId="18692" priority="4773">
      <formula>#REF!="L"</formula>
    </cfRule>
  </conditionalFormatting>
  <conditionalFormatting sqref="BR16">
    <cfRule type="expression" dxfId="18691" priority="4768">
      <formula>#REF!="TO"</formula>
    </cfRule>
    <cfRule type="expression" dxfId="18690" priority="4769">
      <formula>#REF!="IO"</formula>
    </cfRule>
    <cfRule type="expression" dxfId="18689" priority="4770">
      <formula>#REF!="L"</formula>
    </cfRule>
  </conditionalFormatting>
  <conditionalFormatting sqref="BO16">
    <cfRule type="expression" dxfId="18688" priority="4762">
      <formula>#REF!="TO"</formula>
    </cfRule>
    <cfRule type="expression" dxfId="18687" priority="4763">
      <formula>#REF!="IO"</formula>
    </cfRule>
    <cfRule type="expression" dxfId="18686" priority="4764">
      <formula>#REF!="L"</formula>
    </cfRule>
    <cfRule type="expression" dxfId="18685" priority="4765">
      <formula>AT16="TO"</formula>
    </cfRule>
    <cfRule type="expression" dxfId="18684" priority="4766">
      <formula>AT16="IO"</formula>
    </cfRule>
    <cfRule type="expression" dxfId="18683" priority="4767">
      <formula>AT16="L"</formula>
    </cfRule>
  </conditionalFormatting>
  <conditionalFormatting sqref="BK16">
    <cfRule type="expression" dxfId="18682" priority="4759">
      <formula>#REF!="TO"</formula>
    </cfRule>
    <cfRule type="expression" dxfId="18681" priority="4760">
      <formula>#REF!="IO"</formula>
    </cfRule>
    <cfRule type="expression" dxfId="18680" priority="4761">
      <formula>#REF!="L"</formula>
    </cfRule>
  </conditionalFormatting>
  <conditionalFormatting sqref="BK19">
    <cfRule type="expression" dxfId="18679" priority="4654">
      <formula>#REF!="TO"</formula>
    </cfRule>
    <cfRule type="expression" dxfId="18678" priority="4655">
      <formula>#REF!="IO"</formula>
    </cfRule>
    <cfRule type="expression" dxfId="18677" priority="4656">
      <formula>#REF!="L"</formula>
    </cfRule>
  </conditionalFormatting>
  <conditionalFormatting sqref="BK20">
    <cfRule type="expression" dxfId="18676" priority="4618">
      <formula>#REF!="TO"</formula>
    </cfRule>
    <cfRule type="expression" dxfId="18675" priority="4619">
      <formula>#REF!="IO"</formula>
    </cfRule>
    <cfRule type="expression" dxfId="18674" priority="4620">
      <formula>#REF!="L"</formula>
    </cfRule>
  </conditionalFormatting>
  <conditionalFormatting sqref="BE20">
    <cfRule type="expression" dxfId="18673" priority="4249">
      <formula>#REF!="TO"</formula>
    </cfRule>
    <cfRule type="expression" dxfId="18672" priority="4250">
      <formula>#REF!="IO"</formula>
    </cfRule>
    <cfRule type="expression" dxfId="18671" priority="4251">
      <formula>#REF!="L"</formula>
    </cfRule>
  </conditionalFormatting>
  <conditionalFormatting sqref="BL20">
    <cfRule type="expression" dxfId="18670" priority="4636">
      <formula>#REF!="TO"</formula>
    </cfRule>
    <cfRule type="expression" dxfId="18669" priority="4637">
      <formula>#REF!="IO"</formula>
    </cfRule>
    <cfRule type="expression" dxfId="18668" priority="4638">
      <formula>#REF!="L"</formula>
    </cfRule>
    <cfRule type="expression" dxfId="18667" priority="4639">
      <formula>AS20="TO"</formula>
    </cfRule>
    <cfRule type="expression" dxfId="18666" priority="4640">
      <formula>AS20="IO"</formula>
    </cfRule>
    <cfRule type="expression" dxfId="18665" priority="4641">
      <formula>AS20="L"</formula>
    </cfRule>
  </conditionalFormatting>
  <conditionalFormatting sqref="BN20">
    <cfRule type="expression" dxfId="18664" priority="4630">
      <formula>#REF!="TO"</formula>
    </cfRule>
    <cfRule type="expression" dxfId="18663" priority="4631">
      <formula>#REF!="IO"</formula>
    </cfRule>
    <cfRule type="expression" dxfId="18662" priority="4632">
      <formula>#REF!="L"</formula>
    </cfRule>
  </conditionalFormatting>
  <conditionalFormatting sqref="BH48">
    <cfRule type="expression" dxfId="18661" priority="4354">
      <formula>#REF!="TO"</formula>
    </cfRule>
    <cfRule type="expression" dxfId="18660" priority="4355">
      <formula>#REF!="IO"</formula>
    </cfRule>
    <cfRule type="expression" dxfId="18659" priority="4356">
      <formula>#REF!="L"</formula>
    </cfRule>
  </conditionalFormatting>
  <conditionalFormatting sqref="BB17">
    <cfRule type="expression" dxfId="18658" priority="4753">
      <formula>#REF!="TO"</formula>
    </cfRule>
    <cfRule type="expression" dxfId="18657" priority="4754">
      <formula>#REF!="IO"</formula>
    </cfRule>
    <cfRule type="expression" dxfId="18656" priority="4755">
      <formula>#REF!="L"</formula>
    </cfRule>
  </conditionalFormatting>
  <conditionalFormatting sqref="BF17">
    <cfRule type="expression" dxfId="18655" priority="4747">
      <formula>#REF!="TO"</formula>
    </cfRule>
    <cfRule type="expression" dxfId="18654" priority="4748">
      <formula>#REF!="IO"</formula>
    </cfRule>
    <cfRule type="expression" dxfId="18653" priority="4749">
      <formula>#REF!="L"</formula>
    </cfRule>
  </conditionalFormatting>
  <conditionalFormatting sqref="BR17">
    <cfRule type="expression" dxfId="18652" priority="4732">
      <formula>#REF!="TO"</formula>
    </cfRule>
    <cfRule type="expression" dxfId="18651" priority="4733">
      <formula>#REF!="IO"</formula>
    </cfRule>
    <cfRule type="expression" dxfId="18650" priority="4734">
      <formula>#REF!="L"</formula>
    </cfRule>
  </conditionalFormatting>
  <conditionalFormatting sqref="BC17:BE17">
    <cfRule type="expression" dxfId="18649" priority="4750">
      <formula>#REF!="TO"</formula>
    </cfRule>
    <cfRule type="expression" dxfId="18648" priority="4751">
      <formula>#REF!="IO"</formula>
    </cfRule>
    <cfRule type="expression" dxfId="18647" priority="4752">
      <formula>#REF!="L"</formula>
    </cfRule>
  </conditionalFormatting>
  <conditionalFormatting sqref="BL17">
    <cfRule type="expression" dxfId="18646" priority="4741">
      <formula>#REF!="TO"</formula>
    </cfRule>
    <cfRule type="expression" dxfId="18645" priority="4742">
      <formula>#REF!="IO"</formula>
    </cfRule>
    <cfRule type="expression" dxfId="18644" priority="4743">
      <formula>#REF!="L"</formula>
    </cfRule>
    <cfRule type="expression" dxfId="18643" priority="4744">
      <formula>AS17="TO"</formula>
    </cfRule>
    <cfRule type="expression" dxfId="18642" priority="4745">
      <formula>AS17="IO"</formula>
    </cfRule>
    <cfRule type="expression" dxfId="18641" priority="4746">
      <formula>AS17="L"</formula>
    </cfRule>
  </conditionalFormatting>
  <conditionalFormatting sqref="BM17">
    <cfRule type="expression" dxfId="18640" priority="4738">
      <formula>#REF!="TO"</formula>
    </cfRule>
    <cfRule type="expression" dxfId="18639" priority="4739">
      <formula>#REF!="IO"</formula>
    </cfRule>
    <cfRule type="expression" dxfId="18638" priority="4740">
      <formula>#REF!="L"</formula>
    </cfRule>
  </conditionalFormatting>
  <conditionalFormatting sqref="BN17">
    <cfRule type="expression" dxfId="18637" priority="4735">
      <formula>#REF!="TO"</formula>
    </cfRule>
    <cfRule type="expression" dxfId="18636" priority="4736">
      <formula>#REF!="IO"</formula>
    </cfRule>
    <cfRule type="expression" dxfId="18635" priority="4737">
      <formula>#REF!="L"</formula>
    </cfRule>
  </conditionalFormatting>
  <conditionalFormatting sqref="BO17">
    <cfRule type="expression" dxfId="18634" priority="4726">
      <formula>#REF!="TO"</formula>
    </cfRule>
    <cfRule type="expression" dxfId="18633" priority="4727">
      <formula>#REF!="IO"</formula>
    </cfRule>
    <cfRule type="expression" dxfId="18632" priority="4728">
      <formula>#REF!="L"</formula>
    </cfRule>
    <cfRule type="expression" dxfId="18631" priority="4729">
      <formula>AT17="TO"</formula>
    </cfRule>
    <cfRule type="expression" dxfId="18630" priority="4730">
      <formula>AT17="IO"</formula>
    </cfRule>
    <cfRule type="expression" dxfId="18629" priority="4731">
      <formula>AT17="L"</formula>
    </cfRule>
  </conditionalFormatting>
  <conditionalFormatting sqref="BK17">
    <cfRule type="expression" dxfId="18628" priority="4723">
      <formula>#REF!="TO"</formula>
    </cfRule>
    <cfRule type="expression" dxfId="18627" priority="4724">
      <formula>#REF!="IO"</formula>
    </cfRule>
    <cfRule type="expression" dxfId="18626" priority="4725">
      <formula>#REF!="L"</formula>
    </cfRule>
  </conditionalFormatting>
  <conditionalFormatting sqref="BK50">
    <cfRule type="expression" dxfId="18625" priority="4318">
      <formula>#REF!="TO"</formula>
    </cfRule>
    <cfRule type="expression" dxfId="18624" priority="4319">
      <formula>#REF!="IO"</formula>
    </cfRule>
    <cfRule type="expression" dxfId="18623" priority="4320">
      <formula>#REF!="L"</formula>
    </cfRule>
  </conditionalFormatting>
  <conditionalFormatting sqref="BL18">
    <cfRule type="expression" dxfId="18622" priority="4708">
      <formula>#REF!="TO"</formula>
    </cfRule>
    <cfRule type="expression" dxfId="18621" priority="4709">
      <formula>#REF!="IO"</formula>
    </cfRule>
    <cfRule type="expression" dxfId="18620" priority="4710">
      <formula>#REF!="L"</formula>
    </cfRule>
    <cfRule type="expression" dxfId="18619" priority="4711">
      <formula>AS18="TO"</formula>
    </cfRule>
    <cfRule type="expression" dxfId="18618" priority="4712">
      <formula>AS18="IO"</formula>
    </cfRule>
    <cfRule type="expression" dxfId="18617" priority="4713">
      <formula>AS18="L"</formula>
    </cfRule>
  </conditionalFormatting>
  <conditionalFormatting sqref="BM18">
    <cfRule type="expression" dxfId="18616" priority="4705">
      <formula>#REF!="TO"</formula>
    </cfRule>
    <cfRule type="expression" dxfId="18615" priority="4706">
      <formula>#REF!="IO"</formula>
    </cfRule>
    <cfRule type="expression" dxfId="18614" priority="4707">
      <formula>#REF!="L"</formula>
    </cfRule>
  </conditionalFormatting>
  <conditionalFormatting sqref="BN18">
    <cfRule type="expression" dxfId="18613" priority="4702">
      <formula>#REF!="TO"</formula>
    </cfRule>
    <cfRule type="expression" dxfId="18612" priority="4703">
      <formula>#REF!="IO"</formula>
    </cfRule>
    <cfRule type="expression" dxfId="18611" priority="4704">
      <formula>#REF!="L"</formula>
    </cfRule>
  </conditionalFormatting>
  <conditionalFormatting sqref="BR18">
    <cfRule type="expression" dxfId="18610" priority="4699">
      <formula>#REF!="TO"</formula>
    </cfRule>
    <cfRule type="expression" dxfId="18609" priority="4700">
      <formula>#REF!="IO"</formula>
    </cfRule>
    <cfRule type="expression" dxfId="18608" priority="4701">
      <formula>#REF!="L"</formula>
    </cfRule>
  </conditionalFormatting>
  <conditionalFormatting sqref="BO18">
    <cfRule type="expression" dxfId="18607" priority="4693">
      <formula>#REF!="TO"</formula>
    </cfRule>
    <cfRule type="expression" dxfId="18606" priority="4694">
      <formula>#REF!="IO"</formula>
    </cfRule>
    <cfRule type="expression" dxfId="18605" priority="4695">
      <formula>#REF!="L"</formula>
    </cfRule>
    <cfRule type="expression" dxfId="18604" priority="4696">
      <formula>AT18="TO"</formula>
    </cfRule>
    <cfRule type="expression" dxfId="18603" priority="4697">
      <formula>AT18="IO"</formula>
    </cfRule>
    <cfRule type="expression" dxfId="18602" priority="4698">
      <formula>AT18="L"</formula>
    </cfRule>
  </conditionalFormatting>
  <conditionalFormatting sqref="BK18">
    <cfRule type="expression" dxfId="18601" priority="4690">
      <formula>#REF!="TO"</formula>
    </cfRule>
    <cfRule type="expression" dxfId="18600" priority="4691">
      <formula>#REF!="IO"</formula>
    </cfRule>
    <cfRule type="expression" dxfId="18599" priority="4692">
      <formula>#REF!="L"</formula>
    </cfRule>
  </conditionalFormatting>
  <conditionalFormatting sqref="BG13">
    <cfRule type="expression" dxfId="18598" priority="4285">
      <formula>#REF!="TO"</formula>
    </cfRule>
    <cfRule type="expression" dxfId="18597" priority="4286">
      <formula>#REF!="IO"</formula>
    </cfRule>
    <cfRule type="expression" dxfId="18596" priority="4287">
      <formula>#REF!="L"</formula>
    </cfRule>
  </conditionalFormatting>
  <conditionalFormatting sqref="BB19">
    <cfRule type="expression" dxfId="18595" priority="4684">
      <formula>#REF!="TO"</formula>
    </cfRule>
    <cfRule type="expression" dxfId="18594" priority="4685">
      <formula>#REF!="IO"</formula>
    </cfRule>
    <cfRule type="expression" dxfId="18593" priority="4686">
      <formula>#REF!="L"</formula>
    </cfRule>
  </conditionalFormatting>
  <conditionalFormatting sqref="BC19:BE19">
    <cfRule type="expression" dxfId="18592" priority="4681">
      <formula>#REF!="TO"</formula>
    </cfRule>
    <cfRule type="expression" dxfId="18591" priority="4682">
      <formula>#REF!="IO"</formula>
    </cfRule>
    <cfRule type="expression" dxfId="18590" priority="4683">
      <formula>#REF!="L"</formula>
    </cfRule>
  </conditionalFormatting>
  <conditionalFormatting sqref="BF19">
    <cfRule type="expression" dxfId="18589" priority="4678">
      <formula>#REF!="TO"</formula>
    </cfRule>
    <cfRule type="expression" dxfId="18588" priority="4679">
      <formula>#REF!="IO"</formula>
    </cfRule>
    <cfRule type="expression" dxfId="18587" priority="4680">
      <formula>#REF!="L"</formula>
    </cfRule>
  </conditionalFormatting>
  <conditionalFormatting sqref="BL19">
    <cfRule type="expression" dxfId="18586" priority="4672">
      <formula>#REF!="TO"</formula>
    </cfRule>
    <cfRule type="expression" dxfId="18585" priority="4673">
      <formula>#REF!="IO"</formula>
    </cfRule>
    <cfRule type="expression" dxfId="18584" priority="4674">
      <formula>#REF!="L"</formula>
    </cfRule>
    <cfRule type="expression" dxfId="18583" priority="4675">
      <formula>AS19="TO"</formula>
    </cfRule>
    <cfRule type="expression" dxfId="18582" priority="4676">
      <formula>AS19="IO"</formula>
    </cfRule>
    <cfRule type="expression" dxfId="18581" priority="4677">
      <formula>AS19="L"</formula>
    </cfRule>
  </conditionalFormatting>
  <conditionalFormatting sqref="BM19">
    <cfRule type="expression" dxfId="18580" priority="4669">
      <formula>#REF!="TO"</formula>
    </cfRule>
    <cfRule type="expression" dxfId="18579" priority="4670">
      <formula>#REF!="IO"</formula>
    </cfRule>
    <cfRule type="expression" dxfId="18578" priority="4671">
      <formula>#REF!="L"</formula>
    </cfRule>
  </conditionalFormatting>
  <conditionalFormatting sqref="BN19">
    <cfRule type="expression" dxfId="18577" priority="4666">
      <formula>#REF!="TO"</formula>
    </cfRule>
    <cfRule type="expression" dxfId="18576" priority="4667">
      <formula>#REF!="IO"</formula>
    </cfRule>
    <cfRule type="expression" dxfId="18575" priority="4668">
      <formula>#REF!="L"</formula>
    </cfRule>
  </conditionalFormatting>
  <conditionalFormatting sqref="BR19">
    <cfRule type="expression" dxfId="18574" priority="4663">
      <formula>#REF!="TO"</formula>
    </cfRule>
    <cfRule type="expression" dxfId="18573" priority="4664">
      <formula>#REF!="IO"</formula>
    </cfRule>
    <cfRule type="expression" dxfId="18572" priority="4665">
      <formula>#REF!="L"</formula>
    </cfRule>
  </conditionalFormatting>
  <conditionalFormatting sqref="BO19">
    <cfRule type="expression" dxfId="18571" priority="4657">
      <formula>#REF!="TO"</formula>
    </cfRule>
    <cfRule type="expression" dxfId="18570" priority="4658">
      <formula>#REF!="IO"</formula>
    </cfRule>
    <cfRule type="expression" dxfId="18569" priority="4659">
      <formula>#REF!="L"</formula>
    </cfRule>
    <cfRule type="expression" dxfId="18568" priority="4660">
      <formula>AT19="TO"</formula>
    </cfRule>
    <cfRule type="expression" dxfId="18567" priority="4661">
      <formula>AT19="IO"</formula>
    </cfRule>
    <cfRule type="expression" dxfId="18566" priority="4662">
      <formula>AT19="L"</formula>
    </cfRule>
  </conditionalFormatting>
  <conditionalFormatting sqref="BB20">
    <cfRule type="expression" dxfId="18565" priority="4648">
      <formula>#REF!="TO"</formula>
    </cfRule>
    <cfRule type="expression" dxfId="18564" priority="4649">
      <formula>#REF!="IO"</formula>
    </cfRule>
    <cfRule type="expression" dxfId="18563" priority="4650">
      <formula>#REF!="L"</formula>
    </cfRule>
  </conditionalFormatting>
  <conditionalFormatting sqref="BF20">
    <cfRule type="expression" dxfId="18562" priority="4642">
      <formula>#REF!="TO"</formula>
    </cfRule>
    <cfRule type="expression" dxfId="18561" priority="4643">
      <formula>#REF!="IO"</formula>
    </cfRule>
    <cfRule type="expression" dxfId="18560" priority="4644">
      <formula>#REF!="L"</formula>
    </cfRule>
  </conditionalFormatting>
  <conditionalFormatting sqref="BM20">
    <cfRule type="expression" dxfId="18559" priority="4633">
      <formula>#REF!="TO"</formula>
    </cfRule>
    <cfRule type="expression" dxfId="18558" priority="4634">
      <formula>#REF!="IO"</formula>
    </cfRule>
    <cfRule type="expression" dxfId="18557" priority="4635">
      <formula>#REF!="L"</formula>
    </cfRule>
  </conditionalFormatting>
  <conditionalFormatting sqref="BR20">
    <cfRule type="expression" dxfId="18556" priority="4627">
      <formula>#REF!="TO"</formula>
    </cfRule>
    <cfRule type="expression" dxfId="18555" priority="4628">
      <formula>#REF!="IO"</formula>
    </cfRule>
    <cfRule type="expression" dxfId="18554" priority="4629">
      <formula>#REF!="L"</formula>
    </cfRule>
  </conditionalFormatting>
  <conditionalFormatting sqref="BO20">
    <cfRule type="expression" dxfId="18553" priority="4621">
      <formula>#REF!="TO"</formula>
    </cfRule>
    <cfRule type="expression" dxfId="18552" priority="4622">
      <formula>#REF!="IO"</formula>
    </cfRule>
    <cfRule type="expression" dxfId="18551" priority="4623">
      <formula>#REF!="L"</formula>
    </cfRule>
    <cfRule type="expression" dxfId="18550" priority="4624">
      <formula>AT20="TO"</formula>
    </cfRule>
    <cfRule type="expression" dxfId="18549" priority="4625">
      <formula>AT20="IO"</formula>
    </cfRule>
    <cfRule type="expression" dxfId="18548" priority="4626">
      <formula>AT20="L"</formula>
    </cfRule>
  </conditionalFormatting>
  <conditionalFormatting sqref="BM51:BM86">
    <cfRule type="expression" dxfId="18547" priority="4213">
      <formula>#REF!="TO"</formula>
    </cfRule>
    <cfRule type="expression" dxfId="18546" priority="4214">
      <formula>#REF!="IO"</formula>
    </cfRule>
    <cfRule type="expression" dxfId="18545" priority="4215">
      <formula>#REF!="L"</formula>
    </cfRule>
  </conditionalFormatting>
  <conditionalFormatting sqref="BB21">
    <cfRule type="expression" dxfId="18544" priority="4612">
      <formula>#REF!="TO"</formula>
    </cfRule>
    <cfRule type="expression" dxfId="18543" priority="4613">
      <formula>#REF!="IO"</formula>
    </cfRule>
    <cfRule type="expression" dxfId="18542" priority="4614">
      <formula>#REF!="L"</formula>
    </cfRule>
  </conditionalFormatting>
  <conditionalFormatting sqref="BC21:BE21">
    <cfRule type="expression" dxfId="18541" priority="4609">
      <formula>#REF!="TO"</formula>
    </cfRule>
    <cfRule type="expression" dxfId="18540" priority="4610">
      <formula>#REF!="IO"</formula>
    </cfRule>
    <cfRule type="expression" dxfId="18539" priority="4611">
      <formula>#REF!="L"</formula>
    </cfRule>
  </conditionalFormatting>
  <conditionalFormatting sqref="BL21">
    <cfRule type="expression" dxfId="18538" priority="4603">
      <formula>#REF!="TO"</formula>
    </cfRule>
    <cfRule type="expression" dxfId="18537" priority="4604">
      <formula>#REF!="IO"</formula>
    </cfRule>
    <cfRule type="expression" dxfId="18536" priority="4605">
      <formula>#REF!="L"</formula>
    </cfRule>
    <cfRule type="expression" dxfId="18535" priority="4606">
      <formula>AS21="TO"</formula>
    </cfRule>
    <cfRule type="expression" dxfId="18534" priority="4607">
      <formula>AS21="IO"</formula>
    </cfRule>
    <cfRule type="expression" dxfId="18533" priority="4608">
      <formula>AS21="L"</formula>
    </cfRule>
  </conditionalFormatting>
  <conditionalFormatting sqref="BM21">
    <cfRule type="expression" dxfId="18532" priority="4600">
      <formula>#REF!="TO"</formula>
    </cfRule>
    <cfRule type="expression" dxfId="18531" priority="4601">
      <formula>#REF!="IO"</formula>
    </cfRule>
    <cfRule type="expression" dxfId="18530" priority="4602">
      <formula>#REF!="L"</formula>
    </cfRule>
  </conditionalFormatting>
  <conditionalFormatting sqref="BN21">
    <cfRule type="expression" dxfId="18529" priority="4597">
      <formula>#REF!="TO"</formula>
    </cfRule>
    <cfRule type="expression" dxfId="18528" priority="4598">
      <formula>#REF!="IO"</formula>
    </cfRule>
    <cfRule type="expression" dxfId="18527" priority="4599">
      <formula>#REF!="L"</formula>
    </cfRule>
  </conditionalFormatting>
  <conditionalFormatting sqref="BR21">
    <cfRule type="expression" dxfId="18526" priority="4594">
      <formula>#REF!="TO"</formula>
    </cfRule>
    <cfRule type="expression" dxfId="18525" priority="4595">
      <formula>#REF!="IO"</formula>
    </cfRule>
    <cfRule type="expression" dxfId="18524" priority="4596">
      <formula>#REF!="L"</formula>
    </cfRule>
  </conditionalFormatting>
  <conditionalFormatting sqref="BO21">
    <cfRule type="expression" dxfId="18523" priority="4588">
      <formula>#REF!="TO"</formula>
    </cfRule>
    <cfRule type="expression" dxfId="18522" priority="4589">
      <formula>#REF!="IO"</formula>
    </cfRule>
    <cfRule type="expression" dxfId="18521" priority="4590">
      <formula>#REF!="L"</formula>
    </cfRule>
    <cfRule type="expression" dxfId="18520" priority="4591">
      <formula>AT21="TO"</formula>
    </cfRule>
    <cfRule type="expression" dxfId="18519" priority="4592">
      <formula>AT21="IO"</formula>
    </cfRule>
    <cfRule type="expression" dxfId="18518" priority="4593">
      <formula>AT21="L"</formula>
    </cfRule>
  </conditionalFormatting>
  <conditionalFormatting sqref="BK22">
    <cfRule type="expression" dxfId="18517" priority="4552">
      <formula>#REF!="TO"</formula>
    </cfRule>
    <cfRule type="expression" dxfId="18516" priority="4553">
      <formula>#REF!="IO"</formula>
    </cfRule>
    <cfRule type="expression" dxfId="18515" priority="4554">
      <formula>#REF!="L"</formula>
    </cfRule>
  </conditionalFormatting>
  <conditionalFormatting sqref="BP9:BP12">
    <cfRule type="expression" dxfId="18514" priority="4180">
      <formula>#REF!="TO"</formula>
    </cfRule>
    <cfRule type="expression" dxfId="18513" priority="4181">
      <formula>#REF!="IO"</formula>
    </cfRule>
    <cfRule type="expression" dxfId="18512" priority="4182">
      <formula>#REF!="L"</formula>
    </cfRule>
  </conditionalFormatting>
  <conditionalFormatting sqref="BP43">
    <cfRule type="expression" dxfId="18511" priority="4144">
      <formula>#REF!="TO"</formula>
    </cfRule>
    <cfRule type="expression" dxfId="18510" priority="4145">
      <formula>#REF!="IO"</formula>
    </cfRule>
    <cfRule type="expression" dxfId="18509" priority="4146">
      <formula>#REF!="L"</formula>
    </cfRule>
  </conditionalFormatting>
  <conditionalFormatting sqref="BB22">
    <cfRule type="expression" dxfId="18508" priority="4579">
      <formula>#REF!="TO"</formula>
    </cfRule>
    <cfRule type="expression" dxfId="18507" priority="4580">
      <formula>#REF!="IO"</formula>
    </cfRule>
    <cfRule type="expression" dxfId="18506" priority="4581">
      <formula>#REF!="L"</formula>
    </cfRule>
  </conditionalFormatting>
  <conditionalFormatting sqref="BC22:BE29">
    <cfRule type="expression" dxfId="18505" priority="4576">
      <formula>#REF!="TO"</formula>
    </cfRule>
    <cfRule type="expression" dxfId="18504" priority="4577">
      <formula>#REF!="IO"</formula>
    </cfRule>
    <cfRule type="expression" dxfId="18503" priority="4578">
      <formula>#REF!="L"</formula>
    </cfRule>
  </conditionalFormatting>
  <conditionalFormatting sqref="BL22">
    <cfRule type="expression" dxfId="18502" priority="4570">
      <formula>#REF!="TO"</formula>
    </cfRule>
    <cfRule type="expression" dxfId="18501" priority="4571">
      <formula>#REF!="IO"</formula>
    </cfRule>
    <cfRule type="expression" dxfId="18500" priority="4572">
      <formula>#REF!="L"</formula>
    </cfRule>
    <cfRule type="expression" dxfId="18499" priority="4573">
      <formula>AS22="TO"</formula>
    </cfRule>
    <cfRule type="expression" dxfId="18498" priority="4574">
      <formula>AS22="IO"</formula>
    </cfRule>
    <cfRule type="expression" dxfId="18497" priority="4575">
      <formula>AS22="L"</formula>
    </cfRule>
  </conditionalFormatting>
  <conditionalFormatting sqref="BN22:BN29">
    <cfRule type="expression" dxfId="18496" priority="4564">
      <formula>#REF!="TO"</formula>
    </cfRule>
    <cfRule type="expression" dxfId="18495" priority="4565">
      <formula>#REF!="IO"</formula>
    </cfRule>
    <cfRule type="expression" dxfId="18494" priority="4566">
      <formula>#REF!="L"</formula>
    </cfRule>
  </conditionalFormatting>
  <conditionalFormatting sqref="BM22:BM29">
    <cfRule type="expression" dxfId="18493" priority="4567">
      <formula>#REF!="TO"</formula>
    </cfRule>
    <cfRule type="expression" dxfId="18492" priority="4568">
      <formula>#REF!="IO"</formula>
    </cfRule>
    <cfRule type="expression" dxfId="18491" priority="4569">
      <formula>#REF!="L"</formula>
    </cfRule>
  </conditionalFormatting>
  <conditionalFormatting sqref="BR22">
    <cfRule type="expression" dxfId="18490" priority="4561">
      <formula>#REF!="TO"</formula>
    </cfRule>
    <cfRule type="expression" dxfId="18489" priority="4562">
      <formula>#REF!="IO"</formula>
    </cfRule>
    <cfRule type="expression" dxfId="18488" priority="4563">
      <formula>#REF!="L"</formula>
    </cfRule>
  </conditionalFormatting>
  <conditionalFormatting sqref="BO22:BO29">
    <cfRule type="expression" dxfId="18487" priority="4555">
      <formula>#REF!="TO"</formula>
    </cfRule>
    <cfRule type="expression" dxfId="18486" priority="4556">
      <formula>#REF!="IO"</formula>
    </cfRule>
    <cfRule type="expression" dxfId="18485" priority="4557">
      <formula>#REF!="L"</formula>
    </cfRule>
    <cfRule type="expression" dxfId="18484" priority="4558">
      <formula>AT22="TO"</formula>
    </cfRule>
    <cfRule type="expression" dxfId="18483" priority="4559">
      <formula>AT22="IO"</formula>
    </cfRule>
    <cfRule type="expression" dxfId="18482" priority="4560">
      <formula>AT22="L"</formula>
    </cfRule>
  </conditionalFormatting>
  <conditionalFormatting sqref="BB23:BB29">
    <cfRule type="expression" dxfId="18481" priority="4549">
      <formula>#REF!="TO"</formula>
    </cfRule>
    <cfRule type="expression" dxfId="18480" priority="4550">
      <formula>#REF!="IO"</formula>
    </cfRule>
    <cfRule type="expression" dxfId="18479" priority="4551">
      <formula>#REF!="L"</formula>
    </cfRule>
  </conditionalFormatting>
  <conditionalFormatting sqref="BQ6:BS6">
    <cfRule type="expression" dxfId="18478" priority="4108">
      <formula>#REF!="TO"</formula>
    </cfRule>
    <cfRule type="expression" dxfId="18477" priority="4109">
      <formula>#REF!="IO"</formula>
    </cfRule>
    <cfRule type="expression" dxfId="18476" priority="4110">
      <formula>#REF!="L"</formula>
    </cfRule>
  </conditionalFormatting>
  <conditionalFormatting sqref="BC42:BE42">
    <cfRule type="expression" dxfId="18475" priority="4543">
      <formula>#REF!="TO"</formula>
    </cfRule>
    <cfRule type="expression" dxfId="18474" priority="4544">
      <formula>#REF!="IO"</formula>
    </cfRule>
    <cfRule type="expression" dxfId="18473" priority="4545">
      <formula>#REF!="L"</formula>
    </cfRule>
  </conditionalFormatting>
  <conditionalFormatting sqref="BF21">
    <cfRule type="expression" dxfId="18472" priority="4480">
      <formula>#REF!="TO"</formula>
    </cfRule>
    <cfRule type="expression" dxfId="18471" priority="4481">
      <formula>#REF!="IO"</formula>
    </cfRule>
    <cfRule type="expression" dxfId="18470" priority="4482">
      <formula>#REF!="L"</formula>
    </cfRule>
  </conditionalFormatting>
  <conditionalFormatting sqref="BK42">
    <cfRule type="expression" dxfId="18469" priority="4540">
      <formula>#REF!="TO"</formula>
    </cfRule>
    <cfRule type="expression" dxfId="18468" priority="4541">
      <formula>#REF!="IO"</formula>
    </cfRule>
    <cfRule type="expression" dxfId="18467" priority="4542">
      <formula>#REF!="L"</formula>
    </cfRule>
  </conditionalFormatting>
  <conditionalFormatting sqref="BM42">
    <cfRule type="expression" dxfId="18466" priority="4537">
      <formula>#REF!="TO"</formula>
    </cfRule>
    <cfRule type="expression" dxfId="18465" priority="4538">
      <formula>#REF!="IO"</formula>
    </cfRule>
    <cfRule type="expression" dxfId="18464" priority="4539">
      <formula>#REF!="L"</formula>
    </cfRule>
  </conditionalFormatting>
  <conditionalFormatting sqref="BN42">
    <cfRule type="expression" dxfId="18463" priority="4534">
      <formula>#REF!="TO"</formula>
    </cfRule>
    <cfRule type="expression" dxfId="18462" priority="4535">
      <formula>#REF!="IO"</formula>
    </cfRule>
    <cfRule type="expression" dxfId="18461" priority="4536">
      <formula>#REF!="L"</formula>
    </cfRule>
  </conditionalFormatting>
  <conditionalFormatting sqref="BF13">
    <cfRule type="expression" dxfId="18460" priority="4492">
      <formula>#REF!="TO"</formula>
    </cfRule>
    <cfRule type="expression" dxfId="18459" priority="4493">
      <formula>#REF!="IO"</formula>
    </cfRule>
    <cfRule type="expression" dxfId="18458" priority="4494">
      <formula>#REF!="L"</formula>
    </cfRule>
  </conditionalFormatting>
  <conditionalFormatting sqref="BE42">
    <cfRule type="expression" dxfId="18457" priority="4531">
      <formula>#REF!="TO"</formula>
    </cfRule>
    <cfRule type="expression" dxfId="18456" priority="4532">
      <formula>#REF!="IO"</formula>
    </cfRule>
    <cfRule type="expression" dxfId="18455" priority="4533">
      <formula>#REF!="L"</formula>
    </cfRule>
  </conditionalFormatting>
  <conditionalFormatting sqref="BP49">
    <cfRule type="expression" dxfId="18454" priority="4126">
      <formula>#REF!="TO"</formula>
    </cfRule>
    <cfRule type="expression" dxfId="18453" priority="4127">
      <formula>#REF!="IO"</formula>
    </cfRule>
    <cfRule type="expression" dxfId="18452" priority="4128">
      <formula>#REF!="L"</formula>
    </cfRule>
  </conditionalFormatting>
  <conditionalFormatting sqref="BF22">
    <cfRule type="expression" dxfId="18451" priority="4477">
      <formula>#REF!="TO"</formula>
    </cfRule>
    <cfRule type="expression" dxfId="18450" priority="4478">
      <formula>#REF!="IO"</formula>
    </cfRule>
    <cfRule type="expression" dxfId="18449" priority="4479">
      <formula>#REF!="L"</formula>
    </cfRule>
  </conditionalFormatting>
  <conditionalFormatting sqref="BK45">
    <cfRule type="expression" dxfId="18448" priority="4438">
      <formula>#REF!="TO"</formula>
    </cfRule>
    <cfRule type="expression" dxfId="18447" priority="4439">
      <formula>#REF!="IO"</formula>
    </cfRule>
    <cfRule type="expression" dxfId="18446" priority="4440">
      <formula>#REF!="L"</formula>
    </cfRule>
  </conditionalFormatting>
  <conditionalFormatting sqref="BK43">
    <cfRule type="expression" dxfId="18445" priority="4522">
      <formula>#REF!="TO"</formula>
    </cfRule>
    <cfRule type="expression" dxfId="18444" priority="4523">
      <formula>#REF!="IO"</formula>
    </cfRule>
    <cfRule type="expression" dxfId="18443" priority="4524">
      <formula>#REF!="L"</formula>
    </cfRule>
  </conditionalFormatting>
  <conditionalFormatting sqref="BM43">
    <cfRule type="expression" dxfId="18442" priority="4519">
      <formula>#REF!="TO"</formula>
    </cfRule>
    <cfRule type="expression" dxfId="18441" priority="4520">
      <formula>#REF!="IO"</formula>
    </cfRule>
    <cfRule type="expression" dxfId="18440" priority="4521">
      <formula>#REF!="L"</formula>
    </cfRule>
  </conditionalFormatting>
  <conditionalFormatting sqref="BN43">
    <cfRule type="expression" dxfId="18439" priority="4516">
      <formula>#REF!="TO"</formula>
    </cfRule>
    <cfRule type="expression" dxfId="18438" priority="4517">
      <formula>#REF!="IO"</formula>
    </cfRule>
    <cfRule type="expression" dxfId="18437" priority="4518">
      <formula>#REF!="L"</formula>
    </cfRule>
  </conditionalFormatting>
  <conditionalFormatting sqref="BF28:BF29">
    <cfRule type="expression" dxfId="18436" priority="3994">
      <formula>#REF!="TO"</formula>
    </cfRule>
    <cfRule type="expression" dxfId="18435" priority="3995">
      <formula>#REF!="IO"</formula>
    </cfRule>
    <cfRule type="expression" dxfId="18434" priority="3996">
      <formula>#REF!="L"</formula>
    </cfRule>
  </conditionalFormatting>
  <conditionalFormatting sqref="BE43">
    <cfRule type="expression" dxfId="18433" priority="4513">
      <formula>#REF!="TO"</formula>
    </cfRule>
    <cfRule type="expression" dxfId="18432" priority="4514">
      <formula>#REF!="IO"</formula>
    </cfRule>
    <cfRule type="expression" dxfId="18431" priority="4515">
      <formula>#REF!="L"</formula>
    </cfRule>
  </conditionalFormatting>
  <conditionalFormatting sqref="BM45">
    <cfRule type="expression" dxfId="18430" priority="4435">
      <formula>#REF!="TO"</formula>
    </cfRule>
    <cfRule type="expression" dxfId="18429" priority="4436">
      <formula>#REF!="IO"</formula>
    </cfRule>
    <cfRule type="expression" dxfId="18428" priority="4437">
      <formula>#REF!="L"</formula>
    </cfRule>
  </conditionalFormatting>
  <conditionalFormatting sqref="BC44:BE44">
    <cfRule type="expression" dxfId="18427" priority="4507">
      <formula>#REF!="TO"</formula>
    </cfRule>
    <cfRule type="expression" dxfId="18426" priority="4508">
      <formula>#REF!="IO"</formula>
    </cfRule>
    <cfRule type="expression" dxfId="18425" priority="4509">
      <formula>#REF!="L"</formula>
    </cfRule>
  </conditionalFormatting>
  <conditionalFormatting sqref="BK46">
    <cfRule type="expression" dxfId="18424" priority="4414">
      <formula>#REF!="TO"</formula>
    </cfRule>
    <cfRule type="expression" dxfId="18423" priority="4415">
      <formula>#REF!="IO"</formula>
    </cfRule>
    <cfRule type="expression" dxfId="18422" priority="4416">
      <formula>#REF!="L"</formula>
    </cfRule>
  </conditionalFormatting>
  <conditionalFormatting sqref="BK44">
    <cfRule type="expression" dxfId="18421" priority="4504">
      <formula>#REF!="TO"</formula>
    </cfRule>
    <cfRule type="expression" dxfId="18420" priority="4505">
      <formula>#REF!="IO"</formula>
    </cfRule>
    <cfRule type="expression" dxfId="18419" priority="4506">
      <formula>#REF!="L"</formula>
    </cfRule>
  </conditionalFormatting>
  <conditionalFormatting sqref="BM44">
    <cfRule type="expression" dxfId="18418" priority="4501">
      <formula>#REF!="TO"</formula>
    </cfRule>
    <cfRule type="expression" dxfId="18417" priority="4502">
      <formula>#REF!="IO"</formula>
    </cfRule>
    <cfRule type="expression" dxfId="18416" priority="4503">
      <formula>#REF!="L"</formula>
    </cfRule>
  </conditionalFormatting>
  <conditionalFormatting sqref="BN44">
    <cfRule type="expression" dxfId="18415" priority="4498">
      <formula>#REF!="TO"</formula>
    </cfRule>
    <cfRule type="expression" dxfId="18414" priority="4499">
      <formula>#REF!="IO"</formula>
    </cfRule>
    <cfRule type="expression" dxfId="18413" priority="4500">
      <formula>#REF!="L"</formula>
    </cfRule>
  </conditionalFormatting>
  <conditionalFormatting sqref="BJ38:BJ41">
    <cfRule type="expression" dxfId="18412" priority="3970">
      <formula>#REF!="TO"</formula>
    </cfRule>
    <cfRule type="expression" dxfId="18411" priority="3971">
      <formula>#REF!="IO"</formula>
    </cfRule>
    <cfRule type="expression" dxfId="18410" priority="3972">
      <formula>#REF!="L"</formula>
    </cfRule>
  </conditionalFormatting>
  <conditionalFormatting sqref="BE44">
    <cfRule type="expression" dxfId="18409" priority="4495">
      <formula>#REF!="TO"</formula>
    </cfRule>
    <cfRule type="expression" dxfId="18408" priority="4496">
      <formula>#REF!="IO"</formula>
    </cfRule>
    <cfRule type="expression" dxfId="18407" priority="4497">
      <formula>#REF!="L"</formula>
    </cfRule>
  </conditionalFormatting>
  <conditionalFormatting sqref="BF15">
    <cfRule type="expression" dxfId="18406" priority="4486">
      <formula>#REF!="TO"</formula>
    </cfRule>
    <cfRule type="expression" dxfId="18405" priority="4487">
      <formula>#REF!="IO"</formula>
    </cfRule>
    <cfRule type="expression" dxfId="18404" priority="4488">
      <formula>#REF!="L"</formula>
    </cfRule>
  </conditionalFormatting>
  <conditionalFormatting sqref="BF18">
    <cfRule type="expression" dxfId="18403" priority="4483">
      <formula>#REF!="TO"</formula>
    </cfRule>
    <cfRule type="expression" dxfId="18402" priority="4484">
      <formula>#REF!="IO"</formula>
    </cfRule>
    <cfRule type="expression" dxfId="18401" priority="4485">
      <formula>#REF!="L"</formula>
    </cfRule>
  </conditionalFormatting>
  <conditionalFormatting sqref="BF23:BF24">
    <cfRule type="expression" dxfId="18400" priority="4474">
      <formula>#REF!="TO"</formula>
    </cfRule>
    <cfRule type="expression" dxfId="18399" priority="4475">
      <formula>#REF!="IO"</formula>
    </cfRule>
    <cfRule type="expression" dxfId="18398" priority="4476">
      <formula>#REF!="L"</formula>
    </cfRule>
  </conditionalFormatting>
  <conditionalFormatting sqref="BF25:BF29">
    <cfRule type="expression" dxfId="18397" priority="4471">
      <formula>#REF!="TO"</formula>
    </cfRule>
    <cfRule type="expression" dxfId="18396" priority="4472">
      <formula>#REF!="IO"</formula>
    </cfRule>
    <cfRule type="expression" dxfId="18395" priority="4473">
      <formula>#REF!="L"</formula>
    </cfRule>
  </conditionalFormatting>
  <conditionalFormatting sqref="BM46">
    <cfRule type="expression" dxfId="18394" priority="4411">
      <formula>#REF!="TO"</formula>
    </cfRule>
    <cfRule type="expression" dxfId="18393" priority="4412">
      <formula>#REF!="IO"</formula>
    </cfRule>
    <cfRule type="expression" dxfId="18392" priority="4413">
      <formula>#REF!="L"</formula>
    </cfRule>
  </conditionalFormatting>
  <conditionalFormatting sqref="BH38:BH41">
    <cfRule type="expression" dxfId="18391" priority="4468">
      <formula>#REF!="TO"</formula>
    </cfRule>
    <cfRule type="expression" dxfId="18390" priority="4469">
      <formula>#REF!="IO"</formula>
    </cfRule>
    <cfRule type="expression" dxfId="18389" priority="4470">
      <formula>#REF!="L"</formula>
    </cfRule>
  </conditionalFormatting>
  <conditionalFormatting sqref="BH42">
    <cfRule type="expression" dxfId="18388" priority="4465">
      <formula>#REF!="TO"</formula>
    </cfRule>
    <cfRule type="expression" dxfId="18387" priority="4466">
      <formula>#REF!="IO"</formula>
    </cfRule>
    <cfRule type="expression" dxfId="18386" priority="4467">
      <formula>#REF!="L"</formula>
    </cfRule>
  </conditionalFormatting>
  <conditionalFormatting sqref="BH43">
    <cfRule type="expression" dxfId="18385" priority="4462">
      <formula>#REF!="TO"</formula>
    </cfRule>
    <cfRule type="expression" dxfId="18384" priority="4463">
      <formula>#REF!="IO"</formula>
    </cfRule>
    <cfRule type="expression" dxfId="18383" priority="4464">
      <formula>#REF!="L"</formula>
    </cfRule>
  </conditionalFormatting>
  <conditionalFormatting sqref="BH44">
    <cfRule type="expression" dxfId="18382" priority="4459">
      <formula>#REF!="TO"</formula>
    </cfRule>
    <cfRule type="expression" dxfId="18381" priority="4460">
      <formula>#REF!="IO"</formula>
    </cfRule>
    <cfRule type="expression" dxfId="18380" priority="4461">
      <formula>#REF!="L"</formula>
    </cfRule>
  </conditionalFormatting>
  <conditionalFormatting sqref="BJ45">
    <cfRule type="expression" dxfId="18379" priority="3946">
      <formula>#REF!="TO"</formula>
    </cfRule>
    <cfRule type="expression" dxfId="18378" priority="3947">
      <formula>#REF!="IO"</formula>
    </cfRule>
    <cfRule type="expression" dxfId="18377" priority="3948">
      <formula>#REF!="L"</formula>
    </cfRule>
  </conditionalFormatting>
  <conditionalFormatting sqref="BD42:BE42">
    <cfRule type="expression" dxfId="18376" priority="4453">
      <formula>#REF!="TO"</formula>
    </cfRule>
    <cfRule type="expression" dxfId="18375" priority="4454">
      <formula>#REF!="IO"</formula>
    </cfRule>
    <cfRule type="expression" dxfId="18374" priority="4455">
      <formula>#REF!="L"</formula>
    </cfRule>
  </conditionalFormatting>
  <conditionalFormatting sqref="BD43:BE43">
    <cfRule type="expression" dxfId="18373" priority="4450">
      <formula>#REF!="TO"</formula>
    </cfRule>
    <cfRule type="expression" dxfId="18372" priority="4451">
      <formula>#REF!="IO"</formula>
    </cfRule>
    <cfRule type="expression" dxfId="18371" priority="4452">
      <formula>#REF!="L"</formula>
    </cfRule>
  </conditionalFormatting>
  <conditionalFormatting sqref="BD44:BE44">
    <cfRule type="expression" dxfId="18370" priority="4447">
      <formula>#REF!="TO"</formula>
    </cfRule>
    <cfRule type="expression" dxfId="18369" priority="4448">
      <formula>#REF!="IO"</formula>
    </cfRule>
    <cfRule type="expression" dxfId="18368" priority="4449">
      <formula>#REF!="L"</formula>
    </cfRule>
  </conditionalFormatting>
  <conditionalFormatting sqref="BQ50:BS50">
    <cfRule type="expression" dxfId="18367" priority="4042">
      <formula>#REF!="TO"</formula>
    </cfRule>
    <cfRule type="expression" dxfId="18366" priority="4043">
      <formula>#REF!="IO"</formula>
    </cfRule>
    <cfRule type="expression" dxfId="18365" priority="4044">
      <formula>#REF!="L"</formula>
    </cfRule>
  </conditionalFormatting>
  <conditionalFormatting sqref="BC45:BE45">
    <cfRule type="expression" dxfId="18364" priority="4441">
      <formula>#REF!="TO"</formula>
    </cfRule>
    <cfRule type="expression" dxfId="18363" priority="4442">
      <formula>#REF!="IO"</formula>
    </cfRule>
    <cfRule type="expression" dxfId="18362" priority="4443">
      <formula>#REF!="L"</formula>
    </cfRule>
  </conditionalFormatting>
  <conditionalFormatting sqref="BN45">
    <cfRule type="expression" dxfId="18361" priority="4432">
      <formula>#REF!="TO"</formula>
    </cfRule>
    <cfRule type="expression" dxfId="18360" priority="4433">
      <formula>#REF!="IO"</formula>
    </cfRule>
    <cfRule type="expression" dxfId="18359" priority="4434">
      <formula>#REF!="L"</formula>
    </cfRule>
  </conditionalFormatting>
  <conditionalFormatting sqref="BE45">
    <cfRule type="expression" dxfId="18358" priority="4429">
      <formula>#REF!="TO"</formula>
    </cfRule>
    <cfRule type="expression" dxfId="18357" priority="4430">
      <formula>#REF!="IO"</formula>
    </cfRule>
    <cfRule type="expression" dxfId="18356" priority="4431">
      <formula>#REF!="L"</formula>
    </cfRule>
  </conditionalFormatting>
  <conditionalFormatting sqref="BH45">
    <cfRule type="expression" dxfId="18355" priority="4426">
      <formula>#REF!="TO"</formula>
    </cfRule>
    <cfRule type="expression" dxfId="18354" priority="4427">
      <formula>#REF!="IO"</formula>
    </cfRule>
    <cfRule type="expression" dxfId="18353" priority="4428">
      <formula>#REF!="L"</formula>
    </cfRule>
  </conditionalFormatting>
  <conditionalFormatting sqref="BD28:BE29">
    <cfRule type="expression" dxfId="18352" priority="4018">
      <formula>#REF!="TO"</formula>
    </cfRule>
    <cfRule type="expression" dxfId="18351" priority="4019">
      <formula>#REF!="IO"</formula>
    </cfRule>
    <cfRule type="expression" dxfId="18350" priority="4020">
      <formula>#REF!="L"</formula>
    </cfRule>
  </conditionalFormatting>
  <conditionalFormatting sqref="BC46:BE46">
    <cfRule type="expression" dxfId="18349" priority="4417">
      <formula>#REF!="TO"</formula>
    </cfRule>
    <cfRule type="expression" dxfId="18348" priority="4418">
      <formula>#REF!="IO"</formula>
    </cfRule>
    <cfRule type="expression" dxfId="18347" priority="4419">
      <formula>#REF!="L"</formula>
    </cfRule>
  </conditionalFormatting>
  <conditionalFormatting sqref="BN46">
    <cfRule type="expression" dxfId="18346" priority="4408">
      <formula>#REF!="TO"</formula>
    </cfRule>
    <cfRule type="expression" dxfId="18345" priority="4409">
      <formula>#REF!="IO"</formula>
    </cfRule>
    <cfRule type="expression" dxfId="18344" priority="4410">
      <formula>#REF!="L"</formula>
    </cfRule>
  </conditionalFormatting>
  <conditionalFormatting sqref="BE46">
    <cfRule type="expression" dxfId="18343" priority="4405">
      <formula>#REF!="TO"</formula>
    </cfRule>
    <cfRule type="expression" dxfId="18342" priority="4406">
      <formula>#REF!="IO"</formula>
    </cfRule>
    <cfRule type="expression" dxfId="18341" priority="4407">
      <formula>#REF!="L"</formula>
    </cfRule>
  </conditionalFormatting>
  <conditionalFormatting sqref="BH46">
    <cfRule type="expression" dxfId="18340" priority="4402">
      <formula>#REF!="TO"</formula>
    </cfRule>
    <cfRule type="expression" dxfId="18339" priority="4403">
      <formula>#REF!="IO"</formula>
    </cfRule>
    <cfRule type="expression" dxfId="18338" priority="4404">
      <formula>#REF!="L"</formula>
    </cfRule>
  </conditionalFormatting>
  <conditionalFormatting sqref="BD46:BE46">
    <cfRule type="expression" dxfId="18337" priority="4399">
      <formula>#REF!="TO"</formula>
    </cfRule>
    <cfRule type="expression" dxfId="18336" priority="4400">
      <formula>#REF!="IO"</formula>
    </cfRule>
    <cfRule type="expression" dxfId="18335" priority="4401">
      <formula>#REF!="L"</formula>
    </cfRule>
  </conditionalFormatting>
  <conditionalFormatting sqref="BC47:BE47">
    <cfRule type="expression" dxfId="18334" priority="4393">
      <formula>#REF!="TO"</formula>
    </cfRule>
    <cfRule type="expression" dxfId="18333" priority="4394">
      <formula>#REF!="IO"</formula>
    </cfRule>
    <cfRule type="expression" dxfId="18332" priority="4395">
      <formula>#REF!="L"</formula>
    </cfRule>
  </conditionalFormatting>
  <conditionalFormatting sqref="BM47">
    <cfRule type="expression" dxfId="18331" priority="4387">
      <formula>#REF!="TO"</formula>
    </cfRule>
    <cfRule type="expression" dxfId="18330" priority="4388">
      <formula>#REF!="IO"</formula>
    </cfRule>
    <cfRule type="expression" dxfId="18329" priority="4389">
      <formula>#REF!="L"</formula>
    </cfRule>
  </conditionalFormatting>
  <conditionalFormatting sqref="BN47">
    <cfRule type="expression" dxfId="18328" priority="4384">
      <formula>#REF!="TO"</formula>
    </cfRule>
    <cfRule type="expression" dxfId="18327" priority="4385">
      <formula>#REF!="IO"</formula>
    </cfRule>
    <cfRule type="expression" dxfId="18326" priority="4386">
      <formula>#REF!="L"</formula>
    </cfRule>
  </conditionalFormatting>
  <conditionalFormatting sqref="BE47">
    <cfRule type="expression" dxfId="18325" priority="4381">
      <formula>#REF!="TO"</formula>
    </cfRule>
    <cfRule type="expression" dxfId="18324" priority="4382">
      <formula>#REF!="IO"</formula>
    </cfRule>
    <cfRule type="expression" dxfId="18323" priority="4383">
      <formula>#REF!="L"</formula>
    </cfRule>
  </conditionalFormatting>
  <conditionalFormatting sqref="BH47">
    <cfRule type="expression" dxfId="18322" priority="4378">
      <formula>#REF!="TO"</formula>
    </cfRule>
    <cfRule type="expression" dxfId="18321" priority="4379">
      <formula>#REF!="IO"</formula>
    </cfRule>
    <cfRule type="expression" dxfId="18320" priority="4380">
      <formula>#REF!="L"</formula>
    </cfRule>
  </conditionalFormatting>
  <conditionalFormatting sqref="BD47:BE47">
    <cfRule type="expression" dxfId="18319" priority="4375">
      <formula>#REF!="TO"</formula>
    </cfRule>
    <cfRule type="expression" dxfId="18318" priority="4376">
      <formula>#REF!="IO"</formula>
    </cfRule>
    <cfRule type="expression" dxfId="18317" priority="4377">
      <formula>#REF!="L"</formula>
    </cfRule>
  </conditionalFormatting>
  <conditionalFormatting sqref="BJ13">
    <cfRule type="expression" dxfId="18316" priority="3922">
      <formula>#REF!="TO"</formula>
    </cfRule>
    <cfRule type="expression" dxfId="18315" priority="3923">
      <formula>#REF!="IO"</formula>
    </cfRule>
    <cfRule type="expression" dxfId="18314" priority="3924">
      <formula>#REF!="L"</formula>
    </cfRule>
  </conditionalFormatting>
  <conditionalFormatting sqref="BC48:BE48">
    <cfRule type="expression" dxfId="18313" priority="4369">
      <formula>#REF!="TO"</formula>
    </cfRule>
    <cfRule type="expression" dxfId="18312" priority="4370">
      <formula>#REF!="IO"</formula>
    </cfRule>
    <cfRule type="expression" dxfId="18311" priority="4371">
      <formula>#REF!="L"</formula>
    </cfRule>
  </conditionalFormatting>
  <conditionalFormatting sqref="BG17">
    <cfRule type="expression" dxfId="18310" priority="4294">
      <formula>#REF!="TO"</formula>
    </cfRule>
    <cfRule type="expression" dxfId="18309" priority="4295">
      <formula>#REF!="IO"</formula>
    </cfRule>
    <cfRule type="expression" dxfId="18308" priority="4296">
      <formula>#REF!="L"</formula>
    </cfRule>
  </conditionalFormatting>
  <conditionalFormatting sqref="BK48">
    <cfRule type="expression" dxfId="18307" priority="4366">
      <formula>#REF!="TO"</formula>
    </cfRule>
    <cfRule type="expression" dxfId="18306" priority="4367">
      <formula>#REF!="IO"</formula>
    </cfRule>
    <cfRule type="expression" dxfId="18305" priority="4368">
      <formula>#REF!="L"</formula>
    </cfRule>
  </conditionalFormatting>
  <conditionalFormatting sqref="BM48">
    <cfRule type="expression" dxfId="18304" priority="4363">
      <formula>#REF!="TO"</formula>
    </cfRule>
    <cfRule type="expression" dxfId="18303" priority="4364">
      <formula>#REF!="IO"</formula>
    </cfRule>
    <cfRule type="expression" dxfId="18302" priority="4365">
      <formula>#REF!="L"</formula>
    </cfRule>
  </conditionalFormatting>
  <conditionalFormatting sqref="BN48">
    <cfRule type="expression" dxfId="18301" priority="4360">
      <formula>#REF!="TO"</formula>
    </cfRule>
    <cfRule type="expression" dxfId="18300" priority="4361">
      <formula>#REF!="IO"</formula>
    </cfRule>
    <cfRule type="expression" dxfId="18299" priority="4362">
      <formula>#REF!="L"</formula>
    </cfRule>
  </conditionalFormatting>
  <conditionalFormatting sqref="BE48">
    <cfRule type="expression" dxfId="18298" priority="4357">
      <formula>#REF!="TO"</formula>
    </cfRule>
    <cfRule type="expression" dxfId="18297" priority="4358">
      <formula>#REF!="IO"</formula>
    </cfRule>
    <cfRule type="expression" dxfId="18296" priority="4359">
      <formula>#REF!="L"</formula>
    </cfRule>
  </conditionalFormatting>
  <conditionalFormatting sqref="BD48:BE48">
    <cfRule type="expression" dxfId="18295" priority="4351">
      <formula>#REF!="TO"</formula>
    </cfRule>
    <cfRule type="expression" dxfId="18294" priority="4352">
      <formula>#REF!="IO"</formula>
    </cfRule>
    <cfRule type="expression" dxfId="18293" priority="4353">
      <formula>#REF!="L"</formula>
    </cfRule>
  </conditionalFormatting>
  <conditionalFormatting sqref="BG19">
    <cfRule type="expression" dxfId="18292" priority="4291">
      <formula>#REF!="TO"</formula>
    </cfRule>
    <cfRule type="expression" dxfId="18291" priority="4292">
      <formula>#REF!="IO"</formula>
    </cfRule>
    <cfRule type="expression" dxfId="18290" priority="4293">
      <formula>#REF!="L"</formula>
    </cfRule>
  </conditionalFormatting>
  <conditionalFormatting sqref="BC49:BE49">
    <cfRule type="expression" dxfId="18289" priority="4345">
      <formula>#REF!="TO"</formula>
    </cfRule>
    <cfRule type="expression" dxfId="18288" priority="4346">
      <formula>#REF!="IO"</formula>
    </cfRule>
    <cfRule type="expression" dxfId="18287" priority="4347">
      <formula>#REF!="L"</formula>
    </cfRule>
  </conditionalFormatting>
  <conditionalFormatting sqref="BE9:BE12">
    <cfRule type="expression" dxfId="18286" priority="4261">
      <formula>#REF!="TO"</formula>
    </cfRule>
    <cfRule type="expression" dxfId="18285" priority="4262">
      <formula>#REF!="IO"</formula>
    </cfRule>
    <cfRule type="expression" dxfId="18284" priority="4263">
      <formula>#REF!="L"</formula>
    </cfRule>
  </conditionalFormatting>
  <conditionalFormatting sqref="BK49">
    <cfRule type="expression" dxfId="18283" priority="4342">
      <formula>#REF!="TO"</formula>
    </cfRule>
    <cfRule type="expression" dxfId="18282" priority="4343">
      <formula>#REF!="IO"</formula>
    </cfRule>
    <cfRule type="expression" dxfId="18281" priority="4344">
      <formula>#REF!="L"</formula>
    </cfRule>
  </conditionalFormatting>
  <conditionalFormatting sqref="BM49">
    <cfRule type="expression" dxfId="18280" priority="4339">
      <formula>#REF!="TO"</formula>
    </cfRule>
    <cfRule type="expression" dxfId="18279" priority="4340">
      <formula>#REF!="IO"</formula>
    </cfRule>
    <cfRule type="expression" dxfId="18278" priority="4341">
      <formula>#REF!="L"</formula>
    </cfRule>
  </conditionalFormatting>
  <conditionalFormatting sqref="BN49">
    <cfRule type="expression" dxfId="18277" priority="4336">
      <formula>#REF!="TO"</formula>
    </cfRule>
    <cfRule type="expression" dxfId="18276" priority="4337">
      <formula>#REF!="IO"</formula>
    </cfRule>
    <cfRule type="expression" dxfId="18275" priority="4338">
      <formula>#REF!="L"</formula>
    </cfRule>
  </conditionalFormatting>
  <conditionalFormatting sqref="BE49">
    <cfRule type="expression" dxfId="18274" priority="4333">
      <formula>#REF!="TO"</formula>
    </cfRule>
    <cfRule type="expression" dxfId="18273" priority="4334">
      <formula>#REF!="IO"</formula>
    </cfRule>
    <cfRule type="expression" dxfId="18272" priority="4335">
      <formula>#REF!="L"</formula>
    </cfRule>
  </conditionalFormatting>
  <conditionalFormatting sqref="BH49">
    <cfRule type="expression" dxfId="18271" priority="4330">
      <formula>#REF!="TO"</formula>
    </cfRule>
    <cfRule type="expression" dxfId="18270" priority="4331">
      <formula>#REF!="IO"</formula>
    </cfRule>
    <cfRule type="expression" dxfId="18269" priority="4332">
      <formula>#REF!="L"</formula>
    </cfRule>
  </conditionalFormatting>
  <conditionalFormatting sqref="BD49:BE49">
    <cfRule type="expression" dxfId="18268" priority="4327">
      <formula>#REF!="TO"</formula>
    </cfRule>
    <cfRule type="expression" dxfId="18267" priority="4328">
      <formula>#REF!="IO"</formula>
    </cfRule>
    <cfRule type="expression" dxfId="18266" priority="4329">
      <formula>#REF!="L"</formula>
    </cfRule>
  </conditionalFormatting>
  <conditionalFormatting sqref="BE16">
    <cfRule type="expression" dxfId="18265" priority="4258">
      <formula>#REF!="TO"</formula>
    </cfRule>
    <cfRule type="expression" dxfId="18264" priority="4259">
      <formula>#REF!="IO"</formula>
    </cfRule>
    <cfRule type="expression" dxfId="18263" priority="4260">
      <formula>#REF!="L"</formula>
    </cfRule>
  </conditionalFormatting>
  <conditionalFormatting sqref="BC50:BE50">
    <cfRule type="expression" dxfId="18262" priority="4321">
      <formula>#REF!="TO"</formula>
    </cfRule>
    <cfRule type="expression" dxfId="18261" priority="4322">
      <formula>#REF!="IO"</formula>
    </cfRule>
    <cfRule type="expression" dxfId="18260" priority="4323">
      <formula>#REF!="L"</formula>
    </cfRule>
  </conditionalFormatting>
  <conditionalFormatting sqref="BM50">
    <cfRule type="expression" dxfId="18259" priority="4315">
      <formula>#REF!="TO"</formula>
    </cfRule>
    <cfRule type="expression" dxfId="18258" priority="4316">
      <formula>#REF!="IO"</formula>
    </cfRule>
    <cfRule type="expression" dxfId="18257" priority="4317">
      <formula>#REF!="L"</formula>
    </cfRule>
  </conditionalFormatting>
  <conditionalFormatting sqref="BN50">
    <cfRule type="expression" dxfId="18256" priority="4312">
      <formula>#REF!="TO"</formula>
    </cfRule>
    <cfRule type="expression" dxfId="18255" priority="4313">
      <formula>#REF!="IO"</formula>
    </cfRule>
    <cfRule type="expression" dxfId="18254" priority="4314">
      <formula>#REF!="L"</formula>
    </cfRule>
  </conditionalFormatting>
  <conditionalFormatting sqref="BC51:BE86">
    <cfRule type="expression" dxfId="18253" priority="4219">
      <formula>#REF!="TO"</formula>
    </cfRule>
    <cfRule type="expression" dxfId="18252" priority="4220">
      <formula>#REF!="IO"</formula>
    </cfRule>
    <cfRule type="expression" dxfId="18251" priority="4221">
      <formula>#REF!="L"</formula>
    </cfRule>
  </conditionalFormatting>
  <conditionalFormatting sqref="BE50">
    <cfRule type="expression" dxfId="18250" priority="4309">
      <formula>#REF!="TO"</formula>
    </cfRule>
    <cfRule type="expression" dxfId="18249" priority="4310">
      <formula>#REF!="IO"</formula>
    </cfRule>
    <cfRule type="expression" dxfId="18248" priority="4311">
      <formula>#REF!="L"</formula>
    </cfRule>
  </conditionalFormatting>
  <conditionalFormatting sqref="BH50">
    <cfRule type="expression" dxfId="18247" priority="4306">
      <formula>#REF!="TO"</formula>
    </cfRule>
    <cfRule type="expression" dxfId="18246" priority="4307">
      <formula>#REF!="IO"</formula>
    </cfRule>
    <cfRule type="expression" dxfId="18245" priority="4308">
      <formula>#REF!="L"</formula>
    </cfRule>
  </conditionalFormatting>
  <conditionalFormatting sqref="BD50:BE50">
    <cfRule type="expression" dxfId="18244" priority="4303">
      <formula>#REF!="TO"</formula>
    </cfRule>
    <cfRule type="expression" dxfId="18243" priority="4304">
      <formula>#REF!="IO"</formula>
    </cfRule>
    <cfRule type="expression" dxfId="18242" priority="4305">
      <formula>#REF!="L"</formula>
    </cfRule>
  </conditionalFormatting>
  <conditionalFormatting sqref="BG9:BG12">
    <cfRule type="expression" dxfId="18241" priority="4300">
      <formula>#REF!="TO"</formula>
    </cfRule>
    <cfRule type="expression" dxfId="18240" priority="4301">
      <formula>#REF!="IO"</formula>
    </cfRule>
    <cfRule type="expression" dxfId="18239" priority="4302">
      <formula>#REF!="L"</formula>
    </cfRule>
  </conditionalFormatting>
  <conditionalFormatting sqref="BG16">
    <cfRule type="expression" dxfId="18238" priority="4297">
      <formula>#REF!="TO"</formula>
    </cfRule>
    <cfRule type="expression" dxfId="18237" priority="4298">
      <formula>#REF!="IO"</formula>
    </cfRule>
    <cfRule type="expression" dxfId="18236" priority="4299">
      <formula>#REF!="L"</formula>
    </cfRule>
  </conditionalFormatting>
  <conditionalFormatting sqref="BG20">
    <cfRule type="expression" dxfId="18235" priority="4288">
      <formula>#REF!="TO"</formula>
    </cfRule>
    <cfRule type="expression" dxfId="18234" priority="4289">
      <formula>#REF!="IO"</formula>
    </cfRule>
    <cfRule type="expression" dxfId="18233" priority="4290">
      <formula>#REF!="L"</formula>
    </cfRule>
  </conditionalFormatting>
  <conditionalFormatting sqref="BG14">
    <cfRule type="expression" dxfId="18232" priority="4282">
      <formula>#REF!="TO"</formula>
    </cfRule>
    <cfRule type="expression" dxfId="18231" priority="4283">
      <formula>#REF!="IO"</formula>
    </cfRule>
    <cfRule type="expression" dxfId="18230" priority="4284">
      <formula>#REF!="L"</formula>
    </cfRule>
  </conditionalFormatting>
  <conditionalFormatting sqref="BG15">
    <cfRule type="expression" dxfId="18229" priority="4279">
      <formula>#REF!="TO"</formula>
    </cfRule>
    <cfRule type="expression" dxfId="18228" priority="4280">
      <formula>#REF!="IO"</formula>
    </cfRule>
    <cfRule type="expression" dxfId="18227" priority="4281">
      <formula>#REF!="L"</formula>
    </cfRule>
  </conditionalFormatting>
  <conditionalFormatting sqref="BG18">
    <cfRule type="expression" dxfId="18226" priority="4276">
      <formula>#REF!="TO"</formula>
    </cfRule>
    <cfRule type="expression" dxfId="18225" priority="4277">
      <formula>#REF!="IO"</formula>
    </cfRule>
    <cfRule type="expression" dxfId="18224" priority="4278">
      <formula>#REF!="L"</formula>
    </cfRule>
  </conditionalFormatting>
  <conditionalFormatting sqref="BG21">
    <cfRule type="expression" dxfId="18223" priority="4273">
      <formula>#REF!="TO"</formula>
    </cfRule>
    <cfRule type="expression" dxfId="18222" priority="4274">
      <formula>#REF!="IO"</formula>
    </cfRule>
    <cfRule type="expression" dxfId="18221" priority="4275">
      <formula>#REF!="L"</formula>
    </cfRule>
  </conditionalFormatting>
  <conditionalFormatting sqref="BG22">
    <cfRule type="expression" dxfId="18220" priority="4270">
      <formula>#REF!="TO"</formula>
    </cfRule>
    <cfRule type="expression" dxfId="18219" priority="4271">
      <formula>#REF!="IO"</formula>
    </cfRule>
    <cfRule type="expression" dxfId="18218" priority="4272">
      <formula>#REF!="L"</formula>
    </cfRule>
  </conditionalFormatting>
  <conditionalFormatting sqref="BG23:BG24">
    <cfRule type="expression" dxfId="18217" priority="4267">
      <formula>#REF!="TO"</formula>
    </cfRule>
    <cfRule type="expression" dxfId="18216" priority="4268">
      <formula>#REF!="IO"</formula>
    </cfRule>
    <cfRule type="expression" dxfId="18215" priority="4269">
      <formula>#REF!="L"</formula>
    </cfRule>
  </conditionalFormatting>
  <conditionalFormatting sqref="BG25:BG29">
    <cfRule type="expression" dxfId="18214" priority="4264">
      <formula>#REF!="TO"</formula>
    </cfRule>
    <cfRule type="expression" dxfId="18213" priority="4265">
      <formula>#REF!="IO"</formula>
    </cfRule>
    <cfRule type="expression" dxfId="18212" priority="4266">
      <formula>#REF!="L"</formula>
    </cfRule>
  </conditionalFormatting>
  <conditionalFormatting sqref="BI45">
    <cfRule type="expression" dxfId="18211" priority="3820">
      <formula>#REF!="TO"</formula>
    </cfRule>
    <cfRule type="expression" dxfId="18210" priority="3821">
      <formula>#REF!="IO"</formula>
    </cfRule>
    <cfRule type="expression" dxfId="18209" priority="3822">
      <formula>#REF!="L"</formula>
    </cfRule>
  </conditionalFormatting>
  <conditionalFormatting sqref="BP5">
    <cfRule type="expression" dxfId="18208" priority="4192">
      <formula>#REF!="TO"</formula>
    </cfRule>
    <cfRule type="expression" dxfId="18207" priority="4193">
      <formula>#REF!="IO"</formula>
    </cfRule>
    <cfRule type="expression" dxfId="18206" priority="4194">
      <formula>#REF!="L"</formula>
    </cfRule>
  </conditionalFormatting>
  <conditionalFormatting sqref="BP20">
    <cfRule type="expression" dxfId="18205" priority="4156">
      <formula>#REF!="TO"</formula>
    </cfRule>
    <cfRule type="expression" dxfId="18204" priority="4157">
      <formula>#REF!="IO"</formula>
    </cfRule>
    <cfRule type="expression" dxfId="18203" priority="4158">
      <formula>#REF!="L"</formula>
    </cfRule>
  </conditionalFormatting>
  <conditionalFormatting sqref="BP50">
    <cfRule type="expression" dxfId="18202" priority="4123">
      <formula>#REF!="TO"</formula>
    </cfRule>
    <cfRule type="expression" dxfId="18201" priority="4124">
      <formula>#REF!="IO"</formula>
    </cfRule>
    <cfRule type="expression" dxfId="18200" priority="4125">
      <formula>#REF!="L"</formula>
    </cfRule>
  </conditionalFormatting>
  <conditionalFormatting sqref="BK51:BK86">
    <cfRule type="expression" dxfId="18199" priority="4216">
      <formula>#REF!="TO"</formula>
    </cfRule>
    <cfRule type="expression" dxfId="18198" priority="4217">
      <formula>#REF!="IO"</formula>
    </cfRule>
    <cfRule type="expression" dxfId="18197" priority="4218">
      <formula>#REF!="L"</formula>
    </cfRule>
  </conditionalFormatting>
  <conditionalFormatting sqref="BN51:BN86">
    <cfRule type="expression" dxfId="18196" priority="4210">
      <formula>#REF!="TO"</formula>
    </cfRule>
    <cfRule type="expression" dxfId="18195" priority="4211">
      <formula>#REF!="IO"</formula>
    </cfRule>
    <cfRule type="expression" dxfId="18194" priority="4212">
      <formula>#REF!="L"</formula>
    </cfRule>
  </conditionalFormatting>
  <conditionalFormatting sqref="BE17">
    <cfRule type="expression" dxfId="18193" priority="4255">
      <formula>#REF!="TO"</formula>
    </cfRule>
    <cfRule type="expression" dxfId="18192" priority="4256">
      <formula>#REF!="IO"</formula>
    </cfRule>
    <cfRule type="expression" dxfId="18191" priority="4257">
      <formula>#REF!="L"</formula>
    </cfRule>
  </conditionalFormatting>
  <conditionalFormatting sqref="BE19">
    <cfRule type="expression" dxfId="18190" priority="4252">
      <formula>#REF!="TO"</formula>
    </cfRule>
    <cfRule type="expression" dxfId="18189" priority="4253">
      <formula>#REF!="IO"</formula>
    </cfRule>
    <cfRule type="expression" dxfId="18188" priority="4254">
      <formula>#REF!="L"</formula>
    </cfRule>
  </conditionalFormatting>
  <conditionalFormatting sqref="BE13">
    <cfRule type="expression" dxfId="18187" priority="4246">
      <formula>#REF!="TO"</formula>
    </cfRule>
    <cfRule type="expression" dxfId="18186" priority="4247">
      <formula>#REF!="IO"</formula>
    </cfRule>
    <cfRule type="expression" dxfId="18185" priority="4248">
      <formula>#REF!="L"</formula>
    </cfRule>
  </conditionalFormatting>
  <conditionalFormatting sqref="BE14">
    <cfRule type="expression" dxfId="18184" priority="4243">
      <formula>#REF!="TO"</formula>
    </cfRule>
    <cfRule type="expression" dxfId="18183" priority="4244">
      <formula>#REF!="IO"</formula>
    </cfRule>
    <cfRule type="expression" dxfId="18182" priority="4245">
      <formula>#REF!="L"</formula>
    </cfRule>
  </conditionalFormatting>
  <conditionalFormatting sqref="BE15">
    <cfRule type="expression" dxfId="18181" priority="4240">
      <formula>#REF!="TO"</formula>
    </cfRule>
    <cfRule type="expression" dxfId="18180" priority="4241">
      <formula>#REF!="IO"</formula>
    </cfRule>
    <cfRule type="expression" dxfId="18179" priority="4242">
      <formula>#REF!="L"</formula>
    </cfRule>
  </conditionalFormatting>
  <conditionalFormatting sqref="BE18">
    <cfRule type="expression" dxfId="18178" priority="4237">
      <formula>#REF!="TO"</formula>
    </cfRule>
    <cfRule type="expression" dxfId="18177" priority="4238">
      <formula>#REF!="IO"</formula>
    </cfRule>
    <cfRule type="expression" dxfId="18176" priority="4239">
      <formula>#REF!="L"</formula>
    </cfRule>
  </conditionalFormatting>
  <conditionalFormatting sqref="BE21">
    <cfRule type="expression" dxfId="18175" priority="4234">
      <formula>#REF!="TO"</formula>
    </cfRule>
    <cfRule type="expression" dxfId="18174" priority="4235">
      <formula>#REF!="IO"</formula>
    </cfRule>
    <cfRule type="expression" dxfId="18173" priority="4236">
      <formula>#REF!="L"</formula>
    </cfRule>
  </conditionalFormatting>
  <conditionalFormatting sqref="BE22">
    <cfRule type="expression" dxfId="18172" priority="4231">
      <formula>#REF!="TO"</formula>
    </cfRule>
    <cfRule type="expression" dxfId="18171" priority="4232">
      <formula>#REF!="IO"</formula>
    </cfRule>
    <cfRule type="expression" dxfId="18170" priority="4233">
      <formula>#REF!="L"</formula>
    </cfRule>
  </conditionalFormatting>
  <conditionalFormatting sqref="BE23:BE24">
    <cfRule type="expression" dxfId="18169" priority="4228">
      <formula>#REF!="TO"</formula>
    </cfRule>
    <cfRule type="expression" dxfId="18168" priority="4229">
      <formula>#REF!="IO"</formula>
    </cfRule>
    <cfRule type="expression" dxfId="18167" priority="4230">
      <formula>#REF!="L"</formula>
    </cfRule>
  </conditionalFormatting>
  <conditionalFormatting sqref="BE25:BE29">
    <cfRule type="expression" dxfId="18166" priority="4225">
      <formula>#REF!="TO"</formula>
    </cfRule>
    <cfRule type="expression" dxfId="18165" priority="4226">
      <formula>#REF!="IO"</formula>
    </cfRule>
    <cfRule type="expression" dxfId="18164" priority="4227">
      <formula>#REF!="L"</formula>
    </cfRule>
  </conditionalFormatting>
  <conditionalFormatting sqref="BP17">
    <cfRule type="expression" dxfId="18163" priority="4165">
      <formula>#REF!="TO"</formula>
    </cfRule>
    <cfRule type="expression" dxfId="18162" priority="4166">
      <formula>#REF!="IO"</formula>
    </cfRule>
    <cfRule type="expression" dxfId="18161" priority="4167">
      <formula>#REF!="L"</formula>
    </cfRule>
  </conditionalFormatting>
  <conditionalFormatting sqref="BP18">
    <cfRule type="expression" dxfId="18160" priority="4162">
      <formula>#REF!="TO"</formula>
    </cfRule>
    <cfRule type="expression" dxfId="18159" priority="4163">
      <formula>#REF!="IO"</formula>
    </cfRule>
    <cfRule type="expression" dxfId="18158" priority="4164">
      <formula>#REF!="L"</formula>
    </cfRule>
  </conditionalFormatting>
  <conditionalFormatting sqref="BP19">
    <cfRule type="expression" dxfId="18157" priority="4159">
      <formula>#REF!="TO"</formula>
    </cfRule>
    <cfRule type="expression" dxfId="18156" priority="4160">
      <formula>#REF!="IO"</formula>
    </cfRule>
    <cfRule type="expression" dxfId="18155" priority="4161">
      <formula>#REF!="L"</formula>
    </cfRule>
  </conditionalFormatting>
  <conditionalFormatting sqref="BP21">
    <cfRule type="expression" dxfId="18154" priority="4153">
      <formula>#REF!="TO"</formula>
    </cfRule>
    <cfRule type="expression" dxfId="18153" priority="4154">
      <formula>#REF!="IO"</formula>
    </cfRule>
    <cfRule type="expression" dxfId="18152" priority="4155">
      <formula>#REF!="L"</formula>
    </cfRule>
  </conditionalFormatting>
  <conditionalFormatting sqref="BQ43:BS43">
    <cfRule type="expression" dxfId="18151" priority="4063">
      <formula>#REF!="TO"</formula>
    </cfRule>
    <cfRule type="expression" dxfId="18150" priority="4064">
      <formula>#REF!="IO"</formula>
    </cfRule>
    <cfRule type="expression" dxfId="18149" priority="4065">
      <formula>#REF!="L"</formula>
    </cfRule>
  </conditionalFormatting>
  <conditionalFormatting sqref="BP22:BP29">
    <cfRule type="expression" dxfId="18148" priority="4150">
      <formula>#REF!="TO"</formula>
    </cfRule>
    <cfRule type="expression" dxfId="18147" priority="4151">
      <formula>#REF!="IO"</formula>
    </cfRule>
    <cfRule type="expression" dxfId="18146" priority="4152">
      <formula>#REF!="L"</formula>
    </cfRule>
  </conditionalFormatting>
  <conditionalFormatting sqref="BP42">
    <cfRule type="expression" dxfId="18145" priority="4147">
      <formula>#REF!="TO"</formula>
    </cfRule>
    <cfRule type="expression" dxfId="18144" priority="4148">
      <formula>#REF!="IO"</formula>
    </cfRule>
    <cfRule type="expression" dxfId="18143" priority="4149">
      <formula>#REF!="L"</formula>
    </cfRule>
  </conditionalFormatting>
  <conditionalFormatting sqref="BP44">
    <cfRule type="expression" dxfId="18142" priority="4141">
      <formula>#REF!="TO"</formula>
    </cfRule>
    <cfRule type="expression" dxfId="18141" priority="4142">
      <formula>#REF!="IO"</formula>
    </cfRule>
    <cfRule type="expression" dxfId="18140" priority="4143">
      <formula>#REF!="L"</formula>
    </cfRule>
  </conditionalFormatting>
  <conditionalFormatting sqref="BP45">
    <cfRule type="expression" dxfId="18139" priority="4138">
      <formula>#REF!="TO"</formula>
    </cfRule>
    <cfRule type="expression" dxfId="18138" priority="4139">
      <formula>#REF!="IO"</formula>
    </cfRule>
    <cfRule type="expression" dxfId="18137" priority="4140">
      <formula>#REF!="L"</formula>
    </cfRule>
  </conditionalFormatting>
  <conditionalFormatting sqref="BP46">
    <cfRule type="expression" dxfId="18136" priority="4135">
      <formula>#REF!="TO"</formula>
    </cfRule>
    <cfRule type="expression" dxfId="18135" priority="4136">
      <formula>#REF!="IO"</formula>
    </cfRule>
    <cfRule type="expression" dxfId="18134" priority="4137">
      <formula>#REF!="L"</formula>
    </cfRule>
  </conditionalFormatting>
  <conditionalFormatting sqref="BE51:BE86">
    <cfRule type="expression" dxfId="18133" priority="4207">
      <formula>#REF!="TO"</formula>
    </cfRule>
    <cfRule type="expression" dxfId="18132" priority="4208">
      <formula>#REF!="IO"</formula>
    </cfRule>
    <cfRule type="expression" dxfId="18131" priority="4209">
      <formula>#REF!="L"</formula>
    </cfRule>
  </conditionalFormatting>
  <conditionalFormatting sqref="BH51:BH86">
    <cfRule type="expression" dxfId="18130" priority="4204">
      <formula>#REF!="TO"</formula>
    </cfRule>
    <cfRule type="expression" dxfId="18129" priority="4205">
      <formula>#REF!="IO"</formula>
    </cfRule>
    <cfRule type="expression" dxfId="18128" priority="4206">
      <formula>#REF!="L"</formula>
    </cfRule>
  </conditionalFormatting>
  <conditionalFormatting sqref="BD51:BE86">
    <cfRule type="expression" dxfId="18127" priority="4201">
      <formula>#REF!="TO"</formula>
    </cfRule>
    <cfRule type="expression" dxfId="18126" priority="4202">
      <formula>#REF!="IO"</formula>
    </cfRule>
    <cfRule type="expression" dxfId="18125" priority="4203">
      <formula>#REF!="L"</formula>
    </cfRule>
  </conditionalFormatting>
  <conditionalFormatting sqref="BP38:BP41 BP23:BP29">
    <cfRule type="expression" dxfId="18124" priority="4195">
      <formula>#REF!="TO"</formula>
    </cfRule>
    <cfRule type="expression" dxfId="18123" priority="4196">
      <formula>#REF!="IO"</formula>
    </cfRule>
    <cfRule type="expression" dxfId="18122" priority="4197">
      <formula>#REF!="L"</formula>
    </cfRule>
  </conditionalFormatting>
  <conditionalFormatting sqref="BP6">
    <cfRule type="expression" dxfId="18121" priority="4189">
      <formula>#REF!="TO"</formula>
    </cfRule>
    <cfRule type="expression" dxfId="18120" priority="4190">
      <formula>#REF!="IO"</formula>
    </cfRule>
    <cfRule type="expression" dxfId="18119" priority="4191">
      <formula>#REF!="L"</formula>
    </cfRule>
  </conditionalFormatting>
  <conditionalFormatting sqref="BP7">
    <cfRule type="expression" dxfId="18118" priority="4186">
      <formula>#REF!="TO"</formula>
    </cfRule>
    <cfRule type="expression" dxfId="18117" priority="4187">
      <formula>#REF!="IO"</formula>
    </cfRule>
    <cfRule type="expression" dxfId="18116" priority="4188">
      <formula>#REF!="L"</formula>
    </cfRule>
  </conditionalFormatting>
  <conditionalFormatting sqref="BP8">
    <cfRule type="expression" dxfId="18115" priority="4183">
      <formula>#REF!="TO"</formula>
    </cfRule>
    <cfRule type="expression" dxfId="18114" priority="4184">
      <formula>#REF!="IO"</formula>
    </cfRule>
    <cfRule type="expression" dxfId="18113" priority="4185">
      <formula>#REF!="L"</formula>
    </cfRule>
  </conditionalFormatting>
  <conditionalFormatting sqref="BP13">
    <cfRule type="expression" dxfId="18112" priority="4177">
      <formula>#REF!="TO"</formula>
    </cfRule>
    <cfRule type="expression" dxfId="18111" priority="4178">
      <formula>#REF!="IO"</formula>
    </cfRule>
    <cfRule type="expression" dxfId="18110" priority="4179">
      <formula>#REF!="L"</formula>
    </cfRule>
  </conditionalFormatting>
  <conditionalFormatting sqref="BP14">
    <cfRule type="expression" dxfId="18109" priority="4174">
      <formula>#REF!="TO"</formula>
    </cfRule>
    <cfRule type="expression" dxfId="18108" priority="4175">
      <formula>#REF!="IO"</formula>
    </cfRule>
    <cfRule type="expression" dxfId="18107" priority="4176">
      <formula>#REF!="L"</formula>
    </cfRule>
  </conditionalFormatting>
  <conditionalFormatting sqref="BP15">
    <cfRule type="expression" dxfId="18106" priority="4171">
      <formula>#REF!="TO"</formula>
    </cfRule>
    <cfRule type="expression" dxfId="18105" priority="4172">
      <formula>#REF!="IO"</formula>
    </cfRule>
    <cfRule type="expression" dxfId="18104" priority="4173">
      <formula>#REF!="L"</formula>
    </cfRule>
  </conditionalFormatting>
  <conditionalFormatting sqref="BP16">
    <cfRule type="expression" dxfId="18103" priority="4168">
      <formula>#REF!="TO"</formula>
    </cfRule>
    <cfRule type="expression" dxfId="18102" priority="4169">
      <formula>#REF!="IO"</formula>
    </cfRule>
    <cfRule type="expression" dxfId="18101" priority="4170">
      <formula>#REF!="L"</formula>
    </cfRule>
  </conditionalFormatting>
  <conditionalFormatting sqref="BP47">
    <cfRule type="expression" dxfId="18100" priority="4132">
      <formula>#REF!="TO"</formula>
    </cfRule>
    <cfRule type="expression" dxfId="18099" priority="4133">
      <formula>#REF!="IO"</formula>
    </cfRule>
    <cfRule type="expression" dxfId="18098" priority="4134">
      <formula>#REF!="L"</formula>
    </cfRule>
  </conditionalFormatting>
  <conditionalFormatting sqref="BP48">
    <cfRule type="expression" dxfId="18097" priority="4129">
      <formula>#REF!="TO"</formula>
    </cfRule>
    <cfRule type="expression" dxfId="18096" priority="4130">
      <formula>#REF!="IO"</formula>
    </cfRule>
    <cfRule type="expression" dxfId="18095" priority="4131">
      <formula>#REF!="L"</formula>
    </cfRule>
  </conditionalFormatting>
  <conditionalFormatting sqref="BP51:BP86">
    <cfRule type="expression" dxfId="18094" priority="4120">
      <formula>#REF!="TO"</formula>
    </cfRule>
    <cfRule type="expression" dxfId="18093" priority="4121">
      <formula>#REF!="IO"</formula>
    </cfRule>
    <cfRule type="expression" dxfId="18092" priority="4122">
      <formula>#REF!="L"</formula>
    </cfRule>
  </conditionalFormatting>
  <conditionalFormatting sqref="BQ38:BS41 BQ23:BS29">
    <cfRule type="expression" dxfId="18091" priority="4114">
      <formula>#REF!="TO"</formula>
    </cfRule>
    <cfRule type="expression" dxfId="18090" priority="4115">
      <formula>#REF!="IO"</formula>
    </cfRule>
    <cfRule type="expression" dxfId="18089" priority="4116">
      <formula>#REF!="L"</formula>
    </cfRule>
  </conditionalFormatting>
  <conditionalFormatting sqref="BQ5:BS5">
    <cfRule type="expression" dxfId="18088" priority="4111">
      <formula>#REF!="TO"</formula>
    </cfRule>
    <cfRule type="expression" dxfId="18087" priority="4112">
      <formula>#REF!="IO"</formula>
    </cfRule>
    <cfRule type="expression" dxfId="18086" priority="4113">
      <formula>#REF!="L"</formula>
    </cfRule>
  </conditionalFormatting>
  <conditionalFormatting sqref="BQ7:BS7">
    <cfRule type="expression" dxfId="18085" priority="4105">
      <formula>#REF!="TO"</formula>
    </cfRule>
    <cfRule type="expression" dxfId="18084" priority="4106">
      <formula>#REF!="IO"</formula>
    </cfRule>
    <cfRule type="expression" dxfId="18083" priority="4107">
      <formula>#REF!="L"</formula>
    </cfRule>
  </conditionalFormatting>
  <conditionalFormatting sqref="BQ8:BS8">
    <cfRule type="expression" dxfId="18082" priority="4102">
      <formula>#REF!="TO"</formula>
    </cfRule>
    <cfRule type="expression" dxfId="18081" priority="4103">
      <formula>#REF!="IO"</formula>
    </cfRule>
    <cfRule type="expression" dxfId="18080" priority="4104">
      <formula>#REF!="L"</formula>
    </cfRule>
  </conditionalFormatting>
  <conditionalFormatting sqref="BQ9:BS12">
    <cfRule type="expression" dxfId="18079" priority="4099">
      <formula>#REF!="TO"</formula>
    </cfRule>
    <cfRule type="expression" dxfId="18078" priority="4100">
      <formula>#REF!="IO"</formula>
    </cfRule>
    <cfRule type="expression" dxfId="18077" priority="4101">
      <formula>#REF!="L"</formula>
    </cfRule>
  </conditionalFormatting>
  <conditionalFormatting sqref="BQ14:BS14">
    <cfRule type="expression" dxfId="18076" priority="4093">
      <formula>#REF!="TO"</formula>
    </cfRule>
    <cfRule type="expression" dxfId="18075" priority="4094">
      <formula>#REF!="IO"</formula>
    </cfRule>
    <cfRule type="expression" dxfId="18074" priority="4095">
      <formula>#REF!="L"</formula>
    </cfRule>
  </conditionalFormatting>
  <conditionalFormatting sqref="BQ13:BS13">
    <cfRule type="expression" dxfId="18073" priority="4096">
      <formula>#REF!="TO"</formula>
    </cfRule>
    <cfRule type="expression" dxfId="18072" priority="4097">
      <formula>#REF!="IO"</formula>
    </cfRule>
    <cfRule type="expression" dxfId="18071" priority="4098">
      <formula>#REF!="L"</formula>
    </cfRule>
  </conditionalFormatting>
  <conditionalFormatting sqref="BQ15:BS15">
    <cfRule type="expression" dxfId="18070" priority="4090">
      <formula>#REF!="TO"</formula>
    </cfRule>
    <cfRule type="expression" dxfId="18069" priority="4091">
      <formula>#REF!="IO"</formula>
    </cfRule>
    <cfRule type="expression" dxfId="18068" priority="4092">
      <formula>#REF!="L"</formula>
    </cfRule>
  </conditionalFormatting>
  <conditionalFormatting sqref="BQ16:BS16">
    <cfRule type="expression" dxfId="18067" priority="4087">
      <formula>#REF!="TO"</formula>
    </cfRule>
    <cfRule type="expression" dxfId="18066" priority="4088">
      <formula>#REF!="IO"</formula>
    </cfRule>
    <cfRule type="expression" dxfId="18065" priority="4089">
      <formula>#REF!="L"</formula>
    </cfRule>
  </conditionalFormatting>
  <conditionalFormatting sqref="BQ20:BS20">
    <cfRule type="expression" dxfId="18064" priority="4075">
      <formula>#REF!="TO"</formula>
    </cfRule>
    <cfRule type="expression" dxfId="18063" priority="4076">
      <formula>#REF!="IO"</formula>
    </cfRule>
    <cfRule type="expression" dxfId="18062" priority="4077">
      <formula>#REF!="L"</formula>
    </cfRule>
  </conditionalFormatting>
  <conditionalFormatting sqref="BQ17:BS17">
    <cfRule type="expression" dxfId="18061" priority="4084">
      <formula>#REF!="TO"</formula>
    </cfRule>
    <cfRule type="expression" dxfId="18060" priority="4085">
      <formula>#REF!="IO"</formula>
    </cfRule>
    <cfRule type="expression" dxfId="18059" priority="4086">
      <formula>#REF!="L"</formula>
    </cfRule>
  </conditionalFormatting>
  <conditionalFormatting sqref="BQ18:BS18">
    <cfRule type="expression" dxfId="18058" priority="4081">
      <formula>#REF!="TO"</formula>
    </cfRule>
    <cfRule type="expression" dxfId="18057" priority="4082">
      <formula>#REF!="IO"</formula>
    </cfRule>
    <cfRule type="expression" dxfId="18056" priority="4083">
      <formula>#REF!="L"</formula>
    </cfRule>
  </conditionalFormatting>
  <conditionalFormatting sqref="BQ19:BS19">
    <cfRule type="expression" dxfId="18055" priority="4078">
      <formula>#REF!="TO"</formula>
    </cfRule>
    <cfRule type="expression" dxfId="18054" priority="4079">
      <formula>#REF!="IO"</formula>
    </cfRule>
    <cfRule type="expression" dxfId="18053" priority="4080">
      <formula>#REF!="L"</formula>
    </cfRule>
  </conditionalFormatting>
  <conditionalFormatting sqref="BQ21:BS21">
    <cfRule type="expression" dxfId="18052" priority="4072">
      <formula>#REF!="TO"</formula>
    </cfRule>
    <cfRule type="expression" dxfId="18051" priority="4073">
      <formula>#REF!="IO"</formula>
    </cfRule>
    <cfRule type="expression" dxfId="18050" priority="4074">
      <formula>#REF!="L"</formula>
    </cfRule>
  </conditionalFormatting>
  <conditionalFormatting sqref="BI42">
    <cfRule type="expression" dxfId="18049" priority="3829">
      <formula>#REF!="TO"</formula>
    </cfRule>
    <cfRule type="expression" dxfId="18048" priority="3830">
      <formula>#REF!="IO"</formula>
    </cfRule>
    <cfRule type="expression" dxfId="18047" priority="3831">
      <formula>#REF!="L"</formula>
    </cfRule>
  </conditionalFormatting>
  <conditionalFormatting sqref="BQ22:BS29">
    <cfRule type="expression" dxfId="18046" priority="4069">
      <formula>#REF!="TO"</formula>
    </cfRule>
    <cfRule type="expression" dxfId="18045" priority="4070">
      <formula>#REF!="IO"</formula>
    </cfRule>
    <cfRule type="expression" dxfId="18044" priority="4071">
      <formula>#REF!="L"</formula>
    </cfRule>
  </conditionalFormatting>
  <conditionalFormatting sqref="BQ42:BS42">
    <cfRule type="expression" dxfId="18043" priority="4066">
      <formula>#REF!="TO"</formula>
    </cfRule>
    <cfRule type="expression" dxfId="18042" priority="4067">
      <formula>#REF!="IO"</formula>
    </cfRule>
    <cfRule type="expression" dxfId="18041" priority="4068">
      <formula>#REF!="L"</formula>
    </cfRule>
  </conditionalFormatting>
  <conditionalFormatting sqref="BQ44:BS44">
    <cfRule type="expression" dxfId="18040" priority="4060">
      <formula>#REF!="TO"</formula>
    </cfRule>
    <cfRule type="expression" dxfId="18039" priority="4061">
      <formula>#REF!="IO"</formula>
    </cfRule>
    <cfRule type="expression" dxfId="18038" priority="4062">
      <formula>#REF!="L"</formula>
    </cfRule>
  </conditionalFormatting>
  <conditionalFormatting sqref="BQ45:BS45">
    <cfRule type="expression" dxfId="18037" priority="4057">
      <formula>#REF!="TO"</formula>
    </cfRule>
    <cfRule type="expression" dxfId="18036" priority="4058">
      <formula>#REF!="IO"</formula>
    </cfRule>
    <cfRule type="expression" dxfId="18035" priority="4059">
      <formula>#REF!="L"</formula>
    </cfRule>
  </conditionalFormatting>
  <conditionalFormatting sqref="BQ46:BS46">
    <cfRule type="expression" dxfId="18034" priority="4054">
      <formula>#REF!="TO"</formula>
    </cfRule>
    <cfRule type="expression" dxfId="18033" priority="4055">
      <formula>#REF!="IO"</formula>
    </cfRule>
    <cfRule type="expression" dxfId="18032" priority="4056">
      <formula>#REF!="L"</formula>
    </cfRule>
  </conditionalFormatting>
  <conditionalFormatting sqref="BQ47:BS47">
    <cfRule type="expression" dxfId="18031" priority="4051">
      <formula>#REF!="TO"</formula>
    </cfRule>
    <cfRule type="expression" dxfId="18030" priority="4052">
      <formula>#REF!="IO"</formula>
    </cfRule>
    <cfRule type="expression" dxfId="18029" priority="4053">
      <formula>#REF!="L"</formula>
    </cfRule>
  </conditionalFormatting>
  <conditionalFormatting sqref="BQ48:BS48">
    <cfRule type="expression" dxfId="18028" priority="4048">
      <formula>#REF!="TO"</formula>
    </cfRule>
    <cfRule type="expression" dxfId="18027" priority="4049">
      <formula>#REF!="IO"</formula>
    </cfRule>
    <cfRule type="expression" dxfId="18026" priority="4050">
      <formula>#REF!="L"</formula>
    </cfRule>
  </conditionalFormatting>
  <conditionalFormatting sqref="BQ49:BS49">
    <cfRule type="expression" dxfId="18025" priority="4045">
      <formula>#REF!="TO"</formula>
    </cfRule>
    <cfRule type="expression" dxfId="18024" priority="4046">
      <formula>#REF!="IO"</formula>
    </cfRule>
    <cfRule type="expression" dxfId="18023" priority="4047">
      <formula>#REF!="L"</formula>
    </cfRule>
  </conditionalFormatting>
  <conditionalFormatting sqref="BQ51:BS86">
    <cfRule type="expression" dxfId="18022" priority="4039">
      <formula>#REF!="TO"</formula>
    </cfRule>
    <cfRule type="expression" dxfId="18021" priority="4040">
      <formula>#REF!="IO"</formula>
    </cfRule>
    <cfRule type="expression" dxfId="18020" priority="4041">
      <formula>#REF!="L"</formula>
    </cfRule>
  </conditionalFormatting>
  <conditionalFormatting sqref="BI20">
    <cfRule type="expression" dxfId="18019" priority="3841">
      <formula>#REF!="TO"</formula>
    </cfRule>
    <cfRule type="expression" dxfId="18018" priority="3842">
      <formula>#REF!="IO"</formula>
    </cfRule>
    <cfRule type="expression" dxfId="18017" priority="3843">
      <formula>#REF!="L"</formula>
    </cfRule>
  </conditionalFormatting>
  <conditionalFormatting sqref="BJ18">
    <cfRule type="expression" dxfId="18016" priority="3907">
      <formula>#REF!="TO"</formula>
    </cfRule>
    <cfRule type="expression" dxfId="18015" priority="3908">
      <formula>#REF!="IO"</formula>
    </cfRule>
    <cfRule type="expression" dxfId="18014" priority="3909">
      <formula>#REF!="L"</formula>
    </cfRule>
  </conditionalFormatting>
  <conditionalFormatting sqref="BJ19">
    <cfRule type="expression" dxfId="18013" priority="3904">
      <formula>#REF!="TO"</formula>
    </cfRule>
    <cfRule type="expression" dxfId="18012" priority="3905">
      <formula>#REF!="IO"</formula>
    </cfRule>
    <cfRule type="expression" dxfId="18011" priority="3906">
      <formula>#REF!="L"</formula>
    </cfRule>
  </conditionalFormatting>
  <conditionalFormatting sqref="BJ20">
    <cfRule type="expression" dxfId="18010" priority="3901">
      <formula>#REF!="TO"</formula>
    </cfRule>
    <cfRule type="expression" dxfId="18009" priority="3902">
      <formula>#REF!="IO"</formula>
    </cfRule>
    <cfRule type="expression" dxfId="18008" priority="3903">
      <formula>#REF!="L"</formula>
    </cfRule>
  </conditionalFormatting>
  <conditionalFormatting sqref="BJ22:BJ29">
    <cfRule type="expression" dxfId="18007" priority="3895">
      <formula>#REF!="TO"</formula>
    </cfRule>
    <cfRule type="expression" dxfId="18006" priority="3896">
      <formula>#REF!="IO"</formula>
    </cfRule>
    <cfRule type="expression" dxfId="18005" priority="3897">
      <formula>#REF!="L"</formula>
    </cfRule>
  </conditionalFormatting>
  <conditionalFormatting sqref="BJ51:BJ86">
    <cfRule type="expression" dxfId="18004" priority="3892">
      <formula>#REF!="TO"</formula>
    </cfRule>
    <cfRule type="expression" dxfId="18003" priority="3893">
      <formula>#REF!="IO"</formula>
    </cfRule>
    <cfRule type="expression" dxfId="18002" priority="3894">
      <formula>#REF!="L"</formula>
    </cfRule>
  </conditionalFormatting>
  <conditionalFormatting sqref="BJ28:BJ29">
    <cfRule type="expression" dxfId="18001" priority="3889">
      <formula>#REF!="TO"</formula>
    </cfRule>
    <cfRule type="expression" dxfId="18000" priority="3890">
      <formula>#REF!="IO"</formula>
    </cfRule>
    <cfRule type="expression" dxfId="17999" priority="3891">
      <formula>#REF!="L"</formula>
    </cfRule>
    <cfRule type="expression" dxfId="17998" priority="3886">
      <formula>#REF!="TO"</formula>
    </cfRule>
    <cfRule type="expression" dxfId="17997" priority="3887">
      <formula>#REF!="IO"</formula>
    </cfRule>
    <cfRule type="expression" dxfId="17996" priority="3888">
      <formula>#REF!="L"</formula>
    </cfRule>
  </conditionalFormatting>
  <conditionalFormatting sqref="BI5">
    <cfRule type="expression" dxfId="17995" priority="3877">
      <formula>#REF!="TO"</formula>
    </cfRule>
    <cfRule type="expression" dxfId="17994" priority="3878">
      <formula>#REF!="IO"</formula>
    </cfRule>
    <cfRule type="expression" dxfId="17993" priority="3879">
      <formula>#REF!="L"</formula>
    </cfRule>
  </conditionalFormatting>
  <conditionalFormatting sqref="BI7">
    <cfRule type="expression" dxfId="17992" priority="3871">
      <formula>#REF!="TO"</formula>
    </cfRule>
    <cfRule type="expression" dxfId="17991" priority="3872">
      <formula>#REF!="IO"</formula>
    </cfRule>
    <cfRule type="expression" dxfId="17990" priority="3873">
      <formula>#REF!="L"</formula>
    </cfRule>
  </conditionalFormatting>
  <conditionalFormatting sqref="BI9:BI12">
    <cfRule type="expression" dxfId="17989" priority="3865">
      <formula>#REF!="TO"</formula>
    </cfRule>
    <cfRule type="expression" dxfId="17988" priority="3866">
      <formula>#REF!="IO"</formula>
    </cfRule>
    <cfRule type="expression" dxfId="17987" priority="3867">
      <formula>#REF!="L"</formula>
    </cfRule>
  </conditionalFormatting>
  <conditionalFormatting sqref="BI14">
    <cfRule type="expression" dxfId="17986" priority="3859">
      <formula>#REF!="TO"</formula>
    </cfRule>
    <cfRule type="expression" dxfId="17985" priority="3860">
      <formula>#REF!="IO"</formula>
    </cfRule>
    <cfRule type="expression" dxfId="17984" priority="3861">
      <formula>#REF!="L"</formula>
    </cfRule>
  </conditionalFormatting>
  <conditionalFormatting sqref="BI15">
    <cfRule type="expression" dxfId="17983" priority="3856">
      <formula>#REF!="TO"</formula>
    </cfRule>
    <cfRule type="expression" dxfId="17982" priority="3857">
      <formula>#REF!="IO"</formula>
    </cfRule>
    <cfRule type="expression" dxfId="17981" priority="3858">
      <formula>#REF!="L"</formula>
    </cfRule>
  </conditionalFormatting>
  <conditionalFormatting sqref="BI16">
    <cfRule type="expression" dxfId="17980" priority="3853">
      <formula>#REF!="TO"</formula>
    </cfRule>
    <cfRule type="expression" dxfId="17979" priority="3854">
      <formula>#REF!="IO"</formula>
    </cfRule>
    <cfRule type="expression" dxfId="17978" priority="3855">
      <formula>#REF!="L"</formula>
    </cfRule>
  </conditionalFormatting>
  <conditionalFormatting sqref="BI17">
    <cfRule type="expression" dxfId="17977" priority="3850">
      <formula>#REF!="TO"</formula>
    </cfRule>
    <cfRule type="expression" dxfId="17976" priority="3851">
      <formula>#REF!="IO"</formula>
    </cfRule>
    <cfRule type="expression" dxfId="17975" priority="3852">
      <formula>#REF!="L"</formula>
    </cfRule>
  </conditionalFormatting>
  <conditionalFormatting sqref="BI18">
    <cfRule type="expression" dxfId="17974" priority="3847">
      <formula>#REF!="TO"</formula>
    </cfRule>
    <cfRule type="expression" dxfId="17973" priority="3848">
      <formula>#REF!="IO"</formula>
    </cfRule>
    <cfRule type="expression" dxfId="17972" priority="3849">
      <formula>#REF!="L"</formula>
    </cfRule>
  </conditionalFormatting>
  <conditionalFormatting sqref="BI22:BI29">
    <cfRule type="expression" dxfId="17971" priority="3835">
      <formula>#REF!="TO"</formula>
    </cfRule>
    <cfRule type="expression" dxfId="17970" priority="3836">
      <formula>#REF!="IO"</formula>
    </cfRule>
    <cfRule type="expression" dxfId="17969" priority="3837">
      <formula>#REF!="L"</formula>
    </cfRule>
  </conditionalFormatting>
  <conditionalFormatting sqref="BI49">
    <cfRule type="expression" dxfId="17968" priority="3808">
      <formula>#REF!="TO"</formula>
    </cfRule>
    <cfRule type="expression" dxfId="17967" priority="3809">
      <formula>#REF!="IO"</formula>
    </cfRule>
    <cfRule type="expression" dxfId="17966" priority="3810">
      <formula>#REF!="L"</formula>
    </cfRule>
  </conditionalFormatting>
  <conditionalFormatting sqref="BI47">
    <cfRule type="expression" dxfId="17965" priority="3814">
      <formula>#REF!="TO"</formula>
    </cfRule>
    <cfRule type="expression" dxfId="17964" priority="3815">
      <formula>#REF!="IO"</formula>
    </cfRule>
    <cfRule type="expression" dxfId="17963" priority="3816">
      <formula>#REF!="L"</formula>
    </cfRule>
  </conditionalFormatting>
  <conditionalFormatting sqref="BI50">
    <cfRule type="expression" dxfId="17962" priority="3805">
      <formula>#REF!="TO"</formula>
    </cfRule>
    <cfRule type="expression" dxfId="17961" priority="3806">
      <formula>#REF!="IO"</formula>
    </cfRule>
    <cfRule type="expression" dxfId="17960" priority="3807">
      <formula>#REF!="L"</formula>
    </cfRule>
  </conditionalFormatting>
  <conditionalFormatting sqref="BI51:BI86">
    <cfRule type="expression" dxfId="17959" priority="3802">
      <formula>#REF!="TO"</formula>
    </cfRule>
    <cfRule type="expression" dxfId="17958" priority="3803">
      <formula>#REF!="IO"</formula>
    </cfRule>
    <cfRule type="expression" dxfId="17957" priority="3804">
      <formula>#REF!="L"</formula>
    </cfRule>
  </conditionalFormatting>
  <conditionalFormatting sqref="BN28:BN29">
    <cfRule type="expression" dxfId="17956" priority="4006">
      <formula>#REF!="TO"</formula>
    </cfRule>
    <cfRule type="expression" dxfId="17955" priority="4007">
      <formula>#REF!="IO"</formula>
    </cfRule>
    <cfRule type="expression" dxfId="17954" priority="4008">
      <formula>#REF!="L"</formula>
    </cfRule>
    <cfRule type="expression" dxfId="17953" priority="4021">
      <formula>#REF!="TO"</formula>
    </cfRule>
    <cfRule type="expression" dxfId="17952" priority="4022">
      <formula>#REF!="IO"</formula>
    </cfRule>
    <cfRule type="expression" dxfId="17951" priority="4023">
      <formula>#REF!="L"</formula>
    </cfRule>
  </conditionalFormatting>
  <conditionalFormatting sqref="BI28:BI29">
    <cfRule type="expression" dxfId="17950" priority="3796">
      <formula>#REF!="TO"</formula>
    </cfRule>
    <cfRule type="expression" dxfId="17949" priority="3797">
      <formula>#REF!="IO"</formula>
    </cfRule>
    <cfRule type="expression" dxfId="17948" priority="3798">
      <formula>#REF!="L"</formula>
    </cfRule>
    <cfRule type="expression" dxfId="17947" priority="3799">
      <formula>#REF!="TO"</formula>
    </cfRule>
    <cfRule type="expression" dxfId="17946" priority="3800">
      <formula>#REF!="IO"</formula>
    </cfRule>
    <cfRule type="expression" dxfId="17945" priority="3801">
      <formula>#REF!="L"</formula>
    </cfRule>
  </conditionalFormatting>
  <conditionalFormatting sqref="BF42:BG42">
    <cfRule type="expression" dxfId="17944" priority="3631">
      <formula>#REF!="TO"</formula>
    </cfRule>
    <cfRule type="expression" dxfId="17943" priority="3632">
      <formula>#REF!="IO"</formula>
    </cfRule>
    <cfRule type="expression" dxfId="17942" priority="3633">
      <formula>#REF!="L"</formula>
    </cfRule>
    <cfRule type="expression" dxfId="17941" priority="3643">
      <formula>#REF!="TO"</formula>
    </cfRule>
    <cfRule type="expression" dxfId="17940" priority="3644">
      <formula>#REF!="IO"</formula>
    </cfRule>
    <cfRule type="expression" dxfId="17939" priority="3645">
      <formula>#REF!="L"</formula>
    </cfRule>
  </conditionalFormatting>
  <conditionalFormatting sqref="BC28:BE29">
    <cfRule type="expression" dxfId="17938" priority="4030">
      <formula>#REF!="TO"</formula>
    </cfRule>
    <cfRule type="expression" dxfId="17937" priority="4031">
      <formula>#REF!="IO"</formula>
    </cfRule>
    <cfRule type="expression" dxfId="17936" priority="4032">
      <formula>#REF!="L"</formula>
    </cfRule>
    <cfRule type="expression" dxfId="17935" priority="4012">
      <formula>#REF!="TO"</formula>
    </cfRule>
    <cfRule type="expression" dxfId="17934" priority="4013">
      <formula>#REF!="IO"</formula>
    </cfRule>
    <cfRule type="expression" dxfId="17933" priority="4014">
      <formula>#REF!="L"</formula>
    </cfRule>
  </conditionalFormatting>
  <conditionalFormatting sqref="BK28:BK29">
    <cfRule type="expression" dxfId="17932" priority="4027">
      <formula>#REF!="TO"</formula>
    </cfRule>
    <cfRule type="expression" dxfId="17931" priority="4028">
      <formula>#REF!="IO"</formula>
    </cfRule>
    <cfRule type="expression" dxfId="17930" priority="4029">
      <formula>#REF!="L"</formula>
    </cfRule>
  </conditionalFormatting>
  <conditionalFormatting sqref="BM28:BM29">
    <cfRule type="expression" dxfId="17929" priority="4024">
      <formula>#REF!="TO"</formula>
    </cfRule>
    <cfRule type="expression" dxfId="17928" priority="4025">
      <formula>#REF!="IO"</formula>
    </cfRule>
    <cfRule type="expression" dxfId="17927" priority="4026">
      <formula>#REF!="L"</formula>
    </cfRule>
    <cfRule type="expression" dxfId="17926" priority="4009">
      <formula>#REF!="TO"</formula>
    </cfRule>
    <cfRule type="expression" dxfId="17925" priority="4010">
      <formula>#REF!="IO"</formula>
    </cfRule>
    <cfRule type="expression" dxfId="17924" priority="4011">
      <formula>#REF!="L"</formula>
    </cfRule>
  </conditionalFormatting>
  <conditionalFormatting sqref="BH28:BH29">
    <cfRule type="expression" dxfId="17923" priority="4015">
      <formula>#REF!="TO"</formula>
    </cfRule>
    <cfRule type="expression" dxfId="17922" priority="4016">
      <formula>#REF!="IO"</formula>
    </cfRule>
    <cfRule type="expression" dxfId="17921" priority="4017">
      <formula>#REF!="L"</formula>
    </cfRule>
  </conditionalFormatting>
  <conditionalFormatting sqref="BO28:BO29">
    <cfRule type="expression" dxfId="17920" priority="4000">
      <formula>#REF!="TO"</formula>
    </cfRule>
    <cfRule type="expression" dxfId="17919" priority="4001">
      <formula>#REF!="IO"</formula>
    </cfRule>
    <cfRule type="expression" dxfId="17918" priority="4002">
      <formula>#REF!="L"</formula>
    </cfRule>
    <cfRule type="expression" dxfId="17917" priority="4003">
      <formula>AT28="TO"</formula>
    </cfRule>
    <cfRule type="expression" dxfId="17916" priority="4004">
      <formula>AT28="IO"</formula>
    </cfRule>
    <cfRule type="expression" dxfId="17915" priority="4005">
      <formula>AT28="L"</formula>
    </cfRule>
  </conditionalFormatting>
  <conditionalFormatting sqref="BB28:BB29">
    <cfRule type="expression" dxfId="17914" priority="3997">
      <formula>#REF!="TO"</formula>
    </cfRule>
    <cfRule type="expression" dxfId="17913" priority="3998">
      <formula>#REF!="IO"</formula>
    </cfRule>
    <cfRule type="expression" dxfId="17912" priority="3999">
      <formula>#REF!="L"</formula>
    </cfRule>
  </conditionalFormatting>
  <conditionalFormatting sqref="BG28:BG29">
    <cfRule type="expression" dxfId="17911" priority="3991">
      <formula>#REF!="TO"</formula>
    </cfRule>
    <cfRule type="expression" dxfId="17910" priority="3992">
      <formula>#REF!="IO"</formula>
    </cfRule>
    <cfRule type="expression" dxfId="17909" priority="3993">
      <formula>#REF!="L"</formula>
    </cfRule>
  </conditionalFormatting>
  <conditionalFormatting sqref="BJ21">
    <cfRule type="expression" dxfId="17908" priority="3898">
      <formula>#REF!="TO"</formula>
    </cfRule>
    <cfRule type="expression" dxfId="17907" priority="3899">
      <formula>#REF!="IO"</formula>
    </cfRule>
    <cfRule type="expression" dxfId="17906" priority="3900">
      <formula>#REF!="L"</formula>
    </cfRule>
  </conditionalFormatting>
  <conditionalFormatting sqref="BE28:BE29">
    <cfRule type="expression" dxfId="17905" priority="3988">
      <formula>#REF!="TO"</formula>
    </cfRule>
    <cfRule type="expression" dxfId="17904" priority="3989">
      <formula>#REF!="IO"</formula>
    </cfRule>
    <cfRule type="expression" dxfId="17903" priority="3990">
      <formula>#REF!="L"</formula>
    </cfRule>
  </conditionalFormatting>
  <conditionalFormatting sqref="BP28:BP29">
    <cfRule type="expression" dxfId="17902" priority="3985">
      <formula>#REF!="TO"</formula>
    </cfRule>
    <cfRule type="expression" dxfId="17901" priority="3986">
      <formula>#REF!="IO"</formula>
    </cfRule>
    <cfRule type="expression" dxfId="17900" priority="3987">
      <formula>#REF!="L"</formula>
    </cfRule>
    <cfRule type="expression" dxfId="17899" priority="3982">
      <formula>#REF!="TO"</formula>
    </cfRule>
    <cfRule type="expression" dxfId="17898" priority="3983">
      <formula>#REF!="IO"</formula>
    </cfRule>
    <cfRule type="expression" dxfId="17897" priority="3984">
      <formula>#REF!="L"</formula>
    </cfRule>
  </conditionalFormatting>
  <conditionalFormatting sqref="BQ28:BS29">
    <cfRule type="expression" dxfId="17896" priority="3979">
      <formula>#REF!="TO"</formula>
    </cfRule>
    <cfRule type="expression" dxfId="17895" priority="3980">
      <formula>#REF!="IO"</formula>
    </cfRule>
    <cfRule type="expression" dxfId="17894" priority="3981">
      <formula>#REF!="L"</formula>
    </cfRule>
    <cfRule type="expression" dxfId="17893" priority="3976">
      <formula>#REF!="TO"</formula>
    </cfRule>
    <cfRule type="expression" dxfId="17892" priority="3977">
      <formula>#REF!="IO"</formula>
    </cfRule>
    <cfRule type="expression" dxfId="17891" priority="3978">
      <formula>#REF!="L"</formula>
    </cfRule>
  </conditionalFormatting>
  <conditionalFormatting sqref="BJ5">
    <cfRule type="expression" dxfId="17890" priority="3967">
      <formula>#REF!="TO"</formula>
    </cfRule>
    <cfRule type="expression" dxfId="17889" priority="3968">
      <formula>#REF!="IO"</formula>
    </cfRule>
    <cfRule type="expression" dxfId="17888" priority="3969">
      <formula>#REF!="L"</formula>
    </cfRule>
  </conditionalFormatting>
  <conditionalFormatting sqref="BJ6">
    <cfRule type="expression" dxfId="17887" priority="3964">
      <formula>#REF!="TO"</formula>
    </cfRule>
    <cfRule type="expression" dxfId="17886" priority="3965">
      <formula>#REF!="IO"</formula>
    </cfRule>
    <cfRule type="expression" dxfId="17885" priority="3966">
      <formula>#REF!="L"</formula>
    </cfRule>
  </conditionalFormatting>
  <conditionalFormatting sqref="BJ7">
    <cfRule type="expression" dxfId="17884" priority="3961">
      <formula>#REF!="TO"</formula>
    </cfRule>
    <cfRule type="expression" dxfId="17883" priority="3962">
      <formula>#REF!="IO"</formula>
    </cfRule>
    <cfRule type="expression" dxfId="17882" priority="3963">
      <formula>#REF!="L"</formula>
    </cfRule>
  </conditionalFormatting>
  <conditionalFormatting sqref="BJ8">
    <cfRule type="expression" dxfId="17881" priority="3958">
      <formula>#REF!="TO"</formula>
    </cfRule>
    <cfRule type="expression" dxfId="17880" priority="3959">
      <formula>#REF!="IO"</formula>
    </cfRule>
    <cfRule type="expression" dxfId="17879" priority="3960">
      <formula>#REF!="L"</formula>
    </cfRule>
  </conditionalFormatting>
  <conditionalFormatting sqref="BJ42">
    <cfRule type="expression" dxfId="17878" priority="3955">
      <formula>#REF!="TO"</formula>
    </cfRule>
    <cfRule type="expression" dxfId="17877" priority="3956">
      <formula>#REF!="IO"</formula>
    </cfRule>
    <cfRule type="expression" dxfId="17876" priority="3957">
      <formula>#REF!="L"</formula>
    </cfRule>
  </conditionalFormatting>
  <conditionalFormatting sqref="BJ43">
    <cfRule type="expression" dxfId="17875" priority="3952">
      <formula>#REF!="TO"</formula>
    </cfRule>
    <cfRule type="expression" dxfId="17874" priority="3953">
      <formula>#REF!="IO"</formula>
    </cfRule>
    <cfRule type="expression" dxfId="17873" priority="3954">
      <formula>#REF!="L"</formula>
    </cfRule>
  </conditionalFormatting>
  <conditionalFormatting sqref="BJ44">
    <cfRule type="expression" dxfId="17872" priority="3949">
      <formula>#REF!="TO"</formula>
    </cfRule>
    <cfRule type="expression" dxfId="17871" priority="3950">
      <formula>#REF!="IO"</formula>
    </cfRule>
    <cfRule type="expression" dxfId="17870" priority="3951">
      <formula>#REF!="L"</formula>
    </cfRule>
  </conditionalFormatting>
  <conditionalFormatting sqref="BJ46">
    <cfRule type="expression" dxfId="17869" priority="3943">
      <formula>#REF!="TO"</formula>
    </cfRule>
    <cfRule type="expression" dxfId="17868" priority="3944">
      <formula>#REF!="IO"</formula>
    </cfRule>
    <cfRule type="expression" dxfId="17867" priority="3945">
      <formula>#REF!="L"</formula>
    </cfRule>
  </conditionalFormatting>
  <conditionalFormatting sqref="BJ47">
    <cfRule type="expression" dxfId="17866" priority="3940">
      <formula>#REF!="TO"</formula>
    </cfRule>
    <cfRule type="expression" dxfId="17865" priority="3941">
      <formula>#REF!="IO"</formula>
    </cfRule>
    <cfRule type="expression" dxfId="17864" priority="3942">
      <formula>#REF!="L"</formula>
    </cfRule>
  </conditionalFormatting>
  <conditionalFormatting sqref="BJ48">
    <cfRule type="expression" dxfId="17863" priority="3937">
      <formula>#REF!="TO"</formula>
    </cfRule>
    <cfRule type="expression" dxfId="17862" priority="3938">
      <formula>#REF!="IO"</formula>
    </cfRule>
    <cfRule type="expression" dxfId="17861" priority="3939">
      <formula>#REF!="L"</formula>
    </cfRule>
  </conditionalFormatting>
  <conditionalFormatting sqref="BJ49">
    <cfRule type="expression" dxfId="17860" priority="3934">
      <formula>#REF!="TO"</formula>
    </cfRule>
    <cfRule type="expression" dxfId="17859" priority="3935">
      <formula>#REF!="IO"</formula>
    </cfRule>
    <cfRule type="expression" dxfId="17858" priority="3936">
      <formula>#REF!="L"</formula>
    </cfRule>
  </conditionalFormatting>
  <conditionalFormatting sqref="BJ50">
    <cfRule type="expression" dxfId="17857" priority="3931">
      <formula>#REF!="TO"</formula>
    </cfRule>
    <cfRule type="expression" dxfId="17856" priority="3932">
      <formula>#REF!="IO"</formula>
    </cfRule>
    <cfRule type="expression" dxfId="17855" priority="3933">
      <formula>#REF!="L"</formula>
    </cfRule>
  </conditionalFormatting>
  <conditionalFormatting sqref="BJ23:BJ29">
    <cfRule type="expression" dxfId="17854" priority="3928">
      <formula>#REF!="TO"</formula>
    </cfRule>
    <cfRule type="expression" dxfId="17853" priority="3929">
      <formula>#REF!="IO"</formula>
    </cfRule>
    <cfRule type="expression" dxfId="17852" priority="3930">
      <formula>#REF!="L"</formula>
    </cfRule>
  </conditionalFormatting>
  <conditionalFormatting sqref="BJ9:BJ12">
    <cfRule type="expression" dxfId="17851" priority="3925">
      <formula>#REF!="TO"</formula>
    </cfRule>
    <cfRule type="expression" dxfId="17850" priority="3926">
      <formula>#REF!="IO"</formula>
    </cfRule>
    <cfRule type="expression" dxfId="17849" priority="3927">
      <formula>#REF!="L"</formula>
    </cfRule>
  </conditionalFormatting>
  <conditionalFormatting sqref="BJ14">
    <cfRule type="expression" dxfId="17848" priority="3919">
      <formula>#REF!="TO"</formula>
    </cfRule>
    <cfRule type="expression" dxfId="17847" priority="3920">
      <formula>#REF!="IO"</formula>
    </cfRule>
    <cfRule type="expression" dxfId="17846" priority="3921">
      <formula>#REF!="L"</formula>
    </cfRule>
  </conditionalFormatting>
  <conditionalFormatting sqref="BJ15">
    <cfRule type="expression" dxfId="17845" priority="3916">
      <formula>#REF!="TO"</formula>
    </cfRule>
    <cfRule type="expression" dxfId="17844" priority="3917">
      <formula>#REF!="IO"</formula>
    </cfRule>
    <cfRule type="expression" dxfId="17843" priority="3918">
      <formula>#REF!="L"</formula>
    </cfRule>
  </conditionalFormatting>
  <conditionalFormatting sqref="BJ16">
    <cfRule type="expression" dxfId="17842" priority="3913">
      <formula>#REF!="TO"</formula>
    </cfRule>
    <cfRule type="expression" dxfId="17841" priority="3914">
      <formula>#REF!="IO"</formula>
    </cfRule>
    <cfRule type="expression" dxfId="17840" priority="3915">
      <formula>#REF!="L"</formula>
    </cfRule>
  </conditionalFormatting>
  <conditionalFormatting sqref="BJ17">
    <cfRule type="expression" dxfId="17839" priority="3910">
      <formula>#REF!="TO"</formula>
    </cfRule>
    <cfRule type="expression" dxfId="17838" priority="3911">
      <formula>#REF!="IO"</formula>
    </cfRule>
    <cfRule type="expression" dxfId="17837" priority="3912">
      <formula>#REF!="L"</formula>
    </cfRule>
  </conditionalFormatting>
  <conditionalFormatting sqref="BN2">
    <cfRule type="expression" dxfId="17836" priority="3769">
      <formula>#REF!="TO"</formula>
    </cfRule>
    <cfRule type="expression" dxfId="17835" priority="3770">
      <formula>#REF!="IO"</formula>
    </cfRule>
    <cfRule type="expression" dxfId="17834" priority="3771">
      <formula>#REF!="L"</formula>
    </cfRule>
  </conditionalFormatting>
  <conditionalFormatting sqref="BI23:BI29">
    <cfRule type="expression" dxfId="17833" priority="3880">
      <formula>#REF!="TO"</formula>
    </cfRule>
    <cfRule type="expression" dxfId="17832" priority="3881">
      <formula>#REF!="IO"</formula>
    </cfRule>
    <cfRule type="expression" dxfId="17831" priority="3882">
      <formula>#REF!="L"</formula>
    </cfRule>
  </conditionalFormatting>
  <conditionalFormatting sqref="BI6">
    <cfRule type="expression" dxfId="17830" priority="3874">
      <formula>#REF!="TO"</formula>
    </cfRule>
    <cfRule type="expression" dxfId="17829" priority="3875">
      <formula>#REF!="IO"</formula>
    </cfRule>
    <cfRule type="expression" dxfId="17828" priority="3876">
      <formula>#REF!="L"</formula>
    </cfRule>
  </conditionalFormatting>
  <conditionalFormatting sqref="BI8">
    <cfRule type="expression" dxfId="17827" priority="3868">
      <formula>#REF!="TO"</formula>
    </cfRule>
    <cfRule type="expression" dxfId="17826" priority="3869">
      <formula>#REF!="IO"</formula>
    </cfRule>
    <cfRule type="expression" dxfId="17825" priority="3870">
      <formula>#REF!="L"</formula>
    </cfRule>
  </conditionalFormatting>
  <conditionalFormatting sqref="BI13">
    <cfRule type="expression" dxfId="17824" priority="3862">
      <formula>#REF!="TO"</formula>
    </cfRule>
    <cfRule type="expression" dxfId="17823" priority="3863">
      <formula>#REF!="IO"</formula>
    </cfRule>
    <cfRule type="expression" dxfId="17822" priority="3864">
      <formula>#REF!="L"</formula>
    </cfRule>
  </conditionalFormatting>
  <conditionalFormatting sqref="BI19">
    <cfRule type="expression" dxfId="17821" priority="3844">
      <formula>#REF!="TO"</formula>
    </cfRule>
    <cfRule type="expression" dxfId="17820" priority="3845">
      <formula>#REF!="IO"</formula>
    </cfRule>
    <cfRule type="expression" dxfId="17819" priority="3846">
      <formula>#REF!="L"</formula>
    </cfRule>
  </conditionalFormatting>
  <conditionalFormatting sqref="BI21">
    <cfRule type="expression" dxfId="17818" priority="3838">
      <formula>#REF!="TO"</formula>
    </cfRule>
    <cfRule type="expression" dxfId="17817" priority="3839">
      <formula>#REF!="IO"</formula>
    </cfRule>
    <cfRule type="expression" dxfId="17816" priority="3840">
      <formula>#REF!="L"</formula>
    </cfRule>
  </conditionalFormatting>
  <conditionalFormatting sqref="BI38:BI41">
    <cfRule type="expression" dxfId="17815" priority="3832">
      <formula>#REF!="TO"</formula>
    </cfRule>
    <cfRule type="expression" dxfId="17814" priority="3833">
      <formula>#REF!="IO"</formula>
    </cfRule>
    <cfRule type="expression" dxfId="17813" priority="3834">
      <formula>#REF!="L"</formula>
    </cfRule>
  </conditionalFormatting>
  <conditionalFormatting sqref="BI43">
    <cfRule type="expression" dxfId="17812" priority="3826">
      <formula>#REF!="TO"</formula>
    </cfRule>
    <cfRule type="expression" dxfId="17811" priority="3827">
      <formula>#REF!="IO"</formula>
    </cfRule>
    <cfRule type="expression" dxfId="17810" priority="3828">
      <formula>#REF!="L"</formula>
    </cfRule>
  </conditionalFormatting>
  <conditionalFormatting sqref="BI44">
    <cfRule type="expression" dxfId="17809" priority="3823">
      <formula>#REF!="TO"</formula>
    </cfRule>
    <cfRule type="expression" dxfId="17808" priority="3824">
      <formula>#REF!="IO"</formula>
    </cfRule>
    <cfRule type="expression" dxfId="17807" priority="3825">
      <formula>#REF!="L"</formula>
    </cfRule>
  </conditionalFormatting>
  <conditionalFormatting sqref="BI46">
    <cfRule type="expression" dxfId="17806" priority="3817">
      <formula>#REF!="TO"</formula>
    </cfRule>
    <cfRule type="expression" dxfId="17805" priority="3818">
      <formula>#REF!="IO"</formula>
    </cfRule>
    <cfRule type="expression" dxfId="17804" priority="3819">
      <formula>#REF!="L"</formula>
    </cfRule>
  </conditionalFormatting>
  <conditionalFormatting sqref="BI48">
    <cfRule type="expression" dxfId="17803" priority="3811">
      <formula>#REF!="TO"</formula>
    </cfRule>
    <cfRule type="expression" dxfId="17802" priority="3812">
      <formula>#REF!="IO"</formula>
    </cfRule>
    <cfRule type="expression" dxfId="17801" priority="3813">
      <formula>#REF!="L"</formula>
    </cfRule>
  </conditionalFormatting>
  <conditionalFormatting sqref="BS9:BS12">
    <cfRule type="expression" dxfId="17800" priority="3718">
      <formula>#REF!="TO"</formula>
    </cfRule>
    <cfRule type="expression" dxfId="17799" priority="3719">
      <formula>#REF!="IO"</formula>
    </cfRule>
    <cfRule type="expression" dxfId="17798" priority="3720">
      <formula>#REF!="L"</formula>
    </cfRule>
  </conditionalFormatting>
  <conditionalFormatting sqref="BE30">
    <cfRule type="expression" dxfId="17797" priority="3391">
      <formula>#REF!="TO"</formula>
    </cfRule>
    <cfRule type="expression" dxfId="17796" priority="3392">
      <formula>#REF!="IO"</formula>
    </cfRule>
    <cfRule type="expression" dxfId="17795" priority="3393">
      <formula>#REF!="L"</formula>
    </cfRule>
    <cfRule type="expression" dxfId="17794" priority="3331">
      <formula>#REF!="TO"</formula>
    </cfRule>
    <cfRule type="expression" dxfId="17793" priority="3332">
      <formula>#REF!="IO"</formula>
    </cfRule>
    <cfRule type="expression" dxfId="17792" priority="3333">
      <formula>#REF!="L"</formula>
    </cfRule>
  </conditionalFormatting>
  <conditionalFormatting sqref="BB2">
    <cfRule type="expression" dxfId="17791" priority="3790">
      <formula>#REF!="TO"</formula>
    </cfRule>
    <cfRule type="expression" dxfId="17790" priority="3791">
      <formula>#REF!="IO"</formula>
    </cfRule>
    <cfRule type="expression" dxfId="17789" priority="3792">
      <formula>#REF!="L"</formula>
    </cfRule>
  </conditionalFormatting>
  <conditionalFormatting sqref="BC2:BE2">
    <cfRule type="expression" dxfId="17788" priority="3787">
      <formula>#REF!="TO"</formula>
    </cfRule>
    <cfRule type="expression" dxfId="17787" priority="3788">
      <formula>#REF!="IO"</formula>
    </cfRule>
    <cfRule type="expression" dxfId="17786" priority="3789">
      <formula>#REF!="L"</formula>
    </cfRule>
  </conditionalFormatting>
  <conditionalFormatting sqref="BK2">
    <cfRule type="expression" dxfId="17785" priority="3784">
      <formula>#REF!="TO"</formula>
    </cfRule>
    <cfRule type="expression" dxfId="17784" priority="3785">
      <formula>#REF!="IO"</formula>
    </cfRule>
    <cfRule type="expression" dxfId="17783" priority="3786">
      <formula>#REF!="L"</formula>
    </cfRule>
  </conditionalFormatting>
  <conditionalFormatting sqref="BL2">
    <cfRule type="expression" dxfId="17782" priority="3775">
      <formula>#REF!="TO"</formula>
    </cfRule>
    <cfRule type="expression" dxfId="17781" priority="3776">
      <formula>#REF!="IO"</formula>
    </cfRule>
    <cfRule type="expression" dxfId="17780" priority="3777">
      <formula>#REF!="L"</formula>
    </cfRule>
  </conditionalFormatting>
  <conditionalFormatting sqref="BM2">
    <cfRule type="expression" dxfId="17779" priority="3772">
      <formula>#REF!="TO"</formula>
    </cfRule>
    <cfRule type="expression" dxfId="17778" priority="3773">
      <formula>#REF!="IO"</formula>
    </cfRule>
    <cfRule type="expression" dxfId="17777" priority="3774">
      <formula>#REF!="L"</formula>
    </cfRule>
  </conditionalFormatting>
  <conditionalFormatting sqref="BR2">
    <cfRule type="expression" dxfId="17776" priority="3763">
      <formula>#REF!="TO"</formula>
    </cfRule>
    <cfRule type="expression" dxfId="17775" priority="3764">
      <formula>#REF!="IO"</formula>
    </cfRule>
    <cfRule type="expression" dxfId="17774" priority="3765">
      <formula>#REF!="L"</formula>
    </cfRule>
  </conditionalFormatting>
  <conditionalFormatting sqref="BO2">
    <cfRule type="expression" dxfId="17773" priority="3754">
      <formula>#REF!="TO"</formula>
    </cfRule>
    <cfRule type="expression" dxfId="17772" priority="3755">
      <formula>#REF!="IO"</formula>
    </cfRule>
    <cfRule type="expression" dxfId="17771" priority="3756">
      <formula>#REF!="L"</formula>
    </cfRule>
  </conditionalFormatting>
  <conditionalFormatting sqref="BP2">
    <cfRule type="expression" dxfId="17770" priority="3751">
      <formula>#REF!="TO"</formula>
    </cfRule>
    <cfRule type="expression" dxfId="17769" priority="3752">
      <formula>#REF!="IO"</formula>
    </cfRule>
    <cfRule type="expression" dxfId="17768" priority="3753">
      <formula>#REF!="L"</formula>
    </cfRule>
  </conditionalFormatting>
  <conditionalFormatting sqref="BQ2:BS2">
    <cfRule type="expression" dxfId="17767" priority="3748">
      <formula>#REF!="TO"</formula>
    </cfRule>
    <cfRule type="expression" dxfId="17766" priority="3749">
      <formula>#REF!="IO"</formula>
    </cfRule>
    <cfRule type="expression" dxfId="17765" priority="3750">
      <formula>#REF!="L"</formula>
    </cfRule>
  </conditionalFormatting>
  <conditionalFormatting sqref="BJ2">
    <cfRule type="expression" dxfId="17764" priority="3745">
      <formula>#REF!="TO"</formula>
    </cfRule>
    <cfRule type="expression" dxfId="17763" priority="3746">
      <formula>#REF!="IO"</formula>
    </cfRule>
    <cfRule type="expression" dxfId="17762" priority="3747">
      <formula>#REF!="L"</formula>
    </cfRule>
  </conditionalFormatting>
  <conditionalFormatting sqref="BI2">
    <cfRule type="expression" dxfId="17761" priority="3742">
      <formula>#REF!="TO"</formula>
    </cfRule>
    <cfRule type="expression" dxfId="17760" priority="3743">
      <formula>#REF!="IO"</formula>
    </cfRule>
    <cfRule type="expression" dxfId="17759" priority="3744">
      <formula>#REF!="L"</formula>
    </cfRule>
  </conditionalFormatting>
  <conditionalFormatting sqref="BF2">
    <cfRule type="expression" dxfId="17758" priority="3739">
      <formula>#REF!="TO"</formula>
    </cfRule>
    <cfRule type="expression" dxfId="17757" priority="3740">
      <formula>#REF!="IO"</formula>
    </cfRule>
    <cfRule type="expression" dxfId="17756" priority="3741">
      <formula>#REF!="L"</formula>
    </cfRule>
  </conditionalFormatting>
  <conditionalFormatting sqref="BS38:BS41 BS23:BS29">
    <cfRule type="expression" dxfId="17755" priority="3733">
      <formula>#REF!="TO"</formula>
    </cfRule>
    <cfRule type="expression" dxfId="17754" priority="3734">
      <formula>#REF!="IO"</formula>
    </cfRule>
    <cfRule type="expression" dxfId="17753" priority="3735">
      <formula>#REF!="L"</formula>
    </cfRule>
  </conditionalFormatting>
  <conditionalFormatting sqref="BS5">
    <cfRule type="expression" dxfId="17752" priority="3730">
      <formula>#REF!="TO"</formula>
    </cfRule>
    <cfRule type="expression" dxfId="17751" priority="3731">
      <formula>#REF!="IO"</formula>
    </cfRule>
    <cfRule type="expression" dxfId="17750" priority="3732">
      <formula>#REF!="L"</formula>
    </cfRule>
  </conditionalFormatting>
  <conditionalFormatting sqref="BS6">
    <cfRule type="expression" dxfId="17749" priority="3727">
      <formula>#REF!="TO"</formula>
    </cfRule>
    <cfRule type="expression" dxfId="17748" priority="3728">
      <formula>#REF!="IO"</formula>
    </cfRule>
    <cfRule type="expression" dxfId="17747" priority="3729">
      <formula>#REF!="L"</formula>
    </cfRule>
  </conditionalFormatting>
  <conditionalFormatting sqref="BS7">
    <cfRule type="expression" dxfId="17746" priority="3724">
      <formula>#REF!="TO"</formula>
    </cfRule>
    <cfRule type="expression" dxfId="17745" priority="3725">
      <formula>#REF!="IO"</formula>
    </cfRule>
    <cfRule type="expression" dxfId="17744" priority="3726">
      <formula>#REF!="L"</formula>
    </cfRule>
  </conditionalFormatting>
  <conditionalFormatting sqref="BS8">
    <cfRule type="expression" dxfId="17743" priority="3721">
      <formula>#REF!="TO"</formula>
    </cfRule>
    <cfRule type="expression" dxfId="17742" priority="3722">
      <formula>#REF!="IO"</formula>
    </cfRule>
    <cfRule type="expression" dxfId="17741" priority="3723">
      <formula>#REF!="L"</formula>
    </cfRule>
  </conditionalFormatting>
  <conditionalFormatting sqref="BS13">
    <cfRule type="expression" dxfId="17740" priority="3715">
      <formula>#REF!="TO"</formula>
    </cfRule>
    <cfRule type="expression" dxfId="17739" priority="3716">
      <formula>#REF!="IO"</formula>
    </cfRule>
    <cfRule type="expression" dxfId="17738" priority="3717">
      <formula>#REF!="L"</formula>
    </cfRule>
  </conditionalFormatting>
  <conditionalFormatting sqref="BS14">
    <cfRule type="expression" dxfId="17737" priority="3712">
      <formula>#REF!="TO"</formula>
    </cfRule>
    <cfRule type="expression" dxfId="17736" priority="3713">
      <formula>#REF!="IO"</formula>
    </cfRule>
    <cfRule type="expression" dxfId="17735" priority="3714">
      <formula>#REF!="L"</formula>
    </cfRule>
  </conditionalFormatting>
  <conditionalFormatting sqref="BS15">
    <cfRule type="expression" dxfId="17734" priority="3709">
      <formula>#REF!="TO"</formula>
    </cfRule>
    <cfRule type="expression" dxfId="17733" priority="3710">
      <formula>#REF!="IO"</formula>
    </cfRule>
    <cfRule type="expression" dxfId="17732" priority="3711">
      <formula>#REF!="L"</formula>
    </cfRule>
  </conditionalFormatting>
  <conditionalFormatting sqref="BS16">
    <cfRule type="expression" dxfId="17731" priority="3706">
      <formula>#REF!="TO"</formula>
    </cfRule>
    <cfRule type="expression" dxfId="17730" priority="3707">
      <formula>#REF!="IO"</formula>
    </cfRule>
    <cfRule type="expression" dxfId="17729" priority="3708">
      <formula>#REF!="L"</formula>
    </cfRule>
  </conditionalFormatting>
  <conditionalFormatting sqref="BS17">
    <cfRule type="expression" dxfId="17728" priority="3703">
      <formula>#REF!="TO"</formula>
    </cfRule>
    <cfRule type="expression" dxfId="17727" priority="3704">
      <formula>#REF!="IO"</formula>
    </cfRule>
    <cfRule type="expression" dxfId="17726" priority="3705">
      <formula>#REF!="L"</formula>
    </cfRule>
  </conditionalFormatting>
  <conditionalFormatting sqref="BS18">
    <cfRule type="expression" dxfId="17725" priority="3700">
      <formula>#REF!="TO"</formula>
    </cfRule>
    <cfRule type="expression" dxfId="17724" priority="3701">
      <formula>#REF!="IO"</formula>
    </cfRule>
    <cfRule type="expression" dxfId="17723" priority="3702">
      <formula>#REF!="L"</formula>
    </cfRule>
  </conditionalFormatting>
  <conditionalFormatting sqref="BS19">
    <cfRule type="expression" dxfId="17722" priority="3697">
      <formula>#REF!="TO"</formula>
    </cfRule>
    <cfRule type="expression" dxfId="17721" priority="3698">
      <formula>#REF!="IO"</formula>
    </cfRule>
    <cfRule type="expression" dxfId="17720" priority="3699">
      <formula>#REF!="L"</formula>
    </cfRule>
  </conditionalFormatting>
  <conditionalFormatting sqref="BS20">
    <cfRule type="expression" dxfId="17719" priority="3694">
      <formula>#REF!="TO"</formula>
    </cfRule>
    <cfRule type="expression" dxfId="17718" priority="3695">
      <formula>#REF!="IO"</formula>
    </cfRule>
    <cfRule type="expression" dxfId="17717" priority="3696">
      <formula>#REF!="L"</formula>
    </cfRule>
  </conditionalFormatting>
  <conditionalFormatting sqref="BS21">
    <cfRule type="expression" dxfId="17716" priority="3691">
      <formula>#REF!="TO"</formula>
    </cfRule>
    <cfRule type="expression" dxfId="17715" priority="3692">
      <formula>#REF!="IO"</formula>
    </cfRule>
    <cfRule type="expression" dxfId="17714" priority="3693">
      <formula>#REF!="L"</formula>
    </cfRule>
  </conditionalFormatting>
  <conditionalFormatting sqref="BS22:BS29">
    <cfRule type="expression" dxfId="17713" priority="3688">
      <formula>#REF!="TO"</formula>
    </cfRule>
    <cfRule type="expression" dxfId="17712" priority="3689">
      <formula>#REF!="IO"</formula>
    </cfRule>
    <cfRule type="expression" dxfId="17711" priority="3690">
      <formula>#REF!="L"</formula>
    </cfRule>
  </conditionalFormatting>
  <conditionalFormatting sqref="BS42">
    <cfRule type="expression" dxfId="17710" priority="3685">
      <formula>#REF!="TO"</formula>
    </cfRule>
    <cfRule type="expression" dxfId="17709" priority="3686">
      <formula>#REF!="IO"</formula>
    </cfRule>
    <cfRule type="expression" dxfId="17708" priority="3687">
      <formula>#REF!="L"</formula>
    </cfRule>
  </conditionalFormatting>
  <conditionalFormatting sqref="BS43">
    <cfRule type="expression" dxfId="17707" priority="3682">
      <formula>#REF!="TO"</formula>
    </cfRule>
    <cfRule type="expression" dxfId="17706" priority="3683">
      <formula>#REF!="IO"</formula>
    </cfRule>
    <cfRule type="expression" dxfId="17705" priority="3684">
      <formula>#REF!="L"</formula>
    </cfRule>
  </conditionalFormatting>
  <conditionalFormatting sqref="BS44">
    <cfRule type="expression" dxfId="17704" priority="3679">
      <formula>#REF!="TO"</formula>
    </cfRule>
    <cfRule type="expression" dxfId="17703" priority="3680">
      <formula>#REF!="IO"</formula>
    </cfRule>
    <cfRule type="expression" dxfId="17702" priority="3681">
      <formula>#REF!="L"</formula>
    </cfRule>
  </conditionalFormatting>
  <conditionalFormatting sqref="BS45">
    <cfRule type="expression" dxfId="17701" priority="3676">
      <formula>#REF!="TO"</formula>
    </cfRule>
    <cfRule type="expression" dxfId="17700" priority="3677">
      <formula>#REF!="IO"</formula>
    </cfRule>
    <cfRule type="expression" dxfId="17699" priority="3678">
      <formula>#REF!="L"</formula>
    </cfRule>
  </conditionalFormatting>
  <conditionalFormatting sqref="BS46">
    <cfRule type="expression" dxfId="17698" priority="3673">
      <formula>#REF!="TO"</formula>
    </cfRule>
    <cfRule type="expression" dxfId="17697" priority="3674">
      <formula>#REF!="IO"</formula>
    </cfRule>
    <cfRule type="expression" dxfId="17696" priority="3675">
      <formula>#REF!="L"</formula>
    </cfRule>
  </conditionalFormatting>
  <conditionalFormatting sqref="BS47">
    <cfRule type="expression" dxfId="17695" priority="3670">
      <formula>#REF!="TO"</formula>
    </cfRule>
    <cfRule type="expression" dxfId="17694" priority="3671">
      <formula>#REF!="IO"</formula>
    </cfRule>
    <cfRule type="expression" dxfId="17693" priority="3672">
      <formula>#REF!="L"</formula>
    </cfRule>
  </conditionalFormatting>
  <conditionalFormatting sqref="BS48">
    <cfRule type="expression" dxfId="17692" priority="3667">
      <formula>#REF!="TO"</formula>
    </cfRule>
    <cfRule type="expression" dxfId="17691" priority="3668">
      <formula>#REF!="IO"</formula>
    </cfRule>
    <cfRule type="expression" dxfId="17690" priority="3669">
      <formula>#REF!="L"</formula>
    </cfRule>
  </conditionalFormatting>
  <conditionalFormatting sqref="BS49">
    <cfRule type="expression" dxfId="17689" priority="3664">
      <formula>#REF!="TO"</formula>
    </cfRule>
    <cfRule type="expression" dxfId="17688" priority="3665">
      <formula>#REF!="IO"</formula>
    </cfRule>
    <cfRule type="expression" dxfId="17687" priority="3666">
      <formula>#REF!="L"</formula>
    </cfRule>
  </conditionalFormatting>
  <conditionalFormatting sqref="BS50">
    <cfRule type="expression" dxfId="17686" priority="3661">
      <formula>#REF!="TO"</formula>
    </cfRule>
    <cfRule type="expression" dxfId="17685" priority="3662">
      <formula>#REF!="IO"</formula>
    </cfRule>
    <cfRule type="expression" dxfId="17684" priority="3663">
      <formula>#REF!="L"</formula>
    </cfRule>
  </conditionalFormatting>
  <conditionalFormatting sqref="BS51:BS86">
    <cfRule type="expression" dxfId="17683" priority="3658">
      <formula>#REF!="TO"</formula>
    </cfRule>
    <cfRule type="expression" dxfId="17682" priority="3659">
      <formula>#REF!="IO"</formula>
    </cfRule>
    <cfRule type="expression" dxfId="17681" priority="3660">
      <formula>#REF!="L"</formula>
    </cfRule>
  </conditionalFormatting>
  <conditionalFormatting sqref="BS28:BS29">
    <cfRule type="expression" dxfId="17680" priority="3655">
      <formula>#REF!="TO"</formula>
    </cfRule>
    <cfRule type="expression" dxfId="17679" priority="3656">
      <formula>#REF!="IO"</formula>
    </cfRule>
    <cfRule type="expression" dxfId="17678" priority="3657">
      <formula>#REF!="L"</formula>
    </cfRule>
    <cfRule type="expression" dxfId="17677" priority="3652">
      <formula>#REF!="TO"</formula>
    </cfRule>
    <cfRule type="expression" dxfId="17676" priority="3653">
      <formula>#REF!="IO"</formula>
    </cfRule>
    <cfRule type="expression" dxfId="17675" priority="3654">
      <formula>#REF!="L"</formula>
    </cfRule>
  </conditionalFormatting>
  <conditionalFormatting sqref="BS2">
    <cfRule type="expression" dxfId="17674" priority="3649">
      <formula>#REF!="TO"</formula>
    </cfRule>
    <cfRule type="expression" dxfId="17673" priority="3650">
      <formula>#REF!="IO"</formula>
    </cfRule>
    <cfRule type="expression" dxfId="17672" priority="3651">
      <formula>#REF!="L"</formula>
    </cfRule>
  </conditionalFormatting>
  <conditionalFormatting sqref="BF38:BG41">
    <cfRule type="expression" dxfId="17671" priority="3646">
      <formula>#REF!="TO"</formula>
    </cfRule>
    <cfRule type="expression" dxfId="17670" priority="3647">
      <formula>#REF!="IO"</formula>
    </cfRule>
    <cfRule type="expression" dxfId="17669" priority="3648">
      <formula>#REF!="L"</formula>
    </cfRule>
    <cfRule type="expression" dxfId="17668" priority="3634">
      <formula>#REF!="TO"</formula>
    </cfRule>
    <cfRule type="expression" dxfId="17667" priority="3635">
      <formula>#REF!="IO"</formula>
    </cfRule>
    <cfRule type="expression" dxfId="17666" priority="3636">
      <formula>#REF!="L"</formula>
    </cfRule>
  </conditionalFormatting>
  <conditionalFormatting sqref="BF43:BG43">
    <cfRule type="expression" dxfId="17665" priority="3640">
      <formula>#REF!="TO"</formula>
    </cfRule>
    <cfRule type="expression" dxfId="17664" priority="3641">
      <formula>#REF!="IO"</formula>
    </cfRule>
    <cfRule type="expression" dxfId="17663" priority="3642">
      <formula>#REF!="L"</formula>
    </cfRule>
    <cfRule type="expression" dxfId="17662" priority="3628">
      <formula>#REF!="TO"</formula>
    </cfRule>
    <cfRule type="expression" dxfId="17661" priority="3629">
      <formula>#REF!="IO"</formula>
    </cfRule>
    <cfRule type="expression" dxfId="17660" priority="3630">
      <formula>#REF!="L"</formula>
    </cfRule>
  </conditionalFormatting>
  <conditionalFormatting sqref="BF44:BG44">
    <cfRule type="expression" dxfId="17659" priority="3637">
      <formula>#REF!="TO"</formula>
    </cfRule>
    <cfRule type="expression" dxfId="17658" priority="3638">
      <formula>#REF!="IO"</formula>
    </cfRule>
    <cfRule type="expression" dxfId="17657" priority="3639">
      <formula>#REF!="L"</formula>
    </cfRule>
    <cfRule type="expression" dxfId="17656" priority="3625">
      <formula>#REF!="TO"</formula>
    </cfRule>
    <cfRule type="expression" dxfId="17655" priority="3626">
      <formula>#REF!="IO"</formula>
    </cfRule>
    <cfRule type="expression" dxfId="17654" priority="3627">
      <formula>#REF!="L"</formula>
    </cfRule>
  </conditionalFormatting>
  <conditionalFormatting sqref="BF45:BG45">
    <cfRule type="expression" dxfId="17653" priority="3622">
      <formula>#REF!="TO"</formula>
    </cfRule>
    <cfRule type="expression" dxfId="17652" priority="3623">
      <formula>#REF!="IO"</formula>
    </cfRule>
    <cfRule type="expression" dxfId="17651" priority="3624">
      <formula>#REF!="L"</formula>
    </cfRule>
    <cfRule type="expression" dxfId="17650" priority="3619">
      <formula>#REF!="TO"</formula>
    </cfRule>
    <cfRule type="expression" dxfId="17649" priority="3620">
      <formula>#REF!="IO"</formula>
    </cfRule>
    <cfRule type="expression" dxfId="17648" priority="3621">
      <formula>#REF!="L"</formula>
    </cfRule>
  </conditionalFormatting>
  <conditionalFormatting sqref="BF46:BG46">
    <cfRule type="expression" dxfId="17647" priority="3616">
      <formula>#REF!="TO"</formula>
    </cfRule>
    <cfRule type="expression" dxfId="17646" priority="3617">
      <formula>#REF!="IO"</formula>
    </cfRule>
    <cfRule type="expression" dxfId="17645" priority="3618">
      <formula>#REF!="L"</formula>
    </cfRule>
    <cfRule type="expression" dxfId="17644" priority="3613">
      <formula>#REF!="TO"</formula>
    </cfRule>
    <cfRule type="expression" dxfId="17643" priority="3614">
      <formula>#REF!="IO"</formula>
    </cfRule>
    <cfRule type="expression" dxfId="17642" priority="3615">
      <formula>#REF!="L"</formula>
    </cfRule>
  </conditionalFormatting>
  <conditionalFormatting sqref="BF47:BG47">
    <cfRule type="expression" dxfId="17641" priority="3610">
      <formula>#REF!="TO"</formula>
    </cfRule>
    <cfRule type="expression" dxfId="17640" priority="3611">
      <formula>#REF!="IO"</formula>
    </cfRule>
    <cfRule type="expression" dxfId="17639" priority="3612">
      <formula>#REF!="L"</formula>
    </cfRule>
    <cfRule type="expression" dxfId="17638" priority="3607">
      <formula>#REF!="TO"</formula>
    </cfRule>
    <cfRule type="expression" dxfId="17637" priority="3608">
      <formula>#REF!="IO"</formula>
    </cfRule>
    <cfRule type="expression" dxfId="17636" priority="3609">
      <formula>#REF!="L"</formula>
    </cfRule>
  </conditionalFormatting>
  <conditionalFormatting sqref="BF48:BG48">
    <cfRule type="expression" dxfId="17635" priority="3604">
      <formula>#REF!="TO"</formula>
    </cfRule>
    <cfRule type="expression" dxfId="17634" priority="3605">
      <formula>#REF!="IO"</formula>
    </cfRule>
    <cfRule type="expression" dxfId="17633" priority="3606">
      <formula>#REF!="L"</formula>
    </cfRule>
    <cfRule type="expression" dxfId="17632" priority="3601">
      <formula>#REF!="TO"</formula>
    </cfRule>
    <cfRule type="expression" dxfId="17631" priority="3602">
      <formula>#REF!="IO"</formula>
    </cfRule>
    <cfRule type="expression" dxfId="17630" priority="3603">
      <formula>#REF!="L"</formula>
    </cfRule>
  </conditionalFormatting>
  <conditionalFormatting sqref="BF49:BG49">
    <cfRule type="expression" dxfId="17629" priority="3598">
      <formula>#REF!="TO"</formula>
    </cfRule>
    <cfRule type="expression" dxfId="17628" priority="3599">
      <formula>#REF!="IO"</formula>
    </cfRule>
    <cfRule type="expression" dxfId="17627" priority="3600">
      <formula>#REF!="L"</formula>
    </cfRule>
    <cfRule type="expression" dxfId="17626" priority="3595">
      <formula>#REF!="TO"</formula>
    </cfRule>
    <cfRule type="expression" dxfId="17625" priority="3596">
      <formula>#REF!="IO"</formula>
    </cfRule>
    <cfRule type="expression" dxfId="17624" priority="3597">
      <formula>#REF!="L"</formula>
    </cfRule>
  </conditionalFormatting>
  <conditionalFormatting sqref="BF50:BG50">
    <cfRule type="expression" dxfId="17623" priority="3592">
      <formula>#REF!="TO"</formula>
    </cfRule>
    <cfRule type="expression" dxfId="17622" priority="3593">
      <formula>#REF!="IO"</formula>
    </cfRule>
    <cfRule type="expression" dxfId="17621" priority="3594">
      <formula>#REF!="L"</formula>
    </cfRule>
    <cfRule type="expression" dxfId="17620" priority="3589">
      <formula>#REF!="TO"</formula>
    </cfRule>
    <cfRule type="expression" dxfId="17619" priority="3590">
      <formula>#REF!="IO"</formula>
    </cfRule>
    <cfRule type="expression" dxfId="17618" priority="3591">
      <formula>#REF!="L"</formula>
    </cfRule>
  </conditionalFormatting>
  <conditionalFormatting sqref="BF51:BG77">
    <cfRule type="expression" dxfId="17617" priority="3586">
      <formula>#REF!="TO"</formula>
    </cfRule>
    <cfRule type="expression" dxfId="17616" priority="3587">
      <formula>#REF!="IO"</formula>
    </cfRule>
    <cfRule type="expression" dxfId="17615" priority="3588">
      <formula>#REF!="L"</formula>
    </cfRule>
    <cfRule type="expression" dxfId="17614" priority="3583">
      <formula>#REF!="TO"</formula>
    </cfRule>
    <cfRule type="expression" dxfId="17613" priority="3584">
      <formula>#REF!="IO"</formula>
    </cfRule>
    <cfRule type="expression" dxfId="17612" priority="3585">
      <formula>#REF!="L"</formula>
    </cfRule>
  </conditionalFormatting>
  <conditionalFormatting sqref="BB38:BB41">
    <cfRule type="expression" dxfId="17611" priority="3580">
      <formula>#REF!="TO"</formula>
    </cfRule>
    <cfRule type="expression" dxfId="17610" priority="3581">
      <formula>#REF!="IO"</formula>
    </cfRule>
    <cfRule type="expression" dxfId="17609" priority="3582">
      <formula>#REF!="L"</formula>
    </cfRule>
  </conditionalFormatting>
  <conditionalFormatting sqref="BB42">
    <cfRule type="expression" dxfId="17608" priority="3577">
      <formula>#REF!="TO"</formula>
    </cfRule>
    <cfRule type="expression" dxfId="17607" priority="3578">
      <formula>#REF!="IO"</formula>
    </cfRule>
    <cfRule type="expression" dxfId="17606" priority="3579">
      <formula>#REF!="L"</formula>
    </cfRule>
  </conditionalFormatting>
  <conditionalFormatting sqref="BB43">
    <cfRule type="expression" dxfId="17605" priority="3574">
      <formula>#REF!="TO"</formula>
    </cfRule>
    <cfRule type="expression" dxfId="17604" priority="3575">
      <formula>#REF!="IO"</formula>
    </cfRule>
    <cfRule type="expression" dxfId="17603" priority="3576">
      <formula>#REF!="L"</formula>
    </cfRule>
  </conditionalFormatting>
  <conditionalFormatting sqref="BB44">
    <cfRule type="expression" dxfId="17602" priority="3571">
      <formula>#REF!="TO"</formula>
    </cfRule>
    <cfRule type="expression" dxfId="17601" priority="3572">
      <formula>#REF!="IO"</formula>
    </cfRule>
    <cfRule type="expression" dxfId="17600" priority="3573">
      <formula>#REF!="L"</formula>
    </cfRule>
  </conditionalFormatting>
  <conditionalFormatting sqref="BB45">
    <cfRule type="expression" dxfId="17599" priority="3568">
      <formula>#REF!="TO"</formula>
    </cfRule>
    <cfRule type="expression" dxfId="17598" priority="3569">
      <formula>#REF!="IO"</formula>
    </cfRule>
    <cfRule type="expression" dxfId="17597" priority="3570">
      <formula>#REF!="L"</formula>
    </cfRule>
  </conditionalFormatting>
  <conditionalFormatting sqref="BB46">
    <cfRule type="expression" dxfId="17596" priority="3565">
      <formula>#REF!="TO"</formula>
    </cfRule>
    <cfRule type="expression" dxfId="17595" priority="3566">
      <formula>#REF!="IO"</formula>
    </cfRule>
    <cfRule type="expression" dxfId="17594" priority="3567">
      <formula>#REF!="L"</formula>
    </cfRule>
  </conditionalFormatting>
  <conditionalFormatting sqref="BB47">
    <cfRule type="expression" dxfId="17593" priority="3562">
      <formula>#REF!="TO"</formula>
    </cfRule>
    <cfRule type="expression" dxfId="17592" priority="3563">
      <formula>#REF!="IO"</formula>
    </cfRule>
    <cfRule type="expression" dxfId="17591" priority="3564">
      <formula>#REF!="L"</formula>
    </cfRule>
  </conditionalFormatting>
  <conditionalFormatting sqref="BB48">
    <cfRule type="expression" dxfId="17590" priority="3559">
      <formula>#REF!="TO"</formula>
    </cfRule>
    <cfRule type="expression" dxfId="17589" priority="3560">
      <formula>#REF!="IO"</formula>
    </cfRule>
    <cfRule type="expression" dxfId="17588" priority="3561">
      <formula>#REF!="L"</formula>
    </cfRule>
  </conditionalFormatting>
  <conditionalFormatting sqref="BB49">
    <cfRule type="expression" dxfId="17587" priority="3556">
      <formula>#REF!="TO"</formula>
    </cfRule>
    <cfRule type="expression" dxfId="17586" priority="3557">
      <formula>#REF!="IO"</formula>
    </cfRule>
    <cfRule type="expression" dxfId="17585" priority="3558">
      <formula>#REF!="L"</formula>
    </cfRule>
  </conditionalFormatting>
  <conditionalFormatting sqref="BB50">
    <cfRule type="expression" dxfId="17584" priority="3553">
      <formula>#REF!="TO"</formula>
    </cfRule>
    <cfRule type="expression" dxfId="17583" priority="3554">
      <formula>#REF!="IO"</formula>
    </cfRule>
    <cfRule type="expression" dxfId="17582" priority="3555">
      <formula>#REF!="L"</formula>
    </cfRule>
  </conditionalFormatting>
  <conditionalFormatting sqref="BB51:BB86">
    <cfRule type="expression" dxfId="17581" priority="3550">
      <formula>#REF!="TO"</formula>
    </cfRule>
    <cfRule type="expression" dxfId="17580" priority="3551">
      <formula>#REF!="IO"</formula>
    </cfRule>
    <cfRule type="expression" dxfId="17579" priority="3552">
      <formula>#REF!="L"</formula>
    </cfRule>
  </conditionalFormatting>
  <conditionalFormatting sqref="BA5">
    <cfRule type="expression" dxfId="17578" priority="3535">
      <formula>#REF!="TO"</formula>
    </cfRule>
    <cfRule type="expression" dxfId="17577" priority="3536">
      <formula>#REF!="IO"</formula>
    </cfRule>
    <cfRule type="expression" dxfId="17576" priority="3537">
      <formula>#REF!="L"</formula>
    </cfRule>
    <cfRule type="expression" dxfId="17575" priority="3538">
      <formula>AJ5="TO"</formula>
    </cfRule>
    <cfRule type="expression" dxfId="17574" priority="3539">
      <formula>AJ5="IO"</formula>
    </cfRule>
    <cfRule type="expression" dxfId="17573" priority="3540">
      <formula>AJ5="L"</formula>
    </cfRule>
  </conditionalFormatting>
  <conditionalFormatting sqref="BA6">
    <cfRule type="expression" dxfId="17572" priority="3529">
      <formula>#REF!="TO"</formula>
    </cfRule>
    <cfRule type="expression" dxfId="17571" priority="3530">
      <formula>#REF!="IO"</formula>
    </cfRule>
    <cfRule type="expression" dxfId="17570" priority="3531">
      <formula>#REF!="L"</formula>
    </cfRule>
    <cfRule type="expression" dxfId="17569" priority="3532">
      <formula>AJ6="TO"</formula>
    </cfRule>
    <cfRule type="expression" dxfId="17568" priority="3533">
      <formula>AJ6="IO"</formula>
    </cfRule>
    <cfRule type="expression" dxfId="17567" priority="3534">
      <formula>AJ6="L"</formula>
    </cfRule>
  </conditionalFormatting>
  <conditionalFormatting sqref="BA7">
    <cfRule type="expression" dxfId="17566" priority="3523">
      <formula>#REF!="TO"</formula>
    </cfRule>
    <cfRule type="expression" dxfId="17565" priority="3524">
      <formula>#REF!="IO"</formula>
    </cfRule>
    <cfRule type="expression" dxfId="17564" priority="3525">
      <formula>#REF!="L"</formula>
    </cfRule>
    <cfRule type="expression" dxfId="17563" priority="3526">
      <formula>AJ7="TO"</formula>
    </cfRule>
    <cfRule type="expression" dxfId="17562" priority="3527">
      <formula>AJ7="IO"</formula>
    </cfRule>
    <cfRule type="expression" dxfId="17561" priority="3528">
      <formula>AJ7="L"</formula>
    </cfRule>
  </conditionalFormatting>
  <conditionalFormatting sqref="BA8">
    <cfRule type="expression" dxfId="17560" priority="3517">
      <formula>#REF!="TO"</formula>
    </cfRule>
    <cfRule type="expression" dxfId="17559" priority="3518">
      <formula>#REF!="IO"</formula>
    </cfRule>
    <cfRule type="expression" dxfId="17558" priority="3519">
      <formula>#REF!="L"</formula>
    </cfRule>
    <cfRule type="expression" dxfId="17557" priority="3520">
      <formula>AJ8="TO"</formula>
    </cfRule>
    <cfRule type="expression" dxfId="17556" priority="3521">
      <formula>AJ8="IO"</formula>
    </cfRule>
    <cfRule type="expression" dxfId="17555" priority="3522">
      <formula>AJ8="L"</formula>
    </cfRule>
  </conditionalFormatting>
  <conditionalFormatting sqref="BA9:BA12">
    <cfRule type="expression" dxfId="17554" priority="3511">
      <formula>#REF!="TO"</formula>
    </cfRule>
    <cfRule type="expression" dxfId="17553" priority="3512">
      <formula>#REF!="IO"</formula>
    </cfRule>
    <cfRule type="expression" dxfId="17552" priority="3513">
      <formula>#REF!="L"</formula>
    </cfRule>
    <cfRule type="expression" dxfId="17551" priority="3514">
      <formula>AJ9="TO"</formula>
    </cfRule>
    <cfRule type="expression" dxfId="17550" priority="3515">
      <formula>AJ9="IO"</formula>
    </cfRule>
    <cfRule type="expression" dxfId="17549" priority="3516">
      <formula>AJ9="L"</formula>
    </cfRule>
  </conditionalFormatting>
  <conditionalFormatting sqref="BA14">
    <cfRule type="expression" dxfId="17548" priority="3499">
      <formula>#REF!="TO"</formula>
    </cfRule>
    <cfRule type="expression" dxfId="17547" priority="3500">
      <formula>#REF!="IO"</formula>
    </cfRule>
    <cfRule type="expression" dxfId="17546" priority="3501">
      <formula>#REF!="L"</formula>
    </cfRule>
    <cfRule type="expression" dxfId="17545" priority="3502">
      <formula>AJ14="TO"</formula>
    </cfRule>
    <cfRule type="expression" dxfId="17544" priority="3503">
      <formula>AJ14="IO"</formula>
    </cfRule>
    <cfRule type="expression" dxfId="17543" priority="3504">
      <formula>AJ14="L"</formula>
    </cfRule>
  </conditionalFormatting>
  <conditionalFormatting sqref="BA13">
    <cfRule type="expression" dxfId="17542" priority="3505">
      <formula>#REF!="TO"</formula>
    </cfRule>
    <cfRule type="expression" dxfId="17541" priority="3506">
      <formula>#REF!="IO"</formula>
    </cfRule>
    <cfRule type="expression" dxfId="17540" priority="3507">
      <formula>#REF!="L"</formula>
    </cfRule>
    <cfRule type="expression" dxfId="17539" priority="3508">
      <formula>AJ13="TO"</formula>
    </cfRule>
    <cfRule type="expression" dxfId="17538" priority="3509">
      <formula>AJ13="IO"</formula>
    </cfRule>
    <cfRule type="expression" dxfId="17537" priority="3510">
      <formula>AJ13="L"</formula>
    </cfRule>
  </conditionalFormatting>
  <conditionalFormatting sqref="BA15">
    <cfRule type="expression" dxfId="17536" priority="3493">
      <formula>#REF!="TO"</formula>
    </cfRule>
    <cfRule type="expression" dxfId="17535" priority="3494">
      <formula>#REF!="IO"</formula>
    </cfRule>
    <cfRule type="expression" dxfId="17534" priority="3495">
      <formula>#REF!="L"</formula>
    </cfRule>
    <cfRule type="expression" dxfId="17533" priority="3496">
      <formula>AJ15="TO"</formula>
    </cfRule>
    <cfRule type="expression" dxfId="17532" priority="3497">
      <formula>AJ15="IO"</formula>
    </cfRule>
    <cfRule type="expression" dxfId="17531" priority="3498">
      <formula>AJ15="L"</formula>
    </cfRule>
  </conditionalFormatting>
  <conditionalFormatting sqref="BA16">
    <cfRule type="expression" dxfId="17530" priority="3487">
      <formula>#REF!="TO"</formula>
    </cfRule>
    <cfRule type="expression" dxfId="17529" priority="3488">
      <formula>#REF!="IO"</formula>
    </cfRule>
    <cfRule type="expression" dxfId="17528" priority="3489">
      <formula>#REF!="L"</formula>
    </cfRule>
    <cfRule type="expression" dxfId="17527" priority="3490">
      <formula>AJ16="TO"</formula>
    </cfRule>
    <cfRule type="expression" dxfId="17526" priority="3491">
      <formula>AJ16="IO"</formula>
    </cfRule>
    <cfRule type="expression" dxfId="17525" priority="3492">
      <formula>AJ16="L"</formula>
    </cfRule>
  </conditionalFormatting>
  <conditionalFormatting sqref="BA20">
    <cfRule type="expression" dxfId="17524" priority="3463">
      <formula>#REF!="TO"</formula>
    </cfRule>
    <cfRule type="expression" dxfId="17523" priority="3464">
      <formula>#REF!="IO"</formula>
    </cfRule>
    <cfRule type="expression" dxfId="17522" priority="3465">
      <formula>#REF!="L"</formula>
    </cfRule>
    <cfRule type="expression" dxfId="17521" priority="3466">
      <formula>AJ20="TO"</formula>
    </cfRule>
    <cfRule type="expression" dxfId="17520" priority="3467">
      <formula>AJ20="IO"</formula>
    </cfRule>
    <cfRule type="expression" dxfId="17519" priority="3468">
      <formula>AJ20="L"</formula>
    </cfRule>
  </conditionalFormatting>
  <conditionalFormatting sqref="BA17">
    <cfRule type="expression" dxfId="17518" priority="3481">
      <formula>#REF!="TO"</formula>
    </cfRule>
    <cfRule type="expression" dxfId="17517" priority="3482">
      <formula>#REF!="IO"</formula>
    </cfRule>
    <cfRule type="expression" dxfId="17516" priority="3483">
      <formula>#REF!="L"</formula>
    </cfRule>
    <cfRule type="expression" dxfId="17515" priority="3484">
      <formula>AJ17="TO"</formula>
    </cfRule>
    <cfRule type="expression" dxfId="17514" priority="3485">
      <formula>AJ17="IO"</formula>
    </cfRule>
    <cfRule type="expression" dxfId="17513" priority="3486">
      <formula>AJ17="L"</formula>
    </cfRule>
  </conditionalFormatting>
  <conditionalFormatting sqref="BA18">
    <cfRule type="expression" dxfId="17512" priority="3475">
      <formula>#REF!="TO"</formula>
    </cfRule>
    <cfRule type="expression" dxfId="17511" priority="3476">
      <formula>#REF!="IO"</formula>
    </cfRule>
    <cfRule type="expression" dxfId="17510" priority="3477">
      <formula>#REF!="L"</formula>
    </cfRule>
    <cfRule type="expression" dxfId="17509" priority="3478">
      <formula>AJ18="TO"</formula>
    </cfRule>
    <cfRule type="expression" dxfId="17508" priority="3479">
      <formula>AJ18="IO"</formula>
    </cfRule>
    <cfRule type="expression" dxfId="17507" priority="3480">
      <formula>AJ18="L"</formula>
    </cfRule>
  </conditionalFormatting>
  <conditionalFormatting sqref="BA19">
    <cfRule type="expression" dxfId="17506" priority="3469">
      <formula>#REF!="TO"</formula>
    </cfRule>
    <cfRule type="expression" dxfId="17505" priority="3470">
      <formula>#REF!="IO"</formula>
    </cfRule>
    <cfRule type="expression" dxfId="17504" priority="3471">
      <formula>#REF!="L"</formula>
    </cfRule>
    <cfRule type="expression" dxfId="17503" priority="3472">
      <formula>AJ19="TO"</formula>
    </cfRule>
    <cfRule type="expression" dxfId="17502" priority="3473">
      <formula>AJ19="IO"</formula>
    </cfRule>
    <cfRule type="expression" dxfId="17501" priority="3474">
      <formula>AJ19="L"</formula>
    </cfRule>
  </conditionalFormatting>
  <conditionalFormatting sqref="BA21">
    <cfRule type="expression" dxfId="17500" priority="3457">
      <formula>#REF!="TO"</formula>
    </cfRule>
    <cfRule type="expression" dxfId="17499" priority="3458">
      <formula>#REF!="IO"</formula>
    </cfRule>
    <cfRule type="expression" dxfId="17498" priority="3459">
      <formula>#REF!="L"</formula>
    </cfRule>
    <cfRule type="expression" dxfId="17497" priority="3460">
      <formula>AJ21="TO"</formula>
    </cfRule>
    <cfRule type="expression" dxfId="17496" priority="3461">
      <formula>AJ21="IO"</formula>
    </cfRule>
    <cfRule type="expression" dxfId="17495" priority="3462">
      <formula>AJ21="L"</formula>
    </cfRule>
  </conditionalFormatting>
  <conditionalFormatting sqref="BA22">
    <cfRule type="expression" dxfId="17494" priority="3451">
      <formula>#REF!="TO"</formula>
    </cfRule>
    <cfRule type="expression" dxfId="17493" priority="3452">
      <formula>#REF!="IO"</formula>
    </cfRule>
    <cfRule type="expression" dxfId="17492" priority="3453">
      <formula>#REF!="L"</formula>
    </cfRule>
    <cfRule type="expression" dxfId="17491" priority="3454">
      <formula>AJ22="TO"</formula>
    </cfRule>
    <cfRule type="expression" dxfId="17490" priority="3455">
      <formula>AJ22="IO"</formula>
    </cfRule>
    <cfRule type="expression" dxfId="17489" priority="3456">
      <formula>AJ22="L"</formula>
    </cfRule>
  </conditionalFormatting>
  <conditionalFormatting sqref="BA2">
    <cfRule type="expression" dxfId="17488" priority="3442">
      <formula>#REF!="TO"</formula>
    </cfRule>
    <cfRule type="expression" dxfId="17487" priority="3443">
      <formula>#REF!="IO"</formula>
    </cfRule>
    <cfRule type="expression" dxfId="17486" priority="3444">
      <formula>#REF!="L"</formula>
    </cfRule>
  </conditionalFormatting>
  <conditionalFormatting sqref="BH30">
    <cfRule type="expression" dxfId="17485" priority="3358">
      <formula>#REF!="TO"</formula>
    </cfRule>
    <cfRule type="expression" dxfId="17484" priority="3359">
      <formula>#REF!="IO"</formula>
    </cfRule>
    <cfRule type="expression" dxfId="17483" priority="3360">
      <formula>#REF!="L"</formula>
    </cfRule>
    <cfRule type="expression" dxfId="17482" priority="3418">
      <formula>#REF!="TO"</formula>
    </cfRule>
    <cfRule type="expression" dxfId="17481" priority="3419">
      <formula>#REF!="IO"</formula>
    </cfRule>
    <cfRule type="expression" dxfId="17480" priority="3420">
      <formula>#REF!="L"</formula>
    </cfRule>
  </conditionalFormatting>
  <conditionalFormatting sqref="BJ30">
    <cfRule type="expression" dxfId="17479" priority="3316">
      <formula>#REF!="TO"</formula>
    </cfRule>
    <cfRule type="expression" dxfId="17478" priority="3317">
      <formula>#REF!="IO"</formula>
    </cfRule>
    <cfRule type="expression" dxfId="17477" priority="3318">
      <formula>#REF!="L"</formula>
    </cfRule>
    <cfRule type="expression" dxfId="17476" priority="3313">
      <formula>#REF!="TO"</formula>
    </cfRule>
    <cfRule type="expression" dxfId="17475" priority="3314">
      <formula>#REF!="IO"</formula>
    </cfRule>
    <cfRule type="expression" dxfId="17474" priority="3315">
      <formula>#REF!="L"</formula>
    </cfRule>
    <cfRule type="expression" dxfId="17473" priority="3310">
      <formula>#REF!="TO"</formula>
    </cfRule>
    <cfRule type="expression" dxfId="17472" priority="3311">
      <formula>#REF!="IO"</formula>
    </cfRule>
    <cfRule type="expression" dxfId="17471" priority="3312">
      <formula>#REF!="L"</formula>
    </cfRule>
    <cfRule type="expression" dxfId="17470" priority="3307">
      <formula>#REF!="TO"</formula>
    </cfRule>
    <cfRule type="expression" dxfId="17469" priority="3308">
      <formula>#REF!="IO"</formula>
    </cfRule>
    <cfRule type="expression" dxfId="17468" priority="3309">
      <formula>#REF!="L"</formula>
    </cfRule>
  </conditionalFormatting>
  <conditionalFormatting sqref="BC30:BE30">
    <cfRule type="expression" dxfId="17467" priority="3355">
      <formula>#REF!="TO"</formula>
    </cfRule>
    <cfRule type="expression" dxfId="17466" priority="3356">
      <formula>#REF!="IO"</formula>
    </cfRule>
    <cfRule type="expression" dxfId="17465" priority="3357">
      <formula>#REF!="L"</formula>
    </cfRule>
    <cfRule type="expression" dxfId="17464" priority="3436">
      <formula>#REF!="TO"</formula>
    </cfRule>
    <cfRule type="expression" dxfId="17463" priority="3437">
      <formula>#REF!="IO"</formula>
    </cfRule>
    <cfRule type="expression" dxfId="17462" priority="3438">
      <formula>#REF!="L"</formula>
    </cfRule>
    <cfRule type="expression" dxfId="17461" priority="3415">
      <formula>#REF!="TO"</formula>
    </cfRule>
    <cfRule type="expression" dxfId="17460" priority="3416">
      <formula>#REF!="IO"</formula>
    </cfRule>
    <cfRule type="expression" dxfId="17459" priority="3417">
      <formula>#REF!="L"</formula>
    </cfRule>
    <cfRule type="expression" dxfId="17458" priority="3373">
      <formula>#REF!="TO"</formula>
    </cfRule>
    <cfRule type="expression" dxfId="17457" priority="3374">
      <formula>#REF!="IO"</formula>
    </cfRule>
    <cfRule type="expression" dxfId="17456" priority="3375">
      <formula>#REF!="L"</formula>
    </cfRule>
  </conditionalFormatting>
  <conditionalFormatting sqref="BM30">
    <cfRule type="expression" dxfId="17455" priority="3352">
      <formula>#REF!="TO"</formula>
    </cfRule>
    <cfRule type="expression" dxfId="17454" priority="3353">
      <formula>#REF!="IO"</formula>
    </cfRule>
    <cfRule type="expression" dxfId="17453" priority="3354">
      <formula>#REF!="L"</formula>
    </cfRule>
    <cfRule type="expression" dxfId="17452" priority="3430">
      <formula>#REF!="TO"</formula>
    </cfRule>
    <cfRule type="expression" dxfId="17451" priority="3431">
      <formula>#REF!="IO"</formula>
    </cfRule>
    <cfRule type="expression" dxfId="17450" priority="3432">
      <formula>#REF!="L"</formula>
    </cfRule>
    <cfRule type="expression" dxfId="17449" priority="3412">
      <formula>#REF!="TO"</formula>
    </cfRule>
    <cfRule type="expression" dxfId="17448" priority="3413">
      <formula>#REF!="IO"</formula>
    </cfRule>
    <cfRule type="expression" dxfId="17447" priority="3414">
      <formula>#REF!="L"</formula>
    </cfRule>
    <cfRule type="expression" dxfId="17446" priority="3367">
      <formula>#REF!="TO"</formula>
    </cfRule>
    <cfRule type="expression" dxfId="17445" priority="3368">
      <formula>#REF!="IO"</formula>
    </cfRule>
    <cfRule type="expression" dxfId="17444" priority="3369">
      <formula>#REF!="L"</formula>
    </cfRule>
  </conditionalFormatting>
  <conditionalFormatting sqref="BN30">
    <cfRule type="expression" dxfId="17443" priority="3349">
      <formula>#REF!="TO"</formula>
    </cfRule>
    <cfRule type="expression" dxfId="17442" priority="3350">
      <formula>#REF!="IO"</formula>
    </cfRule>
    <cfRule type="expression" dxfId="17441" priority="3351">
      <formula>#REF!="L"</formula>
    </cfRule>
    <cfRule type="expression" dxfId="17440" priority="3427">
      <formula>#REF!="TO"</formula>
    </cfRule>
    <cfRule type="expression" dxfId="17439" priority="3428">
      <formula>#REF!="IO"</formula>
    </cfRule>
    <cfRule type="expression" dxfId="17438" priority="3429">
      <formula>#REF!="L"</formula>
    </cfRule>
    <cfRule type="expression" dxfId="17437" priority="3409">
      <formula>#REF!="TO"</formula>
    </cfRule>
    <cfRule type="expression" dxfId="17436" priority="3410">
      <formula>#REF!="IO"</formula>
    </cfRule>
    <cfRule type="expression" dxfId="17435" priority="3411">
      <formula>#REF!="L"</formula>
    </cfRule>
    <cfRule type="expression" dxfId="17434" priority="3364">
      <formula>#REF!="TO"</formula>
    </cfRule>
    <cfRule type="expression" dxfId="17433" priority="3365">
      <formula>#REF!="IO"</formula>
    </cfRule>
    <cfRule type="expression" dxfId="17432" priority="3366">
      <formula>#REF!="L"</formula>
    </cfRule>
  </conditionalFormatting>
  <conditionalFormatting sqref="BF30">
    <cfRule type="expression" dxfId="17431" priority="3337">
      <formula>#REF!="TO"</formula>
    </cfRule>
    <cfRule type="expression" dxfId="17430" priority="3338">
      <formula>#REF!="IO"</formula>
    </cfRule>
    <cfRule type="expression" dxfId="17429" priority="3339">
      <formula>#REF!="L"</formula>
    </cfRule>
    <cfRule type="expression" dxfId="17428" priority="3397">
      <formula>#REF!="TO"</formula>
    </cfRule>
    <cfRule type="expression" dxfId="17427" priority="3398">
      <formula>#REF!="IO"</formula>
    </cfRule>
    <cfRule type="expression" dxfId="17426" priority="3399">
      <formula>#REF!="L"</formula>
    </cfRule>
  </conditionalFormatting>
  <conditionalFormatting sqref="BP30">
    <cfRule type="expression" dxfId="17425" priority="3328">
      <formula>#REF!="TO"</formula>
    </cfRule>
    <cfRule type="expression" dxfId="17424" priority="3329">
      <formula>#REF!="IO"</formula>
    </cfRule>
    <cfRule type="expression" dxfId="17423" priority="3330">
      <formula>#REF!="L"</formula>
    </cfRule>
    <cfRule type="expression" dxfId="17422" priority="3325">
      <formula>#REF!="TO"</formula>
    </cfRule>
    <cfRule type="expression" dxfId="17421" priority="3326">
      <formula>#REF!="IO"</formula>
    </cfRule>
    <cfRule type="expression" dxfId="17420" priority="3327">
      <formula>#REF!="L"</formula>
    </cfRule>
    <cfRule type="expression" dxfId="17419" priority="3385">
      <formula>#REF!="TO"</formula>
    </cfRule>
    <cfRule type="expression" dxfId="17418" priority="3386">
      <formula>#REF!="IO"</formula>
    </cfRule>
    <cfRule type="expression" dxfId="17417" priority="3387">
      <formula>#REF!="L"</formula>
    </cfRule>
    <cfRule type="expression" dxfId="17416" priority="3388">
      <formula>#REF!="TO"</formula>
    </cfRule>
    <cfRule type="expression" dxfId="17415" priority="3389">
      <formula>#REF!="IO"</formula>
    </cfRule>
    <cfRule type="expression" dxfId="17414" priority="3390">
      <formula>#REF!="L"</formula>
    </cfRule>
  </conditionalFormatting>
  <conditionalFormatting sqref="BQ30:BS30">
    <cfRule type="expression" dxfId="17413" priority="3322">
      <formula>#REF!="TO"</formula>
    </cfRule>
    <cfRule type="expression" dxfId="17412" priority="3323">
      <formula>#REF!="IO"</formula>
    </cfRule>
    <cfRule type="expression" dxfId="17411" priority="3324">
      <formula>#REF!="L"</formula>
    </cfRule>
    <cfRule type="expression" dxfId="17410" priority="3319">
      <formula>#REF!="TO"</formula>
    </cfRule>
    <cfRule type="expression" dxfId="17409" priority="3320">
      <formula>#REF!="IO"</formula>
    </cfRule>
    <cfRule type="expression" dxfId="17408" priority="3321">
      <formula>#REF!="L"</formula>
    </cfRule>
    <cfRule type="expression" dxfId="17407" priority="3382">
      <formula>#REF!="TO"</formula>
    </cfRule>
    <cfRule type="expression" dxfId="17406" priority="3383">
      <formula>#REF!="IO"</formula>
    </cfRule>
    <cfRule type="expression" dxfId="17405" priority="3384">
      <formula>#REF!="L"</formula>
    </cfRule>
    <cfRule type="expression" dxfId="17404" priority="3379">
      <formula>#REF!="TO"</formula>
    </cfRule>
    <cfRule type="expression" dxfId="17403" priority="3380">
      <formula>#REF!="IO"</formula>
    </cfRule>
    <cfRule type="expression" dxfId="17402" priority="3381">
      <formula>#REF!="L"</formula>
    </cfRule>
  </conditionalFormatting>
  <conditionalFormatting sqref="BS30">
    <cfRule type="expression" dxfId="17401" priority="3292">
      <formula>#REF!="TO"</formula>
    </cfRule>
    <cfRule type="expression" dxfId="17400" priority="3293">
      <formula>#REF!="IO"</formula>
    </cfRule>
    <cfRule type="expression" dxfId="17399" priority="3294">
      <formula>#REF!="L"</formula>
    </cfRule>
    <cfRule type="expression" dxfId="17398" priority="3289">
      <formula>#REF!="TO"</formula>
    </cfRule>
    <cfRule type="expression" dxfId="17397" priority="3290">
      <formula>#REF!="IO"</formula>
    </cfRule>
    <cfRule type="expression" dxfId="17396" priority="3291">
      <formula>#REF!="L"</formula>
    </cfRule>
    <cfRule type="expression" dxfId="17395" priority="3286">
      <formula>#REF!="TO"</formula>
    </cfRule>
    <cfRule type="expression" dxfId="17394" priority="3287">
      <formula>#REF!="IO"</formula>
    </cfRule>
    <cfRule type="expression" dxfId="17393" priority="3288">
      <formula>#REF!="L"</formula>
    </cfRule>
    <cfRule type="expression" dxfId="17392" priority="3283">
      <formula>#REF!="TO"</formula>
    </cfRule>
    <cfRule type="expression" dxfId="17391" priority="3284">
      <formula>#REF!="IO"</formula>
    </cfRule>
    <cfRule type="expression" dxfId="17390" priority="3285">
      <formula>#REF!="L"</formula>
    </cfRule>
  </conditionalFormatting>
  <conditionalFormatting sqref="BH30 BD30:BE30">
    <cfRule type="expression" dxfId="17389" priority="3424">
      <formula>#REF!="TO"</formula>
    </cfRule>
    <cfRule type="expression" dxfId="17388" priority="3425">
      <formula>#REF!="IO"</formula>
    </cfRule>
    <cfRule type="expression" dxfId="17387" priority="3426">
      <formula>#REF!="L"</formula>
    </cfRule>
  </conditionalFormatting>
  <conditionalFormatting sqref="BC32:BE32">
    <cfRule type="expression" dxfId="17386" priority="3037">
      <formula>#REF!="TO"</formula>
    </cfRule>
    <cfRule type="expression" dxfId="17385" priority="3038">
      <formula>#REF!="IO"</formula>
    </cfRule>
    <cfRule type="expression" dxfId="17384" priority="3039">
      <formula>#REF!="L"</formula>
    </cfRule>
    <cfRule type="expression" dxfId="17383" priority="3118">
      <formula>#REF!="TO"</formula>
    </cfRule>
    <cfRule type="expression" dxfId="17382" priority="3119">
      <formula>#REF!="IO"</formula>
    </cfRule>
    <cfRule type="expression" dxfId="17381" priority="3120">
      <formula>#REF!="L"</formula>
    </cfRule>
    <cfRule type="expression" dxfId="17380" priority="3097">
      <formula>#REF!="TO"</formula>
    </cfRule>
    <cfRule type="expression" dxfId="17379" priority="3098">
      <formula>#REF!="IO"</formula>
    </cfRule>
    <cfRule type="expression" dxfId="17378" priority="3099">
      <formula>#REF!="L"</formula>
    </cfRule>
    <cfRule type="expression" dxfId="17377" priority="3055">
      <formula>#REF!="TO"</formula>
    </cfRule>
    <cfRule type="expression" dxfId="17376" priority="3056">
      <formula>#REF!="IO"</formula>
    </cfRule>
    <cfRule type="expression" dxfId="17375" priority="3057">
      <formula>#REF!="L"</formula>
    </cfRule>
  </conditionalFormatting>
  <conditionalFormatting sqref="BK30">
    <cfRule type="expression" dxfId="17374" priority="3433">
      <formula>#REF!="TO"</formula>
    </cfRule>
    <cfRule type="expression" dxfId="17373" priority="3434">
      <formula>#REF!="IO"</formula>
    </cfRule>
    <cfRule type="expression" dxfId="17372" priority="3435">
      <formula>#REF!="L"</formula>
    </cfRule>
    <cfRule type="expression" dxfId="17371" priority="3370">
      <formula>#REF!="TO"</formula>
    </cfRule>
    <cfRule type="expression" dxfId="17370" priority="3371">
      <formula>#REF!="IO"</formula>
    </cfRule>
    <cfRule type="expression" dxfId="17369" priority="3372">
      <formula>#REF!="L"</formula>
    </cfRule>
  </conditionalFormatting>
  <conditionalFormatting sqref="BD30:BE30">
    <cfRule type="expression" dxfId="17368" priority="3421">
      <formula>#REF!="TO"</formula>
    </cfRule>
    <cfRule type="expression" dxfId="17367" priority="3422">
      <formula>#REF!="IO"</formula>
    </cfRule>
    <cfRule type="expression" dxfId="17366" priority="3423">
      <formula>#REF!="L"</formula>
    </cfRule>
    <cfRule type="expression" dxfId="17365" priority="3361">
      <formula>#REF!="TO"</formula>
    </cfRule>
    <cfRule type="expression" dxfId="17364" priority="3362">
      <formula>#REF!="IO"</formula>
    </cfRule>
    <cfRule type="expression" dxfId="17363" priority="3363">
      <formula>#REF!="L"</formula>
    </cfRule>
  </conditionalFormatting>
  <conditionalFormatting sqref="BO30">
    <cfRule type="expression" dxfId="17362" priority="3403">
      <formula>#REF!="TO"</formula>
    </cfRule>
    <cfRule type="expression" dxfId="17361" priority="3404">
      <formula>#REF!="IO"</formula>
    </cfRule>
    <cfRule type="expression" dxfId="17360" priority="3405">
      <formula>#REF!="L"</formula>
    </cfRule>
    <cfRule type="expression" dxfId="17359" priority="3406">
      <formula>AT30="TO"</formula>
    </cfRule>
    <cfRule type="expression" dxfId="17358" priority="3407">
      <formula>AT30="IO"</formula>
    </cfRule>
    <cfRule type="expression" dxfId="17357" priority="3408">
      <formula>AT30="L"</formula>
    </cfRule>
    <cfRule type="expression" dxfId="17356" priority="3343">
      <formula>#REF!="TO"</formula>
    </cfRule>
    <cfRule type="expression" dxfId="17355" priority="3344">
      <formula>#REF!="IO"</formula>
    </cfRule>
    <cfRule type="expression" dxfId="17354" priority="3345">
      <formula>#REF!="L"</formula>
    </cfRule>
    <cfRule type="expression" dxfId="17353" priority="3346">
      <formula>AT30="TO"</formula>
    </cfRule>
    <cfRule type="expression" dxfId="17352" priority="3347">
      <formula>AT30="IO"</formula>
    </cfRule>
    <cfRule type="expression" dxfId="17351" priority="3348">
      <formula>AT30="L"</formula>
    </cfRule>
  </conditionalFormatting>
  <conditionalFormatting sqref="BB30">
    <cfRule type="expression" dxfId="17350" priority="3400">
      <formula>#REF!="TO"</formula>
    </cfRule>
    <cfRule type="expression" dxfId="17349" priority="3401">
      <formula>#REF!="IO"</formula>
    </cfRule>
    <cfRule type="expression" dxfId="17348" priority="3402">
      <formula>#REF!="L"</formula>
    </cfRule>
    <cfRule type="expression" dxfId="17347" priority="3340">
      <formula>#REF!="TO"</formula>
    </cfRule>
    <cfRule type="expression" dxfId="17346" priority="3341">
      <formula>#REF!="IO"</formula>
    </cfRule>
    <cfRule type="expression" dxfId="17345" priority="3342">
      <formula>#REF!="L"</formula>
    </cfRule>
  </conditionalFormatting>
  <conditionalFormatting sqref="BG30">
    <cfRule type="expression" dxfId="17344" priority="3394">
      <formula>#REF!="TO"</formula>
    </cfRule>
    <cfRule type="expression" dxfId="17343" priority="3395">
      <formula>#REF!="IO"</formula>
    </cfRule>
    <cfRule type="expression" dxfId="17342" priority="3396">
      <formula>#REF!="L"</formula>
    </cfRule>
    <cfRule type="expression" dxfId="17341" priority="3334">
      <formula>#REF!="TO"</formula>
    </cfRule>
    <cfRule type="expression" dxfId="17340" priority="3335">
      <formula>#REF!="IO"</formula>
    </cfRule>
    <cfRule type="expression" dxfId="17339" priority="3336">
      <formula>#REF!="L"</formula>
    </cfRule>
  </conditionalFormatting>
  <conditionalFormatting sqref="BS32">
    <cfRule type="expression" dxfId="17338" priority="2974">
      <formula>#REF!="TO"</formula>
    </cfRule>
    <cfRule type="expression" dxfId="17337" priority="2975">
      <formula>#REF!="IO"</formula>
    </cfRule>
    <cfRule type="expression" dxfId="17336" priority="2976">
      <formula>#REF!="L"</formula>
    </cfRule>
    <cfRule type="expression" dxfId="17335" priority="2971">
      <formula>#REF!="TO"</formula>
    </cfRule>
    <cfRule type="expression" dxfId="17334" priority="2972">
      <formula>#REF!="IO"</formula>
    </cfRule>
    <cfRule type="expression" dxfId="17333" priority="2973">
      <formula>#REF!="L"</formula>
    </cfRule>
    <cfRule type="expression" dxfId="17332" priority="2968">
      <formula>#REF!="TO"</formula>
    </cfRule>
    <cfRule type="expression" dxfId="17331" priority="2969">
      <formula>#REF!="IO"</formula>
    </cfRule>
    <cfRule type="expression" dxfId="17330" priority="2970">
      <formula>#REF!="L"</formula>
    </cfRule>
    <cfRule type="expression" dxfId="17329" priority="2965">
      <formula>#REF!="TO"</formula>
    </cfRule>
    <cfRule type="expression" dxfId="17328" priority="2966">
      <formula>#REF!="IO"</formula>
    </cfRule>
    <cfRule type="expression" dxfId="17327" priority="2967">
      <formula>#REF!="L"</formula>
    </cfRule>
  </conditionalFormatting>
  <conditionalFormatting sqref="BI30">
    <cfRule type="expression" dxfId="17326" priority="3304">
      <formula>#REF!="TO"</formula>
    </cfRule>
    <cfRule type="expression" dxfId="17325" priority="3305">
      <formula>#REF!="IO"</formula>
    </cfRule>
    <cfRule type="expression" dxfId="17324" priority="3306">
      <formula>#REF!="L"</formula>
    </cfRule>
    <cfRule type="expression" dxfId="17323" priority="3301">
      <formula>#REF!="TO"</formula>
    </cfRule>
    <cfRule type="expression" dxfId="17322" priority="3302">
      <formula>#REF!="IO"</formula>
    </cfRule>
    <cfRule type="expression" dxfId="17321" priority="3303">
      <formula>#REF!="L"</formula>
    </cfRule>
    <cfRule type="expression" dxfId="17320" priority="3298">
      <formula>#REF!="TO"</formula>
    </cfRule>
    <cfRule type="expression" dxfId="17319" priority="3299">
      <formula>#REF!="IO"</formula>
    </cfRule>
    <cfRule type="expression" dxfId="17318" priority="3300">
      <formula>#REF!="L"</formula>
    </cfRule>
    <cfRule type="expression" dxfId="17317" priority="3295">
      <formula>#REF!="TO"</formula>
    </cfRule>
    <cfRule type="expression" dxfId="17316" priority="3296">
      <formula>#REF!="IO"</formula>
    </cfRule>
    <cfRule type="expression" dxfId="17315" priority="3297">
      <formula>#REF!="L"</formula>
    </cfRule>
  </conditionalFormatting>
  <conditionalFormatting sqref="BH31">
    <cfRule type="expression" dxfId="17314" priority="3199">
      <formula>#REF!="TO"</formula>
    </cfRule>
    <cfRule type="expression" dxfId="17313" priority="3200">
      <formula>#REF!="IO"</formula>
    </cfRule>
    <cfRule type="expression" dxfId="17312" priority="3201">
      <formula>#REF!="L"</formula>
    </cfRule>
    <cfRule type="expression" dxfId="17311" priority="3259">
      <formula>#REF!="TO"</formula>
    </cfRule>
    <cfRule type="expression" dxfId="17310" priority="3260">
      <formula>#REF!="IO"</formula>
    </cfRule>
    <cfRule type="expression" dxfId="17309" priority="3261">
      <formula>#REF!="L"</formula>
    </cfRule>
  </conditionalFormatting>
  <conditionalFormatting sqref="BJ31">
    <cfRule type="expression" dxfId="17308" priority="3157">
      <formula>#REF!="TO"</formula>
    </cfRule>
    <cfRule type="expression" dxfId="17307" priority="3158">
      <formula>#REF!="IO"</formula>
    </cfRule>
    <cfRule type="expression" dxfId="17306" priority="3159">
      <formula>#REF!="L"</formula>
    </cfRule>
    <cfRule type="expression" dxfId="17305" priority="3154">
      <formula>#REF!="TO"</formula>
    </cfRule>
    <cfRule type="expression" dxfId="17304" priority="3155">
      <formula>#REF!="IO"</formula>
    </cfRule>
    <cfRule type="expression" dxfId="17303" priority="3156">
      <formula>#REF!="L"</formula>
    </cfRule>
    <cfRule type="expression" dxfId="17302" priority="3151">
      <formula>#REF!="TO"</formula>
    </cfRule>
    <cfRule type="expression" dxfId="17301" priority="3152">
      <formula>#REF!="IO"</formula>
    </cfRule>
    <cfRule type="expression" dxfId="17300" priority="3153">
      <formula>#REF!="L"</formula>
    </cfRule>
    <cfRule type="expression" dxfId="17299" priority="3148">
      <formula>#REF!="TO"</formula>
    </cfRule>
    <cfRule type="expression" dxfId="17298" priority="3149">
      <formula>#REF!="IO"</formula>
    </cfRule>
    <cfRule type="expression" dxfId="17297" priority="3150">
      <formula>#REF!="L"</formula>
    </cfRule>
  </conditionalFormatting>
  <conditionalFormatting sqref="BC31:BE31">
    <cfRule type="expression" dxfId="17296" priority="3196">
      <formula>#REF!="TO"</formula>
    </cfRule>
    <cfRule type="expression" dxfId="17295" priority="3197">
      <formula>#REF!="IO"</formula>
    </cfRule>
    <cfRule type="expression" dxfId="17294" priority="3198">
      <formula>#REF!="L"</formula>
    </cfRule>
    <cfRule type="expression" dxfId="17293" priority="3277">
      <formula>#REF!="TO"</formula>
    </cfRule>
    <cfRule type="expression" dxfId="17292" priority="3278">
      <formula>#REF!="IO"</formula>
    </cfRule>
    <cfRule type="expression" dxfId="17291" priority="3279">
      <formula>#REF!="L"</formula>
    </cfRule>
    <cfRule type="expression" dxfId="17290" priority="3256">
      <formula>#REF!="TO"</formula>
    </cfRule>
    <cfRule type="expression" dxfId="17289" priority="3257">
      <formula>#REF!="IO"</formula>
    </cfRule>
    <cfRule type="expression" dxfId="17288" priority="3258">
      <formula>#REF!="L"</formula>
    </cfRule>
    <cfRule type="expression" dxfId="17287" priority="3214">
      <formula>#REF!="TO"</formula>
    </cfRule>
    <cfRule type="expression" dxfId="17286" priority="3215">
      <formula>#REF!="IO"</formula>
    </cfRule>
    <cfRule type="expression" dxfId="17285" priority="3216">
      <formula>#REF!="L"</formula>
    </cfRule>
  </conditionalFormatting>
  <conditionalFormatting sqref="BM31">
    <cfRule type="expression" dxfId="17284" priority="3193">
      <formula>#REF!="TO"</formula>
    </cfRule>
    <cfRule type="expression" dxfId="17283" priority="3194">
      <formula>#REF!="IO"</formula>
    </cfRule>
    <cfRule type="expression" dxfId="17282" priority="3195">
      <formula>#REF!="L"</formula>
    </cfRule>
    <cfRule type="expression" dxfId="17281" priority="3271">
      <formula>#REF!="TO"</formula>
    </cfRule>
    <cfRule type="expression" dxfId="17280" priority="3272">
      <formula>#REF!="IO"</formula>
    </cfRule>
    <cfRule type="expression" dxfId="17279" priority="3273">
      <formula>#REF!="L"</formula>
    </cfRule>
    <cfRule type="expression" dxfId="17278" priority="3253">
      <formula>#REF!="TO"</formula>
    </cfRule>
    <cfRule type="expression" dxfId="17277" priority="3254">
      <formula>#REF!="IO"</formula>
    </cfRule>
    <cfRule type="expression" dxfId="17276" priority="3255">
      <formula>#REF!="L"</formula>
    </cfRule>
    <cfRule type="expression" dxfId="17275" priority="3208">
      <formula>#REF!="TO"</formula>
    </cfRule>
    <cfRule type="expression" dxfId="17274" priority="3209">
      <formula>#REF!="IO"</formula>
    </cfRule>
    <cfRule type="expression" dxfId="17273" priority="3210">
      <formula>#REF!="L"</formula>
    </cfRule>
  </conditionalFormatting>
  <conditionalFormatting sqref="BN31">
    <cfRule type="expression" dxfId="17272" priority="3190">
      <formula>#REF!="TO"</formula>
    </cfRule>
    <cfRule type="expression" dxfId="17271" priority="3191">
      <formula>#REF!="IO"</formula>
    </cfRule>
    <cfRule type="expression" dxfId="17270" priority="3192">
      <formula>#REF!="L"</formula>
    </cfRule>
    <cfRule type="expression" dxfId="17269" priority="3268">
      <formula>#REF!="TO"</formula>
    </cfRule>
    <cfRule type="expression" dxfId="17268" priority="3269">
      <formula>#REF!="IO"</formula>
    </cfRule>
    <cfRule type="expression" dxfId="17267" priority="3270">
      <formula>#REF!="L"</formula>
    </cfRule>
    <cfRule type="expression" dxfId="17266" priority="3250">
      <formula>#REF!="TO"</formula>
    </cfRule>
    <cfRule type="expression" dxfId="17265" priority="3251">
      <formula>#REF!="IO"</formula>
    </cfRule>
    <cfRule type="expression" dxfId="17264" priority="3252">
      <formula>#REF!="L"</formula>
    </cfRule>
    <cfRule type="expression" dxfId="17263" priority="3205">
      <formula>#REF!="TO"</formula>
    </cfRule>
    <cfRule type="expression" dxfId="17262" priority="3206">
      <formula>#REF!="IO"</formula>
    </cfRule>
    <cfRule type="expression" dxfId="17261" priority="3207">
      <formula>#REF!="L"</formula>
    </cfRule>
  </conditionalFormatting>
  <conditionalFormatting sqref="BF31">
    <cfRule type="expression" dxfId="17260" priority="3178">
      <formula>#REF!="TO"</formula>
    </cfRule>
    <cfRule type="expression" dxfId="17259" priority="3179">
      <formula>#REF!="IO"</formula>
    </cfRule>
    <cfRule type="expression" dxfId="17258" priority="3180">
      <formula>#REF!="L"</formula>
    </cfRule>
    <cfRule type="expression" dxfId="17257" priority="3238">
      <formula>#REF!="TO"</formula>
    </cfRule>
    <cfRule type="expression" dxfId="17256" priority="3239">
      <formula>#REF!="IO"</formula>
    </cfRule>
    <cfRule type="expression" dxfId="17255" priority="3240">
      <formula>#REF!="L"</formula>
    </cfRule>
  </conditionalFormatting>
  <conditionalFormatting sqref="BE31">
    <cfRule type="expression" dxfId="17254" priority="3172">
      <formula>#REF!="TO"</formula>
    </cfRule>
    <cfRule type="expression" dxfId="17253" priority="3173">
      <formula>#REF!="IO"</formula>
    </cfRule>
    <cfRule type="expression" dxfId="17252" priority="3174">
      <formula>#REF!="L"</formula>
    </cfRule>
    <cfRule type="expression" dxfId="17251" priority="3232">
      <formula>#REF!="TO"</formula>
    </cfRule>
    <cfRule type="expression" dxfId="17250" priority="3233">
      <formula>#REF!="IO"</formula>
    </cfRule>
    <cfRule type="expression" dxfId="17249" priority="3234">
      <formula>#REF!="L"</formula>
    </cfRule>
  </conditionalFormatting>
  <conditionalFormatting sqref="BP31">
    <cfRule type="expression" dxfId="17248" priority="3169">
      <formula>#REF!="TO"</formula>
    </cfRule>
    <cfRule type="expression" dxfId="17247" priority="3170">
      <formula>#REF!="IO"</formula>
    </cfRule>
    <cfRule type="expression" dxfId="17246" priority="3171">
      <formula>#REF!="L"</formula>
    </cfRule>
    <cfRule type="expression" dxfId="17245" priority="3166">
      <formula>#REF!="TO"</formula>
    </cfRule>
    <cfRule type="expression" dxfId="17244" priority="3167">
      <formula>#REF!="IO"</formula>
    </cfRule>
    <cfRule type="expression" dxfId="17243" priority="3168">
      <formula>#REF!="L"</formula>
    </cfRule>
    <cfRule type="expression" dxfId="17242" priority="3226">
      <formula>#REF!="TO"</formula>
    </cfRule>
    <cfRule type="expression" dxfId="17241" priority="3227">
      <formula>#REF!="IO"</formula>
    </cfRule>
    <cfRule type="expression" dxfId="17240" priority="3228">
      <formula>#REF!="L"</formula>
    </cfRule>
    <cfRule type="expression" dxfId="17239" priority="3229">
      <formula>#REF!="TO"</formula>
    </cfRule>
    <cfRule type="expression" dxfId="17238" priority="3230">
      <formula>#REF!="IO"</formula>
    </cfRule>
    <cfRule type="expression" dxfId="17237" priority="3231">
      <formula>#REF!="L"</formula>
    </cfRule>
  </conditionalFormatting>
  <conditionalFormatting sqref="BQ31:BS31">
    <cfRule type="expression" dxfId="17236" priority="3163">
      <formula>#REF!="TO"</formula>
    </cfRule>
    <cfRule type="expression" dxfId="17235" priority="3164">
      <formula>#REF!="IO"</formula>
    </cfRule>
    <cfRule type="expression" dxfId="17234" priority="3165">
      <formula>#REF!="L"</formula>
    </cfRule>
    <cfRule type="expression" dxfId="17233" priority="3160">
      <formula>#REF!="TO"</formula>
    </cfRule>
    <cfRule type="expression" dxfId="17232" priority="3161">
      <formula>#REF!="IO"</formula>
    </cfRule>
    <cfRule type="expression" dxfId="17231" priority="3162">
      <formula>#REF!="L"</formula>
    </cfRule>
    <cfRule type="expression" dxfId="17230" priority="3223">
      <formula>#REF!="TO"</formula>
    </cfRule>
    <cfRule type="expression" dxfId="17229" priority="3224">
      <formula>#REF!="IO"</formula>
    </cfRule>
    <cfRule type="expression" dxfId="17228" priority="3225">
      <formula>#REF!="L"</formula>
    </cfRule>
    <cfRule type="expression" dxfId="17227" priority="3220">
      <formula>#REF!="TO"</formula>
    </cfRule>
    <cfRule type="expression" dxfId="17226" priority="3221">
      <formula>#REF!="IO"</formula>
    </cfRule>
    <cfRule type="expression" dxfId="17225" priority="3222">
      <formula>#REF!="L"</formula>
    </cfRule>
  </conditionalFormatting>
  <conditionalFormatting sqref="BS31">
    <cfRule type="expression" dxfId="17224" priority="3133">
      <formula>#REF!="TO"</formula>
    </cfRule>
    <cfRule type="expression" dxfId="17223" priority="3134">
      <formula>#REF!="IO"</formula>
    </cfRule>
    <cfRule type="expression" dxfId="17222" priority="3135">
      <formula>#REF!="L"</formula>
    </cfRule>
    <cfRule type="expression" dxfId="17221" priority="3130">
      <formula>#REF!="TO"</formula>
    </cfRule>
    <cfRule type="expression" dxfId="17220" priority="3131">
      <formula>#REF!="IO"</formula>
    </cfRule>
    <cfRule type="expression" dxfId="17219" priority="3132">
      <formula>#REF!="L"</formula>
    </cfRule>
    <cfRule type="expression" dxfId="17218" priority="3127">
      <formula>#REF!="TO"</formula>
    </cfRule>
    <cfRule type="expression" dxfId="17217" priority="3128">
      <formula>#REF!="IO"</formula>
    </cfRule>
    <cfRule type="expression" dxfId="17216" priority="3129">
      <formula>#REF!="L"</formula>
    </cfRule>
    <cfRule type="expression" dxfId="17215" priority="3124">
      <formula>#REF!="TO"</formula>
    </cfRule>
    <cfRule type="expression" dxfId="17214" priority="3125">
      <formula>#REF!="IO"</formula>
    </cfRule>
    <cfRule type="expression" dxfId="17213" priority="3126">
      <formula>#REF!="L"</formula>
    </cfRule>
  </conditionalFormatting>
  <conditionalFormatting sqref="BH31 BD31:BE31">
    <cfRule type="expression" dxfId="17212" priority="3265">
      <formula>#REF!="TO"</formula>
    </cfRule>
    <cfRule type="expression" dxfId="17211" priority="3266">
      <formula>#REF!="IO"</formula>
    </cfRule>
    <cfRule type="expression" dxfId="17210" priority="3267">
      <formula>#REF!="L"</formula>
    </cfRule>
  </conditionalFormatting>
  <conditionalFormatting sqref="BC33:BE33">
    <cfRule type="expression" dxfId="17209" priority="2878">
      <formula>#REF!="TO"</formula>
    </cfRule>
    <cfRule type="expression" dxfId="17208" priority="2879">
      <formula>#REF!="IO"</formula>
    </cfRule>
    <cfRule type="expression" dxfId="17207" priority="2880">
      <formula>#REF!="L"</formula>
    </cfRule>
    <cfRule type="expression" dxfId="17206" priority="2815">
      <formula>#REF!="TO"</formula>
    </cfRule>
    <cfRule type="expression" dxfId="17205" priority="2816">
      <formula>#REF!="IO"</formula>
    </cfRule>
    <cfRule type="expression" dxfId="17204" priority="2817">
      <formula>#REF!="L"</formula>
    </cfRule>
    <cfRule type="expression" dxfId="17203" priority="2857">
      <formula>#REF!="TO"</formula>
    </cfRule>
    <cfRule type="expression" dxfId="17202" priority="2858">
      <formula>#REF!="IO"</formula>
    </cfRule>
    <cfRule type="expression" dxfId="17201" priority="2859">
      <formula>#REF!="L"</formula>
    </cfRule>
    <cfRule type="expression" dxfId="17200" priority="2797">
      <formula>#REF!="TO"</formula>
    </cfRule>
    <cfRule type="expression" dxfId="17199" priority="2798">
      <formula>#REF!="IO"</formula>
    </cfRule>
    <cfRule type="expression" dxfId="17198" priority="2799">
      <formula>#REF!="L"</formula>
    </cfRule>
  </conditionalFormatting>
  <conditionalFormatting sqref="BK31">
    <cfRule type="expression" dxfId="17197" priority="3274">
      <formula>#REF!="TO"</formula>
    </cfRule>
    <cfRule type="expression" dxfId="17196" priority="3275">
      <formula>#REF!="IO"</formula>
    </cfRule>
    <cfRule type="expression" dxfId="17195" priority="3276">
      <formula>#REF!="L"</formula>
    </cfRule>
    <cfRule type="expression" dxfId="17194" priority="3211">
      <formula>#REF!="TO"</formula>
    </cfRule>
    <cfRule type="expression" dxfId="17193" priority="3212">
      <formula>#REF!="IO"</formula>
    </cfRule>
    <cfRule type="expression" dxfId="17192" priority="3213">
      <formula>#REF!="L"</formula>
    </cfRule>
  </conditionalFormatting>
  <conditionalFormatting sqref="BD31:BE31">
    <cfRule type="expression" dxfId="17191" priority="3262">
      <formula>#REF!="TO"</formula>
    </cfRule>
    <cfRule type="expression" dxfId="17190" priority="3263">
      <formula>#REF!="IO"</formula>
    </cfRule>
    <cfRule type="expression" dxfId="17189" priority="3264">
      <formula>#REF!="L"</formula>
    </cfRule>
    <cfRule type="expression" dxfId="17188" priority="3202">
      <formula>#REF!="TO"</formula>
    </cfRule>
    <cfRule type="expression" dxfId="17187" priority="3203">
      <formula>#REF!="IO"</formula>
    </cfRule>
    <cfRule type="expression" dxfId="17186" priority="3204">
      <formula>#REF!="L"</formula>
    </cfRule>
  </conditionalFormatting>
  <conditionalFormatting sqref="BO31">
    <cfRule type="expression" dxfId="17185" priority="3244">
      <formula>#REF!="TO"</formula>
    </cfRule>
    <cfRule type="expression" dxfId="17184" priority="3245">
      <formula>#REF!="IO"</formula>
    </cfRule>
    <cfRule type="expression" dxfId="17183" priority="3246">
      <formula>#REF!="L"</formula>
    </cfRule>
    <cfRule type="expression" dxfId="17182" priority="3247">
      <formula>AT31="TO"</formula>
    </cfRule>
    <cfRule type="expression" dxfId="17181" priority="3248">
      <formula>AT31="IO"</formula>
    </cfRule>
    <cfRule type="expression" dxfId="17180" priority="3249">
      <formula>AT31="L"</formula>
    </cfRule>
    <cfRule type="expression" dxfId="17179" priority="3184">
      <formula>#REF!="TO"</formula>
    </cfRule>
    <cfRule type="expression" dxfId="17178" priority="3185">
      <formula>#REF!="IO"</formula>
    </cfRule>
    <cfRule type="expression" dxfId="17177" priority="3186">
      <formula>#REF!="L"</formula>
    </cfRule>
    <cfRule type="expression" dxfId="17176" priority="3187">
      <formula>AT31="TO"</formula>
    </cfRule>
    <cfRule type="expression" dxfId="17175" priority="3188">
      <formula>AT31="IO"</formula>
    </cfRule>
    <cfRule type="expression" dxfId="17174" priority="3189">
      <formula>AT31="L"</formula>
    </cfRule>
  </conditionalFormatting>
  <conditionalFormatting sqref="BB31">
    <cfRule type="expression" dxfId="17173" priority="3241">
      <formula>#REF!="TO"</formula>
    </cfRule>
    <cfRule type="expression" dxfId="17172" priority="3242">
      <formula>#REF!="IO"</formula>
    </cfRule>
    <cfRule type="expression" dxfId="17171" priority="3243">
      <formula>#REF!="L"</formula>
    </cfRule>
    <cfRule type="expression" dxfId="17170" priority="3181">
      <formula>#REF!="TO"</formula>
    </cfRule>
    <cfRule type="expression" dxfId="17169" priority="3182">
      <formula>#REF!="IO"</formula>
    </cfRule>
    <cfRule type="expression" dxfId="17168" priority="3183">
      <formula>#REF!="L"</formula>
    </cfRule>
  </conditionalFormatting>
  <conditionalFormatting sqref="BG31">
    <cfRule type="expression" dxfId="17167" priority="3235">
      <formula>#REF!="TO"</formula>
    </cfRule>
    <cfRule type="expression" dxfId="17166" priority="3236">
      <formula>#REF!="IO"</formula>
    </cfRule>
    <cfRule type="expression" dxfId="17165" priority="3237">
      <formula>#REF!="L"</formula>
    </cfRule>
    <cfRule type="expression" dxfId="17164" priority="3175">
      <formula>#REF!="TO"</formula>
    </cfRule>
    <cfRule type="expression" dxfId="17163" priority="3176">
      <formula>#REF!="IO"</formula>
    </cfRule>
    <cfRule type="expression" dxfId="17162" priority="3177">
      <formula>#REF!="L"</formula>
    </cfRule>
  </conditionalFormatting>
  <conditionalFormatting sqref="BI31">
    <cfRule type="expression" dxfId="17161" priority="3145">
      <formula>#REF!="TO"</formula>
    </cfRule>
    <cfRule type="expression" dxfId="17160" priority="3146">
      <formula>#REF!="IO"</formula>
    </cfRule>
    <cfRule type="expression" dxfId="17159" priority="3147">
      <formula>#REF!="L"</formula>
    </cfRule>
    <cfRule type="expression" dxfId="17158" priority="3142">
      <formula>#REF!="TO"</formula>
    </cfRule>
    <cfRule type="expression" dxfId="17157" priority="3143">
      <formula>#REF!="IO"</formula>
    </cfRule>
    <cfRule type="expression" dxfId="17156" priority="3144">
      <formula>#REF!="L"</formula>
    </cfRule>
    <cfRule type="expression" dxfId="17155" priority="3139">
      <formula>#REF!="TO"</formula>
    </cfRule>
    <cfRule type="expression" dxfId="17154" priority="3140">
      <formula>#REF!="IO"</formula>
    </cfRule>
    <cfRule type="expression" dxfId="17153" priority="3141">
      <formula>#REF!="L"</formula>
    </cfRule>
    <cfRule type="expression" dxfId="17152" priority="3136">
      <formula>#REF!="TO"</formula>
    </cfRule>
    <cfRule type="expression" dxfId="17151" priority="3137">
      <formula>#REF!="IO"</formula>
    </cfRule>
    <cfRule type="expression" dxfId="17150" priority="3138">
      <formula>#REF!="L"</formula>
    </cfRule>
  </conditionalFormatting>
  <conditionalFormatting sqref="BJ32">
    <cfRule type="expression" dxfId="17149" priority="2998">
      <formula>#REF!="TO"</formula>
    </cfRule>
    <cfRule type="expression" dxfId="17148" priority="2999">
      <formula>#REF!="IO"</formula>
    </cfRule>
    <cfRule type="expression" dxfId="17147" priority="3000">
      <formula>#REF!="L"</formula>
    </cfRule>
    <cfRule type="expression" dxfId="17146" priority="2995">
      <formula>#REF!="TO"</formula>
    </cfRule>
    <cfRule type="expression" dxfId="17145" priority="2996">
      <formula>#REF!="IO"</formula>
    </cfRule>
    <cfRule type="expression" dxfId="17144" priority="2997">
      <formula>#REF!="L"</formula>
    </cfRule>
    <cfRule type="expression" dxfId="17143" priority="2992">
      <formula>#REF!="TO"</formula>
    </cfRule>
    <cfRule type="expression" dxfId="17142" priority="2993">
      <formula>#REF!="IO"</formula>
    </cfRule>
    <cfRule type="expression" dxfId="17141" priority="2994">
      <formula>#REF!="L"</formula>
    </cfRule>
    <cfRule type="expression" dxfId="17140" priority="2989">
      <formula>#REF!="TO"</formula>
    </cfRule>
    <cfRule type="expression" dxfId="17139" priority="2990">
      <formula>#REF!="IO"</formula>
    </cfRule>
    <cfRule type="expression" dxfId="17138" priority="2991">
      <formula>#REF!="L"</formula>
    </cfRule>
  </conditionalFormatting>
  <conditionalFormatting sqref="BM32">
    <cfRule type="expression" dxfId="17137" priority="3034">
      <formula>#REF!="TO"</formula>
    </cfRule>
    <cfRule type="expression" dxfId="17136" priority="3035">
      <formula>#REF!="IO"</formula>
    </cfRule>
    <cfRule type="expression" dxfId="17135" priority="3036">
      <formula>#REF!="L"</formula>
    </cfRule>
    <cfRule type="expression" dxfId="17134" priority="3112">
      <formula>#REF!="TO"</formula>
    </cfRule>
    <cfRule type="expression" dxfId="17133" priority="3113">
      <formula>#REF!="IO"</formula>
    </cfRule>
    <cfRule type="expression" dxfId="17132" priority="3114">
      <formula>#REF!="L"</formula>
    </cfRule>
    <cfRule type="expression" dxfId="17131" priority="3094">
      <formula>#REF!="TO"</formula>
    </cfRule>
    <cfRule type="expression" dxfId="17130" priority="3095">
      <formula>#REF!="IO"</formula>
    </cfRule>
    <cfRule type="expression" dxfId="17129" priority="3096">
      <formula>#REF!="L"</formula>
    </cfRule>
    <cfRule type="expression" dxfId="17128" priority="3049">
      <formula>#REF!="TO"</formula>
    </cfRule>
    <cfRule type="expression" dxfId="17127" priority="3050">
      <formula>#REF!="IO"</formula>
    </cfRule>
    <cfRule type="expression" dxfId="17126" priority="3051">
      <formula>#REF!="L"</formula>
    </cfRule>
  </conditionalFormatting>
  <conditionalFormatting sqref="BN32">
    <cfRule type="expression" dxfId="17125" priority="3031">
      <formula>#REF!="TO"</formula>
    </cfRule>
    <cfRule type="expression" dxfId="17124" priority="3032">
      <formula>#REF!="IO"</formula>
    </cfRule>
    <cfRule type="expression" dxfId="17123" priority="3033">
      <formula>#REF!="L"</formula>
    </cfRule>
    <cfRule type="expression" dxfId="17122" priority="3109">
      <formula>#REF!="TO"</formula>
    </cfRule>
    <cfRule type="expression" dxfId="17121" priority="3110">
      <formula>#REF!="IO"</formula>
    </cfRule>
    <cfRule type="expression" dxfId="17120" priority="3111">
      <formula>#REF!="L"</formula>
    </cfRule>
    <cfRule type="expression" dxfId="17119" priority="3091">
      <formula>#REF!="TO"</formula>
    </cfRule>
    <cfRule type="expression" dxfId="17118" priority="3092">
      <formula>#REF!="IO"</formula>
    </cfRule>
    <cfRule type="expression" dxfId="17117" priority="3093">
      <formula>#REF!="L"</formula>
    </cfRule>
    <cfRule type="expression" dxfId="17116" priority="3046">
      <formula>#REF!="TO"</formula>
    </cfRule>
    <cfRule type="expression" dxfId="17115" priority="3047">
      <formula>#REF!="IO"</formula>
    </cfRule>
    <cfRule type="expression" dxfId="17114" priority="3048">
      <formula>#REF!="L"</formula>
    </cfRule>
  </conditionalFormatting>
  <conditionalFormatting sqref="BF32">
    <cfRule type="expression" dxfId="17113" priority="3019">
      <formula>#REF!="TO"</formula>
    </cfRule>
    <cfRule type="expression" dxfId="17112" priority="3020">
      <formula>#REF!="IO"</formula>
    </cfRule>
    <cfRule type="expression" dxfId="17111" priority="3021">
      <formula>#REF!="L"</formula>
    </cfRule>
    <cfRule type="expression" dxfId="17110" priority="3079">
      <formula>#REF!="TO"</formula>
    </cfRule>
    <cfRule type="expression" dxfId="17109" priority="3080">
      <formula>#REF!="IO"</formula>
    </cfRule>
    <cfRule type="expression" dxfId="17108" priority="3081">
      <formula>#REF!="L"</formula>
    </cfRule>
  </conditionalFormatting>
  <conditionalFormatting sqref="BE32">
    <cfRule type="expression" dxfId="17107" priority="3013">
      <formula>#REF!="TO"</formula>
    </cfRule>
    <cfRule type="expression" dxfId="17106" priority="3014">
      <formula>#REF!="IO"</formula>
    </cfRule>
    <cfRule type="expression" dxfId="17105" priority="3015">
      <formula>#REF!="L"</formula>
    </cfRule>
    <cfRule type="expression" dxfId="17104" priority="3073">
      <formula>#REF!="TO"</formula>
    </cfRule>
    <cfRule type="expression" dxfId="17103" priority="3074">
      <formula>#REF!="IO"</formula>
    </cfRule>
    <cfRule type="expression" dxfId="17102" priority="3075">
      <formula>#REF!="L"</formula>
    </cfRule>
  </conditionalFormatting>
  <conditionalFormatting sqref="BP32">
    <cfRule type="expression" dxfId="17101" priority="3010">
      <formula>#REF!="TO"</formula>
    </cfRule>
    <cfRule type="expression" dxfId="17100" priority="3011">
      <formula>#REF!="IO"</formula>
    </cfRule>
    <cfRule type="expression" dxfId="17099" priority="3012">
      <formula>#REF!="L"</formula>
    </cfRule>
    <cfRule type="expression" dxfId="17098" priority="3007">
      <formula>#REF!="TO"</formula>
    </cfRule>
    <cfRule type="expression" dxfId="17097" priority="3008">
      <formula>#REF!="IO"</formula>
    </cfRule>
    <cfRule type="expression" dxfId="17096" priority="3009">
      <formula>#REF!="L"</formula>
    </cfRule>
    <cfRule type="expression" dxfId="17095" priority="3067">
      <formula>#REF!="TO"</formula>
    </cfRule>
    <cfRule type="expression" dxfId="17094" priority="3068">
      <formula>#REF!="IO"</formula>
    </cfRule>
    <cfRule type="expression" dxfId="17093" priority="3069">
      <formula>#REF!="L"</formula>
    </cfRule>
    <cfRule type="expression" dxfId="17092" priority="3070">
      <formula>#REF!="TO"</formula>
    </cfRule>
    <cfRule type="expression" dxfId="17091" priority="3071">
      <formula>#REF!="IO"</formula>
    </cfRule>
    <cfRule type="expression" dxfId="17090" priority="3072">
      <formula>#REF!="L"</formula>
    </cfRule>
  </conditionalFormatting>
  <conditionalFormatting sqref="BQ32:BS32">
    <cfRule type="expression" dxfId="17089" priority="3004">
      <formula>#REF!="TO"</formula>
    </cfRule>
    <cfRule type="expression" dxfId="17088" priority="3005">
      <formula>#REF!="IO"</formula>
    </cfRule>
    <cfRule type="expression" dxfId="17087" priority="3006">
      <formula>#REF!="L"</formula>
    </cfRule>
    <cfRule type="expression" dxfId="17086" priority="3001">
      <formula>#REF!="TO"</formula>
    </cfRule>
    <cfRule type="expression" dxfId="17085" priority="3002">
      <formula>#REF!="IO"</formula>
    </cfRule>
    <cfRule type="expression" dxfId="17084" priority="3003">
      <formula>#REF!="L"</formula>
    </cfRule>
    <cfRule type="expression" dxfId="17083" priority="3064">
      <formula>#REF!="TO"</formula>
    </cfRule>
    <cfRule type="expression" dxfId="17082" priority="3065">
      <formula>#REF!="IO"</formula>
    </cfRule>
    <cfRule type="expression" dxfId="17081" priority="3066">
      <formula>#REF!="L"</formula>
    </cfRule>
    <cfRule type="expression" dxfId="17080" priority="3061">
      <formula>#REF!="TO"</formula>
    </cfRule>
    <cfRule type="expression" dxfId="17079" priority="3062">
      <formula>#REF!="IO"</formula>
    </cfRule>
    <cfRule type="expression" dxfId="17078" priority="3063">
      <formula>#REF!="L"</formula>
    </cfRule>
  </conditionalFormatting>
  <conditionalFormatting sqref="BD32:BE32">
    <cfRule type="expression" dxfId="17077" priority="3043">
      <formula>#REF!="TO"</formula>
    </cfRule>
    <cfRule type="expression" dxfId="17076" priority="3044">
      <formula>#REF!="IO"</formula>
    </cfRule>
    <cfRule type="expression" dxfId="17075" priority="3045">
      <formula>#REF!="L"</formula>
    </cfRule>
    <cfRule type="expression" dxfId="17074" priority="3103">
      <formula>#REF!="TO"</formula>
    </cfRule>
    <cfRule type="expression" dxfId="17073" priority="3104">
      <formula>#REF!="IO"</formula>
    </cfRule>
    <cfRule type="expression" dxfId="17072" priority="3105">
      <formula>#REF!="L"</formula>
    </cfRule>
  </conditionalFormatting>
  <conditionalFormatting sqref="BH32 BD32:BE32">
    <cfRule type="expression" dxfId="17071" priority="3106">
      <formula>#REF!="TO"</formula>
    </cfRule>
    <cfRule type="expression" dxfId="17070" priority="3107">
      <formula>#REF!="IO"</formula>
    </cfRule>
    <cfRule type="expression" dxfId="17069" priority="3108">
      <formula>#REF!="L"</formula>
    </cfRule>
  </conditionalFormatting>
  <conditionalFormatting sqref="AV38:AV41 AV23:AV29">
    <cfRule type="expression" dxfId="17068" priority="2719">
      <formula>#REF!="TO"</formula>
    </cfRule>
    <cfRule type="expression" dxfId="17067" priority="2720">
      <formula>#REF!="IO"</formula>
    </cfRule>
    <cfRule type="expression" dxfId="17066" priority="2721">
      <formula>#REF!="L"</formula>
    </cfRule>
  </conditionalFormatting>
  <conditionalFormatting sqref="BK32">
    <cfRule type="expression" dxfId="17065" priority="3115">
      <formula>#REF!="TO"</formula>
    </cfRule>
    <cfRule type="expression" dxfId="17064" priority="3116">
      <formula>#REF!="IO"</formula>
    </cfRule>
    <cfRule type="expression" dxfId="17063" priority="3117">
      <formula>#REF!="L"</formula>
    </cfRule>
    <cfRule type="expression" dxfId="17062" priority="3052">
      <formula>#REF!="TO"</formula>
    </cfRule>
    <cfRule type="expression" dxfId="17061" priority="3053">
      <formula>#REF!="IO"</formula>
    </cfRule>
    <cfRule type="expression" dxfId="17060" priority="3054">
      <formula>#REF!="L"</formula>
    </cfRule>
  </conditionalFormatting>
  <conditionalFormatting sqref="BH32">
    <cfRule type="expression" dxfId="17059" priority="3100">
      <formula>#REF!="TO"</formula>
    </cfRule>
    <cfRule type="expression" dxfId="17058" priority="3101">
      <formula>#REF!="IO"</formula>
    </cfRule>
    <cfRule type="expression" dxfId="17057" priority="3102">
      <formula>#REF!="L"</formula>
    </cfRule>
    <cfRule type="expression" dxfId="17056" priority="3040">
      <formula>#REF!="TO"</formula>
    </cfRule>
    <cfRule type="expression" dxfId="17055" priority="3041">
      <formula>#REF!="IO"</formula>
    </cfRule>
    <cfRule type="expression" dxfId="17054" priority="3042">
      <formula>#REF!="L"</formula>
    </cfRule>
  </conditionalFormatting>
  <conditionalFormatting sqref="BO32">
    <cfRule type="expression" dxfId="17053" priority="3085">
      <formula>#REF!="TO"</formula>
    </cfRule>
    <cfRule type="expression" dxfId="17052" priority="3086">
      <formula>#REF!="IO"</formula>
    </cfRule>
    <cfRule type="expression" dxfId="17051" priority="3087">
      <formula>#REF!="L"</formula>
    </cfRule>
    <cfRule type="expression" dxfId="17050" priority="3088">
      <formula>AT32="TO"</formula>
    </cfRule>
    <cfRule type="expression" dxfId="17049" priority="3089">
      <formula>AT32="IO"</formula>
    </cfRule>
    <cfRule type="expression" dxfId="17048" priority="3090">
      <formula>AT32="L"</formula>
    </cfRule>
    <cfRule type="expression" dxfId="17047" priority="3025">
      <formula>#REF!="TO"</formula>
    </cfRule>
    <cfRule type="expression" dxfId="17046" priority="3026">
      <formula>#REF!="IO"</formula>
    </cfRule>
    <cfRule type="expression" dxfId="17045" priority="3027">
      <formula>#REF!="L"</formula>
    </cfRule>
    <cfRule type="expression" dxfId="17044" priority="3028">
      <formula>AT32="TO"</formula>
    </cfRule>
    <cfRule type="expression" dxfId="17043" priority="3029">
      <formula>AT32="IO"</formula>
    </cfRule>
    <cfRule type="expression" dxfId="17042" priority="3030">
      <formula>AT32="L"</formula>
    </cfRule>
  </conditionalFormatting>
  <conditionalFormatting sqref="BB32">
    <cfRule type="expression" dxfId="17041" priority="3082">
      <formula>#REF!="TO"</formula>
    </cfRule>
    <cfRule type="expression" dxfId="17040" priority="3083">
      <formula>#REF!="IO"</formula>
    </cfRule>
    <cfRule type="expression" dxfId="17039" priority="3084">
      <formula>#REF!="L"</formula>
    </cfRule>
    <cfRule type="expression" dxfId="17038" priority="3022">
      <formula>#REF!="TO"</formula>
    </cfRule>
    <cfRule type="expression" dxfId="17037" priority="3023">
      <formula>#REF!="IO"</formula>
    </cfRule>
    <cfRule type="expression" dxfId="17036" priority="3024">
      <formula>#REF!="L"</formula>
    </cfRule>
  </conditionalFormatting>
  <conditionalFormatting sqref="BG32">
    <cfRule type="expression" dxfId="17035" priority="3076">
      <formula>#REF!="TO"</formula>
    </cfRule>
    <cfRule type="expression" dxfId="17034" priority="3077">
      <formula>#REF!="IO"</formula>
    </cfRule>
    <cfRule type="expression" dxfId="17033" priority="3078">
      <formula>#REF!="L"</formula>
    </cfRule>
    <cfRule type="expression" dxfId="17032" priority="3016">
      <formula>#REF!="TO"</formula>
    </cfRule>
    <cfRule type="expression" dxfId="17031" priority="3017">
      <formula>#REF!="IO"</formula>
    </cfRule>
    <cfRule type="expression" dxfId="17030" priority="3018">
      <formula>#REF!="L"</formula>
    </cfRule>
  </conditionalFormatting>
  <conditionalFormatting sqref="AZ16">
    <cfRule type="expression" dxfId="17029" priority="2656">
      <formula>#REF!="TO"</formula>
    </cfRule>
    <cfRule type="expression" dxfId="17028" priority="2657">
      <formula>#REF!="IO"</formula>
    </cfRule>
    <cfRule type="expression" dxfId="17027" priority="2658">
      <formula>#REF!="L"</formula>
    </cfRule>
  </conditionalFormatting>
  <conditionalFormatting sqref="BI32">
    <cfRule type="expression" dxfId="17026" priority="2986">
      <formula>#REF!="TO"</formula>
    </cfRule>
    <cfRule type="expression" dxfId="17025" priority="2987">
      <formula>#REF!="IO"</formula>
    </cfRule>
    <cfRule type="expression" dxfId="17024" priority="2988">
      <formula>#REF!="L"</formula>
    </cfRule>
    <cfRule type="expression" dxfId="17023" priority="2983">
      <formula>#REF!="TO"</formula>
    </cfRule>
    <cfRule type="expression" dxfId="17022" priority="2984">
      <formula>#REF!="IO"</formula>
    </cfRule>
    <cfRule type="expression" dxfId="17021" priority="2985">
      <formula>#REF!="L"</formula>
    </cfRule>
    <cfRule type="expression" dxfId="17020" priority="2980">
      <formula>#REF!="TO"</formula>
    </cfRule>
    <cfRule type="expression" dxfId="17019" priority="2981">
      <formula>#REF!="IO"</formula>
    </cfRule>
    <cfRule type="expression" dxfId="17018" priority="2982">
      <formula>#REF!="L"</formula>
    </cfRule>
    <cfRule type="expression" dxfId="17017" priority="2977">
      <formula>#REF!="TO"</formula>
    </cfRule>
    <cfRule type="expression" dxfId="17016" priority="2978">
      <formula>#REF!="IO"</formula>
    </cfRule>
    <cfRule type="expression" dxfId="17015" priority="2979">
      <formula>#REF!="L"</formula>
    </cfRule>
  </conditionalFormatting>
  <conditionalFormatting sqref="BF78:BG86">
    <cfRule type="expression" dxfId="17014" priority="2962">
      <formula>#REF!="TO"</formula>
    </cfRule>
    <cfRule type="expression" dxfId="17013" priority="2963">
      <formula>#REF!="IO"</formula>
    </cfRule>
    <cfRule type="expression" dxfId="17012" priority="2964">
      <formula>#REF!="L"</formula>
    </cfRule>
    <cfRule type="expression" dxfId="17011" priority="2956">
      <formula>#REF!="TO"</formula>
    </cfRule>
    <cfRule type="expression" dxfId="17010" priority="2957">
      <formula>#REF!="IO"</formula>
    </cfRule>
    <cfRule type="expression" dxfId="17009" priority="2958">
      <formula>#REF!="L"</formula>
    </cfRule>
  </conditionalFormatting>
  <conditionalFormatting sqref="BG78:BG86">
    <cfRule type="expression" dxfId="17008" priority="2959">
      <formula>#REF!="TO"</formula>
    </cfRule>
    <cfRule type="expression" dxfId="17007" priority="2960">
      <formula>#REF!="IO"</formula>
    </cfRule>
    <cfRule type="expression" dxfId="17006" priority="2961">
      <formula>#REF!="L"</formula>
    </cfRule>
  </conditionalFormatting>
  <conditionalFormatting sqref="BS33">
    <cfRule type="expression" dxfId="17005" priority="2728">
      <formula>#REF!="TO"</formula>
    </cfRule>
    <cfRule type="expression" dxfId="17004" priority="2729">
      <formula>#REF!="IO"</formula>
    </cfRule>
    <cfRule type="expression" dxfId="17003" priority="2730">
      <formula>#REF!="L"</formula>
    </cfRule>
    <cfRule type="expression" dxfId="17002" priority="2734">
      <formula>#REF!="TO"</formula>
    </cfRule>
    <cfRule type="expression" dxfId="17001" priority="2735">
      <formula>#REF!="IO"</formula>
    </cfRule>
    <cfRule type="expression" dxfId="17000" priority="2736">
      <formula>#REF!="L"</formula>
    </cfRule>
    <cfRule type="expression" dxfId="16999" priority="2731">
      <formula>#REF!="TO"</formula>
    </cfRule>
    <cfRule type="expression" dxfId="16998" priority="2732">
      <formula>#REF!="IO"</formula>
    </cfRule>
    <cfRule type="expression" dxfId="16997" priority="2733">
      <formula>#REF!="L"</formula>
    </cfRule>
    <cfRule type="expression" dxfId="16996" priority="2725">
      <formula>#REF!="TO"</formula>
    </cfRule>
    <cfRule type="expression" dxfId="16995" priority="2726">
      <formula>#REF!="IO"</formula>
    </cfRule>
    <cfRule type="expression" dxfId="16994" priority="2727">
      <formula>#REF!="L"</formula>
    </cfRule>
  </conditionalFormatting>
  <conditionalFormatting sqref="AV28:AV29">
    <cfRule type="expression" dxfId="16993" priority="2551">
      <formula>#REF!="TO"</formula>
    </cfRule>
    <cfRule type="expression" dxfId="16992" priority="2552">
      <formula>#REF!="IO"</formula>
    </cfRule>
    <cfRule type="expression" dxfId="16991" priority="2553">
      <formula>#REF!="L"</formula>
    </cfRule>
    <cfRule type="expression" dxfId="16990" priority="2557">
      <formula>#REF!="TO"</formula>
    </cfRule>
    <cfRule type="expression" dxfId="16989" priority="2558">
      <formula>#REF!="IO"</formula>
    </cfRule>
    <cfRule type="expression" dxfId="16988" priority="2559">
      <formula>#REF!="L"</formula>
    </cfRule>
  </conditionalFormatting>
  <conditionalFormatting sqref="AV32">
    <cfRule type="expression" dxfId="16987" priority="2419">
      <formula>#REF!="TO"</formula>
    </cfRule>
    <cfRule type="expression" dxfId="16986" priority="2420">
      <formula>#REF!="IO"</formula>
    </cfRule>
    <cfRule type="expression" dxfId="16985" priority="2421">
      <formula>#REF!="L"</formula>
    </cfRule>
    <cfRule type="expression" dxfId="16984" priority="2407">
      <formula>#REF!="TO"</formula>
    </cfRule>
    <cfRule type="expression" dxfId="16983" priority="2408">
      <formula>#REF!="IO"</formula>
    </cfRule>
    <cfRule type="expression" dxfId="16982" priority="2409">
      <formula>#REF!="L"</formula>
    </cfRule>
    <cfRule type="expression" dxfId="16981" priority="2401">
      <formula>#REF!="TO"</formula>
    </cfRule>
    <cfRule type="expression" dxfId="16980" priority="2402">
      <formula>#REF!="IO"</formula>
    </cfRule>
    <cfRule type="expression" dxfId="16979" priority="2403">
      <formula>#REF!="L"</formula>
    </cfRule>
    <cfRule type="expression" dxfId="16978" priority="2410">
      <formula>#REF!="TO"</formula>
    </cfRule>
    <cfRule type="expression" dxfId="16977" priority="2411">
      <formula>#REF!="IO"</formula>
    </cfRule>
    <cfRule type="expression" dxfId="16976" priority="2412">
      <formula>#REF!="L"</formula>
    </cfRule>
  </conditionalFormatting>
  <conditionalFormatting sqref="AW32">
    <cfRule type="expression" dxfId="16975" priority="2413">
      <formula>#REF!="TO"</formula>
    </cfRule>
    <cfRule type="expression" dxfId="16974" priority="2414">
      <formula>#REF!="IO"</formula>
    </cfRule>
    <cfRule type="expression" dxfId="16973" priority="2415">
      <formula>#REF!="L"</formula>
    </cfRule>
  </conditionalFormatting>
  <conditionalFormatting sqref="AY32">
    <cfRule type="expression" dxfId="16972" priority="2389">
      <formula>#REF!="TO"</formula>
    </cfRule>
    <cfRule type="expression" dxfId="16971" priority="2390">
      <formula>#REF!="IO"</formula>
    </cfRule>
    <cfRule type="expression" dxfId="16970" priority="2391">
      <formula>#REF!="L"</formula>
    </cfRule>
    <cfRule type="expression" dxfId="16969" priority="2395">
      <formula>#REF!="TO"</formula>
    </cfRule>
    <cfRule type="expression" dxfId="16968" priority="2396">
      <formula>#REF!="IO"</formula>
    </cfRule>
    <cfRule type="expression" dxfId="16967" priority="2397">
      <formula>#REF!="L"</formula>
    </cfRule>
    <cfRule type="expression" dxfId="16966" priority="2392">
      <formula>#REF!="TO"</formula>
    </cfRule>
    <cfRule type="expression" dxfId="16965" priority="2393">
      <formula>#REF!="IO"</formula>
    </cfRule>
    <cfRule type="expression" dxfId="16964" priority="2394">
      <formula>#REF!="L"</formula>
    </cfRule>
    <cfRule type="expression" dxfId="16963" priority="2398">
      <formula>#REF!="TO"</formula>
    </cfRule>
    <cfRule type="expression" dxfId="16962" priority="2399">
      <formula>#REF!="IO"</formula>
    </cfRule>
    <cfRule type="expression" dxfId="16961" priority="2400">
      <formula>#REF!="L"</formula>
    </cfRule>
  </conditionalFormatting>
  <conditionalFormatting sqref="AX32">
    <cfRule type="expression" dxfId="16960" priority="2386">
      <formula>#REF!="TO"</formula>
    </cfRule>
    <cfRule type="expression" dxfId="16959" priority="2387">
      <formula>#REF!="IO"</formula>
    </cfRule>
    <cfRule type="expression" dxfId="16958" priority="2388">
      <formula>#REF!="L"</formula>
    </cfRule>
    <cfRule type="expression" dxfId="16957" priority="2383">
      <formula>#REF!="TO"</formula>
    </cfRule>
    <cfRule type="expression" dxfId="16956" priority="2384">
      <formula>#REF!="IO"</formula>
    </cfRule>
    <cfRule type="expression" dxfId="16955" priority="2385">
      <formula>#REF!="L"</formula>
    </cfRule>
    <cfRule type="expression" dxfId="16954" priority="2380">
      <formula>#REF!="TO"</formula>
    </cfRule>
    <cfRule type="expression" dxfId="16953" priority="2381">
      <formula>#REF!="IO"</formula>
    </cfRule>
    <cfRule type="expression" dxfId="16952" priority="2382">
      <formula>#REF!="L"</formula>
    </cfRule>
    <cfRule type="expression" dxfId="16951" priority="2377">
      <formula>#REF!="TO"</formula>
    </cfRule>
    <cfRule type="expression" dxfId="16950" priority="2378">
      <formula>#REF!="IO"</formula>
    </cfRule>
    <cfRule type="expression" dxfId="16949" priority="2379">
      <formula>#REF!="L"</formula>
    </cfRule>
  </conditionalFormatting>
  <conditionalFormatting sqref="AV33">
    <cfRule type="expression" dxfId="16948" priority="2365">
      <formula>#REF!="TO"</formula>
    </cfRule>
    <cfRule type="expression" dxfId="16947" priority="2366">
      <formula>#REF!="IO"</formula>
    </cfRule>
    <cfRule type="expression" dxfId="16946" priority="2367">
      <formula>#REF!="L"</formula>
    </cfRule>
    <cfRule type="expression" dxfId="16945" priority="2356">
      <formula>#REF!="TO"</formula>
    </cfRule>
    <cfRule type="expression" dxfId="16944" priority="2357">
      <formula>#REF!="IO"</formula>
    </cfRule>
    <cfRule type="expression" dxfId="16943" priority="2358">
      <formula>#REF!="L"</formula>
    </cfRule>
    <cfRule type="expression" dxfId="16942" priority="2353">
      <formula>#REF!="TO"</formula>
    </cfRule>
    <cfRule type="expression" dxfId="16941" priority="2354">
      <formula>#REF!="IO"</formula>
    </cfRule>
    <cfRule type="expression" dxfId="16940" priority="2355">
      <formula>#REF!="L"</formula>
    </cfRule>
    <cfRule type="expression" dxfId="16939" priority="2347">
      <formula>#REF!="TO"</formula>
    </cfRule>
    <cfRule type="expression" dxfId="16938" priority="2348">
      <formula>#REF!="IO"</formula>
    </cfRule>
    <cfRule type="expression" dxfId="16937" priority="2349">
      <formula>#REF!="L"</formula>
    </cfRule>
  </conditionalFormatting>
  <conditionalFormatting sqref="AW33">
    <cfRule type="expression" dxfId="16936" priority="2359">
      <formula>#REF!="TO"</formula>
    </cfRule>
    <cfRule type="expression" dxfId="16935" priority="2360">
      <formula>#REF!="IO"</formula>
    </cfRule>
    <cfRule type="expression" dxfId="16934" priority="2361">
      <formula>#REF!="L"</formula>
    </cfRule>
  </conditionalFormatting>
  <conditionalFormatting sqref="BH33 BD33:BE33">
    <cfRule type="expression" dxfId="16933" priority="2866">
      <formula>#REF!="TO"</formula>
    </cfRule>
    <cfRule type="expression" dxfId="16932" priority="2867">
      <formula>#REF!="IO"</formula>
    </cfRule>
    <cfRule type="expression" dxfId="16931" priority="2868">
      <formula>#REF!="L"</formula>
    </cfRule>
  </conditionalFormatting>
  <conditionalFormatting sqref="AX30">
    <cfRule type="expression" dxfId="16930" priority="2479">
      <formula>#REF!="TO"</formula>
    </cfRule>
    <cfRule type="expression" dxfId="16929" priority="2480">
      <formula>#REF!="IO"</formula>
    </cfRule>
    <cfRule type="expression" dxfId="16928" priority="2481">
      <formula>#REF!="L"</formula>
    </cfRule>
    <cfRule type="expression" dxfId="16927" priority="2485">
      <formula>#REF!="TO"</formula>
    </cfRule>
    <cfRule type="expression" dxfId="16926" priority="2486">
      <formula>#REF!="IO"</formula>
    </cfRule>
    <cfRule type="expression" dxfId="16925" priority="2487">
      <formula>#REF!="L"</formula>
    </cfRule>
    <cfRule type="expression" dxfId="16924" priority="2482">
      <formula>#REF!="TO"</formula>
    </cfRule>
    <cfRule type="expression" dxfId="16923" priority="2483">
      <formula>#REF!="IO"</formula>
    </cfRule>
    <cfRule type="expression" dxfId="16922" priority="2484">
      <formula>#REF!="L"</formula>
    </cfRule>
    <cfRule type="expression" dxfId="16921" priority="2476">
      <formula>#REF!="TO"</formula>
    </cfRule>
    <cfRule type="expression" dxfId="16920" priority="2477">
      <formula>#REF!="IO"</formula>
    </cfRule>
    <cfRule type="expression" dxfId="16919" priority="2478">
      <formula>#REF!="L"</formula>
    </cfRule>
  </conditionalFormatting>
  <conditionalFormatting sqref="BK33">
    <cfRule type="expression" dxfId="16918" priority="2875">
      <formula>#REF!="TO"</formula>
    </cfRule>
    <cfRule type="expression" dxfId="16917" priority="2876">
      <formula>#REF!="IO"</formula>
    </cfRule>
    <cfRule type="expression" dxfId="16916" priority="2877">
      <formula>#REF!="L"</formula>
    </cfRule>
    <cfRule type="expression" dxfId="16915" priority="2812">
      <formula>#REF!="TO"</formula>
    </cfRule>
    <cfRule type="expression" dxfId="16914" priority="2813">
      <formula>#REF!="IO"</formula>
    </cfRule>
    <cfRule type="expression" dxfId="16913" priority="2814">
      <formula>#REF!="L"</formula>
    </cfRule>
  </conditionalFormatting>
  <conditionalFormatting sqref="BM33">
    <cfRule type="expression" dxfId="16912" priority="2872">
      <formula>#REF!="TO"</formula>
    </cfRule>
    <cfRule type="expression" dxfId="16911" priority="2873">
      <formula>#REF!="IO"</formula>
    </cfRule>
    <cfRule type="expression" dxfId="16910" priority="2874">
      <formula>#REF!="L"</formula>
    </cfRule>
    <cfRule type="expression" dxfId="16909" priority="2854">
      <formula>#REF!="TO"</formula>
    </cfRule>
    <cfRule type="expression" dxfId="16908" priority="2855">
      <formula>#REF!="IO"</formula>
    </cfRule>
    <cfRule type="expression" dxfId="16907" priority="2856">
      <formula>#REF!="L"</formula>
    </cfRule>
    <cfRule type="expression" dxfId="16906" priority="2809">
      <formula>#REF!="TO"</formula>
    </cfRule>
    <cfRule type="expression" dxfId="16905" priority="2810">
      <formula>#REF!="IO"</formula>
    </cfRule>
    <cfRule type="expression" dxfId="16904" priority="2811">
      <formula>#REF!="L"</formula>
    </cfRule>
    <cfRule type="expression" dxfId="16903" priority="2794">
      <formula>#REF!="TO"</formula>
    </cfRule>
    <cfRule type="expression" dxfId="16902" priority="2795">
      <formula>#REF!="IO"</formula>
    </cfRule>
    <cfRule type="expression" dxfId="16901" priority="2796">
      <formula>#REF!="L"</formula>
    </cfRule>
  </conditionalFormatting>
  <conditionalFormatting sqref="BN33">
    <cfRule type="expression" dxfId="16900" priority="2869">
      <formula>#REF!="TO"</formula>
    </cfRule>
    <cfRule type="expression" dxfId="16899" priority="2870">
      <formula>#REF!="IO"</formula>
    </cfRule>
    <cfRule type="expression" dxfId="16898" priority="2871">
      <formula>#REF!="L"</formula>
    </cfRule>
    <cfRule type="expression" dxfId="16897" priority="2851">
      <formula>#REF!="TO"</formula>
    </cfRule>
    <cfRule type="expression" dxfId="16896" priority="2852">
      <formula>#REF!="IO"</formula>
    </cfRule>
    <cfRule type="expression" dxfId="16895" priority="2853">
      <formula>#REF!="L"</formula>
    </cfRule>
    <cfRule type="expression" dxfId="16894" priority="2791">
      <formula>#REF!="TO"</formula>
    </cfRule>
    <cfRule type="expression" dxfId="16893" priority="2792">
      <formula>#REF!="IO"</formula>
    </cfRule>
    <cfRule type="expression" dxfId="16892" priority="2793">
      <formula>#REF!="L"</formula>
    </cfRule>
    <cfRule type="expression" dxfId="16891" priority="2806">
      <formula>#REF!="TO"</formula>
    </cfRule>
    <cfRule type="expression" dxfId="16890" priority="2807">
      <formula>#REF!="IO"</formula>
    </cfRule>
    <cfRule type="expression" dxfId="16889" priority="2808">
      <formula>#REF!="L"</formula>
    </cfRule>
  </conditionalFormatting>
  <conditionalFormatting sqref="BH33">
    <cfRule type="expression" dxfId="16888" priority="2860">
      <formula>#REF!="TO"</formula>
    </cfRule>
    <cfRule type="expression" dxfId="16887" priority="2861">
      <formula>#REF!="IO"</formula>
    </cfRule>
    <cfRule type="expression" dxfId="16886" priority="2862">
      <formula>#REF!="L"</formula>
    </cfRule>
    <cfRule type="expression" dxfId="16885" priority="2800">
      <formula>#REF!="TO"</formula>
    </cfRule>
    <cfRule type="expression" dxfId="16884" priority="2801">
      <formula>#REF!="IO"</formula>
    </cfRule>
    <cfRule type="expression" dxfId="16883" priority="2802">
      <formula>#REF!="L"</formula>
    </cfRule>
  </conditionalFormatting>
  <conditionalFormatting sqref="BD33:BE33">
    <cfRule type="expression" dxfId="16882" priority="2863">
      <formula>#REF!="TO"</formula>
    </cfRule>
    <cfRule type="expression" dxfId="16881" priority="2864">
      <formula>#REF!="IO"</formula>
    </cfRule>
    <cfRule type="expression" dxfId="16880" priority="2865">
      <formula>#REF!="L"</formula>
    </cfRule>
    <cfRule type="expression" dxfId="16879" priority="2803">
      <formula>#REF!="TO"</formula>
    </cfRule>
    <cfRule type="expression" dxfId="16878" priority="2804">
      <formula>#REF!="IO"</formula>
    </cfRule>
    <cfRule type="expression" dxfId="16877" priority="2805">
      <formula>#REF!="L"</formula>
    </cfRule>
  </conditionalFormatting>
  <conditionalFormatting sqref="BO33">
    <cfRule type="expression" dxfId="16876" priority="2845">
      <formula>#REF!="TO"</formula>
    </cfRule>
    <cfRule type="expression" dxfId="16875" priority="2846">
      <formula>#REF!="IO"</formula>
    </cfRule>
    <cfRule type="expression" dxfId="16874" priority="2847">
      <formula>#REF!="L"</formula>
    </cfRule>
    <cfRule type="expression" dxfId="16873" priority="2848">
      <formula>AT33="TO"</formula>
    </cfRule>
    <cfRule type="expression" dxfId="16872" priority="2849">
      <formula>AT33="IO"</formula>
    </cfRule>
    <cfRule type="expression" dxfId="16871" priority="2850">
      <formula>AT33="L"</formula>
    </cfRule>
    <cfRule type="expression" dxfId="16870" priority="2785">
      <formula>#REF!="TO"</formula>
    </cfRule>
    <cfRule type="expression" dxfId="16869" priority="2786">
      <formula>#REF!="IO"</formula>
    </cfRule>
    <cfRule type="expression" dxfId="16868" priority="2787">
      <formula>#REF!="L"</formula>
    </cfRule>
    <cfRule type="expression" dxfId="16867" priority="2788">
      <formula>AT33="TO"</formula>
    </cfRule>
    <cfRule type="expression" dxfId="16866" priority="2789">
      <formula>AT33="IO"</formula>
    </cfRule>
    <cfRule type="expression" dxfId="16865" priority="2790">
      <formula>AT33="L"</formula>
    </cfRule>
  </conditionalFormatting>
  <conditionalFormatting sqref="BB33">
    <cfRule type="expression" dxfId="16864" priority="2842">
      <formula>#REF!="TO"</formula>
    </cfRule>
    <cfRule type="expression" dxfId="16863" priority="2843">
      <formula>#REF!="IO"</formula>
    </cfRule>
    <cfRule type="expression" dxfId="16862" priority="2844">
      <formula>#REF!="L"</formula>
    </cfRule>
    <cfRule type="expression" dxfId="16861" priority="2782">
      <formula>#REF!="TO"</formula>
    </cfRule>
    <cfRule type="expression" dxfId="16860" priority="2783">
      <formula>#REF!="IO"</formula>
    </cfRule>
    <cfRule type="expression" dxfId="16859" priority="2784">
      <formula>#REF!="L"</formula>
    </cfRule>
  </conditionalFormatting>
  <conditionalFormatting sqref="BF33">
    <cfRule type="expression" dxfId="16858" priority="2839">
      <formula>#REF!="TO"</formula>
    </cfRule>
    <cfRule type="expression" dxfId="16857" priority="2840">
      <formula>#REF!="IO"</formula>
    </cfRule>
    <cfRule type="expression" dxfId="16856" priority="2841">
      <formula>#REF!="L"</formula>
    </cfRule>
    <cfRule type="expression" dxfId="16855" priority="2779">
      <formula>#REF!="TO"</formula>
    </cfRule>
    <cfRule type="expression" dxfId="16854" priority="2780">
      <formula>#REF!="IO"</formula>
    </cfRule>
    <cfRule type="expression" dxfId="16853" priority="2781">
      <formula>#REF!="L"</formula>
    </cfRule>
  </conditionalFormatting>
  <conditionalFormatting sqref="BG33">
    <cfRule type="expression" dxfId="16852" priority="2836">
      <formula>#REF!="TO"</formula>
    </cfRule>
    <cfRule type="expression" dxfId="16851" priority="2837">
      <formula>#REF!="IO"</formula>
    </cfRule>
    <cfRule type="expression" dxfId="16850" priority="2838">
      <formula>#REF!="L"</formula>
    </cfRule>
    <cfRule type="expression" dxfId="16849" priority="2776">
      <formula>#REF!="TO"</formula>
    </cfRule>
    <cfRule type="expression" dxfId="16848" priority="2777">
      <formula>#REF!="IO"</formula>
    </cfRule>
    <cfRule type="expression" dxfId="16847" priority="2778">
      <formula>#REF!="L"</formula>
    </cfRule>
  </conditionalFormatting>
  <conditionalFormatting sqref="BE33">
    <cfRule type="expression" dxfId="16846" priority="2833">
      <formula>#REF!="TO"</formula>
    </cfRule>
    <cfRule type="expression" dxfId="16845" priority="2834">
      <formula>#REF!="IO"</formula>
    </cfRule>
    <cfRule type="expression" dxfId="16844" priority="2835">
      <formula>#REF!="L"</formula>
    </cfRule>
    <cfRule type="expression" dxfId="16843" priority="2773">
      <formula>#REF!="TO"</formula>
    </cfRule>
    <cfRule type="expression" dxfId="16842" priority="2774">
      <formula>#REF!="IO"</formula>
    </cfRule>
    <cfRule type="expression" dxfId="16841" priority="2775">
      <formula>#REF!="L"</formula>
    </cfRule>
  </conditionalFormatting>
  <conditionalFormatting sqref="BP33">
    <cfRule type="expression" dxfId="16840" priority="2827">
      <formula>#REF!="TO"</formula>
    </cfRule>
    <cfRule type="expression" dxfId="16839" priority="2828">
      <formula>#REF!="IO"</formula>
    </cfRule>
    <cfRule type="expression" dxfId="16838" priority="2829">
      <formula>#REF!="L"</formula>
    </cfRule>
    <cfRule type="expression" dxfId="16837" priority="2830">
      <formula>#REF!="TO"</formula>
    </cfRule>
    <cfRule type="expression" dxfId="16836" priority="2831">
      <formula>#REF!="IO"</formula>
    </cfRule>
    <cfRule type="expression" dxfId="16835" priority="2832">
      <formula>#REF!="L"</formula>
    </cfRule>
    <cfRule type="expression" dxfId="16834" priority="2770">
      <formula>#REF!="TO"</formula>
    </cfRule>
    <cfRule type="expression" dxfId="16833" priority="2771">
      <formula>#REF!="IO"</formula>
    </cfRule>
    <cfRule type="expression" dxfId="16832" priority="2772">
      <formula>#REF!="L"</formula>
    </cfRule>
    <cfRule type="expression" dxfId="16831" priority="2767">
      <formula>#REF!="TO"</formula>
    </cfRule>
    <cfRule type="expression" dxfId="16830" priority="2768">
      <formula>#REF!="IO"</formula>
    </cfRule>
    <cfRule type="expression" dxfId="16829" priority="2769">
      <formula>#REF!="L"</formula>
    </cfRule>
  </conditionalFormatting>
  <conditionalFormatting sqref="BQ33:BS33">
    <cfRule type="expression" dxfId="16828" priority="2824">
      <formula>#REF!="TO"</formula>
    </cfRule>
    <cfRule type="expression" dxfId="16827" priority="2825">
      <formula>#REF!="IO"</formula>
    </cfRule>
    <cfRule type="expression" dxfId="16826" priority="2826">
      <formula>#REF!="L"</formula>
    </cfRule>
    <cfRule type="expression" dxfId="16825" priority="2821">
      <formula>#REF!="TO"</formula>
    </cfRule>
    <cfRule type="expression" dxfId="16824" priority="2822">
      <formula>#REF!="IO"</formula>
    </cfRule>
    <cfRule type="expression" dxfId="16823" priority="2823">
      <formula>#REF!="L"</formula>
    </cfRule>
    <cfRule type="expression" dxfId="16822" priority="2764">
      <formula>#REF!="TO"</formula>
    </cfRule>
    <cfRule type="expression" dxfId="16821" priority="2765">
      <formula>#REF!="IO"</formula>
    </cfRule>
    <cfRule type="expression" dxfId="16820" priority="2766">
      <formula>#REF!="L"</formula>
    </cfRule>
    <cfRule type="expression" dxfId="16819" priority="2761">
      <formula>#REF!="TO"</formula>
    </cfRule>
    <cfRule type="expression" dxfId="16818" priority="2762">
      <formula>#REF!="IO"</formula>
    </cfRule>
    <cfRule type="expression" dxfId="16817" priority="2763">
      <formula>#REF!="L"</formula>
    </cfRule>
  </conditionalFormatting>
  <conditionalFormatting sqref="AZ32">
    <cfRule type="expression" dxfId="16816" priority="2416">
      <formula>#REF!="TO"</formula>
    </cfRule>
    <cfRule type="expression" dxfId="16815" priority="2417">
      <formula>#REF!="IO"</formula>
    </cfRule>
    <cfRule type="expression" dxfId="16814" priority="2418">
      <formula>#REF!="L"</formula>
    </cfRule>
    <cfRule type="expression" dxfId="16813" priority="2404">
      <formula>#REF!="TO"</formula>
    </cfRule>
    <cfRule type="expression" dxfId="16812" priority="2405">
      <formula>#REF!="IO"</formula>
    </cfRule>
    <cfRule type="expression" dxfId="16811" priority="2406">
      <formula>#REF!="L"</formula>
    </cfRule>
  </conditionalFormatting>
  <conditionalFormatting sqref="BJ33">
    <cfRule type="expression" dxfId="16810" priority="2758">
      <formula>#REF!="TO"</formula>
    </cfRule>
    <cfRule type="expression" dxfId="16809" priority="2759">
      <formula>#REF!="IO"</formula>
    </cfRule>
    <cfRule type="expression" dxfId="16808" priority="2760">
      <formula>#REF!="L"</formula>
    </cfRule>
    <cfRule type="expression" dxfId="16807" priority="2755">
      <formula>#REF!="TO"</formula>
    </cfRule>
    <cfRule type="expression" dxfId="16806" priority="2756">
      <formula>#REF!="IO"</formula>
    </cfRule>
    <cfRule type="expression" dxfId="16805" priority="2757">
      <formula>#REF!="L"</formula>
    </cfRule>
    <cfRule type="expression" dxfId="16804" priority="2752">
      <formula>#REF!="TO"</formula>
    </cfRule>
    <cfRule type="expression" dxfId="16803" priority="2753">
      <formula>#REF!="IO"</formula>
    </cfRule>
    <cfRule type="expression" dxfId="16802" priority="2754">
      <formula>#REF!="L"</formula>
    </cfRule>
    <cfRule type="expression" dxfId="16801" priority="2749">
      <formula>#REF!="TO"</formula>
    </cfRule>
    <cfRule type="expression" dxfId="16800" priority="2750">
      <formula>#REF!="IO"</formula>
    </cfRule>
    <cfRule type="expression" dxfId="16799" priority="2751">
      <formula>#REF!="L"</formula>
    </cfRule>
  </conditionalFormatting>
  <conditionalFormatting sqref="BI33">
    <cfRule type="expression" dxfId="16798" priority="2746">
      <formula>#REF!="TO"</formula>
    </cfRule>
    <cfRule type="expression" dxfId="16797" priority="2747">
      <formula>#REF!="IO"</formula>
    </cfRule>
    <cfRule type="expression" dxfId="16796" priority="2748">
      <formula>#REF!="L"</formula>
    </cfRule>
    <cfRule type="expression" dxfId="16795" priority="2743">
      <formula>#REF!="TO"</formula>
    </cfRule>
    <cfRule type="expression" dxfId="16794" priority="2744">
      <formula>#REF!="IO"</formula>
    </cfRule>
    <cfRule type="expression" dxfId="16793" priority="2745">
      <formula>#REF!="L"</formula>
    </cfRule>
    <cfRule type="expression" dxfId="16792" priority="2740">
      <formula>#REF!="TO"</formula>
    </cfRule>
    <cfRule type="expression" dxfId="16791" priority="2741">
      <formula>#REF!="IO"</formula>
    </cfRule>
    <cfRule type="expression" dxfId="16790" priority="2742">
      <formula>#REF!="L"</formula>
    </cfRule>
    <cfRule type="expression" dxfId="16789" priority="2737">
      <formula>#REF!="TO"</formula>
    </cfRule>
    <cfRule type="expression" dxfId="16788" priority="2738">
      <formula>#REF!="IO"</formula>
    </cfRule>
    <cfRule type="expression" dxfId="16787" priority="2739">
      <formula>#REF!="L"</formula>
    </cfRule>
  </conditionalFormatting>
  <conditionalFormatting sqref="AW4:AW29 AW38:AY86">
    <cfRule type="expression" dxfId="16786" priority="2710">
      <formula>#REF!="TO"</formula>
    </cfRule>
    <cfRule type="expression" dxfId="16785" priority="2711">
      <formula>#REF!="IO"</formula>
    </cfRule>
    <cfRule type="expression" dxfId="16784" priority="2712">
      <formula>#REF!="L"</formula>
    </cfRule>
  </conditionalFormatting>
  <conditionalFormatting sqref="AZ38:AZ41 AZ23:AZ29">
    <cfRule type="expression" dxfId="16783" priority="2713">
      <formula>#REF!="TO"</formula>
    </cfRule>
    <cfRule type="expression" dxfId="16782" priority="2714">
      <formula>#REF!="IO"</formula>
    </cfRule>
    <cfRule type="expression" dxfId="16781" priority="2715">
      <formula>#REF!="L"</formula>
    </cfRule>
  </conditionalFormatting>
  <conditionalFormatting sqref="AV5">
    <cfRule type="expression" dxfId="16780" priority="2707">
      <formula>#REF!="TO"</formula>
    </cfRule>
    <cfRule type="expression" dxfId="16779" priority="2708">
      <formula>#REF!="IO"</formula>
    </cfRule>
    <cfRule type="expression" dxfId="16778" priority="2709">
      <formula>#REF!="L"</formula>
    </cfRule>
  </conditionalFormatting>
  <conditionalFormatting sqref="AZ5">
    <cfRule type="expression" dxfId="16777" priority="2704">
      <formula>#REF!="TO"</formula>
    </cfRule>
    <cfRule type="expression" dxfId="16776" priority="2705">
      <formula>#REF!="IO"</formula>
    </cfRule>
    <cfRule type="expression" dxfId="16775" priority="2706">
      <formula>#REF!="L"</formula>
    </cfRule>
  </conditionalFormatting>
  <conditionalFormatting sqref="AV6">
    <cfRule type="expression" dxfId="16774" priority="2701">
      <formula>#REF!="TO"</formula>
    </cfRule>
    <cfRule type="expression" dxfId="16773" priority="2702">
      <formula>#REF!="IO"</formula>
    </cfRule>
    <cfRule type="expression" dxfId="16772" priority="2703">
      <formula>#REF!="L"</formula>
    </cfRule>
  </conditionalFormatting>
  <conditionalFormatting sqref="AZ6">
    <cfRule type="expression" dxfId="16771" priority="2698">
      <formula>#REF!="TO"</formula>
    </cfRule>
    <cfRule type="expression" dxfId="16770" priority="2699">
      <formula>#REF!="IO"</formula>
    </cfRule>
    <cfRule type="expression" dxfId="16769" priority="2700">
      <formula>#REF!="L"</formula>
    </cfRule>
  </conditionalFormatting>
  <conditionalFormatting sqref="AV7">
    <cfRule type="expression" dxfId="16768" priority="2695">
      <formula>#REF!="TO"</formula>
    </cfRule>
    <cfRule type="expression" dxfId="16767" priority="2696">
      <formula>#REF!="IO"</formula>
    </cfRule>
    <cfRule type="expression" dxfId="16766" priority="2697">
      <formula>#REF!="L"</formula>
    </cfRule>
  </conditionalFormatting>
  <conditionalFormatting sqref="AZ7">
    <cfRule type="expression" dxfId="16765" priority="2692">
      <formula>#REF!="TO"</formula>
    </cfRule>
    <cfRule type="expression" dxfId="16764" priority="2693">
      <formula>#REF!="IO"</formula>
    </cfRule>
    <cfRule type="expression" dxfId="16763" priority="2694">
      <formula>#REF!="L"</formula>
    </cfRule>
  </conditionalFormatting>
  <conditionalFormatting sqref="AV8">
    <cfRule type="expression" dxfId="16762" priority="2689">
      <formula>#REF!="TO"</formula>
    </cfRule>
    <cfRule type="expression" dxfId="16761" priority="2690">
      <formula>#REF!="IO"</formula>
    </cfRule>
    <cfRule type="expression" dxfId="16760" priority="2691">
      <formula>#REF!="L"</formula>
    </cfRule>
  </conditionalFormatting>
  <conditionalFormatting sqref="AZ8">
    <cfRule type="expression" dxfId="16759" priority="2686">
      <formula>#REF!="TO"</formula>
    </cfRule>
    <cfRule type="expression" dxfId="16758" priority="2687">
      <formula>#REF!="IO"</formula>
    </cfRule>
    <cfRule type="expression" dxfId="16757" priority="2688">
      <formula>#REF!="L"</formula>
    </cfRule>
  </conditionalFormatting>
  <conditionalFormatting sqref="AZ9:AZ12">
    <cfRule type="expression" dxfId="16756" priority="2680">
      <formula>#REF!="TO"</formula>
    </cfRule>
    <cfRule type="expression" dxfId="16755" priority="2681">
      <formula>#REF!="IO"</formula>
    </cfRule>
    <cfRule type="expression" dxfId="16754" priority="2682">
      <formula>#REF!="L"</formula>
    </cfRule>
  </conditionalFormatting>
  <conditionalFormatting sqref="AV9:AV12">
    <cfRule type="expression" dxfId="16753" priority="2683">
      <formula>#REF!="TO"</formula>
    </cfRule>
    <cfRule type="expression" dxfId="16752" priority="2684">
      <formula>#REF!="IO"</formula>
    </cfRule>
    <cfRule type="expression" dxfId="16751" priority="2685">
      <formula>#REF!="L"</formula>
    </cfRule>
  </conditionalFormatting>
  <conditionalFormatting sqref="AV14">
    <cfRule type="expression" dxfId="16750" priority="2671">
      <formula>#REF!="TO"</formula>
    </cfRule>
    <cfRule type="expression" dxfId="16749" priority="2672">
      <formula>#REF!="IO"</formula>
    </cfRule>
    <cfRule type="expression" dxfId="16748" priority="2673">
      <formula>#REF!="L"</formula>
    </cfRule>
  </conditionalFormatting>
  <conditionalFormatting sqref="AZ14">
    <cfRule type="expression" dxfId="16747" priority="2668">
      <formula>#REF!="TO"</formula>
    </cfRule>
    <cfRule type="expression" dxfId="16746" priority="2669">
      <formula>#REF!="IO"</formula>
    </cfRule>
    <cfRule type="expression" dxfId="16745" priority="2670">
      <formula>#REF!="L"</formula>
    </cfRule>
  </conditionalFormatting>
  <conditionalFormatting sqref="AV13">
    <cfRule type="expression" dxfId="16744" priority="2677">
      <formula>#REF!="TO"</formula>
    </cfRule>
    <cfRule type="expression" dxfId="16743" priority="2678">
      <formula>#REF!="IO"</formula>
    </cfRule>
    <cfRule type="expression" dxfId="16742" priority="2679">
      <formula>#REF!="L"</formula>
    </cfRule>
  </conditionalFormatting>
  <conditionalFormatting sqref="AZ13">
    <cfRule type="expression" dxfId="16741" priority="2674">
      <formula>#REF!="TO"</formula>
    </cfRule>
    <cfRule type="expression" dxfId="16740" priority="2675">
      <formula>#REF!="IO"</formula>
    </cfRule>
    <cfRule type="expression" dxfId="16739" priority="2676">
      <formula>#REF!="L"</formula>
    </cfRule>
  </conditionalFormatting>
  <conditionalFormatting sqref="AV15">
    <cfRule type="expression" dxfId="16738" priority="2665">
      <formula>#REF!="TO"</formula>
    </cfRule>
    <cfRule type="expression" dxfId="16737" priority="2666">
      <formula>#REF!="IO"</formula>
    </cfRule>
    <cfRule type="expression" dxfId="16736" priority="2667">
      <formula>#REF!="L"</formula>
    </cfRule>
  </conditionalFormatting>
  <conditionalFormatting sqref="AZ15">
    <cfRule type="expression" dxfId="16735" priority="2662">
      <formula>#REF!="TO"</formula>
    </cfRule>
    <cfRule type="expression" dxfId="16734" priority="2663">
      <formula>#REF!="IO"</formula>
    </cfRule>
    <cfRule type="expression" dxfId="16733" priority="2664">
      <formula>#REF!="L"</formula>
    </cfRule>
  </conditionalFormatting>
  <conditionalFormatting sqref="AV16">
    <cfRule type="expression" dxfId="16732" priority="2659">
      <formula>#REF!="TO"</formula>
    </cfRule>
    <cfRule type="expression" dxfId="16731" priority="2660">
      <formula>#REF!="IO"</formula>
    </cfRule>
    <cfRule type="expression" dxfId="16730" priority="2661">
      <formula>#REF!="L"</formula>
    </cfRule>
  </conditionalFormatting>
  <conditionalFormatting sqref="AV20">
    <cfRule type="expression" dxfId="16729" priority="2635">
      <formula>#REF!="TO"</formula>
    </cfRule>
    <cfRule type="expression" dxfId="16728" priority="2636">
      <formula>#REF!="IO"</formula>
    </cfRule>
    <cfRule type="expression" dxfId="16727" priority="2637">
      <formula>#REF!="L"</formula>
    </cfRule>
  </conditionalFormatting>
  <conditionalFormatting sqref="AZ20">
    <cfRule type="expression" dxfId="16726" priority="2632">
      <formula>#REF!="TO"</formula>
    </cfRule>
    <cfRule type="expression" dxfId="16725" priority="2633">
      <formula>#REF!="IO"</formula>
    </cfRule>
    <cfRule type="expression" dxfId="16724" priority="2634">
      <formula>#REF!="L"</formula>
    </cfRule>
  </conditionalFormatting>
  <conditionalFormatting sqref="AV17">
    <cfRule type="expression" dxfId="16723" priority="2653">
      <formula>#REF!="TO"</formula>
    </cfRule>
    <cfRule type="expression" dxfId="16722" priority="2654">
      <formula>#REF!="IO"</formula>
    </cfRule>
    <cfRule type="expression" dxfId="16721" priority="2655">
      <formula>#REF!="L"</formula>
    </cfRule>
  </conditionalFormatting>
  <conditionalFormatting sqref="AZ17">
    <cfRule type="expression" dxfId="16720" priority="2650">
      <formula>#REF!="TO"</formula>
    </cfRule>
    <cfRule type="expression" dxfId="16719" priority="2651">
      <formula>#REF!="IO"</formula>
    </cfRule>
    <cfRule type="expression" dxfId="16718" priority="2652">
      <formula>#REF!="L"</formula>
    </cfRule>
  </conditionalFormatting>
  <conditionalFormatting sqref="AV18">
    <cfRule type="expression" dxfId="16717" priority="2647">
      <formula>#REF!="TO"</formula>
    </cfRule>
    <cfRule type="expression" dxfId="16716" priority="2648">
      <formula>#REF!="IO"</formula>
    </cfRule>
    <cfRule type="expression" dxfId="16715" priority="2649">
      <formula>#REF!="L"</formula>
    </cfRule>
  </conditionalFormatting>
  <conditionalFormatting sqref="AZ18">
    <cfRule type="expression" dxfId="16714" priority="2644">
      <formula>#REF!="TO"</formula>
    </cfRule>
    <cfRule type="expression" dxfId="16713" priority="2645">
      <formula>#REF!="IO"</formula>
    </cfRule>
    <cfRule type="expression" dxfId="16712" priority="2646">
      <formula>#REF!="L"</formula>
    </cfRule>
  </conditionalFormatting>
  <conditionalFormatting sqref="AV19">
    <cfRule type="expression" dxfId="16711" priority="2641">
      <formula>#REF!="TO"</formula>
    </cfRule>
    <cfRule type="expression" dxfId="16710" priority="2642">
      <formula>#REF!="IO"</formula>
    </cfRule>
    <cfRule type="expression" dxfId="16709" priority="2643">
      <formula>#REF!="L"</formula>
    </cfRule>
  </conditionalFormatting>
  <conditionalFormatting sqref="AZ19">
    <cfRule type="expression" dxfId="16708" priority="2638">
      <formula>#REF!="TO"</formula>
    </cfRule>
    <cfRule type="expression" dxfId="16707" priority="2639">
      <formula>#REF!="IO"</formula>
    </cfRule>
    <cfRule type="expression" dxfId="16706" priority="2640">
      <formula>#REF!="L"</formula>
    </cfRule>
  </conditionalFormatting>
  <conditionalFormatting sqref="AV21">
    <cfRule type="expression" dxfId="16705" priority="2629">
      <formula>#REF!="TO"</formula>
    </cfRule>
    <cfRule type="expression" dxfId="16704" priority="2630">
      <formula>#REF!="IO"</formula>
    </cfRule>
    <cfRule type="expression" dxfId="16703" priority="2631">
      <formula>#REF!="L"</formula>
    </cfRule>
  </conditionalFormatting>
  <conditionalFormatting sqref="AZ21">
    <cfRule type="expression" dxfId="16702" priority="2626">
      <formula>#REF!="TO"</formula>
    </cfRule>
    <cfRule type="expression" dxfId="16701" priority="2627">
      <formula>#REF!="IO"</formula>
    </cfRule>
    <cfRule type="expression" dxfId="16700" priority="2628">
      <formula>#REF!="L"</formula>
    </cfRule>
  </conditionalFormatting>
  <conditionalFormatting sqref="AV22:AV29">
    <cfRule type="expression" dxfId="16699" priority="2623">
      <formula>#REF!="TO"</formula>
    </cfRule>
    <cfRule type="expression" dxfId="16698" priority="2624">
      <formula>#REF!="IO"</formula>
    </cfRule>
    <cfRule type="expression" dxfId="16697" priority="2625">
      <formula>#REF!="L"</formula>
    </cfRule>
  </conditionalFormatting>
  <conditionalFormatting sqref="AZ22">
    <cfRule type="expression" dxfId="16696" priority="2620">
      <formula>#REF!="TO"</formula>
    </cfRule>
    <cfRule type="expression" dxfId="16695" priority="2621">
      <formula>#REF!="IO"</formula>
    </cfRule>
    <cfRule type="expression" dxfId="16694" priority="2622">
      <formula>#REF!="L"</formula>
    </cfRule>
  </conditionalFormatting>
  <conditionalFormatting sqref="AZ42">
    <cfRule type="expression" dxfId="16693" priority="2614">
      <formula>#REF!="TO"</formula>
    </cfRule>
    <cfRule type="expression" dxfId="16692" priority="2615">
      <formula>#REF!="IO"</formula>
    </cfRule>
    <cfRule type="expression" dxfId="16691" priority="2616">
      <formula>#REF!="L"</formula>
    </cfRule>
  </conditionalFormatting>
  <conditionalFormatting sqref="AV42">
    <cfRule type="expression" dxfId="16690" priority="2617">
      <formula>#REF!="TO"</formula>
    </cfRule>
    <cfRule type="expression" dxfId="16689" priority="2618">
      <formula>#REF!="IO"</formula>
    </cfRule>
    <cfRule type="expression" dxfId="16688" priority="2619">
      <formula>#REF!="L"</formula>
    </cfRule>
  </conditionalFormatting>
  <conditionalFormatting sqref="AZ44">
    <cfRule type="expression" dxfId="16687" priority="2602">
      <formula>#REF!="TO"</formula>
    </cfRule>
    <cfRule type="expression" dxfId="16686" priority="2603">
      <formula>#REF!="IO"</formula>
    </cfRule>
    <cfRule type="expression" dxfId="16685" priority="2604">
      <formula>#REF!="L"</formula>
    </cfRule>
  </conditionalFormatting>
  <conditionalFormatting sqref="AV43">
    <cfRule type="expression" dxfId="16684" priority="2611">
      <formula>#REF!="TO"</formula>
    </cfRule>
    <cfRule type="expression" dxfId="16683" priority="2612">
      <formula>#REF!="IO"</formula>
    </cfRule>
    <cfRule type="expression" dxfId="16682" priority="2613">
      <formula>#REF!="L"</formula>
    </cfRule>
  </conditionalFormatting>
  <conditionalFormatting sqref="AZ43">
    <cfRule type="expression" dxfId="16681" priority="2608">
      <formula>#REF!="TO"</formula>
    </cfRule>
    <cfRule type="expression" dxfId="16680" priority="2609">
      <formula>#REF!="IO"</formula>
    </cfRule>
    <cfRule type="expression" dxfId="16679" priority="2610">
      <formula>#REF!="L"</formula>
    </cfRule>
  </conditionalFormatting>
  <conditionalFormatting sqref="AZ47">
    <cfRule type="expression" dxfId="16678" priority="2584">
      <formula>#REF!="TO"</formula>
    </cfRule>
    <cfRule type="expression" dxfId="16677" priority="2585">
      <formula>#REF!="IO"</formula>
    </cfRule>
    <cfRule type="expression" dxfId="16676" priority="2586">
      <formula>#REF!="L"</formula>
    </cfRule>
  </conditionalFormatting>
  <conditionalFormatting sqref="AV44">
    <cfRule type="expression" dxfId="16675" priority="2605">
      <formula>#REF!="TO"</formula>
    </cfRule>
    <cfRule type="expression" dxfId="16674" priority="2606">
      <formula>#REF!="IO"</formula>
    </cfRule>
    <cfRule type="expression" dxfId="16673" priority="2607">
      <formula>#REF!="L"</formula>
    </cfRule>
  </conditionalFormatting>
  <conditionalFormatting sqref="AZ48">
    <cfRule type="expression" dxfId="16672" priority="2578">
      <formula>#REF!="TO"</formula>
    </cfRule>
    <cfRule type="expression" dxfId="16671" priority="2579">
      <formula>#REF!="IO"</formula>
    </cfRule>
    <cfRule type="expression" dxfId="16670" priority="2580">
      <formula>#REF!="L"</formula>
    </cfRule>
  </conditionalFormatting>
  <conditionalFormatting sqref="AZ49">
    <cfRule type="expression" dxfId="16669" priority="2572">
      <formula>#REF!="TO"</formula>
    </cfRule>
    <cfRule type="expression" dxfId="16668" priority="2573">
      <formula>#REF!="IO"</formula>
    </cfRule>
    <cfRule type="expression" dxfId="16667" priority="2574">
      <formula>#REF!="L"</formula>
    </cfRule>
  </conditionalFormatting>
  <conditionalFormatting sqref="AV45">
    <cfRule type="expression" dxfId="16666" priority="2599">
      <formula>#REF!="TO"</formula>
    </cfRule>
    <cfRule type="expression" dxfId="16665" priority="2600">
      <formula>#REF!="IO"</formula>
    </cfRule>
    <cfRule type="expression" dxfId="16664" priority="2601">
      <formula>#REF!="L"</formula>
    </cfRule>
  </conditionalFormatting>
  <conditionalFormatting sqref="AZ45">
    <cfRule type="expression" dxfId="16663" priority="2596">
      <formula>#REF!="TO"</formula>
    </cfRule>
    <cfRule type="expression" dxfId="16662" priority="2597">
      <formula>#REF!="IO"</formula>
    </cfRule>
    <cfRule type="expression" dxfId="16661" priority="2598">
      <formula>#REF!="L"</formula>
    </cfRule>
  </conditionalFormatting>
  <conditionalFormatting sqref="AV46">
    <cfRule type="expression" dxfId="16660" priority="2593">
      <formula>#REF!="TO"</formula>
    </cfRule>
    <cfRule type="expression" dxfId="16659" priority="2594">
      <formula>#REF!="IO"</formula>
    </cfRule>
    <cfRule type="expression" dxfId="16658" priority="2595">
      <formula>#REF!="L"</formula>
    </cfRule>
  </conditionalFormatting>
  <conditionalFormatting sqref="AZ46">
    <cfRule type="expression" dxfId="16657" priority="2590">
      <formula>#REF!="TO"</formula>
    </cfRule>
    <cfRule type="expression" dxfId="16656" priority="2591">
      <formula>#REF!="IO"</formula>
    </cfRule>
    <cfRule type="expression" dxfId="16655" priority="2592">
      <formula>#REF!="L"</formula>
    </cfRule>
  </conditionalFormatting>
  <conditionalFormatting sqref="AV47">
    <cfRule type="expression" dxfId="16654" priority="2587">
      <formula>#REF!="TO"</formula>
    </cfRule>
    <cfRule type="expression" dxfId="16653" priority="2588">
      <formula>#REF!="IO"</formula>
    </cfRule>
    <cfRule type="expression" dxfId="16652" priority="2589">
      <formula>#REF!="L"</formula>
    </cfRule>
  </conditionalFormatting>
  <conditionalFormatting sqref="AV48">
    <cfRule type="expression" dxfId="16651" priority="2581">
      <formula>#REF!="TO"</formula>
    </cfRule>
    <cfRule type="expression" dxfId="16650" priority="2582">
      <formula>#REF!="IO"</formula>
    </cfRule>
    <cfRule type="expression" dxfId="16649" priority="2583">
      <formula>#REF!="L"</formula>
    </cfRule>
  </conditionalFormatting>
  <conditionalFormatting sqref="AZ50">
    <cfRule type="expression" dxfId="16648" priority="2566">
      <formula>#REF!="TO"</formula>
    </cfRule>
    <cfRule type="expression" dxfId="16647" priority="2567">
      <formula>#REF!="IO"</formula>
    </cfRule>
    <cfRule type="expression" dxfId="16646" priority="2568">
      <formula>#REF!="L"</formula>
    </cfRule>
  </conditionalFormatting>
  <conditionalFormatting sqref="AV49">
    <cfRule type="expression" dxfId="16645" priority="2575">
      <formula>#REF!="TO"</formula>
    </cfRule>
    <cfRule type="expression" dxfId="16644" priority="2576">
      <formula>#REF!="IO"</formula>
    </cfRule>
    <cfRule type="expression" dxfId="16643" priority="2577">
      <formula>#REF!="L"</formula>
    </cfRule>
  </conditionalFormatting>
  <conditionalFormatting sqref="AV50">
    <cfRule type="expression" dxfId="16642" priority="2569">
      <formula>#REF!="TO"</formula>
    </cfRule>
    <cfRule type="expression" dxfId="16641" priority="2570">
      <formula>#REF!="IO"</formula>
    </cfRule>
    <cfRule type="expression" dxfId="16640" priority="2571">
      <formula>#REF!="L"</formula>
    </cfRule>
  </conditionalFormatting>
  <conditionalFormatting sqref="AZ51:AZ86">
    <cfRule type="expression" dxfId="16639" priority="2560">
      <formula>#REF!="TO"</formula>
    </cfRule>
    <cfRule type="expression" dxfId="16638" priority="2561">
      <formula>#REF!="IO"</formula>
    </cfRule>
    <cfRule type="expression" dxfId="16637" priority="2562">
      <formula>#REF!="L"</formula>
    </cfRule>
  </conditionalFormatting>
  <conditionalFormatting sqref="AV51:AV86">
    <cfRule type="expression" dxfId="16636" priority="2563">
      <formula>#REF!="TO"</formula>
    </cfRule>
    <cfRule type="expression" dxfId="16635" priority="2564">
      <formula>#REF!="IO"</formula>
    </cfRule>
    <cfRule type="expression" dxfId="16634" priority="2565">
      <formula>#REF!="L"</formula>
    </cfRule>
  </conditionalFormatting>
  <conditionalFormatting sqref="AZ28:AZ29">
    <cfRule type="expression" dxfId="16633" priority="2554">
      <formula>#REF!="TO"</formula>
    </cfRule>
    <cfRule type="expression" dxfId="16632" priority="2555">
      <formula>#REF!="IO"</formula>
    </cfRule>
    <cfRule type="expression" dxfId="16631" priority="2556">
      <formula>#REF!="L"</formula>
    </cfRule>
  </conditionalFormatting>
  <conditionalFormatting sqref="AV2">
    <cfRule type="expression" dxfId="16630" priority="2548">
      <formula>#REF!="TO"</formula>
    </cfRule>
    <cfRule type="expression" dxfId="16629" priority="2549">
      <formula>#REF!="IO"</formula>
    </cfRule>
    <cfRule type="expression" dxfId="16628" priority="2550">
      <formula>#REF!="L"</formula>
    </cfRule>
  </conditionalFormatting>
  <conditionalFormatting sqref="AZ2">
    <cfRule type="expression" dxfId="16627" priority="2545">
      <formula>#REF!="TO"</formula>
    </cfRule>
    <cfRule type="expression" dxfId="16626" priority="2546">
      <formula>#REF!="IO"</formula>
    </cfRule>
    <cfRule type="expression" dxfId="16625" priority="2547">
      <formula>#REF!="L"</formula>
    </cfRule>
  </conditionalFormatting>
  <conditionalFormatting sqref="AV30">
    <cfRule type="expression" dxfId="16624" priority="2500">
      <formula>#REF!="TO"</formula>
    </cfRule>
    <cfRule type="expression" dxfId="16623" priority="2501">
      <formula>#REF!="IO"</formula>
    </cfRule>
    <cfRule type="expression" dxfId="16622" priority="2502">
      <formula>#REF!="L"</formula>
    </cfRule>
    <cfRule type="expression" dxfId="16621" priority="2518">
      <formula>#REF!="TO"</formula>
    </cfRule>
    <cfRule type="expression" dxfId="16620" priority="2519">
      <formula>#REF!="IO"</formula>
    </cfRule>
    <cfRule type="expression" dxfId="16619" priority="2520">
      <formula>#REF!="L"</formula>
    </cfRule>
    <cfRule type="expression" dxfId="16618" priority="2509">
      <formula>#REF!="TO"</formula>
    </cfRule>
    <cfRule type="expression" dxfId="16617" priority="2510">
      <formula>#REF!="IO"</formula>
    </cfRule>
    <cfRule type="expression" dxfId="16616" priority="2511">
      <formula>#REF!="L"</formula>
    </cfRule>
    <cfRule type="expression" dxfId="16615" priority="2506">
      <formula>#REF!="TO"</formula>
    </cfRule>
    <cfRule type="expression" dxfId="16614" priority="2507">
      <formula>#REF!="IO"</formula>
    </cfRule>
    <cfRule type="expression" dxfId="16613" priority="2508">
      <formula>#REF!="L"</formula>
    </cfRule>
  </conditionalFormatting>
  <conditionalFormatting sqref="AY30">
    <cfRule type="expression" dxfId="16612" priority="2497">
      <formula>#REF!="TO"</formula>
    </cfRule>
    <cfRule type="expression" dxfId="16611" priority="2498">
      <formula>#REF!="IO"</formula>
    </cfRule>
    <cfRule type="expression" dxfId="16610" priority="2499">
      <formula>#REF!="L"</formula>
    </cfRule>
    <cfRule type="expression" dxfId="16609" priority="2494">
      <formula>#REF!="TO"</formula>
    </cfRule>
    <cfRule type="expression" dxfId="16608" priority="2495">
      <formula>#REF!="IO"</formula>
    </cfRule>
    <cfRule type="expression" dxfId="16607" priority="2496">
      <formula>#REF!="L"</formula>
    </cfRule>
    <cfRule type="expression" dxfId="16606" priority="2491">
      <formula>#REF!="TO"</formula>
    </cfRule>
    <cfRule type="expression" dxfId="16605" priority="2492">
      <formula>#REF!="IO"</formula>
    </cfRule>
    <cfRule type="expression" dxfId="16604" priority="2493">
      <formula>#REF!="L"</formula>
    </cfRule>
    <cfRule type="expression" dxfId="16603" priority="2488">
      <formula>#REF!="TO"</formula>
    </cfRule>
    <cfRule type="expression" dxfId="16602" priority="2489">
      <formula>#REF!="IO"</formula>
    </cfRule>
    <cfRule type="expression" dxfId="16601" priority="2490">
      <formula>#REF!="L"</formula>
    </cfRule>
  </conditionalFormatting>
  <conditionalFormatting sqref="AW30">
    <cfRule type="expression" dxfId="16600" priority="2512">
      <formula>#REF!="TO"</formula>
    </cfRule>
    <cfRule type="expression" dxfId="16599" priority="2513">
      <formula>#REF!="IO"</formula>
    </cfRule>
    <cfRule type="expression" dxfId="16598" priority="2514">
      <formula>#REF!="L"</formula>
    </cfRule>
  </conditionalFormatting>
  <conditionalFormatting sqref="AZ30">
    <cfRule type="expression" dxfId="16597" priority="2515">
      <formula>#REF!="TO"</formula>
    </cfRule>
    <cfRule type="expression" dxfId="16596" priority="2516">
      <formula>#REF!="IO"</formula>
    </cfRule>
    <cfRule type="expression" dxfId="16595" priority="2517">
      <formula>#REF!="L"</formula>
    </cfRule>
    <cfRule type="expression" dxfId="16594" priority="2503">
      <formula>#REF!="TO"</formula>
    </cfRule>
    <cfRule type="expression" dxfId="16593" priority="2504">
      <formula>#REF!="IO"</formula>
    </cfRule>
    <cfRule type="expression" dxfId="16592" priority="2505">
      <formula>#REF!="L"</formula>
    </cfRule>
  </conditionalFormatting>
  <conditionalFormatting sqref="AV31">
    <cfRule type="expression" dxfId="16591" priority="2455">
      <formula>#REF!="TO"</formula>
    </cfRule>
    <cfRule type="expression" dxfId="16590" priority="2456">
      <formula>#REF!="IO"</formula>
    </cfRule>
    <cfRule type="expression" dxfId="16589" priority="2457">
      <formula>#REF!="L"</formula>
    </cfRule>
    <cfRule type="expression" dxfId="16588" priority="2473">
      <formula>#REF!="TO"</formula>
    </cfRule>
    <cfRule type="expression" dxfId="16587" priority="2474">
      <formula>#REF!="IO"</formula>
    </cfRule>
    <cfRule type="expression" dxfId="16586" priority="2475">
      <formula>#REF!="L"</formula>
    </cfRule>
    <cfRule type="expression" dxfId="16585" priority="2464">
      <formula>#REF!="TO"</formula>
    </cfRule>
    <cfRule type="expression" dxfId="16584" priority="2465">
      <formula>#REF!="IO"</formula>
    </cfRule>
    <cfRule type="expression" dxfId="16583" priority="2466">
      <formula>#REF!="L"</formula>
    </cfRule>
    <cfRule type="expression" dxfId="16582" priority="2461">
      <formula>#REF!="TO"</formula>
    </cfRule>
    <cfRule type="expression" dxfId="16581" priority="2462">
      <formula>#REF!="IO"</formula>
    </cfRule>
    <cfRule type="expression" dxfId="16580" priority="2463">
      <formula>#REF!="L"</formula>
    </cfRule>
  </conditionalFormatting>
  <conditionalFormatting sqref="AY31">
    <cfRule type="expression" dxfId="16579" priority="2452">
      <formula>#REF!="TO"</formula>
    </cfRule>
    <cfRule type="expression" dxfId="16578" priority="2453">
      <formula>#REF!="IO"</formula>
    </cfRule>
    <cfRule type="expression" dxfId="16577" priority="2454">
      <formula>#REF!="L"</formula>
    </cfRule>
    <cfRule type="expression" dxfId="16576" priority="2449">
      <formula>#REF!="TO"</formula>
    </cfRule>
    <cfRule type="expression" dxfId="16575" priority="2450">
      <formula>#REF!="IO"</formula>
    </cfRule>
    <cfRule type="expression" dxfId="16574" priority="2451">
      <formula>#REF!="L"</formula>
    </cfRule>
    <cfRule type="expression" dxfId="16573" priority="2446">
      <formula>#REF!="TO"</formula>
    </cfRule>
    <cfRule type="expression" dxfId="16572" priority="2447">
      <formula>#REF!="IO"</formula>
    </cfRule>
    <cfRule type="expression" dxfId="16571" priority="2448">
      <formula>#REF!="L"</formula>
    </cfRule>
    <cfRule type="expression" dxfId="16570" priority="2443">
      <formula>#REF!="TO"</formula>
    </cfRule>
    <cfRule type="expression" dxfId="16569" priority="2444">
      <formula>#REF!="IO"</formula>
    </cfRule>
    <cfRule type="expression" dxfId="16568" priority="2445">
      <formula>#REF!="L"</formula>
    </cfRule>
  </conditionalFormatting>
  <conditionalFormatting sqref="AX31">
    <cfRule type="expression" dxfId="16567" priority="2440">
      <formula>#REF!="TO"</formula>
    </cfRule>
    <cfRule type="expression" dxfId="16566" priority="2441">
      <formula>#REF!="IO"</formula>
    </cfRule>
    <cfRule type="expression" dxfId="16565" priority="2442">
      <formula>#REF!="L"</formula>
    </cfRule>
    <cfRule type="expression" dxfId="16564" priority="2437">
      <formula>#REF!="TO"</formula>
    </cfRule>
    <cfRule type="expression" dxfId="16563" priority="2438">
      <formula>#REF!="IO"</formula>
    </cfRule>
    <cfRule type="expression" dxfId="16562" priority="2439">
      <formula>#REF!="L"</formula>
    </cfRule>
    <cfRule type="expression" dxfId="16561" priority="2434">
      <formula>#REF!="TO"</formula>
    </cfRule>
    <cfRule type="expression" dxfId="16560" priority="2435">
      <formula>#REF!="IO"</formula>
    </cfRule>
    <cfRule type="expression" dxfId="16559" priority="2436">
      <formula>#REF!="L"</formula>
    </cfRule>
    <cfRule type="expression" dxfId="16558" priority="2431">
      <formula>#REF!="TO"</formula>
    </cfRule>
    <cfRule type="expression" dxfId="16557" priority="2432">
      <formula>#REF!="IO"</formula>
    </cfRule>
    <cfRule type="expression" dxfId="16556" priority="2433">
      <formula>#REF!="L"</formula>
    </cfRule>
  </conditionalFormatting>
  <conditionalFormatting sqref="AW31">
    <cfRule type="expression" dxfId="16555" priority="2467">
      <formula>#REF!="TO"</formula>
    </cfRule>
    <cfRule type="expression" dxfId="16554" priority="2468">
      <formula>#REF!="IO"</formula>
    </cfRule>
    <cfRule type="expression" dxfId="16553" priority="2469">
      <formula>#REF!="L"</formula>
    </cfRule>
  </conditionalFormatting>
  <conditionalFormatting sqref="AZ31">
    <cfRule type="expression" dxfId="16552" priority="2470">
      <formula>#REF!="TO"</formula>
    </cfRule>
    <cfRule type="expression" dxfId="16551" priority="2471">
      <formula>#REF!="IO"</formula>
    </cfRule>
    <cfRule type="expression" dxfId="16550" priority="2472">
      <formula>#REF!="L"</formula>
    </cfRule>
    <cfRule type="expression" dxfId="16549" priority="2458">
      <formula>#REF!="TO"</formula>
    </cfRule>
    <cfRule type="expression" dxfId="16548" priority="2459">
      <formula>#REF!="IO"</formula>
    </cfRule>
    <cfRule type="expression" dxfId="16547" priority="2460">
      <formula>#REF!="L"</formula>
    </cfRule>
  </conditionalFormatting>
  <conditionalFormatting sqref="M34">
    <cfRule type="expression" dxfId="16546" priority="1846">
      <formula>#REF!="TO"</formula>
    </cfRule>
    <cfRule type="expression" dxfId="16545" priority="1847">
      <formula>#REF!="IO"</formula>
    </cfRule>
    <cfRule type="expression" dxfId="16544" priority="1848">
      <formula>#REF!="L"</formula>
    </cfRule>
    <cfRule type="expression" dxfId="16543" priority="1969">
      <formula>#REF!="TO"</formula>
    </cfRule>
    <cfRule type="expression" dxfId="16542" priority="1970">
      <formula>#REF!="IO"</formula>
    </cfRule>
    <cfRule type="expression" dxfId="16541" priority="1971">
      <formula>#REF!="L"</formula>
    </cfRule>
  </conditionalFormatting>
  <conditionalFormatting sqref="Q34">
    <cfRule type="expression" dxfId="16540" priority="1843">
      <formula>#REF!="TO"</formula>
    </cfRule>
    <cfRule type="expression" dxfId="16539" priority="1844">
      <formula>#REF!="IO"</formula>
    </cfRule>
    <cfRule type="expression" dxfId="16538" priority="1845">
      <formula>#REF!="L"</formula>
    </cfRule>
    <cfRule type="expression" dxfId="16537" priority="1966">
      <formula>#REF!="TO"</formula>
    </cfRule>
    <cfRule type="expression" dxfId="16536" priority="1967">
      <formula>#REF!="IO"</formula>
    </cfRule>
    <cfRule type="expression" dxfId="16535" priority="1968">
      <formula>#REF!="L"</formula>
    </cfRule>
  </conditionalFormatting>
  <conditionalFormatting sqref="AY33">
    <cfRule type="expression" dxfId="16534" priority="2341">
      <formula>#REF!="TO"</formula>
    </cfRule>
    <cfRule type="expression" dxfId="16533" priority="2342">
      <formula>#REF!="IO"</formula>
    </cfRule>
    <cfRule type="expression" dxfId="16532" priority="2343">
      <formula>#REF!="L"</formula>
    </cfRule>
    <cfRule type="expression" dxfId="16531" priority="2338">
      <formula>#REF!="TO"</formula>
    </cfRule>
    <cfRule type="expression" dxfId="16530" priority="2339">
      <formula>#REF!="IO"</formula>
    </cfRule>
    <cfRule type="expression" dxfId="16529" priority="2340">
      <formula>#REF!="L"</formula>
    </cfRule>
    <cfRule type="expression" dxfId="16528" priority="2344">
      <formula>#REF!="TO"</formula>
    </cfRule>
    <cfRule type="expression" dxfId="16527" priority="2345">
      <formula>#REF!="IO"</formula>
    </cfRule>
    <cfRule type="expression" dxfId="16526" priority="2346">
      <formula>#REF!="L"</formula>
    </cfRule>
    <cfRule type="expression" dxfId="16525" priority="2335">
      <formula>#REF!="TO"</formula>
    </cfRule>
    <cfRule type="expression" dxfId="16524" priority="2336">
      <formula>#REF!="IO"</formula>
    </cfRule>
    <cfRule type="expression" dxfId="16523" priority="2337">
      <formula>#REF!="L"</formula>
    </cfRule>
  </conditionalFormatting>
  <conditionalFormatting sqref="AZ33">
    <cfRule type="expression" dxfId="16522" priority="2362">
      <formula>#REF!="TO"</formula>
    </cfRule>
    <cfRule type="expression" dxfId="16521" priority="2363">
      <formula>#REF!="IO"</formula>
    </cfRule>
    <cfRule type="expression" dxfId="16520" priority="2364">
      <formula>#REF!="L"</formula>
    </cfRule>
    <cfRule type="expression" dxfId="16519" priority="2350">
      <formula>#REF!="TO"</formula>
    </cfRule>
    <cfRule type="expression" dxfId="16518" priority="2351">
      <formula>#REF!="IO"</formula>
    </cfRule>
    <cfRule type="expression" dxfId="16517" priority="2352">
      <formula>#REF!="L"</formula>
    </cfRule>
  </conditionalFormatting>
  <conditionalFormatting sqref="AX33">
    <cfRule type="expression" dxfId="16516" priority="2332">
      <formula>#REF!="TO"</formula>
    </cfRule>
    <cfRule type="expression" dxfId="16515" priority="2333">
      <formula>#REF!="IO"</formula>
    </cfRule>
    <cfRule type="expression" dxfId="16514" priority="2334">
      <formula>#REF!="L"</formula>
    </cfRule>
    <cfRule type="expression" dxfId="16513" priority="2329">
      <formula>#REF!="TO"</formula>
    </cfRule>
    <cfRule type="expression" dxfId="16512" priority="2330">
      <formula>#REF!="IO"</formula>
    </cfRule>
    <cfRule type="expression" dxfId="16511" priority="2331">
      <formula>#REF!="L"</formula>
    </cfRule>
    <cfRule type="expression" dxfId="16510" priority="2326">
      <formula>#REF!="TO"</formula>
    </cfRule>
    <cfRule type="expression" dxfId="16509" priority="2327">
      <formula>#REF!="IO"</formula>
    </cfRule>
    <cfRule type="expression" dxfId="16508" priority="2328">
      <formula>#REF!="L"</formula>
    </cfRule>
    <cfRule type="expression" dxfId="16507" priority="2323">
      <formula>#REF!="TO"</formula>
    </cfRule>
    <cfRule type="expression" dxfId="16506" priority="2324">
      <formula>#REF!="IO"</formula>
    </cfRule>
    <cfRule type="expression" dxfId="16505" priority="2325">
      <formula>#REF!="L"</formula>
    </cfRule>
  </conditionalFormatting>
  <conditionalFormatting sqref="C34">
    <cfRule type="expression" dxfId="16504" priority="1792">
      <formula>#REF!="TO"</formula>
    </cfRule>
    <cfRule type="expression" dxfId="16503" priority="1793">
      <formula>#REF!="IO"</formula>
    </cfRule>
    <cfRule type="expression" dxfId="16502" priority="1794">
      <formula>#REF!="L"</formula>
    </cfRule>
    <cfRule type="expression" dxfId="16501" priority="1798">
      <formula>#REF!="TO"</formula>
    </cfRule>
    <cfRule type="expression" dxfId="16500" priority="1799">
      <formula>#REF!="IO"</formula>
    </cfRule>
    <cfRule type="expression" dxfId="16499" priority="1800">
      <formula>#REF!="L"</formula>
    </cfRule>
    <cfRule type="expression" dxfId="16498" priority="1795">
      <formula>#REF!="TO"</formula>
    </cfRule>
    <cfRule type="expression" dxfId="16497" priority="1796">
      <formula>#REF!="IO"</formula>
    </cfRule>
    <cfRule type="expression" dxfId="16496" priority="1797">
      <formula>#REF!="L"</formula>
    </cfRule>
    <cfRule type="expression" dxfId="16495" priority="1789">
      <formula>#REF!="TO"</formula>
    </cfRule>
    <cfRule type="expression" dxfId="16494" priority="1790">
      <formula>#REF!="IO"</formula>
    </cfRule>
    <cfRule type="expression" dxfId="16493" priority="1791">
      <formula>#REF!="L"</formula>
    </cfRule>
  </conditionalFormatting>
  <conditionalFormatting sqref="AO34">
    <cfRule type="expression" dxfId="16492" priority="1750">
      <formula>#REF!="TO"</formula>
    </cfRule>
    <cfRule type="expression" dxfId="16491" priority="1751">
      <formula>#REF!="IO"</formula>
    </cfRule>
    <cfRule type="expression" dxfId="16490" priority="1752">
      <formula>#REF!="L"</formula>
    </cfRule>
    <cfRule type="expression" dxfId="16489" priority="1747">
      <formula>#REF!="TO"</formula>
    </cfRule>
    <cfRule type="expression" dxfId="16488" priority="1748">
      <formula>#REF!="IO"</formula>
    </cfRule>
    <cfRule type="expression" dxfId="16487" priority="1749">
      <formula>#REF!="L"</formula>
    </cfRule>
  </conditionalFormatting>
  <conditionalFormatting sqref="AD34">
    <cfRule type="expression" dxfId="16486" priority="1756">
      <formula>#REF!="TO"</formula>
    </cfRule>
    <cfRule type="expression" dxfId="16485" priority="1757">
      <formula>#REF!="IO"</formula>
    </cfRule>
    <cfRule type="expression" dxfId="16484" priority="1758">
      <formula>#REF!="L"</formula>
    </cfRule>
    <cfRule type="expression" dxfId="16483" priority="1762">
      <formula>#REF!="TO"</formula>
    </cfRule>
    <cfRule type="expression" dxfId="16482" priority="1763">
      <formula>#REF!="IO"</formula>
    </cfRule>
    <cfRule type="expression" dxfId="16481" priority="1764">
      <formula>#REF!="L"</formula>
    </cfRule>
    <cfRule type="expression" dxfId="16480" priority="1759">
      <formula>#REF!="TO"</formula>
    </cfRule>
    <cfRule type="expression" dxfId="16479" priority="1760">
      <formula>#REF!="IO"</formula>
    </cfRule>
    <cfRule type="expression" dxfId="16478" priority="1761">
      <formula>#REF!="L"</formula>
    </cfRule>
    <cfRule type="expression" dxfId="16477" priority="1753">
      <formula>#REF!="TO"</formula>
    </cfRule>
    <cfRule type="expression" dxfId="16476" priority="1754">
      <formula>#REF!="IO"</formula>
    </cfRule>
    <cfRule type="expression" dxfId="16475" priority="1755">
      <formula>#REF!="L"</formula>
    </cfRule>
  </conditionalFormatting>
  <conditionalFormatting sqref="J34">
    <cfRule type="expression" dxfId="16474" priority="1783">
      <formula>#REF!="TO"</formula>
    </cfRule>
    <cfRule type="expression" dxfId="16473" priority="1784">
      <formula>#REF!="IO"</formula>
    </cfRule>
    <cfRule type="expression" dxfId="16472" priority="1785">
      <formula>#REF!="L"</formula>
    </cfRule>
    <cfRule type="expression" dxfId="16471" priority="1780">
      <formula>#REF!="TO"</formula>
    </cfRule>
    <cfRule type="expression" dxfId="16470" priority="1781">
      <formula>#REF!="IO"</formula>
    </cfRule>
    <cfRule type="expression" dxfId="16469" priority="1782">
      <formula>#REF!="L"</formula>
    </cfRule>
    <cfRule type="expression" dxfId="16468" priority="1786">
      <formula>#REF!="TO"</formula>
    </cfRule>
    <cfRule type="expression" dxfId="16467" priority="1787">
      <formula>#REF!="IO"</formula>
    </cfRule>
    <cfRule type="expression" dxfId="16466" priority="1788">
      <formula>#REF!="L"</formula>
    </cfRule>
    <cfRule type="expression" dxfId="16465" priority="1777">
      <formula>#REF!="TO"</formula>
    </cfRule>
    <cfRule type="expression" dxfId="16464" priority="1778">
      <formula>#REF!="IO"</formula>
    </cfRule>
    <cfRule type="expression" dxfId="16463" priority="1779">
      <formula>#REF!="L"</formula>
    </cfRule>
  </conditionalFormatting>
  <conditionalFormatting sqref="AK34">
    <cfRule type="expression" dxfId="16462" priority="1912">
      <formula>#REF!="TO"</formula>
    </cfRule>
    <cfRule type="expression" dxfId="16461" priority="1913">
      <formula>#REF!="IO"</formula>
    </cfRule>
    <cfRule type="expression" dxfId="16460" priority="1914">
      <formula>#REF!="L"</formula>
    </cfRule>
    <cfRule type="expression" dxfId="16459" priority="2038">
      <formula>#REF!="TO"</formula>
    </cfRule>
    <cfRule type="expression" dxfId="16458" priority="2039">
      <formula>#REF!="IO"</formula>
    </cfRule>
    <cfRule type="expression" dxfId="16457" priority="2040">
      <formula>#REF!="L"</formula>
    </cfRule>
    <cfRule type="expression" dxfId="16456" priority="1987">
      <formula>#REF!="TO"</formula>
    </cfRule>
    <cfRule type="expression" dxfId="16455" priority="1988">
      <formula>#REF!="IO"</formula>
    </cfRule>
    <cfRule type="expression" dxfId="16454" priority="1989">
      <formula>#REF!="L"</formula>
    </cfRule>
    <cfRule type="expression" dxfId="16453" priority="1864">
      <formula>#REF!="TO"</formula>
    </cfRule>
    <cfRule type="expression" dxfId="16452" priority="1865">
      <formula>#REF!="IO"</formula>
    </cfRule>
    <cfRule type="expression" dxfId="16451" priority="1866">
      <formula>#REF!="L"</formula>
    </cfRule>
  </conditionalFormatting>
  <conditionalFormatting sqref="S34 O34:P34 H34">
    <cfRule type="expression" dxfId="16450" priority="2023">
      <formula>#REF!="TO"</formula>
    </cfRule>
    <cfRule type="expression" dxfId="16449" priority="2024">
      <formula>#REF!="IO"</formula>
    </cfRule>
    <cfRule type="expression" dxfId="16448" priority="2025">
      <formula>#REF!="L"</formula>
    </cfRule>
  </conditionalFormatting>
  <conditionalFormatting sqref="A34">
    <cfRule type="expression" dxfId="16447" priority="2071">
      <formula>#REF!="TO"</formula>
    </cfRule>
    <cfRule type="expression" dxfId="16446" priority="2072">
      <formula>#REF!="IO"</formula>
    </cfRule>
    <cfRule type="expression" dxfId="16445" priority="2073">
      <formula>#REF!="L"</formula>
    </cfRule>
    <cfRule type="expression" dxfId="16444" priority="1945">
      <formula>#REF!="TO"</formula>
    </cfRule>
    <cfRule type="expression" dxfId="16443" priority="1946">
      <formula>#REF!="IO"</formula>
    </cfRule>
    <cfRule type="expression" dxfId="16442" priority="1947">
      <formula>#REF!="L"</formula>
    </cfRule>
  </conditionalFormatting>
  <conditionalFormatting sqref="B34">
    <cfRule type="expression" dxfId="16441" priority="2068">
      <formula>#REF!="TO"</formula>
    </cfRule>
    <cfRule type="expression" dxfId="16440" priority="2069">
      <formula>#REF!="IO"</formula>
    </cfRule>
    <cfRule type="expression" dxfId="16439" priority="2070">
      <formula>#REF!="L"</formula>
    </cfRule>
    <cfRule type="expression" dxfId="16438" priority="2008">
      <formula>#REF!="TO"</formula>
    </cfRule>
    <cfRule type="expression" dxfId="16437" priority="2009">
      <formula>#REF!="IO"</formula>
    </cfRule>
    <cfRule type="expression" dxfId="16436" priority="2010">
      <formula>#REF!="L"</formula>
    </cfRule>
    <cfRule type="expression" dxfId="16435" priority="1942">
      <formula>#REF!="TO"</formula>
    </cfRule>
    <cfRule type="expression" dxfId="16434" priority="1943">
      <formula>#REF!="IO"</formula>
    </cfRule>
    <cfRule type="expression" dxfId="16433" priority="1944">
      <formula>#REF!="L"</formula>
    </cfRule>
    <cfRule type="expression" dxfId="16432" priority="1885">
      <formula>#REF!="TO"</formula>
    </cfRule>
    <cfRule type="expression" dxfId="16431" priority="1886">
      <formula>#REF!="IO"</formula>
    </cfRule>
    <cfRule type="expression" dxfId="16430" priority="1887">
      <formula>#REF!="L"</formula>
    </cfRule>
  </conditionalFormatting>
  <conditionalFormatting sqref="G34">
    <cfRule type="expression" dxfId="16429" priority="2065">
      <formula>#REF!="TO"</formula>
    </cfRule>
    <cfRule type="expression" dxfId="16428" priority="2066">
      <formula>#REF!="IO"</formula>
    </cfRule>
    <cfRule type="expression" dxfId="16427" priority="2067">
      <formula>#REF!="L"</formula>
    </cfRule>
    <cfRule type="expression" dxfId="16426" priority="2005">
      <formula>#REF!="TO"</formula>
    </cfRule>
    <cfRule type="expression" dxfId="16425" priority="2006">
      <formula>#REF!="IO"</formula>
    </cfRule>
    <cfRule type="expression" dxfId="16424" priority="2007">
      <formula>#REF!="L"</formula>
    </cfRule>
    <cfRule type="expression" dxfId="16423" priority="1939">
      <formula>#REF!="TO"</formula>
    </cfRule>
    <cfRule type="expression" dxfId="16422" priority="1940">
      <formula>#REF!="IO"</formula>
    </cfRule>
    <cfRule type="expression" dxfId="16421" priority="1941">
      <formula>#REF!="L"</formula>
    </cfRule>
    <cfRule type="expression" dxfId="16420" priority="1882">
      <formula>#REF!="TO"</formula>
    </cfRule>
    <cfRule type="expression" dxfId="16419" priority="1883">
      <formula>#REF!="IO"</formula>
    </cfRule>
    <cfRule type="expression" dxfId="16418" priority="1884">
      <formula>#REF!="L"</formula>
    </cfRule>
  </conditionalFormatting>
  <conditionalFormatting sqref="K34">
    <cfRule type="expression" dxfId="16417" priority="2062">
      <formula>#REF!="TO"</formula>
    </cfRule>
    <cfRule type="expression" dxfId="16416" priority="2063">
      <formula>#REF!="IO"</formula>
    </cfRule>
    <cfRule type="expression" dxfId="16415" priority="2064">
      <formula>#REF!="L"</formula>
    </cfRule>
    <cfRule type="expression" dxfId="16414" priority="1936">
      <formula>#REF!="TO"</formula>
    </cfRule>
    <cfRule type="expression" dxfId="16413" priority="1937">
      <formula>#REF!="IO"</formula>
    </cfRule>
    <cfRule type="expression" dxfId="16412" priority="1938">
      <formula>#REF!="L"</formula>
    </cfRule>
  </conditionalFormatting>
  <conditionalFormatting sqref="E34">
    <cfRule type="expression" dxfId="16411" priority="2059">
      <formula>#REF!="TO"</formula>
    </cfRule>
    <cfRule type="expression" dxfId="16410" priority="2060">
      <formula>#REF!="IO"</formula>
    </cfRule>
    <cfRule type="expression" dxfId="16409" priority="2061">
      <formula>#REF!="L"</formula>
    </cfRule>
    <cfRule type="expression" dxfId="16408" priority="2002">
      <formula>#REF!="TO"</formula>
    </cfRule>
    <cfRule type="expression" dxfId="16407" priority="2003">
      <formula>#REF!="IO"</formula>
    </cfRule>
    <cfRule type="expression" dxfId="16406" priority="2004">
      <formula>#REF!="L"</formula>
    </cfRule>
    <cfRule type="expression" dxfId="16405" priority="1933">
      <formula>#REF!="TO"</formula>
    </cfRule>
    <cfRule type="expression" dxfId="16404" priority="1934">
      <formula>#REF!="IO"</formula>
    </cfRule>
    <cfRule type="expression" dxfId="16403" priority="1935">
      <formula>#REF!="L"</formula>
    </cfRule>
    <cfRule type="expression" dxfId="16402" priority="1879">
      <formula>#REF!="TO"</formula>
    </cfRule>
    <cfRule type="expression" dxfId="16401" priority="1880">
      <formula>#REF!="IO"</formula>
    </cfRule>
    <cfRule type="expression" dxfId="16400" priority="1881">
      <formula>#REF!="L"</formula>
    </cfRule>
  </conditionalFormatting>
  <conditionalFormatting sqref="AJ34">
    <cfRule type="expression" dxfId="16399" priority="2041">
      <formula>#REF!="TO"</formula>
    </cfRule>
    <cfRule type="expression" dxfId="16398" priority="2042">
      <formula>#REF!="IO"</formula>
    </cfRule>
    <cfRule type="expression" dxfId="16397" priority="2043">
      <formula>#REF!="L"</formula>
    </cfRule>
    <cfRule type="expression" dxfId="16396" priority="1990">
      <formula>#REF!="TO"</formula>
    </cfRule>
    <cfRule type="expression" dxfId="16395" priority="1991">
      <formula>#REF!="IO"</formula>
    </cfRule>
    <cfRule type="expression" dxfId="16394" priority="1992">
      <formula>#REF!="L"</formula>
    </cfRule>
    <cfRule type="expression" dxfId="16393" priority="1915">
      <formula>#REF!="TO"</formula>
    </cfRule>
    <cfRule type="expression" dxfId="16392" priority="1916">
      <formula>#REF!="IO"</formula>
    </cfRule>
    <cfRule type="expression" dxfId="16391" priority="1917">
      <formula>#REF!="L"</formula>
    </cfRule>
    <cfRule type="expression" dxfId="16390" priority="1867">
      <formula>#REF!="TO"</formula>
    </cfRule>
    <cfRule type="expression" dxfId="16389" priority="1868">
      <formula>#REF!="IO"</formula>
    </cfRule>
    <cfRule type="expression" dxfId="16388" priority="1869">
      <formula>#REF!="L"</formula>
    </cfRule>
  </conditionalFormatting>
  <conditionalFormatting sqref="N34:P34">
    <cfRule type="expression" dxfId="16387" priority="2056">
      <formula>#REF!="TO"</formula>
    </cfRule>
    <cfRule type="expression" dxfId="16386" priority="2057">
      <formula>#REF!="IO"</formula>
    </cfRule>
    <cfRule type="expression" dxfId="16385" priority="2058">
      <formula>#REF!="L"</formula>
    </cfRule>
    <cfRule type="expression" dxfId="16384" priority="1999">
      <formula>#REF!="TO"</formula>
    </cfRule>
    <cfRule type="expression" dxfId="16383" priority="2000">
      <formula>#REF!="IO"</formula>
    </cfRule>
    <cfRule type="expression" dxfId="16382" priority="2001">
      <formula>#REF!="L"</formula>
    </cfRule>
    <cfRule type="expression" dxfId="16381" priority="1930">
      <formula>#REF!="TO"</formula>
    </cfRule>
    <cfRule type="expression" dxfId="16380" priority="1931">
      <formula>#REF!="IO"</formula>
    </cfRule>
    <cfRule type="expression" dxfId="16379" priority="1932">
      <formula>#REF!="L"</formula>
    </cfRule>
    <cfRule type="expression" dxfId="16378" priority="1876">
      <formula>#REF!="TO"</formula>
    </cfRule>
    <cfRule type="expression" dxfId="16377" priority="1877">
      <formula>#REF!="IO"</formula>
    </cfRule>
    <cfRule type="expression" dxfId="16376" priority="1878">
      <formula>#REF!="L"</formula>
    </cfRule>
  </conditionalFormatting>
  <conditionalFormatting sqref="V34">
    <cfRule type="expression" dxfId="16375" priority="2053">
      <formula>#REF!="TO"</formula>
    </cfRule>
    <cfRule type="expression" dxfId="16374" priority="2054">
      <formula>#REF!="IO"</formula>
    </cfRule>
    <cfRule type="expression" dxfId="16373" priority="2055">
      <formula>#REF!="L"</formula>
    </cfRule>
    <cfRule type="expression" dxfId="16372" priority="1927">
      <formula>#REF!="TO"</formula>
    </cfRule>
    <cfRule type="expression" dxfId="16371" priority="1928">
      <formula>#REF!="IO"</formula>
    </cfRule>
    <cfRule type="expression" dxfId="16370" priority="1929">
      <formula>#REF!="L"</formula>
    </cfRule>
  </conditionalFormatting>
  <conditionalFormatting sqref="X34">
    <cfRule type="expression" dxfId="16369" priority="2050">
      <formula>#REF!="TO"</formula>
    </cfRule>
    <cfRule type="expression" dxfId="16368" priority="2051">
      <formula>#REF!="IO"</formula>
    </cfRule>
    <cfRule type="expression" dxfId="16367" priority="2052">
      <formula>#REF!="L"</formula>
    </cfRule>
    <cfRule type="expression" dxfId="16366" priority="1996">
      <formula>#REF!="TO"</formula>
    </cfRule>
    <cfRule type="expression" dxfId="16365" priority="1997">
      <formula>#REF!="IO"</formula>
    </cfRule>
    <cfRule type="expression" dxfId="16364" priority="1998">
      <formula>#REF!="L"</formula>
    </cfRule>
    <cfRule type="expression" dxfId="16363" priority="1924">
      <formula>#REF!="TO"</formula>
    </cfRule>
    <cfRule type="expression" dxfId="16362" priority="1925">
      <formula>#REF!="IO"</formula>
    </cfRule>
    <cfRule type="expression" dxfId="16361" priority="1926">
      <formula>#REF!="L"</formula>
    </cfRule>
    <cfRule type="expression" dxfId="16360" priority="1873">
      <formula>#REF!="TO"</formula>
    </cfRule>
    <cfRule type="expression" dxfId="16359" priority="1874">
      <formula>#REF!="IO"</formula>
    </cfRule>
    <cfRule type="expression" dxfId="16358" priority="1875">
      <formula>#REF!="L"</formula>
    </cfRule>
  </conditionalFormatting>
  <conditionalFormatting sqref="Y34">
    <cfRule type="expression" dxfId="16357" priority="2047">
      <formula>#REF!="TO"</formula>
    </cfRule>
    <cfRule type="expression" dxfId="16356" priority="2048">
      <formula>#REF!="IO"</formula>
    </cfRule>
    <cfRule type="expression" dxfId="16355" priority="2049">
      <formula>#REF!="L"</formula>
    </cfRule>
    <cfRule type="expression" dxfId="16354" priority="1993">
      <formula>#REF!="TO"</formula>
    </cfRule>
    <cfRule type="expression" dxfId="16353" priority="1994">
      <formula>#REF!="IO"</formula>
    </cfRule>
    <cfRule type="expression" dxfId="16352" priority="1995">
      <formula>#REF!="L"</formula>
    </cfRule>
    <cfRule type="expression" dxfId="16351" priority="1870">
      <formula>#REF!="TO"</formula>
    </cfRule>
    <cfRule type="expression" dxfId="16350" priority="1871">
      <formula>#REF!="IO"</formula>
    </cfRule>
    <cfRule type="expression" dxfId="16349" priority="1872">
      <formula>#REF!="L"</formula>
    </cfRule>
    <cfRule type="expression" dxfId="16348" priority="1921">
      <formula>#REF!="TO"</formula>
    </cfRule>
    <cfRule type="expression" dxfId="16347" priority="1922">
      <formula>#REF!="IO"</formula>
    </cfRule>
    <cfRule type="expression" dxfId="16346" priority="1923">
      <formula>#REF!="L"</formula>
    </cfRule>
  </conditionalFormatting>
  <conditionalFormatting sqref="AH34">
    <cfRule type="expression" dxfId="16345" priority="2044">
      <formula>#REF!="TO"</formula>
    </cfRule>
    <cfRule type="expression" dxfId="16344" priority="2045">
      <formula>#REF!="IO"</formula>
    </cfRule>
    <cfRule type="expression" dxfId="16343" priority="2046">
      <formula>#REF!="L"</formula>
    </cfRule>
    <cfRule type="expression" dxfId="16342" priority="1918">
      <formula>#REF!="TO"</formula>
    </cfRule>
    <cfRule type="expression" dxfId="16341" priority="1919">
      <formula>#REF!="IO"</formula>
    </cfRule>
    <cfRule type="expression" dxfId="16340" priority="1920">
      <formula>#REF!="L"</formula>
    </cfRule>
  </conditionalFormatting>
  <conditionalFormatting sqref="AM34">
    <cfRule type="expression" dxfId="16339" priority="2035">
      <formula>#REF!="TO"</formula>
    </cfRule>
    <cfRule type="expression" dxfId="16338" priority="2036">
      <formula>#REF!="IO"</formula>
    </cfRule>
    <cfRule type="expression" dxfId="16337" priority="2037">
      <formula>#REF!="L"</formula>
    </cfRule>
    <cfRule type="expression" dxfId="16336" priority="1909">
      <formula>#REF!="TO"</formula>
    </cfRule>
    <cfRule type="expression" dxfId="16335" priority="1910">
      <formula>#REF!="IO"</formula>
    </cfRule>
    <cfRule type="expression" dxfId="16334" priority="1911">
      <formula>#REF!="L"</formula>
    </cfRule>
  </conditionalFormatting>
  <conditionalFormatting sqref="AQ34">
    <cfRule type="expression" dxfId="16333" priority="2032">
      <formula>#REF!="TO"</formula>
    </cfRule>
    <cfRule type="expression" dxfId="16332" priority="2033">
      <formula>#REF!="IO"</formula>
    </cfRule>
    <cfRule type="expression" dxfId="16331" priority="2034">
      <formula>#REF!="L"</formula>
    </cfRule>
    <cfRule type="expression" dxfId="16330" priority="2029">
      <formula>#REF!="TO"</formula>
    </cfRule>
    <cfRule type="expression" dxfId="16329" priority="2030">
      <formula>#REF!="IO"</formula>
    </cfRule>
    <cfRule type="expression" dxfId="16328" priority="2031">
      <formula>#REF!="L"</formula>
    </cfRule>
    <cfRule type="expression" dxfId="16327" priority="1906">
      <formula>#REF!="TO"</formula>
    </cfRule>
    <cfRule type="expression" dxfId="16326" priority="1907">
      <formula>#REF!="IO"</formula>
    </cfRule>
    <cfRule type="expression" dxfId="16325" priority="1908">
      <formula>#REF!="L"</formula>
    </cfRule>
    <cfRule type="expression" dxfId="16324" priority="1903">
      <formula>#REF!="TO"</formula>
    </cfRule>
    <cfRule type="expression" dxfId="16323" priority="1904">
      <formula>#REF!="IO"</formula>
    </cfRule>
    <cfRule type="expression" dxfId="16322" priority="1905">
      <formula>#REF!="L"</formula>
    </cfRule>
  </conditionalFormatting>
  <conditionalFormatting sqref="AR34">
    <cfRule type="expression" dxfId="16321" priority="2026">
      <formula>#REF!="TO"</formula>
    </cfRule>
    <cfRule type="expression" dxfId="16320" priority="2027">
      <formula>#REF!="IO"</formula>
    </cfRule>
    <cfRule type="expression" dxfId="16319" priority="2028">
      <formula>#REF!="L"</formula>
    </cfRule>
    <cfRule type="expression" dxfId="16318" priority="1900">
      <formula>#REF!="TO"</formula>
    </cfRule>
    <cfRule type="expression" dxfId="16317" priority="1901">
      <formula>#REF!="IO"</formula>
    </cfRule>
    <cfRule type="expression" dxfId="16316" priority="1902">
      <formula>#REF!="L"</formula>
    </cfRule>
  </conditionalFormatting>
  <conditionalFormatting sqref="S34">
    <cfRule type="expression" dxfId="16315" priority="2017">
      <formula>#REF!="TO"</formula>
    </cfRule>
    <cfRule type="expression" dxfId="16314" priority="2018">
      <formula>#REF!="IO"</formula>
    </cfRule>
    <cfRule type="expression" dxfId="16313" priority="2019">
      <formula>#REF!="L"</formula>
    </cfRule>
    <cfRule type="expression" dxfId="16312" priority="1894">
      <formula>#REF!="TO"</formula>
    </cfRule>
    <cfRule type="expression" dxfId="16311" priority="1895">
      <formula>#REF!="IO"</formula>
    </cfRule>
    <cfRule type="expression" dxfId="16310" priority="1896">
      <formula>#REF!="L"</formula>
    </cfRule>
  </conditionalFormatting>
  <conditionalFormatting sqref="O34:P34">
    <cfRule type="expression" dxfId="16309" priority="2020">
      <formula>#REF!="TO"</formula>
    </cfRule>
    <cfRule type="expression" dxfId="16308" priority="2021">
      <formula>#REF!="IO"</formula>
    </cfRule>
    <cfRule type="expression" dxfId="16307" priority="2022">
      <formula>#REF!="L"</formula>
    </cfRule>
    <cfRule type="expression" dxfId="16306" priority="1897">
      <formula>#REF!="TO"</formula>
    </cfRule>
    <cfRule type="expression" dxfId="16305" priority="1898">
      <formula>#REF!="IO"</formula>
    </cfRule>
    <cfRule type="expression" dxfId="16304" priority="1899">
      <formula>#REF!="L"</formula>
    </cfRule>
  </conditionalFormatting>
  <conditionalFormatting sqref="AT34">
    <cfRule type="expression" dxfId="16303" priority="2014">
      <formula>#REF!="TO"</formula>
    </cfRule>
    <cfRule type="expression" dxfId="16302" priority="2015">
      <formula>#REF!="IO"</formula>
    </cfRule>
    <cfRule type="expression" dxfId="16301" priority="2016">
      <formula>#REF!="L"</formula>
    </cfRule>
    <cfRule type="expression" dxfId="16300" priority="1891">
      <formula>#REF!="TO"</formula>
    </cfRule>
    <cfRule type="expression" dxfId="16299" priority="1892">
      <formula>#REF!="IO"</formula>
    </cfRule>
    <cfRule type="expression" dxfId="16298" priority="1893">
      <formula>#REF!="L"</formula>
    </cfRule>
  </conditionalFormatting>
  <conditionalFormatting sqref="AF34">
    <cfRule type="expression" dxfId="16297" priority="2011">
      <formula>#REF!="TO"</formula>
    </cfRule>
    <cfRule type="expression" dxfId="16296" priority="2012">
      <formula>#REF!="IO"</formula>
    </cfRule>
    <cfRule type="expression" dxfId="16295" priority="2013">
      <formula>#REF!="L"</formula>
    </cfRule>
    <cfRule type="expression" dxfId="16294" priority="1972">
      <formula>#REF!="TO"</formula>
    </cfRule>
    <cfRule type="expression" dxfId="16293" priority="1973">
      <formula>#REF!="IO"</formula>
    </cfRule>
    <cfRule type="expression" dxfId="16292" priority="1974">
      <formula>#REF!="L"</formula>
    </cfRule>
    <cfRule type="expression" dxfId="16291" priority="1888">
      <formula>#REF!="TO"</formula>
    </cfRule>
    <cfRule type="expression" dxfId="16290" priority="1889">
      <formula>#REF!="IO"</formula>
    </cfRule>
    <cfRule type="expression" dxfId="16289" priority="1890">
      <formula>#REF!="L"</formula>
    </cfRule>
    <cfRule type="expression" dxfId="16288" priority="1849">
      <formula>#REF!="TO"</formula>
    </cfRule>
    <cfRule type="expression" dxfId="16287" priority="1850">
      <formula>#REF!="IO"</formula>
    </cfRule>
    <cfRule type="expression" dxfId="16286" priority="1851">
      <formula>#REF!="L"</formula>
    </cfRule>
  </conditionalFormatting>
  <conditionalFormatting sqref="Z34">
    <cfRule type="expression" dxfId="16285" priority="1981">
      <formula>#REF!="TO"</formula>
    </cfRule>
    <cfRule type="expression" dxfId="16284" priority="1982">
      <formula>#REF!="IO"</formula>
    </cfRule>
    <cfRule type="expression" dxfId="16283" priority="1983">
      <formula>#REF!="L"</formula>
    </cfRule>
    <cfRule type="expression" dxfId="16282" priority="1984">
      <formula>H34="TO"</formula>
    </cfRule>
    <cfRule type="expression" dxfId="16281" priority="1985">
      <formula>H34="IO"</formula>
    </cfRule>
    <cfRule type="expression" dxfId="16280" priority="1986">
      <formula>H34="L"</formula>
    </cfRule>
    <cfRule type="expression" dxfId="16279" priority="1858">
      <formula>#REF!="TO"</formula>
    </cfRule>
    <cfRule type="expression" dxfId="16278" priority="1859">
      <formula>#REF!="IO"</formula>
    </cfRule>
    <cfRule type="expression" dxfId="16277" priority="1860">
      <formula>#REF!="L"</formula>
    </cfRule>
    <cfRule type="expression" dxfId="16276" priority="1861">
      <formula>H34="TO"</formula>
    </cfRule>
    <cfRule type="expression" dxfId="16275" priority="1862">
      <formula>H34="IO"</formula>
    </cfRule>
    <cfRule type="expression" dxfId="16274" priority="1863">
      <formula>H34="L"</formula>
    </cfRule>
  </conditionalFormatting>
  <conditionalFormatting sqref="AE34">
    <cfRule type="expression" dxfId="16273" priority="1975">
      <formula>#REF!="TO"</formula>
    </cfRule>
    <cfRule type="expression" dxfId="16272" priority="1976">
      <formula>#REF!="IO"</formula>
    </cfRule>
    <cfRule type="expression" dxfId="16271" priority="1977">
      <formula>#REF!="L"</formula>
    </cfRule>
    <cfRule type="expression" dxfId="16270" priority="1978">
      <formula>E34="TO"</formula>
    </cfRule>
    <cfRule type="expression" dxfId="16269" priority="1979">
      <formula>E34="IO"</formula>
    </cfRule>
    <cfRule type="expression" dxfId="16268" priority="1980">
      <formula>E34="L"</formula>
    </cfRule>
    <cfRule type="expression" dxfId="16267" priority="1852">
      <formula>#REF!="TO"</formula>
    </cfRule>
    <cfRule type="expression" dxfId="16266" priority="1853">
      <formula>#REF!="IO"</formula>
    </cfRule>
    <cfRule type="expression" dxfId="16265" priority="1854">
      <formula>#REF!="L"</formula>
    </cfRule>
    <cfRule type="expression" dxfId="16264" priority="1855">
      <formula>E34="TO"</formula>
    </cfRule>
    <cfRule type="expression" dxfId="16263" priority="1856">
      <formula>E34="IO"</formula>
    </cfRule>
    <cfRule type="expression" dxfId="16262" priority="1857">
      <formula>E34="L"</formula>
    </cfRule>
  </conditionalFormatting>
  <conditionalFormatting sqref="R34">
    <cfRule type="expression" dxfId="16261" priority="1963">
      <formula>#REF!="TO"</formula>
    </cfRule>
    <cfRule type="expression" dxfId="16260" priority="1964">
      <formula>#REF!="IO"</formula>
    </cfRule>
    <cfRule type="expression" dxfId="16259" priority="1965">
      <formula>#REF!="L"</formula>
    </cfRule>
    <cfRule type="expression" dxfId="16258" priority="1840">
      <formula>#REF!="TO"</formula>
    </cfRule>
    <cfRule type="expression" dxfId="16257" priority="1841">
      <formula>#REF!="IO"</formula>
    </cfRule>
    <cfRule type="expression" dxfId="16256" priority="1842">
      <formula>#REF!="L"</formula>
    </cfRule>
  </conditionalFormatting>
  <conditionalFormatting sqref="P34">
    <cfRule type="expression" dxfId="16255" priority="1960">
      <formula>#REF!="TO"</formula>
    </cfRule>
    <cfRule type="expression" dxfId="16254" priority="1961">
      <formula>#REF!="IO"</formula>
    </cfRule>
    <cfRule type="expression" dxfId="16253" priority="1962">
      <formula>#REF!="L"</formula>
    </cfRule>
    <cfRule type="expression" dxfId="16252" priority="1837">
      <formula>#REF!="TO"</formula>
    </cfRule>
    <cfRule type="expression" dxfId="16251" priority="1838">
      <formula>#REF!="IO"</formula>
    </cfRule>
    <cfRule type="expression" dxfId="16250" priority="1839">
      <formula>#REF!="L"</formula>
    </cfRule>
  </conditionalFormatting>
  <conditionalFormatting sqref="AA34">
    <cfRule type="expression" dxfId="16249" priority="1954">
      <formula>#REF!="TO"</formula>
    </cfRule>
    <cfRule type="expression" dxfId="16248" priority="1955">
      <formula>#REF!="IO"</formula>
    </cfRule>
    <cfRule type="expression" dxfId="16247" priority="1956">
      <formula>#REF!="L"</formula>
    </cfRule>
    <cfRule type="expression" dxfId="16246" priority="1957">
      <formula>#REF!="TO"</formula>
    </cfRule>
    <cfRule type="expression" dxfId="16245" priority="1958">
      <formula>#REF!="IO"</formula>
    </cfRule>
    <cfRule type="expression" dxfId="16244" priority="1959">
      <formula>#REF!="L"</formula>
    </cfRule>
    <cfRule type="expression" dxfId="16243" priority="1834">
      <formula>#REF!="TO"</formula>
    </cfRule>
    <cfRule type="expression" dxfId="16242" priority="1835">
      <formula>#REF!="IO"</formula>
    </cfRule>
    <cfRule type="expression" dxfId="16241" priority="1836">
      <formula>#REF!="L"</formula>
    </cfRule>
    <cfRule type="expression" dxfId="16240" priority="1831">
      <formula>#REF!="TO"</formula>
    </cfRule>
    <cfRule type="expression" dxfId="16239" priority="1832">
      <formula>#REF!="IO"</formula>
    </cfRule>
    <cfRule type="expression" dxfId="16238" priority="1833">
      <formula>#REF!="L"</formula>
    </cfRule>
  </conditionalFormatting>
  <conditionalFormatting sqref="AB34:AD34">
    <cfRule type="expression" dxfId="16237" priority="1951">
      <formula>#REF!="TO"</formula>
    </cfRule>
    <cfRule type="expression" dxfId="16236" priority="1952">
      <formula>#REF!="IO"</formula>
    </cfRule>
    <cfRule type="expression" dxfId="16235" priority="1953">
      <formula>#REF!="L"</formula>
    </cfRule>
    <cfRule type="expression" dxfId="16234" priority="1948">
      <formula>#REF!="TO"</formula>
    </cfRule>
    <cfRule type="expression" dxfId="16233" priority="1949">
      <formula>#REF!="IO"</formula>
    </cfRule>
    <cfRule type="expression" dxfId="16232" priority="1950">
      <formula>#REF!="L"</formula>
    </cfRule>
    <cfRule type="expression" dxfId="16231" priority="1828">
      <formula>#REF!="TO"</formula>
    </cfRule>
    <cfRule type="expression" dxfId="16230" priority="1829">
      <formula>#REF!="IO"</formula>
    </cfRule>
    <cfRule type="expression" dxfId="16229" priority="1830">
      <formula>#REF!="L"</formula>
    </cfRule>
    <cfRule type="expression" dxfId="16228" priority="1825">
      <formula>#REF!="TO"</formula>
    </cfRule>
    <cfRule type="expression" dxfId="16227" priority="1826">
      <formula>#REF!="IO"</formula>
    </cfRule>
    <cfRule type="expression" dxfId="16226" priority="1827">
      <formula>#REF!="L"</formula>
    </cfRule>
  </conditionalFormatting>
  <conditionalFormatting sqref="U34">
    <cfRule type="expression" dxfId="16225" priority="1822">
      <formula>#REF!="TO"</formula>
    </cfRule>
    <cfRule type="expression" dxfId="16224" priority="1823">
      <formula>#REF!="IO"</formula>
    </cfRule>
    <cfRule type="expression" dxfId="16223" priority="1824">
      <formula>#REF!="L"</formula>
    </cfRule>
    <cfRule type="expression" dxfId="16222" priority="1819">
      <formula>#REF!="TO"</formula>
    </cfRule>
    <cfRule type="expression" dxfId="16221" priority="1820">
      <formula>#REF!="IO"</formula>
    </cfRule>
    <cfRule type="expression" dxfId="16220" priority="1821">
      <formula>#REF!="L"</formula>
    </cfRule>
    <cfRule type="expression" dxfId="16219" priority="1816">
      <formula>#REF!="TO"</formula>
    </cfRule>
    <cfRule type="expression" dxfId="16218" priority="1817">
      <formula>#REF!="IO"</formula>
    </cfRule>
    <cfRule type="expression" dxfId="16217" priority="1818">
      <formula>#REF!="L"</formula>
    </cfRule>
    <cfRule type="expression" dxfId="16216" priority="1813">
      <formula>#REF!="TO"</formula>
    </cfRule>
    <cfRule type="expression" dxfId="16215" priority="1814">
      <formula>#REF!="IO"</formula>
    </cfRule>
    <cfRule type="expression" dxfId="16214" priority="1815">
      <formula>#REF!="L"</formula>
    </cfRule>
  </conditionalFormatting>
  <conditionalFormatting sqref="T34">
    <cfRule type="expression" dxfId="16213" priority="1810">
      <formula>#REF!="TO"</formula>
    </cfRule>
    <cfRule type="expression" dxfId="16212" priority="1811">
      <formula>#REF!="IO"</formula>
    </cfRule>
    <cfRule type="expression" dxfId="16211" priority="1812">
      <formula>#REF!="L"</formula>
    </cfRule>
    <cfRule type="expression" dxfId="16210" priority="1807">
      <formula>#REF!="TO"</formula>
    </cfRule>
    <cfRule type="expression" dxfId="16209" priority="1808">
      <formula>#REF!="IO"</formula>
    </cfRule>
    <cfRule type="expression" dxfId="16208" priority="1809">
      <formula>#REF!="L"</formula>
    </cfRule>
    <cfRule type="expression" dxfId="16207" priority="1804">
      <formula>#REF!="TO"</formula>
    </cfRule>
    <cfRule type="expression" dxfId="16206" priority="1805">
      <formula>#REF!="IO"</formula>
    </cfRule>
    <cfRule type="expression" dxfId="16205" priority="1806">
      <formula>#REF!="L"</formula>
    </cfRule>
    <cfRule type="expression" dxfId="16204" priority="1801">
      <formula>#REF!="TO"</formula>
    </cfRule>
    <cfRule type="expression" dxfId="16203" priority="1802">
      <formula>#REF!="IO"</formula>
    </cfRule>
    <cfRule type="expression" dxfId="16202" priority="1803">
      <formula>#REF!="L"</formula>
    </cfRule>
  </conditionalFormatting>
  <conditionalFormatting sqref="I34">
    <cfRule type="expression" dxfId="16201" priority="1774">
      <formula>#REF!="TO"</formula>
    </cfRule>
    <cfRule type="expression" dxfId="16200" priority="1775">
      <formula>#REF!="IO"</formula>
    </cfRule>
    <cfRule type="expression" dxfId="16199" priority="1776">
      <formula>#REF!="L"</formula>
    </cfRule>
    <cfRule type="expression" dxfId="16198" priority="1771">
      <formula>#REF!="TO"</formula>
    </cfRule>
    <cfRule type="expression" dxfId="16197" priority="1772">
      <formula>#REF!="IO"</formula>
    </cfRule>
    <cfRule type="expression" dxfId="16196" priority="1773">
      <formula>#REF!="L"</formula>
    </cfRule>
    <cfRule type="expression" dxfId="16195" priority="1768">
      <formula>#REF!="TO"</formula>
    </cfRule>
    <cfRule type="expression" dxfId="16194" priority="1769">
      <formula>#REF!="IO"</formula>
    </cfRule>
    <cfRule type="expression" dxfId="16193" priority="1770">
      <formula>#REF!="L"</formula>
    </cfRule>
    <cfRule type="expression" dxfId="16192" priority="1765">
      <formula>#REF!="TO"</formula>
    </cfRule>
    <cfRule type="expression" dxfId="16191" priority="1766">
      <formula>#REF!="IO"</formula>
    </cfRule>
    <cfRule type="expression" dxfId="16190" priority="1767">
      <formula>#REF!="L"</formula>
    </cfRule>
  </conditionalFormatting>
  <conditionalFormatting sqref="BC34:BE34">
    <cfRule type="expression" dxfId="16189" priority="1744">
      <formula>#REF!="TO"</formula>
    </cfRule>
    <cfRule type="expression" dxfId="16188" priority="1745">
      <formula>#REF!="IO"</formula>
    </cfRule>
    <cfRule type="expression" dxfId="16187" priority="1746">
      <formula>#REF!="L"</formula>
    </cfRule>
    <cfRule type="expression" dxfId="16186" priority="1684">
      <formula>#REF!="TO"</formula>
    </cfRule>
    <cfRule type="expression" dxfId="16185" priority="1685">
      <formula>#REF!="IO"</formula>
    </cfRule>
    <cfRule type="expression" dxfId="16184" priority="1686">
      <formula>#REF!="L"</formula>
    </cfRule>
    <cfRule type="expression" dxfId="16183" priority="1723">
      <formula>#REF!="TO"</formula>
    </cfRule>
    <cfRule type="expression" dxfId="16182" priority="1724">
      <formula>#REF!="IO"</formula>
    </cfRule>
    <cfRule type="expression" dxfId="16181" priority="1725">
      <formula>#REF!="L"</formula>
    </cfRule>
    <cfRule type="expression" dxfId="16180" priority="1666">
      <formula>#REF!="TO"</formula>
    </cfRule>
    <cfRule type="expression" dxfId="16179" priority="1667">
      <formula>#REF!="IO"</formula>
    </cfRule>
    <cfRule type="expression" dxfId="16178" priority="1668">
      <formula>#REF!="L"</formula>
    </cfRule>
  </conditionalFormatting>
  <conditionalFormatting sqref="BS34">
    <cfRule type="expression" dxfId="16177" priority="1597">
      <formula>#REF!="TO"</formula>
    </cfRule>
    <cfRule type="expression" dxfId="16176" priority="1598">
      <formula>#REF!="IO"</formula>
    </cfRule>
    <cfRule type="expression" dxfId="16175" priority="1599">
      <formula>#REF!="L"</formula>
    </cfRule>
    <cfRule type="expression" dxfId="16174" priority="1603">
      <formula>#REF!="TO"</formula>
    </cfRule>
    <cfRule type="expression" dxfId="16173" priority="1604">
      <formula>#REF!="IO"</formula>
    </cfRule>
    <cfRule type="expression" dxfId="16172" priority="1605">
      <formula>#REF!="L"</formula>
    </cfRule>
    <cfRule type="expression" dxfId="16171" priority="1600">
      <formula>#REF!="TO"</formula>
    </cfRule>
    <cfRule type="expression" dxfId="16170" priority="1601">
      <formula>#REF!="IO"</formula>
    </cfRule>
    <cfRule type="expression" dxfId="16169" priority="1602">
      <formula>#REF!="L"</formula>
    </cfRule>
    <cfRule type="expression" dxfId="16168" priority="1594">
      <formula>#REF!="TO"</formula>
    </cfRule>
    <cfRule type="expression" dxfId="16167" priority="1595">
      <formula>#REF!="IO"</formula>
    </cfRule>
    <cfRule type="expression" dxfId="16166" priority="1596">
      <formula>#REF!="L"</formula>
    </cfRule>
  </conditionalFormatting>
  <conditionalFormatting sqref="BH34 BD34:BE34">
    <cfRule type="expression" dxfId="16165" priority="1732">
      <formula>#REF!="TO"</formula>
    </cfRule>
    <cfRule type="expression" dxfId="16164" priority="1733">
      <formula>#REF!="IO"</formula>
    </cfRule>
    <cfRule type="expression" dxfId="16163" priority="1734">
      <formula>#REF!="L"</formula>
    </cfRule>
  </conditionalFormatting>
  <conditionalFormatting sqref="BK34">
    <cfRule type="expression" dxfId="16162" priority="1741">
      <formula>#REF!="TO"</formula>
    </cfRule>
    <cfRule type="expression" dxfId="16161" priority="1742">
      <formula>#REF!="IO"</formula>
    </cfRule>
    <cfRule type="expression" dxfId="16160" priority="1743">
      <formula>#REF!="L"</formula>
    </cfRule>
    <cfRule type="expression" dxfId="16159" priority="1681">
      <formula>#REF!="TO"</formula>
    </cfRule>
    <cfRule type="expression" dxfId="16158" priority="1682">
      <formula>#REF!="IO"</formula>
    </cfRule>
    <cfRule type="expression" dxfId="16157" priority="1683">
      <formula>#REF!="L"</formula>
    </cfRule>
  </conditionalFormatting>
  <conditionalFormatting sqref="BM34">
    <cfRule type="expression" dxfId="16156" priority="1738">
      <formula>#REF!="TO"</formula>
    </cfRule>
    <cfRule type="expression" dxfId="16155" priority="1739">
      <formula>#REF!="IO"</formula>
    </cfRule>
    <cfRule type="expression" dxfId="16154" priority="1740">
      <formula>#REF!="L"</formula>
    </cfRule>
    <cfRule type="expression" dxfId="16153" priority="1720">
      <formula>#REF!="TO"</formula>
    </cfRule>
    <cfRule type="expression" dxfId="16152" priority="1721">
      <formula>#REF!="IO"</formula>
    </cfRule>
    <cfRule type="expression" dxfId="16151" priority="1722">
      <formula>#REF!="L"</formula>
    </cfRule>
    <cfRule type="expression" dxfId="16150" priority="1678">
      <formula>#REF!="TO"</formula>
    </cfRule>
    <cfRule type="expression" dxfId="16149" priority="1679">
      <formula>#REF!="IO"</formula>
    </cfRule>
    <cfRule type="expression" dxfId="16148" priority="1680">
      <formula>#REF!="L"</formula>
    </cfRule>
    <cfRule type="expression" dxfId="16147" priority="1663">
      <formula>#REF!="TO"</formula>
    </cfRule>
    <cfRule type="expression" dxfId="16146" priority="1664">
      <formula>#REF!="IO"</formula>
    </cfRule>
    <cfRule type="expression" dxfId="16145" priority="1665">
      <formula>#REF!="L"</formula>
    </cfRule>
  </conditionalFormatting>
  <conditionalFormatting sqref="BN34">
    <cfRule type="expression" dxfId="16144" priority="1735">
      <formula>#REF!="TO"</formula>
    </cfRule>
    <cfRule type="expression" dxfId="16143" priority="1736">
      <formula>#REF!="IO"</formula>
    </cfRule>
    <cfRule type="expression" dxfId="16142" priority="1737">
      <formula>#REF!="L"</formula>
    </cfRule>
    <cfRule type="expression" dxfId="16141" priority="1717">
      <formula>#REF!="TO"</formula>
    </cfRule>
    <cfRule type="expression" dxfId="16140" priority="1718">
      <formula>#REF!="IO"</formula>
    </cfRule>
    <cfRule type="expression" dxfId="16139" priority="1719">
      <formula>#REF!="L"</formula>
    </cfRule>
    <cfRule type="expression" dxfId="16138" priority="1660">
      <formula>#REF!="TO"</formula>
    </cfRule>
    <cfRule type="expression" dxfId="16137" priority="1661">
      <formula>#REF!="IO"</formula>
    </cfRule>
    <cfRule type="expression" dxfId="16136" priority="1662">
      <formula>#REF!="L"</formula>
    </cfRule>
    <cfRule type="expression" dxfId="16135" priority="1675">
      <formula>#REF!="TO"</formula>
    </cfRule>
    <cfRule type="expression" dxfId="16134" priority="1676">
      <formula>#REF!="IO"</formula>
    </cfRule>
    <cfRule type="expression" dxfId="16133" priority="1677">
      <formula>#REF!="L"</formula>
    </cfRule>
  </conditionalFormatting>
  <conditionalFormatting sqref="BH34">
    <cfRule type="expression" dxfId="16132" priority="1726">
      <formula>#REF!="TO"</formula>
    </cfRule>
    <cfRule type="expression" dxfId="16131" priority="1727">
      <formula>#REF!="IO"</formula>
    </cfRule>
    <cfRule type="expression" dxfId="16130" priority="1728">
      <formula>#REF!="L"</formula>
    </cfRule>
    <cfRule type="expression" dxfId="16129" priority="1669">
      <formula>#REF!="TO"</formula>
    </cfRule>
    <cfRule type="expression" dxfId="16128" priority="1670">
      <formula>#REF!="IO"</formula>
    </cfRule>
    <cfRule type="expression" dxfId="16127" priority="1671">
      <formula>#REF!="L"</formula>
    </cfRule>
  </conditionalFormatting>
  <conditionalFormatting sqref="BD34:BE34">
    <cfRule type="expression" dxfId="16126" priority="1729">
      <formula>#REF!="TO"</formula>
    </cfRule>
    <cfRule type="expression" dxfId="16125" priority="1730">
      <formula>#REF!="IO"</formula>
    </cfRule>
    <cfRule type="expression" dxfId="16124" priority="1731">
      <formula>#REF!="L"</formula>
    </cfRule>
    <cfRule type="expression" dxfId="16123" priority="1672">
      <formula>#REF!="TO"</formula>
    </cfRule>
    <cfRule type="expression" dxfId="16122" priority="1673">
      <formula>#REF!="IO"</formula>
    </cfRule>
    <cfRule type="expression" dxfId="16121" priority="1674">
      <formula>#REF!="L"</formula>
    </cfRule>
  </conditionalFormatting>
  <conditionalFormatting sqref="BO34">
    <cfRule type="expression" dxfId="16120" priority="1711">
      <formula>#REF!="TO"</formula>
    </cfRule>
    <cfRule type="expression" dxfId="16119" priority="1712">
      <formula>#REF!="IO"</formula>
    </cfRule>
    <cfRule type="expression" dxfId="16118" priority="1713">
      <formula>#REF!="L"</formula>
    </cfRule>
    <cfRule type="expression" dxfId="16117" priority="1714">
      <formula>AT34="TO"</formula>
    </cfRule>
    <cfRule type="expression" dxfId="16116" priority="1715">
      <formula>AT34="IO"</formula>
    </cfRule>
    <cfRule type="expression" dxfId="16115" priority="1716">
      <formula>AT34="L"</formula>
    </cfRule>
    <cfRule type="expression" dxfId="16114" priority="1654">
      <formula>#REF!="TO"</formula>
    </cfRule>
    <cfRule type="expression" dxfId="16113" priority="1655">
      <formula>#REF!="IO"</formula>
    </cfRule>
    <cfRule type="expression" dxfId="16112" priority="1656">
      <formula>#REF!="L"</formula>
    </cfRule>
    <cfRule type="expression" dxfId="16111" priority="1657">
      <formula>AT34="TO"</formula>
    </cfRule>
    <cfRule type="expression" dxfId="16110" priority="1658">
      <formula>AT34="IO"</formula>
    </cfRule>
    <cfRule type="expression" dxfId="16109" priority="1659">
      <formula>AT34="L"</formula>
    </cfRule>
  </conditionalFormatting>
  <conditionalFormatting sqref="BB34">
    <cfRule type="expression" dxfId="16108" priority="1708">
      <formula>#REF!="TO"</formula>
    </cfRule>
    <cfRule type="expression" dxfId="16107" priority="1709">
      <formula>#REF!="IO"</formula>
    </cfRule>
    <cfRule type="expression" dxfId="16106" priority="1710">
      <formula>#REF!="L"</formula>
    </cfRule>
    <cfRule type="expression" dxfId="16105" priority="1651">
      <formula>#REF!="TO"</formula>
    </cfRule>
    <cfRule type="expression" dxfId="16104" priority="1652">
      <formula>#REF!="IO"</formula>
    </cfRule>
    <cfRule type="expression" dxfId="16103" priority="1653">
      <formula>#REF!="L"</formula>
    </cfRule>
  </conditionalFormatting>
  <conditionalFormatting sqref="BF34">
    <cfRule type="expression" dxfId="16102" priority="1705">
      <formula>#REF!="TO"</formula>
    </cfRule>
    <cfRule type="expression" dxfId="16101" priority="1706">
      <formula>#REF!="IO"</formula>
    </cfRule>
    <cfRule type="expression" dxfId="16100" priority="1707">
      <formula>#REF!="L"</formula>
    </cfRule>
    <cfRule type="expression" dxfId="16099" priority="1648">
      <formula>#REF!="TO"</formula>
    </cfRule>
    <cfRule type="expression" dxfId="16098" priority="1649">
      <formula>#REF!="IO"</formula>
    </cfRule>
    <cfRule type="expression" dxfId="16097" priority="1650">
      <formula>#REF!="L"</formula>
    </cfRule>
  </conditionalFormatting>
  <conditionalFormatting sqref="BG34">
    <cfRule type="expression" dxfId="16096" priority="1702">
      <formula>#REF!="TO"</formula>
    </cfRule>
    <cfRule type="expression" dxfId="16095" priority="1703">
      <formula>#REF!="IO"</formula>
    </cfRule>
    <cfRule type="expression" dxfId="16094" priority="1704">
      <formula>#REF!="L"</formula>
    </cfRule>
    <cfRule type="expression" dxfId="16093" priority="1645">
      <formula>#REF!="TO"</formula>
    </cfRule>
    <cfRule type="expression" dxfId="16092" priority="1646">
      <formula>#REF!="IO"</formula>
    </cfRule>
    <cfRule type="expression" dxfId="16091" priority="1647">
      <formula>#REF!="L"</formula>
    </cfRule>
  </conditionalFormatting>
  <conditionalFormatting sqref="BE34">
    <cfRule type="expression" dxfId="16090" priority="1699">
      <formula>#REF!="TO"</formula>
    </cfRule>
    <cfRule type="expression" dxfId="16089" priority="1700">
      <formula>#REF!="IO"</formula>
    </cfRule>
    <cfRule type="expression" dxfId="16088" priority="1701">
      <formula>#REF!="L"</formula>
    </cfRule>
    <cfRule type="expression" dxfId="16087" priority="1642">
      <formula>#REF!="TO"</formula>
    </cfRule>
    <cfRule type="expression" dxfId="16086" priority="1643">
      <formula>#REF!="IO"</formula>
    </cfRule>
    <cfRule type="expression" dxfId="16085" priority="1644">
      <formula>#REF!="L"</formula>
    </cfRule>
  </conditionalFormatting>
  <conditionalFormatting sqref="BP34">
    <cfRule type="expression" dxfId="16084" priority="1693">
      <formula>#REF!="TO"</formula>
    </cfRule>
    <cfRule type="expression" dxfId="16083" priority="1694">
      <formula>#REF!="IO"</formula>
    </cfRule>
    <cfRule type="expression" dxfId="16082" priority="1695">
      <formula>#REF!="L"</formula>
    </cfRule>
    <cfRule type="expression" dxfId="16081" priority="1696">
      <formula>#REF!="TO"</formula>
    </cfRule>
    <cfRule type="expression" dxfId="16080" priority="1697">
      <formula>#REF!="IO"</formula>
    </cfRule>
    <cfRule type="expression" dxfId="16079" priority="1698">
      <formula>#REF!="L"</formula>
    </cfRule>
    <cfRule type="expression" dxfId="16078" priority="1639">
      <formula>#REF!="TO"</formula>
    </cfRule>
    <cfRule type="expression" dxfId="16077" priority="1640">
      <formula>#REF!="IO"</formula>
    </cfRule>
    <cfRule type="expression" dxfId="16076" priority="1641">
      <formula>#REF!="L"</formula>
    </cfRule>
    <cfRule type="expression" dxfId="16075" priority="1636">
      <formula>#REF!="TO"</formula>
    </cfRule>
    <cfRule type="expression" dxfId="16074" priority="1637">
      <formula>#REF!="IO"</formula>
    </cfRule>
    <cfRule type="expression" dxfId="16073" priority="1638">
      <formula>#REF!="L"</formula>
    </cfRule>
  </conditionalFormatting>
  <conditionalFormatting sqref="BQ34:BS34">
    <cfRule type="expression" dxfId="16072" priority="1690">
      <formula>#REF!="TO"</formula>
    </cfRule>
    <cfRule type="expression" dxfId="16071" priority="1691">
      <formula>#REF!="IO"</formula>
    </cfRule>
    <cfRule type="expression" dxfId="16070" priority="1692">
      <formula>#REF!="L"</formula>
    </cfRule>
    <cfRule type="expression" dxfId="16069" priority="1687">
      <formula>#REF!="TO"</formula>
    </cfRule>
    <cfRule type="expression" dxfId="16068" priority="1688">
      <formula>#REF!="IO"</formula>
    </cfRule>
    <cfRule type="expression" dxfId="16067" priority="1689">
      <formula>#REF!="L"</formula>
    </cfRule>
    <cfRule type="expression" dxfId="16066" priority="1633">
      <formula>#REF!="TO"</formula>
    </cfRule>
    <cfRule type="expression" dxfId="16065" priority="1634">
      <formula>#REF!="IO"</formula>
    </cfRule>
    <cfRule type="expression" dxfId="16064" priority="1635">
      <formula>#REF!="L"</formula>
    </cfRule>
    <cfRule type="expression" dxfId="16063" priority="1630">
      <formula>#REF!="TO"</formula>
    </cfRule>
    <cfRule type="expression" dxfId="16062" priority="1631">
      <formula>#REF!="IO"</formula>
    </cfRule>
    <cfRule type="expression" dxfId="16061" priority="1632">
      <formula>#REF!="L"</formula>
    </cfRule>
  </conditionalFormatting>
  <conditionalFormatting sqref="BJ34">
    <cfRule type="expression" dxfId="16060" priority="1627">
      <formula>#REF!="TO"</formula>
    </cfRule>
    <cfRule type="expression" dxfId="16059" priority="1628">
      <formula>#REF!="IO"</formula>
    </cfRule>
    <cfRule type="expression" dxfId="16058" priority="1629">
      <formula>#REF!="L"</formula>
    </cfRule>
    <cfRule type="expression" dxfId="16057" priority="1624">
      <formula>#REF!="TO"</formula>
    </cfRule>
    <cfRule type="expression" dxfId="16056" priority="1625">
      <formula>#REF!="IO"</formula>
    </cfRule>
    <cfRule type="expression" dxfId="16055" priority="1626">
      <formula>#REF!="L"</formula>
    </cfRule>
    <cfRule type="expression" dxfId="16054" priority="1621">
      <formula>#REF!="TO"</formula>
    </cfRule>
    <cfRule type="expression" dxfId="16053" priority="1622">
      <formula>#REF!="IO"</formula>
    </cfRule>
    <cfRule type="expression" dxfId="16052" priority="1623">
      <formula>#REF!="L"</formula>
    </cfRule>
    <cfRule type="expression" dxfId="16051" priority="1618">
      <formula>#REF!="TO"</formula>
    </cfRule>
    <cfRule type="expression" dxfId="16050" priority="1619">
      <formula>#REF!="IO"</formula>
    </cfRule>
    <cfRule type="expression" dxfId="16049" priority="1620">
      <formula>#REF!="L"</formula>
    </cfRule>
  </conditionalFormatting>
  <conditionalFormatting sqref="BI34">
    <cfRule type="expression" dxfId="16048" priority="1615">
      <formula>#REF!="TO"</formula>
    </cfRule>
    <cfRule type="expression" dxfId="16047" priority="1616">
      <formula>#REF!="IO"</formula>
    </cfRule>
    <cfRule type="expression" dxfId="16046" priority="1617">
      <formula>#REF!="L"</formula>
    </cfRule>
    <cfRule type="expression" dxfId="16045" priority="1612">
      <formula>#REF!="TO"</formula>
    </cfRule>
    <cfRule type="expression" dxfId="16044" priority="1613">
      <formula>#REF!="IO"</formula>
    </cfRule>
    <cfRule type="expression" dxfId="16043" priority="1614">
      <formula>#REF!="L"</formula>
    </cfRule>
    <cfRule type="expression" dxfId="16042" priority="1609">
      <formula>#REF!="TO"</formula>
    </cfRule>
    <cfRule type="expression" dxfId="16041" priority="1610">
      <formula>#REF!="IO"</formula>
    </cfRule>
    <cfRule type="expression" dxfId="16040" priority="1611">
      <formula>#REF!="L"</formula>
    </cfRule>
    <cfRule type="expression" dxfId="16039" priority="1606">
      <formula>#REF!="TO"</formula>
    </cfRule>
    <cfRule type="expression" dxfId="16038" priority="1607">
      <formula>#REF!="IO"</formula>
    </cfRule>
    <cfRule type="expression" dxfId="16037" priority="1608">
      <formula>#REF!="L"</formula>
    </cfRule>
  </conditionalFormatting>
  <conditionalFormatting sqref="AY34">
    <cfRule type="expression" dxfId="16036" priority="1567">
      <formula>#REF!="TO"</formula>
    </cfRule>
    <cfRule type="expression" dxfId="16035" priority="1568">
      <formula>#REF!="IO"</formula>
    </cfRule>
    <cfRule type="expression" dxfId="16034" priority="1569">
      <formula>#REF!="L"</formula>
    </cfRule>
    <cfRule type="expression" dxfId="16033" priority="1564">
      <formula>#REF!="TO"</formula>
    </cfRule>
    <cfRule type="expression" dxfId="16032" priority="1565">
      <formula>#REF!="IO"</formula>
    </cfRule>
    <cfRule type="expression" dxfId="16031" priority="1566">
      <formula>#REF!="L"</formula>
    </cfRule>
    <cfRule type="expression" dxfId="16030" priority="1570">
      <formula>#REF!="TO"</formula>
    </cfRule>
    <cfRule type="expression" dxfId="16029" priority="1571">
      <formula>#REF!="IO"</formula>
    </cfRule>
    <cfRule type="expression" dxfId="16028" priority="1572">
      <formula>#REF!="L"</formula>
    </cfRule>
    <cfRule type="expression" dxfId="16027" priority="1561">
      <formula>#REF!="TO"</formula>
    </cfRule>
    <cfRule type="expression" dxfId="16026" priority="1562">
      <formula>#REF!="IO"</formula>
    </cfRule>
    <cfRule type="expression" dxfId="16025" priority="1563">
      <formula>#REF!="L"</formula>
    </cfRule>
  </conditionalFormatting>
  <conditionalFormatting sqref="AW34">
    <cfRule type="expression" dxfId="16024" priority="1585">
      <formula>#REF!="TO"</formula>
    </cfRule>
    <cfRule type="expression" dxfId="16023" priority="1586">
      <formula>#REF!="IO"</formula>
    </cfRule>
    <cfRule type="expression" dxfId="16022" priority="1587">
      <formula>#REF!="L"</formula>
    </cfRule>
  </conditionalFormatting>
  <conditionalFormatting sqref="AV34">
    <cfRule type="expression" dxfId="16021" priority="1591">
      <formula>#REF!="TO"</formula>
    </cfRule>
    <cfRule type="expression" dxfId="16020" priority="1592">
      <formula>#REF!="IO"</formula>
    </cfRule>
    <cfRule type="expression" dxfId="16019" priority="1593">
      <formula>#REF!="L"</formula>
    </cfRule>
    <cfRule type="expression" dxfId="16018" priority="1582">
      <formula>#REF!="TO"</formula>
    </cfRule>
    <cfRule type="expression" dxfId="16017" priority="1583">
      <formula>#REF!="IO"</formula>
    </cfRule>
    <cfRule type="expression" dxfId="16016" priority="1584">
      <formula>#REF!="L"</formula>
    </cfRule>
    <cfRule type="expression" dxfId="16015" priority="1579">
      <formula>#REF!="TO"</formula>
    </cfRule>
    <cfRule type="expression" dxfId="16014" priority="1580">
      <formula>#REF!="IO"</formula>
    </cfRule>
    <cfRule type="expression" dxfId="16013" priority="1581">
      <formula>#REF!="L"</formula>
    </cfRule>
    <cfRule type="expression" dxfId="16012" priority="1573">
      <formula>#REF!="TO"</formula>
    </cfRule>
    <cfRule type="expression" dxfId="16011" priority="1574">
      <formula>#REF!="IO"</formula>
    </cfRule>
    <cfRule type="expression" dxfId="16010" priority="1575">
      <formula>#REF!="L"</formula>
    </cfRule>
  </conditionalFormatting>
  <conditionalFormatting sqref="AZ34">
    <cfRule type="expression" dxfId="16009" priority="1588">
      <formula>#REF!="TO"</formula>
    </cfRule>
    <cfRule type="expression" dxfId="16008" priority="1589">
      <formula>#REF!="IO"</formula>
    </cfRule>
    <cfRule type="expression" dxfId="16007" priority="1590">
      <formula>#REF!="L"</formula>
    </cfRule>
    <cfRule type="expression" dxfId="16006" priority="1576">
      <formula>#REF!="TO"</formula>
    </cfRule>
    <cfRule type="expression" dxfId="16005" priority="1577">
      <formula>#REF!="IO"</formula>
    </cfRule>
    <cfRule type="expression" dxfId="16004" priority="1578">
      <formula>#REF!="L"</formula>
    </cfRule>
  </conditionalFormatting>
  <conditionalFormatting sqref="AX34">
    <cfRule type="expression" dxfId="16003" priority="1558">
      <formula>#REF!="TO"</formula>
    </cfRule>
    <cfRule type="expression" dxfId="16002" priority="1559">
      <formula>#REF!="IO"</formula>
    </cfRule>
    <cfRule type="expression" dxfId="16001" priority="1560">
      <formula>#REF!="L"</formula>
    </cfRule>
    <cfRule type="expression" dxfId="16000" priority="1555">
      <formula>#REF!="TO"</formula>
    </cfRule>
    <cfRule type="expression" dxfId="15999" priority="1556">
      <formula>#REF!="IO"</formula>
    </cfRule>
    <cfRule type="expression" dxfId="15998" priority="1557">
      <formula>#REF!="L"</formula>
    </cfRule>
    <cfRule type="expression" dxfId="15997" priority="1552">
      <formula>#REF!="TO"</formula>
    </cfRule>
    <cfRule type="expression" dxfId="15996" priority="1553">
      <formula>#REF!="IO"</formula>
    </cfRule>
    <cfRule type="expression" dxfId="15995" priority="1554">
      <formula>#REF!="L"</formula>
    </cfRule>
    <cfRule type="expression" dxfId="15994" priority="1549">
      <formula>#REF!="TO"</formula>
    </cfRule>
    <cfRule type="expression" dxfId="15993" priority="1550">
      <formula>#REF!="IO"</formula>
    </cfRule>
    <cfRule type="expression" dxfId="15992" priority="1551">
      <formula>#REF!="L"</formula>
    </cfRule>
  </conditionalFormatting>
  <conditionalFormatting sqref="AO35">
    <cfRule type="expression" dxfId="15991" priority="982">
      <formula>#REF!="TO"</formula>
    </cfRule>
    <cfRule type="expression" dxfId="15990" priority="983">
      <formula>#REF!="IO"</formula>
    </cfRule>
    <cfRule type="expression" dxfId="15989" priority="984">
      <formula>#REF!="L"</formula>
    </cfRule>
    <cfRule type="expression" dxfId="15988" priority="979">
      <formula>#REF!="TO"</formula>
    </cfRule>
    <cfRule type="expression" dxfId="15987" priority="980">
      <formula>#REF!="IO"</formula>
    </cfRule>
    <cfRule type="expression" dxfId="15986" priority="981">
      <formula>#REF!="L"</formula>
    </cfRule>
  </conditionalFormatting>
  <conditionalFormatting sqref="BQ35:BS35">
    <cfRule type="expression" dxfId="15985" priority="919">
      <formula>#REF!="TO"</formula>
    </cfRule>
    <cfRule type="expression" dxfId="15984" priority="920">
      <formula>#REF!="IO"</formula>
    </cfRule>
    <cfRule type="expression" dxfId="15983" priority="921">
      <formula>#REF!="L"</formula>
    </cfRule>
    <cfRule type="expression" dxfId="15982" priority="922">
      <formula>#REF!="TO"</formula>
    </cfRule>
    <cfRule type="expression" dxfId="15981" priority="923">
      <formula>#REF!="IO"</formula>
    </cfRule>
    <cfRule type="expression" dxfId="15980" priority="924">
      <formula>#REF!="L"</formula>
    </cfRule>
    <cfRule type="expression" dxfId="15979" priority="865">
      <formula>#REF!="TO"</formula>
    </cfRule>
    <cfRule type="expression" dxfId="15978" priority="866">
      <formula>#REF!="IO"</formula>
    </cfRule>
    <cfRule type="expression" dxfId="15977" priority="867">
      <formula>#REF!="L"</formula>
    </cfRule>
    <cfRule type="expression" dxfId="15976" priority="862">
      <formula>#REF!="TO"</formula>
    </cfRule>
    <cfRule type="expression" dxfId="15975" priority="863">
      <formula>#REF!="IO"</formula>
    </cfRule>
    <cfRule type="expression" dxfId="15974" priority="864">
      <formula>#REF!="L"</formula>
    </cfRule>
  </conditionalFormatting>
  <conditionalFormatting sqref="BC35:BE35">
    <cfRule type="expression" dxfId="15973" priority="976">
      <formula>#REF!="TO"</formula>
    </cfRule>
    <cfRule type="expression" dxfId="15972" priority="977">
      <formula>#REF!="IO"</formula>
    </cfRule>
    <cfRule type="expression" dxfId="15971" priority="978">
      <formula>#REF!="L"</formula>
    </cfRule>
    <cfRule type="expression" dxfId="15970" priority="916">
      <formula>#REF!="TO"</formula>
    </cfRule>
    <cfRule type="expression" dxfId="15969" priority="917">
      <formula>#REF!="IO"</formula>
    </cfRule>
    <cfRule type="expression" dxfId="15968" priority="918">
      <formula>#REF!="L"</formula>
    </cfRule>
    <cfRule type="expression" dxfId="15967" priority="955">
      <formula>#REF!="TO"</formula>
    </cfRule>
    <cfRule type="expression" dxfId="15966" priority="956">
      <formula>#REF!="IO"</formula>
    </cfRule>
    <cfRule type="expression" dxfId="15965" priority="957">
      <formula>#REF!="L"</formula>
    </cfRule>
    <cfRule type="expression" dxfId="15964" priority="898">
      <formula>#REF!="TO"</formula>
    </cfRule>
    <cfRule type="expression" dxfId="15963" priority="899">
      <formula>#REF!="IO"</formula>
    </cfRule>
    <cfRule type="expression" dxfId="15962" priority="900">
      <formula>#REF!="L"</formula>
    </cfRule>
  </conditionalFormatting>
  <conditionalFormatting sqref="BK35">
    <cfRule type="expression" dxfId="15961" priority="973">
      <formula>#REF!="TO"</formula>
    </cfRule>
    <cfRule type="expression" dxfId="15960" priority="974">
      <formula>#REF!="IO"</formula>
    </cfRule>
    <cfRule type="expression" dxfId="15959" priority="975">
      <formula>#REF!="L"</formula>
    </cfRule>
    <cfRule type="expression" dxfId="15958" priority="913">
      <formula>#REF!="TO"</formula>
    </cfRule>
    <cfRule type="expression" dxfId="15957" priority="914">
      <formula>#REF!="IO"</formula>
    </cfRule>
    <cfRule type="expression" dxfId="15956" priority="915">
      <formula>#REF!="L"</formula>
    </cfRule>
  </conditionalFormatting>
  <conditionalFormatting sqref="BM35">
    <cfRule type="expression" dxfId="15955" priority="970">
      <formula>#REF!="TO"</formula>
    </cfRule>
    <cfRule type="expression" dxfId="15954" priority="971">
      <formula>#REF!="IO"</formula>
    </cfRule>
    <cfRule type="expression" dxfId="15953" priority="972">
      <formula>#REF!="L"</formula>
    </cfRule>
    <cfRule type="expression" dxfId="15952" priority="952">
      <formula>#REF!="TO"</formula>
    </cfRule>
    <cfRule type="expression" dxfId="15951" priority="953">
      <formula>#REF!="IO"</formula>
    </cfRule>
    <cfRule type="expression" dxfId="15950" priority="954">
      <formula>#REF!="L"</formula>
    </cfRule>
    <cfRule type="expression" dxfId="15949" priority="910">
      <formula>#REF!="TO"</formula>
    </cfRule>
    <cfRule type="expression" dxfId="15948" priority="911">
      <formula>#REF!="IO"</formula>
    </cfRule>
    <cfRule type="expression" dxfId="15947" priority="912">
      <formula>#REF!="L"</formula>
    </cfRule>
    <cfRule type="expression" dxfId="15946" priority="895">
      <formula>#REF!="TO"</formula>
    </cfRule>
    <cfRule type="expression" dxfId="15945" priority="896">
      <formula>#REF!="IO"</formula>
    </cfRule>
    <cfRule type="expression" dxfId="15944" priority="897">
      <formula>#REF!="L"</formula>
    </cfRule>
  </conditionalFormatting>
  <conditionalFormatting sqref="BN35">
    <cfRule type="expression" dxfId="15943" priority="967">
      <formula>#REF!="TO"</formula>
    </cfRule>
    <cfRule type="expression" dxfId="15942" priority="968">
      <formula>#REF!="IO"</formula>
    </cfRule>
    <cfRule type="expression" dxfId="15941" priority="969">
      <formula>#REF!="L"</formula>
    </cfRule>
    <cfRule type="expression" dxfId="15940" priority="892">
      <formula>#REF!="TO"</formula>
    </cfRule>
    <cfRule type="expression" dxfId="15939" priority="893">
      <formula>#REF!="IO"</formula>
    </cfRule>
    <cfRule type="expression" dxfId="15938" priority="894">
      <formula>#REF!="L"</formula>
    </cfRule>
    <cfRule type="expression" dxfId="15937" priority="949">
      <formula>#REF!="TO"</formula>
    </cfRule>
    <cfRule type="expression" dxfId="15936" priority="950">
      <formula>#REF!="IO"</formula>
    </cfRule>
    <cfRule type="expression" dxfId="15935" priority="951">
      <formula>#REF!="L"</formula>
    </cfRule>
    <cfRule type="expression" dxfId="15934" priority="907">
      <formula>#REF!="TO"</formula>
    </cfRule>
    <cfRule type="expression" dxfId="15933" priority="908">
      <formula>#REF!="IO"</formula>
    </cfRule>
    <cfRule type="expression" dxfId="15932" priority="909">
      <formula>#REF!="L"</formula>
    </cfRule>
  </conditionalFormatting>
  <conditionalFormatting sqref="BH35 BD35:BE35">
    <cfRule type="expression" dxfId="15931" priority="964">
      <formula>#REF!="TO"</formula>
    </cfRule>
    <cfRule type="expression" dxfId="15930" priority="965">
      <formula>#REF!="IO"</formula>
    </cfRule>
    <cfRule type="expression" dxfId="15929" priority="966">
      <formula>#REF!="L"</formula>
    </cfRule>
  </conditionalFormatting>
  <conditionalFormatting sqref="BD35:BE35">
    <cfRule type="expression" dxfId="15928" priority="961">
      <formula>#REF!="TO"</formula>
    </cfRule>
    <cfRule type="expression" dxfId="15927" priority="962">
      <formula>#REF!="IO"</formula>
    </cfRule>
    <cfRule type="expression" dxfId="15926" priority="963">
      <formula>#REF!="L"</formula>
    </cfRule>
    <cfRule type="expression" dxfId="15925" priority="904">
      <formula>#REF!="TO"</formula>
    </cfRule>
    <cfRule type="expression" dxfId="15924" priority="905">
      <formula>#REF!="IO"</formula>
    </cfRule>
    <cfRule type="expression" dxfId="15923" priority="906">
      <formula>#REF!="L"</formula>
    </cfRule>
  </conditionalFormatting>
  <conditionalFormatting sqref="BH35">
    <cfRule type="expression" dxfId="15922" priority="958">
      <formula>#REF!="TO"</formula>
    </cfRule>
    <cfRule type="expression" dxfId="15921" priority="959">
      <formula>#REF!="IO"</formula>
    </cfRule>
    <cfRule type="expression" dxfId="15920" priority="960">
      <formula>#REF!="L"</formula>
    </cfRule>
    <cfRule type="expression" dxfId="15919" priority="901">
      <formula>#REF!="TO"</formula>
    </cfRule>
    <cfRule type="expression" dxfId="15918" priority="902">
      <formula>#REF!="IO"</formula>
    </cfRule>
    <cfRule type="expression" dxfId="15917" priority="903">
      <formula>#REF!="L"</formula>
    </cfRule>
  </conditionalFormatting>
  <conditionalFormatting sqref="BG35">
    <cfRule type="expression" dxfId="15916" priority="934">
      <formula>#REF!="TO"</formula>
    </cfRule>
    <cfRule type="expression" dxfId="15915" priority="935">
      <formula>#REF!="IO"</formula>
    </cfRule>
    <cfRule type="expression" dxfId="15914" priority="936">
      <formula>#REF!="L"</formula>
    </cfRule>
    <cfRule type="expression" dxfId="15913" priority="877">
      <formula>#REF!="TO"</formula>
    </cfRule>
    <cfRule type="expression" dxfId="15912" priority="878">
      <formula>#REF!="IO"</formula>
    </cfRule>
    <cfRule type="expression" dxfId="15911" priority="879">
      <formula>#REF!="L"</formula>
    </cfRule>
  </conditionalFormatting>
  <conditionalFormatting sqref="BE35">
    <cfRule type="expression" dxfId="15910" priority="931">
      <formula>#REF!="TO"</formula>
    </cfRule>
    <cfRule type="expression" dxfId="15909" priority="932">
      <formula>#REF!="IO"</formula>
    </cfRule>
    <cfRule type="expression" dxfId="15908" priority="933">
      <formula>#REF!="L"</formula>
    </cfRule>
    <cfRule type="expression" dxfId="15907" priority="874">
      <formula>#REF!="TO"</formula>
    </cfRule>
    <cfRule type="expression" dxfId="15906" priority="875">
      <formula>#REF!="IO"</formula>
    </cfRule>
    <cfRule type="expression" dxfId="15905" priority="876">
      <formula>#REF!="L"</formula>
    </cfRule>
  </conditionalFormatting>
  <conditionalFormatting sqref="BP35">
    <cfRule type="expression" dxfId="15904" priority="928">
      <formula>#REF!="TO"</formula>
    </cfRule>
    <cfRule type="expression" dxfId="15903" priority="929">
      <formula>#REF!="IO"</formula>
    </cfRule>
    <cfRule type="expression" dxfId="15902" priority="930">
      <formula>#REF!="L"</formula>
    </cfRule>
    <cfRule type="expression" dxfId="15901" priority="925">
      <formula>#REF!="TO"</formula>
    </cfRule>
    <cfRule type="expression" dxfId="15900" priority="926">
      <formula>#REF!="IO"</formula>
    </cfRule>
    <cfRule type="expression" dxfId="15899" priority="927">
      <formula>#REF!="L"</formula>
    </cfRule>
    <cfRule type="expression" dxfId="15898" priority="871">
      <formula>#REF!="TO"</formula>
    </cfRule>
    <cfRule type="expression" dxfId="15897" priority="872">
      <formula>#REF!="IO"</formula>
    </cfRule>
    <cfRule type="expression" dxfId="15896" priority="873">
      <formula>#REF!="L"</formula>
    </cfRule>
    <cfRule type="expression" dxfId="15895" priority="868">
      <formula>#REF!="TO"</formula>
    </cfRule>
    <cfRule type="expression" dxfId="15894" priority="869">
      <formula>#REF!="IO"</formula>
    </cfRule>
    <cfRule type="expression" dxfId="15893" priority="870">
      <formula>#REF!="L"</formula>
    </cfRule>
  </conditionalFormatting>
  <conditionalFormatting sqref="BO35">
    <cfRule type="expression" dxfId="15892" priority="886">
      <formula>#REF!="TO"</formula>
    </cfRule>
    <cfRule type="expression" dxfId="15891" priority="887">
      <formula>#REF!="IO"</formula>
    </cfRule>
    <cfRule type="expression" dxfId="15890" priority="888">
      <formula>#REF!="L"</formula>
    </cfRule>
    <cfRule type="expression" dxfId="15889" priority="943">
      <formula>#REF!="TO"</formula>
    </cfRule>
    <cfRule type="expression" dxfId="15888" priority="944">
      <formula>#REF!="IO"</formula>
    </cfRule>
    <cfRule type="expression" dxfId="15887" priority="945">
      <formula>#REF!="L"</formula>
    </cfRule>
    <cfRule type="expression" dxfId="15886" priority="946">
      <formula>AT35="TO"</formula>
    </cfRule>
    <cfRule type="expression" dxfId="15885" priority="947">
      <formula>AT35="IO"</formula>
    </cfRule>
    <cfRule type="expression" dxfId="15884" priority="948">
      <formula>AT35="L"</formula>
    </cfRule>
    <cfRule type="expression" dxfId="15883" priority="889">
      <formula>AT35="TO"</formula>
    </cfRule>
    <cfRule type="expression" dxfId="15882" priority="890">
      <formula>AT35="IO"</formula>
    </cfRule>
    <cfRule type="expression" dxfId="15881" priority="891">
      <formula>AT35="L"</formula>
    </cfRule>
  </conditionalFormatting>
  <conditionalFormatting sqref="BF35">
    <cfRule type="expression" dxfId="15880" priority="880">
      <formula>#REF!="TO"</formula>
    </cfRule>
    <cfRule type="expression" dxfId="15879" priority="881">
      <formula>#REF!="IO"</formula>
    </cfRule>
    <cfRule type="expression" dxfId="15878" priority="882">
      <formula>#REF!="L"</formula>
    </cfRule>
    <cfRule type="expression" dxfId="15877" priority="937">
      <formula>#REF!="TO"</formula>
    </cfRule>
    <cfRule type="expression" dxfId="15876" priority="938">
      <formula>#REF!="IO"</formula>
    </cfRule>
    <cfRule type="expression" dxfId="15875" priority="939">
      <formula>#REF!="L"</formula>
    </cfRule>
  </conditionalFormatting>
  <conditionalFormatting sqref="BJ35">
    <cfRule type="expression" dxfId="15874" priority="859">
      <formula>#REF!="TO"</formula>
    </cfRule>
    <cfRule type="expression" dxfId="15873" priority="860">
      <formula>#REF!="IO"</formula>
    </cfRule>
    <cfRule type="expression" dxfId="15872" priority="861">
      <formula>#REF!="L"</formula>
    </cfRule>
    <cfRule type="expression" dxfId="15871" priority="856">
      <formula>#REF!="TO"</formula>
    </cfRule>
    <cfRule type="expression" dxfId="15870" priority="857">
      <formula>#REF!="IO"</formula>
    </cfRule>
    <cfRule type="expression" dxfId="15869" priority="858">
      <formula>#REF!="L"</formula>
    </cfRule>
    <cfRule type="expression" dxfId="15868" priority="853">
      <formula>#REF!="TO"</formula>
    </cfRule>
    <cfRule type="expression" dxfId="15867" priority="854">
      <formula>#REF!="IO"</formula>
    </cfRule>
    <cfRule type="expression" dxfId="15866" priority="855">
      <formula>#REF!="L"</formula>
    </cfRule>
    <cfRule type="expression" dxfId="15865" priority="850">
      <formula>#REF!="TO"</formula>
    </cfRule>
    <cfRule type="expression" dxfId="15864" priority="851">
      <formula>#REF!="IO"</formula>
    </cfRule>
    <cfRule type="expression" dxfId="15863" priority="852">
      <formula>#REF!="L"</formula>
    </cfRule>
  </conditionalFormatting>
  <conditionalFormatting sqref="AD35">
    <cfRule type="expression" dxfId="15862" priority="994">
      <formula>#REF!="TO"</formula>
    </cfRule>
    <cfRule type="expression" dxfId="15861" priority="995">
      <formula>#REF!="IO"</formula>
    </cfRule>
    <cfRule type="expression" dxfId="15860" priority="996">
      <formula>#REF!="L"</formula>
    </cfRule>
    <cfRule type="expression" dxfId="15859" priority="988">
      <formula>#REF!="TO"</formula>
    </cfRule>
    <cfRule type="expression" dxfId="15858" priority="989">
      <formula>#REF!="IO"</formula>
    </cfRule>
    <cfRule type="expression" dxfId="15857" priority="990">
      <formula>#REF!="L"</formula>
    </cfRule>
    <cfRule type="expression" dxfId="15856" priority="991">
      <formula>#REF!="TO"</formula>
    </cfRule>
    <cfRule type="expression" dxfId="15855" priority="992">
      <formula>#REF!="IO"</formula>
    </cfRule>
    <cfRule type="expression" dxfId="15854" priority="993">
      <formula>#REF!="L"</formula>
    </cfRule>
    <cfRule type="expression" dxfId="15853" priority="985">
      <formula>#REF!="TO"</formula>
    </cfRule>
    <cfRule type="expression" dxfId="15852" priority="986">
      <formula>#REF!="IO"</formula>
    </cfRule>
    <cfRule type="expression" dxfId="15851" priority="987">
      <formula>#REF!="L"</formula>
    </cfRule>
  </conditionalFormatting>
  <conditionalFormatting sqref="I35">
    <cfRule type="expression" dxfId="15850" priority="997">
      <formula>#REF!="TO"</formula>
    </cfRule>
    <cfRule type="expression" dxfId="15849" priority="998">
      <formula>#REF!="IO"</formula>
    </cfRule>
    <cfRule type="expression" dxfId="15848" priority="999">
      <formula>#REF!="L"</formula>
    </cfRule>
    <cfRule type="expression" dxfId="15847" priority="1006">
      <formula>#REF!="TO"</formula>
    </cfRule>
    <cfRule type="expression" dxfId="15846" priority="1007">
      <formula>#REF!="IO"</formula>
    </cfRule>
    <cfRule type="expression" dxfId="15845" priority="1008">
      <formula>#REF!="L"</formula>
    </cfRule>
    <cfRule type="expression" dxfId="15844" priority="1003">
      <formula>#REF!="TO"</formula>
    </cfRule>
    <cfRule type="expression" dxfId="15843" priority="1004">
      <formula>#REF!="IO"</formula>
    </cfRule>
    <cfRule type="expression" dxfId="15842" priority="1005">
      <formula>#REF!="L"</formula>
    </cfRule>
    <cfRule type="expression" dxfId="15841" priority="1000">
      <formula>#REF!="TO"</formula>
    </cfRule>
    <cfRule type="expression" dxfId="15840" priority="1001">
      <formula>#REF!="IO"</formula>
    </cfRule>
    <cfRule type="expression" dxfId="15839" priority="1002">
      <formula>#REF!="L"</formula>
    </cfRule>
  </conditionalFormatting>
  <conditionalFormatting sqref="BI35">
    <cfRule type="expression" dxfId="15838" priority="844">
      <formula>#REF!="TO"</formula>
    </cfRule>
    <cfRule type="expression" dxfId="15837" priority="845">
      <formula>#REF!="IO"</formula>
    </cfRule>
    <cfRule type="expression" dxfId="15836" priority="846">
      <formula>#REF!="L"</formula>
    </cfRule>
    <cfRule type="expression" dxfId="15835" priority="841">
      <formula>#REF!="TO"</formula>
    </cfRule>
    <cfRule type="expression" dxfId="15834" priority="842">
      <formula>#REF!="IO"</formula>
    </cfRule>
    <cfRule type="expression" dxfId="15833" priority="843">
      <formula>#REF!="L"</formula>
    </cfRule>
    <cfRule type="expression" dxfId="15832" priority="847">
      <formula>#REF!="TO"</formula>
    </cfRule>
    <cfRule type="expression" dxfId="15831" priority="848">
      <formula>#REF!="IO"</formula>
    </cfRule>
    <cfRule type="expression" dxfId="15830" priority="849">
      <formula>#REF!="L"</formula>
    </cfRule>
    <cfRule type="expression" dxfId="15829" priority="838">
      <formula>#REF!="TO"</formula>
    </cfRule>
    <cfRule type="expression" dxfId="15828" priority="839">
      <formula>#REF!="IO"</formula>
    </cfRule>
    <cfRule type="expression" dxfId="15827" priority="840">
      <formula>#REF!="L"</formula>
    </cfRule>
  </conditionalFormatting>
  <conditionalFormatting sqref="BS35">
    <cfRule type="expression" dxfId="15826" priority="835">
      <formula>#REF!="TO"</formula>
    </cfRule>
    <cfRule type="expression" dxfId="15825" priority="836">
      <formula>#REF!="IO"</formula>
    </cfRule>
    <cfRule type="expression" dxfId="15824" priority="837">
      <formula>#REF!="L"</formula>
    </cfRule>
    <cfRule type="expression" dxfId="15823" priority="829">
      <formula>#REF!="TO"</formula>
    </cfRule>
    <cfRule type="expression" dxfId="15822" priority="830">
      <formula>#REF!="IO"</formula>
    </cfRule>
    <cfRule type="expression" dxfId="15821" priority="831">
      <formula>#REF!="L"</formula>
    </cfRule>
    <cfRule type="expression" dxfId="15820" priority="832">
      <formula>#REF!="TO"</formula>
    </cfRule>
    <cfRule type="expression" dxfId="15819" priority="833">
      <formula>#REF!="IO"</formula>
    </cfRule>
    <cfRule type="expression" dxfId="15818" priority="834">
      <formula>#REF!="L"</formula>
    </cfRule>
    <cfRule type="expression" dxfId="15817" priority="826">
      <formula>#REF!="TO"</formula>
    </cfRule>
    <cfRule type="expression" dxfId="15816" priority="827">
      <formula>#REF!="IO"</formula>
    </cfRule>
    <cfRule type="expression" dxfId="15815" priority="828">
      <formula>#REF!="L"</formula>
    </cfRule>
  </conditionalFormatting>
  <conditionalFormatting sqref="AV35">
    <cfRule type="expression" dxfId="15814" priority="823">
      <formula>#REF!="TO"</formula>
    </cfRule>
    <cfRule type="expression" dxfId="15813" priority="824">
      <formula>#REF!="IO"</formula>
    </cfRule>
    <cfRule type="expression" dxfId="15812" priority="825">
      <formula>#REF!="L"</formula>
    </cfRule>
    <cfRule type="expression" dxfId="15811" priority="811">
      <formula>#REF!="TO"</formula>
    </cfRule>
    <cfRule type="expression" dxfId="15810" priority="812">
      <formula>#REF!="IO"</formula>
    </cfRule>
    <cfRule type="expression" dxfId="15809" priority="813">
      <formula>#REF!="L"</formula>
    </cfRule>
    <cfRule type="expression" dxfId="15808" priority="805">
      <formula>#REF!="TO"</formula>
    </cfRule>
    <cfRule type="expression" dxfId="15807" priority="806">
      <formula>#REF!="IO"</formula>
    </cfRule>
    <cfRule type="expression" dxfId="15806" priority="807">
      <formula>#REF!="L"</formula>
    </cfRule>
    <cfRule type="expression" dxfId="15805" priority="814">
      <formula>#REF!="TO"</formula>
    </cfRule>
    <cfRule type="expression" dxfId="15804" priority="815">
      <formula>#REF!="IO"</formula>
    </cfRule>
    <cfRule type="expression" dxfId="15803" priority="816">
      <formula>#REF!="L"</formula>
    </cfRule>
  </conditionalFormatting>
  <conditionalFormatting sqref="AZ35">
    <cfRule type="expression" dxfId="15802" priority="808">
      <formula>#REF!="TO"</formula>
    </cfRule>
    <cfRule type="expression" dxfId="15801" priority="809">
      <formula>#REF!="IO"</formula>
    </cfRule>
    <cfRule type="expression" dxfId="15800" priority="810">
      <formula>#REF!="L"</formula>
    </cfRule>
    <cfRule type="expression" dxfId="15799" priority="820">
      <formula>#REF!="TO"</formula>
    </cfRule>
    <cfRule type="expression" dxfId="15798" priority="821">
      <formula>#REF!="IO"</formula>
    </cfRule>
    <cfRule type="expression" dxfId="15797" priority="822">
      <formula>#REF!="L"</formula>
    </cfRule>
  </conditionalFormatting>
  <conditionalFormatting sqref="AY35">
    <cfRule type="expression" dxfId="15796" priority="802">
      <formula>#REF!="TO"</formula>
    </cfRule>
    <cfRule type="expression" dxfId="15795" priority="803">
      <formula>#REF!="IO"</formula>
    </cfRule>
    <cfRule type="expression" dxfId="15794" priority="804">
      <formula>#REF!="L"</formula>
    </cfRule>
    <cfRule type="expression" dxfId="15793" priority="799">
      <formula>#REF!="TO"</formula>
    </cfRule>
    <cfRule type="expression" dxfId="15792" priority="800">
      <formula>#REF!="IO"</formula>
    </cfRule>
    <cfRule type="expression" dxfId="15791" priority="801">
      <formula>#REF!="L"</formula>
    </cfRule>
    <cfRule type="expression" dxfId="15790" priority="796">
      <formula>#REF!="TO"</formula>
    </cfRule>
    <cfRule type="expression" dxfId="15789" priority="797">
      <formula>#REF!="IO"</formula>
    </cfRule>
    <cfRule type="expression" dxfId="15788" priority="798">
      <formula>#REF!="L"</formula>
    </cfRule>
    <cfRule type="expression" dxfId="15787" priority="793">
      <formula>#REF!="TO"</formula>
    </cfRule>
    <cfRule type="expression" dxfId="15786" priority="794">
      <formula>#REF!="IO"</formula>
    </cfRule>
    <cfRule type="expression" dxfId="15785" priority="795">
      <formula>#REF!="L"</formula>
    </cfRule>
  </conditionalFormatting>
  <conditionalFormatting sqref="AX35">
    <cfRule type="expression" dxfId="15784" priority="790">
      <formula>#REF!="TO"</formula>
    </cfRule>
    <cfRule type="expression" dxfId="15783" priority="791">
      <formula>#REF!="IO"</formula>
    </cfRule>
    <cfRule type="expression" dxfId="15782" priority="792">
      <formula>#REF!="L"</formula>
    </cfRule>
    <cfRule type="expression" dxfId="15781" priority="787">
      <formula>#REF!="TO"</formula>
    </cfRule>
    <cfRule type="expression" dxfId="15780" priority="788">
      <formula>#REF!="IO"</formula>
    </cfRule>
    <cfRule type="expression" dxfId="15779" priority="789">
      <formula>#REF!="L"</formula>
    </cfRule>
    <cfRule type="expression" dxfId="15778" priority="781">
      <formula>#REF!="TO"</formula>
    </cfRule>
    <cfRule type="expression" dxfId="15777" priority="782">
      <formula>#REF!="IO"</formula>
    </cfRule>
    <cfRule type="expression" dxfId="15776" priority="783">
      <formula>#REF!="L"</formula>
    </cfRule>
    <cfRule type="expression" dxfId="15775" priority="784">
      <formula>#REF!="TO"</formula>
    </cfRule>
    <cfRule type="expression" dxfId="15774" priority="785">
      <formula>#REF!="IO"</formula>
    </cfRule>
    <cfRule type="expression" dxfId="15773" priority="786">
      <formula>#REF!="L"</formula>
    </cfRule>
  </conditionalFormatting>
  <conditionalFormatting sqref="M35">
    <cfRule type="expression" dxfId="15772" priority="1078">
      <formula>#REF!="TO"</formula>
    </cfRule>
    <cfRule type="expression" dxfId="15771" priority="1079">
      <formula>#REF!="IO"</formula>
    </cfRule>
    <cfRule type="expression" dxfId="15770" priority="1080">
      <formula>#REF!="L"</formula>
    </cfRule>
    <cfRule type="expression" dxfId="15769" priority="1201">
      <formula>#REF!="TO"</formula>
    </cfRule>
    <cfRule type="expression" dxfId="15768" priority="1202">
      <formula>#REF!="IO"</formula>
    </cfRule>
    <cfRule type="expression" dxfId="15767" priority="1203">
      <formula>#REF!="L"</formula>
    </cfRule>
  </conditionalFormatting>
  <conditionalFormatting sqref="Q35">
    <cfRule type="expression" dxfId="15766" priority="1075">
      <formula>#REF!="TO"</formula>
    </cfRule>
    <cfRule type="expression" dxfId="15765" priority="1076">
      <formula>#REF!="IO"</formula>
    </cfRule>
    <cfRule type="expression" dxfId="15764" priority="1077">
      <formula>#REF!="L"</formula>
    </cfRule>
    <cfRule type="expression" dxfId="15763" priority="1198">
      <formula>#REF!="TO"</formula>
    </cfRule>
    <cfRule type="expression" dxfId="15762" priority="1199">
      <formula>#REF!="IO"</formula>
    </cfRule>
    <cfRule type="expression" dxfId="15761" priority="1200">
      <formula>#REF!="L"</formula>
    </cfRule>
  </conditionalFormatting>
  <conditionalFormatting sqref="C35">
    <cfRule type="expression" dxfId="15760" priority="1024">
      <formula>#REF!="TO"</formula>
    </cfRule>
    <cfRule type="expression" dxfId="15759" priority="1025">
      <formula>#REF!="IO"</formula>
    </cfRule>
    <cfRule type="expression" dxfId="15758" priority="1026">
      <formula>#REF!="L"</formula>
    </cfRule>
    <cfRule type="expression" dxfId="15757" priority="1030">
      <formula>#REF!="TO"</formula>
    </cfRule>
    <cfRule type="expression" dxfId="15756" priority="1031">
      <formula>#REF!="IO"</formula>
    </cfRule>
    <cfRule type="expression" dxfId="15755" priority="1032">
      <formula>#REF!="L"</formula>
    </cfRule>
    <cfRule type="expression" dxfId="15754" priority="1027">
      <formula>#REF!="TO"</formula>
    </cfRule>
    <cfRule type="expression" dxfId="15753" priority="1028">
      <formula>#REF!="IO"</formula>
    </cfRule>
    <cfRule type="expression" dxfId="15752" priority="1029">
      <formula>#REF!="L"</formula>
    </cfRule>
    <cfRule type="expression" dxfId="15751" priority="1021">
      <formula>#REF!="TO"</formula>
    </cfRule>
    <cfRule type="expression" dxfId="15750" priority="1022">
      <formula>#REF!="IO"</formula>
    </cfRule>
    <cfRule type="expression" dxfId="15749" priority="1023">
      <formula>#REF!="L"</formula>
    </cfRule>
  </conditionalFormatting>
  <conditionalFormatting sqref="J35">
    <cfRule type="expression" dxfId="15748" priority="1015">
      <formula>#REF!="TO"</formula>
    </cfRule>
    <cfRule type="expression" dxfId="15747" priority="1016">
      <formula>#REF!="IO"</formula>
    </cfRule>
    <cfRule type="expression" dxfId="15746" priority="1017">
      <formula>#REF!="L"</formula>
    </cfRule>
    <cfRule type="expression" dxfId="15745" priority="1012">
      <formula>#REF!="TO"</formula>
    </cfRule>
    <cfRule type="expression" dxfId="15744" priority="1013">
      <formula>#REF!="IO"</formula>
    </cfRule>
    <cfRule type="expression" dxfId="15743" priority="1014">
      <formula>#REF!="L"</formula>
    </cfRule>
    <cfRule type="expression" dxfId="15742" priority="1018">
      <formula>#REF!="TO"</formula>
    </cfRule>
    <cfRule type="expression" dxfId="15741" priority="1019">
      <formula>#REF!="IO"</formula>
    </cfRule>
    <cfRule type="expression" dxfId="15740" priority="1020">
      <formula>#REF!="L"</formula>
    </cfRule>
    <cfRule type="expression" dxfId="15739" priority="1009">
      <formula>#REF!="TO"</formula>
    </cfRule>
    <cfRule type="expression" dxfId="15738" priority="1010">
      <formula>#REF!="IO"</formula>
    </cfRule>
    <cfRule type="expression" dxfId="15737" priority="1011">
      <formula>#REF!="L"</formula>
    </cfRule>
  </conditionalFormatting>
  <conditionalFormatting sqref="AK35">
    <cfRule type="expression" dxfId="15736" priority="1144">
      <formula>#REF!="TO"</formula>
    </cfRule>
    <cfRule type="expression" dxfId="15735" priority="1145">
      <formula>#REF!="IO"</formula>
    </cfRule>
    <cfRule type="expression" dxfId="15734" priority="1146">
      <formula>#REF!="L"</formula>
    </cfRule>
    <cfRule type="expression" dxfId="15733" priority="1270">
      <formula>#REF!="TO"</formula>
    </cfRule>
    <cfRule type="expression" dxfId="15732" priority="1271">
      <formula>#REF!="IO"</formula>
    </cfRule>
    <cfRule type="expression" dxfId="15731" priority="1272">
      <formula>#REF!="L"</formula>
    </cfRule>
    <cfRule type="expression" dxfId="15730" priority="1219">
      <formula>#REF!="TO"</formula>
    </cfRule>
    <cfRule type="expression" dxfId="15729" priority="1220">
      <formula>#REF!="IO"</formula>
    </cfRule>
    <cfRule type="expression" dxfId="15728" priority="1221">
      <formula>#REF!="L"</formula>
    </cfRule>
    <cfRule type="expression" dxfId="15727" priority="1096">
      <formula>#REF!="TO"</formula>
    </cfRule>
    <cfRule type="expression" dxfId="15726" priority="1097">
      <formula>#REF!="IO"</formula>
    </cfRule>
    <cfRule type="expression" dxfId="15725" priority="1098">
      <formula>#REF!="L"</formula>
    </cfRule>
  </conditionalFormatting>
  <conditionalFormatting sqref="S35 O35:P35 H35">
    <cfRule type="expression" dxfId="15724" priority="1255">
      <formula>#REF!="TO"</formula>
    </cfRule>
    <cfRule type="expression" dxfId="15723" priority="1256">
      <formula>#REF!="IO"</formula>
    </cfRule>
    <cfRule type="expression" dxfId="15722" priority="1257">
      <formula>#REF!="L"</formula>
    </cfRule>
  </conditionalFormatting>
  <conditionalFormatting sqref="A35">
    <cfRule type="expression" dxfId="15721" priority="1303">
      <formula>#REF!="TO"</formula>
    </cfRule>
    <cfRule type="expression" dxfId="15720" priority="1304">
      <formula>#REF!="IO"</formula>
    </cfRule>
    <cfRule type="expression" dxfId="15719" priority="1305">
      <formula>#REF!="L"</formula>
    </cfRule>
    <cfRule type="expression" dxfId="15718" priority="1177">
      <formula>#REF!="TO"</formula>
    </cfRule>
    <cfRule type="expression" dxfId="15717" priority="1178">
      <formula>#REF!="IO"</formula>
    </cfRule>
    <cfRule type="expression" dxfId="15716" priority="1179">
      <formula>#REF!="L"</formula>
    </cfRule>
  </conditionalFormatting>
  <conditionalFormatting sqref="B35">
    <cfRule type="expression" dxfId="15715" priority="1300">
      <formula>#REF!="TO"</formula>
    </cfRule>
    <cfRule type="expression" dxfId="15714" priority="1301">
      <formula>#REF!="IO"</formula>
    </cfRule>
    <cfRule type="expression" dxfId="15713" priority="1302">
      <formula>#REF!="L"</formula>
    </cfRule>
    <cfRule type="expression" dxfId="15712" priority="1240">
      <formula>#REF!="TO"</formula>
    </cfRule>
    <cfRule type="expression" dxfId="15711" priority="1241">
      <formula>#REF!="IO"</formula>
    </cfRule>
    <cfRule type="expression" dxfId="15710" priority="1242">
      <formula>#REF!="L"</formula>
    </cfRule>
    <cfRule type="expression" dxfId="15709" priority="1174">
      <formula>#REF!="TO"</formula>
    </cfRule>
    <cfRule type="expression" dxfId="15708" priority="1175">
      <formula>#REF!="IO"</formula>
    </cfRule>
    <cfRule type="expression" dxfId="15707" priority="1176">
      <formula>#REF!="L"</formula>
    </cfRule>
    <cfRule type="expression" dxfId="15706" priority="1117">
      <formula>#REF!="TO"</formula>
    </cfRule>
    <cfRule type="expression" dxfId="15705" priority="1118">
      <formula>#REF!="IO"</formula>
    </cfRule>
    <cfRule type="expression" dxfId="15704" priority="1119">
      <formula>#REF!="L"</formula>
    </cfRule>
  </conditionalFormatting>
  <conditionalFormatting sqref="G35">
    <cfRule type="expression" dxfId="15703" priority="1297">
      <formula>#REF!="TO"</formula>
    </cfRule>
    <cfRule type="expression" dxfId="15702" priority="1298">
      <formula>#REF!="IO"</formula>
    </cfRule>
    <cfRule type="expression" dxfId="15701" priority="1299">
      <formula>#REF!="L"</formula>
    </cfRule>
    <cfRule type="expression" dxfId="15700" priority="1237">
      <formula>#REF!="TO"</formula>
    </cfRule>
    <cfRule type="expression" dxfId="15699" priority="1238">
      <formula>#REF!="IO"</formula>
    </cfRule>
    <cfRule type="expression" dxfId="15698" priority="1239">
      <formula>#REF!="L"</formula>
    </cfRule>
    <cfRule type="expression" dxfId="15697" priority="1171">
      <formula>#REF!="TO"</formula>
    </cfRule>
    <cfRule type="expression" dxfId="15696" priority="1172">
      <formula>#REF!="IO"</formula>
    </cfRule>
    <cfRule type="expression" dxfId="15695" priority="1173">
      <formula>#REF!="L"</formula>
    </cfRule>
    <cfRule type="expression" dxfId="15694" priority="1114">
      <formula>#REF!="TO"</formula>
    </cfRule>
    <cfRule type="expression" dxfId="15693" priority="1115">
      <formula>#REF!="IO"</formula>
    </cfRule>
    <cfRule type="expression" dxfId="15692" priority="1116">
      <formula>#REF!="L"</formula>
    </cfRule>
  </conditionalFormatting>
  <conditionalFormatting sqref="K35">
    <cfRule type="expression" dxfId="15691" priority="1294">
      <formula>#REF!="TO"</formula>
    </cfRule>
    <cfRule type="expression" dxfId="15690" priority="1295">
      <formula>#REF!="IO"</formula>
    </cfRule>
    <cfRule type="expression" dxfId="15689" priority="1296">
      <formula>#REF!="L"</formula>
    </cfRule>
    <cfRule type="expression" dxfId="15688" priority="1168">
      <formula>#REF!="TO"</formula>
    </cfRule>
    <cfRule type="expression" dxfId="15687" priority="1169">
      <formula>#REF!="IO"</formula>
    </cfRule>
    <cfRule type="expression" dxfId="15686" priority="1170">
      <formula>#REF!="L"</formula>
    </cfRule>
  </conditionalFormatting>
  <conditionalFormatting sqref="E35">
    <cfRule type="expression" dxfId="15685" priority="1291">
      <formula>#REF!="TO"</formula>
    </cfRule>
    <cfRule type="expression" dxfId="15684" priority="1292">
      <formula>#REF!="IO"</formula>
    </cfRule>
    <cfRule type="expression" dxfId="15683" priority="1293">
      <formula>#REF!="L"</formula>
    </cfRule>
    <cfRule type="expression" dxfId="15682" priority="1234">
      <formula>#REF!="TO"</formula>
    </cfRule>
    <cfRule type="expression" dxfId="15681" priority="1235">
      <formula>#REF!="IO"</formula>
    </cfRule>
    <cfRule type="expression" dxfId="15680" priority="1236">
      <formula>#REF!="L"</formula>
    </cfRule>
    <cfRule type="expression" dxfId="15679" priority="1165">
      <formula>#REF!="TO"</formula>
    </cfRule>
    <cfRule type="expression" dxfId="15678" priority="1166">
      <formula>#REF!="IO"</formula>
    </cfRule>
    <cfRule type="expression" dxfId="15677" priority="1167">
      <formula>#REF!="L"</formula>
    </cfRule>
    <cfRule type="expression" dxfId="15676" priority="1111">
      <formula>#REF!="TO"</formula>
    </cfRule>
    <cfRule type="expression" dxfId="15675" priority="1112">
      <formula>#REF!="IO"</formula>
    </cfRule>
    <cfRule type="expression" dxfId="15674" priority="1113">
      <formula>#REF!="L"</formula>
    </cfRule>
  </conditionalFormatting>
  <conditionalFormatting sqref="AJ35">
    <cfRule type="expression" dxfId="15673" priority="1273">
      <formula>#REF!="TO"</formula>
    </cfRule>
    <cfRule type="expression" dxfId="15672" priority="1274">
      <formula>#REF!="IO"</formula>
    </cfRule>
    <cfRule type="expression" dxfId="15671" priority="1275">
      <formula>#REF!="L"</formula>
    </cfRule>
    <cfRule type="expression" dxfId="15670" priority="1222">
      <formula>#REF!="TO"</formula>
    </cfRule>
    <cfRule type="expression" dxfId="15669" priority="1223">
      <formula>#REF!="IO"</formula>
    </cfRule>
    <cfRule type="expression" dxfId="15668" priority="1224">
      <formula>#REF!="L"</formula>
    </cfRule>
    <cfRule type="expression" dxfId="15667" priority="1147">
      <formula>#REF!="TO"</formula>
    </cfRule>
    <cfRule type="expression" dxfId="15666" priority="1148">
      <formula>#REF!="IO"</formula>
    </cfRule>
    <cfRule type="expression" dxfId="15665" priority="1149">
      <formula>#REF!="L"</formula>
    </cfRule>
    <cfRule type="expression" dxfId="15664" priority="1099">
      <formula>#REF!="TO"</formula>
    </cfRule>
    <cfRule type="expression" dxfId="15663" priority="1100">
      <formula>#REF!="IO"</formula>
    </cfRule>
    <cfRule type="expression" dxfId="15662" priority="1101">
      <formula>#REF!="L"</formula>
    </cfRule>
  </conditionalFormatting>
  <conditionalFormatting sqref="N35:P35">
    <cfRule type="expression" dxfId="15661" priority="1288">
      <formula>#REF!="TO"</formula>
    </cfRule>
    <cfRule type="expression" dxfId="15660" priority="1289">
      <formula>#REF!="IO"</formula>
    </cfRule>
    <cfRule type="expression" dxfId="15659" priority="1290">
      <formula>#REF!="L"</formula>
    </cfRule>
    <cfRule type="expression" dxfId="15658" priority="1231">
      <formula>#REF!="TO"</formula>
    </cfRule>
    <cfRule type="expression" dxfId="15657" priority="1232">
      <formula>#REF!="IO"</formula>
    </cfRule>
    <cfRule type="expression" dxfId="15656" priority="1233">
      <formula>#REF!="L"</formula>
    </cfRule>
    <cfRule type="expression" dxfId="15655" priority="1162">
      <formula>#REF!="TO"</formula>
    </cfRule>
    <cfRule type="expression" dxfId="15654" priority="1163">
      <formula>#REF!="IO"</formula>
    </cfRule>
    <cfRule type="expression" dxfId="15653" priority="1164">
      <formula>#REF!="L"</formula>
    </cfRule>
    <cfRule type="expression" dxfId="15652" priority="1108">
      <formula>#REF!="TO"</formula>
    </cfRule>
    <cfRule type="expression" dxfId="15651" priority="1109">
      <formula>#REF!="IO"</formula>
    </cfRule>
    <cfRule type="expression" dxfId="15650" priority="1110">
      <formula>#REF!="L"</formula>
    </cfRule>
  </conditionalFormatting>
  <conditionalFormatting sqref="V35">
    <cfRule type="expression" dxfId="15649" priority="1285">
      <formula>#REF!="TO"</formula>
    </cfRule>
    <cfRule type="expression" dxfId="15648" priority="1286">
      <formula>#REF!="IO"</formula>
    </cfRule>
    <cfRule type="expression" dxfId="15647" priority="1287">
      <formula>#REF!="L"</formula>
    </cfRule>
    <cfRule type="expression" dxfId="15646" priority="1159">
      <formula>#REF!="TO"</formula>
    </cfRule>
    <cfRule type="expression" dxfId="15645" priority="1160">
      <formula>#REF!="IO"</formula>
    </cfRule>
    <cfRule type="expression" dxfId="15644" priority="1161">
      <formula>#REF!="L"</formula>
    </cfRule>
  </conditionalFormatting>
  <conditionalFormatting sqref="X35">
    <cfRule type="expression" dxfId="15643" priority="1282">
      <formula>#REF!="TO"</formula>
    </cfRule>
    <cfRule type="expression" dxfId="15642" priority="1283">
      <formula>#REF!="IO"</formula>
    </cfRule>
    <cfRule type="expression" dxfId="15641" priority="1284">
      <formula>#REF!="L"</formula>
    </cfRule>
    <cfRule type="expression" dxfId="15640" priority="1228">
      <formula>#REF!="TO"</formula>
    </cfRule>
    <cfRule type="expression" dxfId="15639" priority="1229">
      <formula>#REF!="IO"</formula>
    </cfRule>
    <cfRule type="expression" dxfId="15638" priority="1230">
      <formula>#REF!="L"</formula>
    </cfRule>
    <cfRule type="expression" dxfId="15637" priority="1156">
      <formula>#REF!="TO"</formula>
    </cfRule>
    <cfRule type="expression" dxfId="15636" priority="1157">
      <formula>#REF!="IO"</formula>
    </cfRule>
    <cfRule type="expression" dxfId="15635" priority="1158">
      <formula>#REF!="L"</formula>
    </cfRule>
    <cfRule type="expression" dxfId="15634" priority="1105">
      <formula>#REF!="TO"</formula>
    </cfRule>
    <cfRule type="expression" dxfId="15633" priority="1106">
      <formula>#REF!="IO"</formula>
    </cfRule>
    <cfRule type="expression" dxfId="15632" priority="1107">
      <formula>#REF!="L"</formula>
    </cfRule>
  </conditionalFormatting>
  <conditionalFormatting sqref="Y35">
    <cfRule type="expression" dxfId="15631" priority="1279">
      <formula>#REF!="TO"</formula>
    </cfRule>
    <cfRule type="expression" dxfId="15630" priority="1280">
      <formula>#REF!="IO"</formula>
    </cfRule>
    <cfRule type="expression" dxfId="15629" priority="1281">
      <formula>#REF!="L"</formula>
    </cfRule>
    <cfRule type="expression" dxfId="15628" priority="1225">
      <formula>#REF!="TO"</formula>
    </cfRule>
    <cfRule type="expression" dxfId="15627" priority="1226">
      <formula>#REF!="IO"</formula>
    </cfRule>
    <cfRule type="expression" dxfId="15626" priority="1227">
      <formula>#REF!="L"</formula>
    </cfRule>
    <cfRule type="expression" dxfId="15625" priority="1102">
      <formula>#REF!="TO"</formula>
    </cfRule>
    <cfRule type="expression" dxfId="15624" priority="1103">
      <formula>#REF!="IO"</formula>
    </cfRule>
    <cfRule type="expression" dxfId="15623" priority="1104">
      <formula>#REF!="L"</formula>
    </cfRule>
    <cfRule type="expression" dxfId="15622" priority="1153">
      <formula>#REF!="TO"</formula>
    </cfRule>
    <cfRule type="expression" dxfId="15621" priority="1154">
      <formula>#REF!="IO"</formula>
    </cfRule>
    <cfRule type="expression" dxfId="15620" priority="1155">
      <formula>#REF!="L"</formula>
    </cfRule>
  </conditionalFormatting>
  <conditionalFormatting sqref="AH35">
    <cfRule type="expression" dxfId="15619" priority="1276">
      <formula>#REF!="TO"</formula>
    </cfRule>
    <cfRule type="expression" dxfId="15618" priority="1277">
      <formula>#REF!="IO"</formula>
    </cfRule>
    <cfRule type="expression" dxfId="15617" priority="1278">
      <formula>#REF!="L"</formula>
    </cfRule>
    <cfRule type="expression" dxfId="15616" priority="1150">
      <formula>#REF!="TO"</formula>
    </cfRule>
    <cfRule type="expression" dxfId="15615" priority="1151">
      <formula>#REF!="IO"</formula>
    </cfRule>
    <cfRule type="expression" dxfId="15614" priority="1152">
      <formula>#REF!="L"</formula>
    </cfRule>
  </conditionalFormatting>
  <conditionalFormatting sqref="AM35">
    <cfRule type="expression" dxfId="15613" priority="1267">
      <formula>#REF!="TO"</formula>
    </cfRule>
    <cfRule type="expression" dxfId="15612" priority="1268">
      <formula>#REF!="IO"</formula>
    </cfRule>
    <cfRule type="expression" dxfId="15611" priority="1269">
      <formula>#REF!="L"</formula>
    </cfRule>
    <cfRule type="expression" dxfId="15610" priority="1141">
      <formula>#REF!="TO"</formula>
    </cfRule>
    <cfRule type="expression" dxfId="15609" priority="1142">
      <formula>#REF!="IO"</formula>
    </cfRule>
    <cfRule type="expression" dxfId="15608" priority="1143">
      <formula>#REF!="L"</formula>
    </cfRule>
  </conditionalFormatting>
  <conditionalFormatting sqref="AQ35">
    <cfRule type="expression" dxfId="15607" priority="1264">
      <formula>#REF!="TO"</formula>
    </cfRule>
    <cfRule type="expression" dxfId="15606" priority="1265">
      <formula>#REF!="IO"</formula>
    </cfRule>
    <cfRule type="expression" dxfId="15605" priority="1266">
      <formula>#REF!="L"</formula>
    </cfRule>
    <cfRule type="expression" dxfId="15604" priority="1261">
      <formula>#REF!="TO"</formula>
    </cfRule>
    <cfRule type="expression" dxfId="15603" priority="1262">
      <formula>#REF!="IO"</formula>
    </cfRule>
    <cfRule type="expression" dxfId="15602" priority="1263">
      <formula>#REF!="L"</formula>
    </cfRule>
    <cfRule type="expression" dxfId="15601" priority="1138">
      <formula>#REF!="TO"</formula>
    </cfRule>
    <cfRule type="expression" dxfId="15600" priority="1139">
      <formula>#REF!="IO"</formula>
    </cfRule>
    <cfRule type="expression" dxfId="15599" priority="1140">
      <formula>#REF!="L"</formula>
    </cfRule>
    <cfRule type="expression" dxfId="15598" priority="1135">
      <formula>#REF!="TO"</formula>
    </cfRule>
    <cfRule type="expression" dxfId="15597" priority="1136">
      <formula>#REF!="IO"</formula>
    </cfRule>
    <cfRule type="expression" dxfId="15596" priority="1137">
      <formula>#REF!="L"</formula>
    </cfRule>
  </conditionalFormatting>
  <conditionalFormatting sqref="AR35">
    <cfRule type="expression" dxfId="15595" priority="1258">
      <formula>#REF!="TO"</formula>
    </cfRule>
    <cfRule type="expression" dxfId="15594" priority="1259">
      <formula>#REF!="IO"</formula>
    </cfRule>
    <cfRule type="expression" dxfId="15593" priority="1260">
      <formula>#REF!="L"</formula>
    </cfRule>
    <cfRule type="expression" dxfId="15592" priority="1132">
      <formula>#REF!="TO"</formula>
    </cfRule>
    <cfRule type="expression" dxfId="15591" priority="1133">
      <formula>#REF!="IO"</formula>
    </cfRule>
    <cfRule type="expression" dxfId="15590" priority="1134">
      <formula>#REF!="L"</formula>
    </cfRule>
  </conditionalFormatting>
  <conditionalFormatting sqref="S35">
    <cfRule type="expression" dxfId="15589" priority="1249">
      <formula>#REF!="TO"</formula>
    </cfRule>
    <cfRule type="expression" dxfId="15588" priority="1250">
      <formula>#REF!="IO"</formula>
    </cfRule>
    <cfRule type="expression" dxfId="15587" priority="1251">
      <formula>#REF!="L"</formula>
    </cfRule>
    <cfRule type="expression" dxfId="15586" priority="1126">
      <formula>#REF!="TO"</formula>
    </cfRule>
    <cfRule type="expression" dxfId="15585" priority="1127">
      <formula>#REF!="IO"</formula>
    </cfRule>
    <cfRule type="expression" dxfId="15584" priority="1128">
      <formula>#REF!="L"</formula>
    </cfRule>
  </conditionalFormatting>
  <conditionalFormatting sqref="O35:P35">
    <cfRule type="expression" dxfId="15583" priority="1252">
      <formula>#REF!="TO"</formula>
    </cfRule>
    <cfRule type="expression" dxfId="15582" priority="1253">
      <formula>#REF!="IO"</formula>
    </cfRule>
    <cfRule type="expression" dxfId="15581" priority="1254">
      <formula>#REF!="L"</formula>
    </cfRule>
    <cfRule type="expression" dxfId="15580" priority="1129">
      <formula>#REF!="TO"</formula>
    </cfRule>
    <cfRule type="expression" dxfId="15579" priority="1130">
      <formula>#REF!="IO"</formula>
    </cfRule>
    <cfRule type="expression" dxfId="15578" priority="1131">
      <formula>#REF!="L"</formula>
    </cfRule>
  </conditionalFormatting>
  <conditionalFormatting sqref="AT35">
    <cfRule type="expression" dxfId="15577" priority="1246">
      <formula>#REF!="TO"</formula>
    </cfRule>
    <cfRule type="expression" dxfId="15576" priority="1247">
      <formula>#REF!="IO"</formula>
    </cfRule>
    <cfRule type="expression" dxfId="15575" priority="1248">
      <formula>#REF!="L"</formula>
    </cfRule>
    <cfRule type="expression" dxfId="15574" priority="1123">
      <formula>#REF!="TO"</formula>
    </cfRule>
    <cfRule type="expression" dxfId="15573" priority="1124">
      <formula>#REF!="IO"</formula>
    </cfRule>
    <cfRule type="expression" dxfId="15572" priority="1125">
      <formula>#REF!="L"</formula>
    </cfRule>
  </conditionalFormatting>
  <conditionalFormatting sqref="AF35">
    <cfRule type="expression" dxfId="15571" priority="1243">
      <formula>#REF!="TO"</formula>
    </cfRule>
    <cfRule type="expression" dxfId="15570" priority="1244">
      <formula>#REF!="IO"</formula>
    </cfRule>
    <cfRule type="expression" dxfId="15569" priority="1245">
      <formula>#REF!="L"</formula>
    </cfRule>
    <cfRule type="expression" dxfId="15568" priority="1204">
      <formula>#REF!="TO"</formula>
    </cfRule>
    <cfRule type="expression" dxfId="15567" priority="1205">
      <formula>#REF!="IO"</formula>
    </cfRule>
    <cfRule type="expression" dxfId="15566" priority="1206">
      <formula>#REF!="L"</formula>
    </cfRule>
    <cfRule type="expression" dxfId="15565" priority="1120">
      <formula>#REF!="TO"</formula>
    </cfRule>
    <cfRule type="expression" dxfId="15564" priority="1121">
      <formula>#REF!="IO"</formula>
    </cfRule>
    <cfRule type="expression" dxfId="15563" priority="1122">
      <formula>#REF!="L"</formula>
    </cfRule>
    <cfRule type="expression" dxfId="15562" priority="1081">
      <formula>#REF!="TO"</formula>
    </cfRule>
    <cfRule type="expression" dxfId="15561" priority="1082">
      <formula>#REF!="IO"</formula>
    </cfRule>
    <cfRule type="expression" dxfId="15560" priority="1083">
      <formula>#REF!="L"</formula>
    </cfRule>
  </conditionalFormatting>
  <conditionalFormatting sqref="Z35">
    <cfRule type="expression" dxfId="15559" priority="1213">
      <formula>#REF!="TO"</formula>
    </cfRule>
    <cfRule type="expression" dxfId="15558" priority="1214">
      <formula>#REF!="IO"</formula>
    </cfRule>
    <cfRule type="expression" dxfId="15557" priority="1215">
      <formula>#REF!="L"</formula>
    </cfRule>
    <cfRule type="expression" dxfId="15556" priority="1216">
      <formula>H35="TO"</formula>
    </cfRule>
    <cfRule type="expression" dxfId="15555" priority="1217">
      <formula>H35="IO"</formula>
    </cfRule>
    <cfRule type="expression" dxfId="15554" priority="1218">
      <formula>H35="L"</formula>
    </cfRule>
    <cfRule type="expression" dxfId="15553" priority="1090">
      <formula>#REF!="TO"</formula>
    </cfRule>
    <cfRule type="expression" dxfId="15552" priority="1091">
      <formula>#REF!="IO"</formula>
    </cfRule>
    <cfRule type="expression" dxfId="15551" priority="1092">
      <formula>#REF!="L"</formula>
    </cfRule>
    <cfRule type="expression" dxfId="15550" priority="1093">
      <formula>H35="TO"</formula>
    </cfRule>
    <cfRule type="expression" dxfId="15549" priority="1094">
      <formula>H35="IO"</formula>
    </cfRule>
    <cfRule type="expression" dxfId="15548" priority="1095">
      <formula>H35="L"</formula>
    </cfRule>
  </conditionalFormatting>
  <conditionalFormatting sqref="AE35">
    <cfRule type="expression" dxfId="15547" priority="1207">
      <formula>#REF!="TO"</formula>
    </cfRule>
    <cfRule type="expression" dxfId="15546" priority="1208">
      <formula>#REF!="IO"</formula>
    </cfRule>
    <cfRule type="expression" dxfId="15545" priority="1209">
      <formula>#REF!="L"</formula>
    </cfRule>
    <cfRule type="expression" dxfId="15544" priority="1210">
      <formula>E35="TO"</formula>
    </cfRule>
    <cfRule type="expression" dxfId="15543" priority="1211">
      <formula>E35="IO"</formula>
    </cfRule>
    <cfRule type="expression" dxfId="15542" priority="1212">
      <formula>E35="L"</formula>
    </cfRule>
    <cfRule type="expression" dxfId="15541" priority="1084">
      <formula>#REF!="TO"</formula>
    </cfRule>
    <cfRule type="expression" dxfId="15540" priority="1085">
      <formula>#REF!="IO"</formula>
    </cfRule>
    <cfRule type="expression" dxfId="15539" priority="1086">
      <formula>#REF!="L"</formula>
    </cfRule>
    <cfRule type="expression" dxfId="15538" priority="1087">
      <formula>E35="TO"</formula>
    </cfRule>
    <cfRule type="expression" dxfId="15537" priority="1088">
      <formula>E35="IO"</formula>
    </cfRule>
    <cfRule type="expression" dxfId="15536" priority="1089">
      <formula>E35="L"</formula>
    </cfRule>
  </conditionalFormatting>
  <conditionalFormatting sqref="R35">
    <cfRule type="expression" dxfId="15535" priority="1195">
      <formula>#REF!="TO"</formula>
    </cfRule>
    <cfRule type="expression" dxfId="15534" priority="1196">
      <formula>#REF!="IO"</formula>
    </cfRule>
    <cfRule type="expression" dxfId="15533" priority="1197">
      <formula>#REF!="L"</formula>
    </cfRule>
    <cfRule type="expression" dxfId="15532" priority="1072">
      <formula>#REF!="TO"</formula>
    </cfRule>
    <cfRule type="expression" dxfId="15531" priority="1073">
      <formula>#REF!="IO"</formula>
    </cfRule>
    <cfRule type="expression" dxfId="15530" priority="1074">
      <formula>#REF!="L"</formula>
    </cfRule>
  </conditionalFormatting>
  <conditionalFormatting sqref="P35">
    <cfRule type="expression" dxfId="15529" priority="1192">
      <formula>#REF!="TO"</formula>
    </cfRule>
    <cfRule type="expression" dxfId="15528" priority="1193">
      <formula>#REF!="IO"</formula>
    </cfRule>
    <cfRule type="expression" dxfId="15527" priority="1194">
      <formula>#REF!="L"</formula>
    </cfRule>
    <cfRule type="expression" dxfId="15526" priority="1069">
      <formula>#REF!="TO"</formula>
    </cfRule>
    <cfRule type="expression" dxfId="15525" priority="1070">
      <formula>#REF!="IO"</formula>
    </cfRule>
    <cfRule type="expression" dxfId="15524" priority="1071">
      <formula>#REF!="L"</formula>
    </cfRule>
  </conditionalFormatting>
  <conditionalFormatting sqref="AA35">
    <cfRule type="expression" dxfId="15523" priority="1186">
      <formula>#REF!="TO"</formula>
    </cfRule>
    <cfRule type="expression" dxfId="15522" priority="1187">
      <formula>#REF!="IO"</formula>
    </cfRule>
    <cfRule type="expression" dxfId="15521" priority="1188">
      <formula>#REF!="L"</formula>
    </cfRule>
    <cfRule type="expression" dxfId="15520" priority="1189">
      <formula>#REF!="TO"</formula>
    </cfRule>
    <cfRule type="expression" dxfId="15519" priority="1190">
      <formula>#REF!="IO"</formula>
    </cfRule>
    <cfRule type="expression" dxfId="15518" priority="1191">
      <formula>#REF!="L"</formula>
    </cfRule>
    <cfRule type="expression" dxfId="15517" priority="1066">
      <formula>#REF!="TO"</formula>
    </cfRule>
    <cfRule type="expression" dxfId="15516" priority="1067">
      <formula>#REF!="IO"</formula>
    </cfRule>
    <cfRule type="expression" dxfId="15515" priority="1068">
      <formula>#REF!="L"</formula>
    </cfRule>
    <cfRule type="expression" dxfId="15514" priority="1063">
      <formula>#REF!="TO"</formula>
    </cfRule>
    <cfRule type="expression" dxfId="15513" priority="1064">
      <formula>#REF!="IO"</formula>
    </cfRule>
    <cfRule type="expression" dxfId="15512" priority="1065">
      <formula>#REF!="L"</formula>
    </cfRule>
  </conditionalFormatting>
  <conditionalFormatting sqref="AB35:AD35">
    <cfRule type="expression" dxfId="15511" priority="1183">
      <formula>#REF!="TO"</formula>
    </cfRule>
    <cfRule type="expression" dxfId="15510" priority="1184">
      <formula>#REF!="IO"</formula>
    </cfRule>
    <cfRule type="expression" dxfId="15509" priority="1185">
      <formula>#REF!="L"</formula>
    </cfRule>
    <cfRule type="expression" dxfId="15508" priority="1180">
      <formula>#REF!="TO"</formula>
    </cfRule>
    <cfRule type="expression" dxfId="15507" priority="1181">
      <formula>#REF!="IO"</formula>
    </cfRule>
    <cfRule type="expression" dxfId="15506" priority="1182">
      <formula>#REF!="L"</formula>
    </cfRule>
    <cfRule type="expression" dxfId="15505" priority="1060">
      <formula>#REF!="TO"</formula>
    </cfRule>
    <cfRule type="expression" dxfId="15504" priority="1061">
      <formula>#REF!="IO"</formula>
    </cfRule>
    <cfRule type="expression" dxfId="15503" priority="1062">
      <formula>#REF!="L"</formula>
    </cfRule>
    <cfRule type="expression" dxfId="15502" priority="1057">
      <formula>#REF!="TO"</formula>
    </cfRule>
    <cfRule type="expression" dxfId="15501" priority="1058">
      <formula>#REF!="IO"</formula>
    </cfRule>
    <cfRule type="expression" dxfId="15500" priority="1059">
      <formula>#REF!="L"</formula>
    </cfRule>
  </conditionalFormatting>
  <conditionalFormatting sqref="U35">
    <cfRule type="expression" dxfId="15499" priority="1054">
      <formula>#REF!="TO"</formula>
    </cfRule>
    <cfRule type="expression" dxfId="15498" priority="1055">
      <formula>#REF!="IO"</formula>
    </cfRule>
    <cfRule type="expression" dxfId="15497" priority="1056">
      <formula>#REF!="L"</formula>
    </cfRule>
    <cfRule type="expression" dxfId="15496" priority="1051">
      <formula>#REF!="TO"</formula>
    </cfRule>
    <cfRule type="expression" dxfId="15495" priority="1052">
      <formula>#REF!="IO"</formula>
    </cfRule>
    <cfRule type="expression" dxfId="15494" priority="1053">
      <formula>#REF!="L"</formula>
    </cfRule>
    <cfRule type="expression" dxfId="15493" priority="1048">
      <formula>#REF!="TO"</formula>
    </cfRule>
    <cfRule type="expression" dxfId="15492" priority="1049">
      <formula>#REF!="IO"</formula>
    </cfRule>
    <cfRule type="expression" dxfId="15491" priority="1050">
      <formula>#REF!="L"</formula>
    </cfRule>
    <cfRule type="expression" dxfId="15490" priority="1045">
      <formula>#REF!="TO"</formula>
    </cfRule>
    <cfRule type="expression" dxfId="15489" priority="1046">
      <formula>#REF!="IO"</formula>
    </cfRule>
    <cfRule type="expression" dxfId="15488" priority="1047">
      <formula>#REF!="L"</formula>
    </cfRule>
  </conditionalFormatting>
  <conditionalFormatting sqref="T35">
    <cfRule type="expression" dxfId="15487" priority="1042">
      <formula>#REF!="TO"</formula>
    </cfRule>
    <cfRule type="expression" dxfId="15486" priority="1043">
      <formula>#REF!="IO"</formula>
    </cfRule>
    <cfRule type="expression" dxfId="15485" priority="1044">
      <formula>#REF!="L"</formula>
    </cfRule>
    <cfRule type="expression" dxfId="15484" priority="1039">
      <formula>#REF!="TO"</formula>
    </cfRule>
    <cfRule type="expression" dxfId="15483" priority="1040">
      <formula>#REF!="IO"</formula>
    </cfRule>
    <cfRule type="expression" dxfId="15482" priority="1041">
      <formula>#REF!="L"</formula>
    </cfRule>
    <cfRule type="expression" dxfId="15481" priority="1036">
      <formula>#REF!="TO"</formula>
    </cfRule>
    <cfRule type="expression" dxfId="15480" priority="1037">
      <formula>#REF!="IO"</formula>
    </cfRule>
    <cfRule type="expression" dxfId="15479" priority="1038">
      <formula>#REF!="L"</formula>
    </cfRule>
    <cfRule type="expression" dxfId="15478" priority="1033">
      <formula>#REF!="TO"</formula>
    </cfRule>
    <cfRule type="expression" dxfId="15477" priority="1034">
      <formula>#REF!="IO"</formula>
    </cfRule>
    <cfRule type="expression" dxfId="15476" priority="1035">
      <formula>#REF!="L"</formula>
    </cfRule>
  </conditionalFormatting>
  <conditionalFormatting sqref="BB35">
    <cfRule type="expression" dxfId="15475" priority="940">
      <formula>#REF!="TO"</formula>
    </cfRule>
    <cfRule type="expression" dxfId="15474" priority="941">
      <formula>#REF!="IO"</formula>
    </cfRule>
    <cfRule type="expression" dxfId="15473" priority="942">
      <formula>#REF!="L"</formula>
    </cfRule>
    <cfRule type="expression" dxfId="15472" priority="883">
      <formula>#REF!="TO"</formula>
    </cfRule>
    <cfRule type="expression" dxfId="15471" priority="884">
      <formula>#REF!="IO"</formula>
    </cfRule>
    <cfRule type="expression" dxfId="15470" priority="885">
      <formula>#REF!="L"</formula>
    </cfRule>
  </conditionalFormatting>
  <conditionalFormatting sqref="AW35">
    <cfRule type="expression" dxfId="15469" priority="817">
      <formula>#REF!="TO"</formula>
    </cfRule>
    <cfRule type="expression" dxfId="15468" priority="818">
      <formula>#REF!="IO"</formula>
    </cfRule>
    <cfRule type="expression" dxfId="15467" priority="819">
      <formula>#REF!="L"</formula>
    </cfRule>
  </conditionalFormatting>
  <conditionalFormatting sqref="AG37">
    <cfRule type="expression" dxfId="15466" priority="772">
      <formula>M37="TO"</formula>
    </cfRule>
    <cfRule type="expression" dxfId="15465" priority="773">
      <formula>M37="IO"</formula>
    </cfRule>
    <cfRule type="expression" dxfId="15464" priority="774">
      <formula>M37="L"</formula>
    </cfRule>
  </conditionalFormatting>
  <conditionalFormatting sqref="AI37">
    <cfRule type="expression" dxfId="15463" priority="769">
      <formula>N37="TO"</formula>
    </cfRule>
    <cfRule type="expression" dxfId="15462" priority="770">
      <formula>N37="IO"</formula>
    </cfRule>
    <cfRule type="expression" dxfId="15461" priority="771">
      <formula>N37="L"</formula>
    </cfRule>
    <cfRule type="expression" dxfId="15460" priority="703">
      <formula>#REF!="TO"</formula>
    </cfRule>
    <cfRule type="expression" dxfId="15459" priority="704">
      <formula>#REF!="IO"</formula>
    </cfRule>
    <cfRule type="expression" dxfId="15458" priority="705">
      <formula>#REF!="L"</formula>
    </cfRule>
  </conditionalFormatting>
  <conditionalFormatting sqref="H37:J37">
    <cfRule type="expression" dxfId="15457" priority="757">
      <formula>#REF!="TO"</formula>
    </cfRule>
    <cfRule type="expression" dxfId="15456" priority="758">
      <formula>#REF!="IO"</formula>
    </cfRule>
    <cfRule type="expression" dxfId="15455" priority="759">
      <formula>#REF!="L"</formula>
    </cfRule>
  </conditionalFormatting>
  <conditionalFormatting sqref="AN37">
    <cfRule type="expression" dxfId="15454" priority="760">
      <formula>T37="TO"</formula>
    </cfRule>
    <cfRule type="expression" dxfId="15453" priority="761">
      <formula>T37="IO"</formula>
    </cfRule>
    <cfRule type="expression" dxfId="15452" priority="762">
      <formula>T37="L"</formula>
    </cfRule>
  </conditionalFormatting>
  <conditionalFormatting sqref="AP37">
    <cfRule type="expression" dxfId="15451" priority="754">
      <formula>U37="TO"</formula>
    </cfRule>
    <cfRule type="expression" dxfId="15450" priority="755">
      <formula>U37="IO"</formula>
    </cfRule>
    <cfRule type="expression" dxfId="15449" priority="756">
      <formula>U37="L"</formula>
    </cfRule>
  </conditionalFormatting>
  <conditionalFormatting sqref="AS37">
    <cfRule type="expression" dxfId="15448" priority="676">
      <formula>#REF!="TO"</formula>
    </cfRule>
    <cfRule type="expression" dxfId="15447" priority="677">
      <formula>#REF!="IO"</formula>
    </cfRule>
    <cfRule type="expression" dxfId="15446" priority="678">
      <formula>#REF!="L"</formula>
    </cfRule>
    <cfRule type="expression" dxfId="15445" priority="679">
      <formula>Y37="TO"</formula>
    </cfRule>
    <cfRule type="expression" dxfId="15444" priority="680">
      <formula>Y37="IO"</formula>
    </cfRule>
    <cfRule type="expression" dxfId="15443" priority="681">
      <formula>Y37="L"</formula>
    </cfRule>
  </conditionalFormatting>
  <conditionalFormatting sqref="A37">
    <cfRule type="expression" dxfId="15442" priority="751">
      <formula>#REF!="TO"</formula>
    </cfRule>
    <cfRule type="expression" dxfId="15441" priority="752">
      <formula>#REF!="IO"</formula>
    </cfRule>
    <cfRule type="expression" dxfId="15440" priority="753">
      <formula>#REF!="L"</formula>
    </cfRule>
  </conditionalFormatting>
  <conditionalFormatting sqref="AN37 AP37">
    <cfRule type="expression" dxfId="15439" priority="688">
      <formula>#REF!="TO"</formula>
    </cfRule>
    <cfRule type="expression" dxfId="15438" priority="689">
      <formula>#REF!="IO"</formula>
    </cfRule>
    <cfRule type="expression" dxfId="15437" priority="690">
      <formula>#REF!="L"</formula>
    </cfRule>
  </conditionalFormatting>
  <conditionalFormatting sqref="D37">
    <cfRule type="expression" dxfId="15436" priority="748">
      <formula>#REF!="TO"</formula>
    </cfRule>
    <cfRule type="expression" dxfId="15435" priority="749">
      <formula>#REF!="IO"</formula>
    </cfRule>
    <cfRule type="expression" dxfId="15434" priority="750">
      <formula>#REF!="L"</formula>
    </cfRule>
    <cfRule type="expression" dxfId="15433" priority="766">
      <formula>#REF!="TO"</formula>
    </cfRule>
    <cfRule type="expression" dxfId="15432" priority="767">
      <formula>#REF!="IO"</formula>
    </cfRule>
    <cfRule type="expression" dxfId="15431" priority="768">
      <formula>#REF!="L"</formula>
    </cfRule>
  </conditionalFormatting>
  <conditionalFormatting sqref="F37">
    <cfRule type="expression" dxfId="15430" priority="745">
      <formula>#REF!="TO"</formula>
    </cfRule>
    <cfRule type="expression" dxfId="15429" priority="746">
      <formula>#REF!="IO"</formula>
    </cfRule>
    <cfRule type="expression" dxfId="15428" priority="747">
      <formula>#REF!="L"</formula>
    </cfRule>
    <cfRule type="expression" dxfId="15427" priority="763">
      <formula>#REF!="TO"</formula>
    </cfRule>
    <cfRule type="expression" dxfId="15426" priority="764">
      <formula>#REF!="IO"</formula>
    </cfRule>
    <cfRule type="expression" dxfId="15425" priority="765">
      <formula>#REF!="L"</formula>
    </cfRule>
  </conditionalFormatting>
  <conditionalFormatting sqref="G37">
    <cfRule type="expression" dxfId="15424" priority="742">
      <formula>#REF!="TO"</formula>
    </cfRule>
    <cfRule type="expression" dxfId="15423" priority="743">
      <formula>#REF!="IO"</formula>
    </cfRule>
    <cfRule type="expression" dxfId="15422" priority="744">
      <formula>#REF!="L"</formula>
    </cfRule>
  </conditionalFormatting>
  <conditionalFormatting sqref="K37">
    <cfRule type="expression" dxfId="15421" priority="739">
      <formula>#REF!="TO"</formula>
    </cfRule>
    <cfRule type="expression" dxfId="15420" priority="740">
      <formula>#REF!="IO"</formula>
    </cfRule>
    <cfRule type="expression" dxfId="15419" priority="741">
      <formula>#REF!="L"</formula>
    </cfRule>
  </conditionalFormatting>
  <conditionalFormatting sqref="E37">
    <cfRule type="expression" dxfId="15418" priority="736">
      <formula>#REF!="TO"</formula>
    </cfRule>
    <cfRule type="expression" dxfId="15417" priority="737">
      <formula>#REF!="IO"</formula>
    </cfRule>
    <cfRule type="expression" dxfId="15416" priority="738">
      <formula>#REF!="L"</formula>
    </cfRule>
  </conditionalFormatting>
  <conditionalFormatting sqref="M37">
    <cfRule type="expression" dxfId="15415" priority="733">
      <formula>#REF!="TO"</formula>
    </cfRule>
    <cfRule type="expression" dxfId="15414" priority="734">
      <formula>#REF!="IO"</formula>
    </cfRule>
    <cfRule type="expression" dxfId="15413" priority="735">
      <formula>#REF!="L"</formula>
    </cfRule>
  </conditionalFormatting>
  <conditionalFormatting sqref="N37:P37">
    <cfRule type="expression" dxfId="15412" priority="730">
      <formula>#REF!="TO"</formula>
    </cfRule>
    <cfRule type="expression" dxfId="15411" priority="731">
      <formula>#REF!="IO"</formula>
    </cfRule>
    <cfRule type="expression" dxfId="15410" priority="732">
      <formula>#REF!="L"</formula>
    </cfRule>
  </conditionalFormatting>
  <conditionalFormatting sqref="V37">
    <cfRule type="expression" dxfId="15409" priority="727">
      <formula>#REF!="TO"</formula>
    </cfRule>
    <cfRule type="expression" dxfId="15408" priority="728">
      <formula>#REF!="IO"</formula>
    </cfRule>
    <cfRule type="expression" dxfId="15407" priority="729">
      <formula>#REF!="L"</formula>
    </cfRule>
  </conditionalFormatting>
  <conditionalFormatting sqref="W37">
    <cfRule type="expression" dxfId="15406" priority="721">
      <formula>#REF!="TO"</formula>
    </cfRule>
    <cfRule type="expression" dxfId="15405" priority="722">
      <formula>#REF!="IO"</formula>
    </cfRule>
    <cfRule type="expression" dxfId="15404" priority="723">
      <formula>#REF!="L"</formula>
    </cfRule>
    <cfRule type="expression" dxfId="15403" priority="724">
      <formula>G37="TO"</formula>
    </cfRule>
    <cfRule type="expression" dxfId="15402" priority="725">
      <formula>G37="IO"</formula>
    </cfRule>
    <cfRule type="expression" dxfId="15401" priority="726">
      <formula>G37="L"</formula>
    </cfRule>
  </conditionalFormatting>
  <conditionalFormatting sqref="X37">
    <cfRule type="expression" dxfId="15400" priority="718">
      <formula>#REF!="TO"</formula>
    </cfRule>
    <cfRule type="expression" dxfId="15399" priority="719">
      <formula>#REF!="IO"</formula>
    </cfRule>
    <cfRule type="expression" dxfId="15398" priority="720">
      <formula>#REF!="L"</formula>
    </cfRule>
  </conditionalFormatting>
  <conditionalFormatting sqref="Y37">
    <cfRule type="expression" dxfId="15397" priority="715">
      <formula>#REF!="TO"</formula>
    </cfRule>
    <cfRule type="expression" dxfId="15396" priority="716">
      <formula>#REF!="IO"</formula>
    </cfRule>
    <cfRule type="expression" dxfId="15395" priority="717">
      <formula>#REF!="L"</formula>
    </cfRule>
  </conditionalFormatting>
  <conditionalFormatting sqref="AC37 AG37">
    <cfRule type="expression" dxfId="15394" priority="709">
      <formula>#REF!="TO"</formula>
    </cfRule>
    <cfRule type="expression" dxfId="15393" priority="710">
      <formula>#REF!="IO"</formula>
    </cfRule>
    <cfRule type="expression" dxfId="15392" priority="711">
      <formula>#REF!="L"</formula>
    </cfRule>
  </conditionalFormatting>
  <conditionalFormatting sqref="AC37">
    <cfRule type="expression" dxfId="15391" priority="712">
      <formula>L37="TO"</formula>
    </cfRule>
    <cfRule type="expression" dxfId="15390" priority="713">
      <formula>L37="IO"</formula>
    </cfRule>
    <cfRule type="expression" dxfId="15389" priority="714">
      <formula>L37="L"</formula>
    </cfRule>
  </conditionalFormatting>
  <conditionalFormatting sqref="AH37">
    <cfRule type="expression" dxfId="15388" priority="706">
      <formula>#REF!="TO"</formula>
    </cfRule>
    <cfRule type="expression" dxfId="15387" priority="707">
      <formula>#REF!="IO"</formula>
    </cfRule>
    <cfRule type="expression" dxfId="15386" priority="708">
      <formula>#REF!="L"</formula>
    </cfRule>
  </conditionalFormatting>
  <conditionalFormatting sqref="AJ37">
    <cfRule type="expression" dxfId="15385" priority="700">
      <formula>#REF!="TO"</formula>
    </cfRule>
    <cfRule type="expression" dxfId="15384" priority="701">
      <formula>#REF!="IO"</formula>
    </cfRule>
    <cfRule type="expression" dxfId="15383" priority="702">
      <formula>#REF!="L"</formula>
    </cfRule>
  </conditionalFormatting>
  <conditionalFormatting sqref="AK37">
    <cfRule type="expression" dxfId="15382" priority="697">
      <formula>#REF!="TO"</formula>
    </cfRule>
    <cfRule type="expression" dxfId="15381" priority="698">
      <formula>#REF!="IO"</formula>
    </cfRule>
    <cfRule type="expression" dxfId="15380" priority="699">
      <formula>#REF!="L"</formula>
    </cfRule>
  </conditionalFormatting>
  <conditionalFormatting sqref="AL37">
    <cfRule type="expression" dxfId="15379" priority="694">
      <formula>#REF!="TO"</formula>
    </cfRule>
    <cfRule type="expression" dxfId="15378" priority="695">
      <formula>#REF!="IO"</formula>
    </cfRule>
    <cfRule type="expression" dxfId="15377" priority="696">
      <formula>#REF!="L"</formula>
    </cfRule>
    <cfRule type="expression" dxfId="15376" priority="775">
      <formula>P37="TO"</formula>
    </cfRule>
    <cfRule type="expression" dxfId="15375" priority="776">
      <formula>P37="IO"</formula>
    </cfRule>
    <cfRule type="expression" dxfId="15374" priority="777">
      <formula>P37="L"</formula>
    </cfRule>
  </conditionalFormatting>
  <conditionalFormatting sqref="AM37">
    <cfRule type="expression" dxfId="15373" priority="691">
      <formula>#REF!="TO"</formula>
    </cfRule>
    <cfRule type="expression" dxfId="15372" priority="692">
      <formula>#REF!="IO"</formula>
    </cfRule>
    <cfRule type="expression" dxfId="15371" priority="693">
      <formula>#REF!="L"</formula>
    </cfRule>
  </conditionalFormatting>
  <conditionalFormatting sqref="AQ37">
    <cfRule type="expression" dxfId="15370" priority="685">
      <formula>#REF!="TO"</formula>
    </cfRule>
    <cfRule type="expression" dxfId="15369" priority="686">
      <formula>#REF!="IO"</formula>
    </cfRule>
    <cfRule type="expression" dxfId="15368" priority="687">
      <formula>#REF!="L"</formula>
    </cfRule>
  </conditionalFormatting>
  <conditionalFormatting sqref="AR37">
    <cfRule type="expression" dxfId="15367" priority="682">
      <formula>#REF!="TO"</formula>
    </cfRule>
    <cfRule type="expression" dxfId="15366" priority="683">
      <formula>#REF!="IO"</formula>
    </cfRule>
    <cfRule type="expression" dxfId="15365" priority="684">
      <formula>#REF!="L"</formula>
    </cfRule>
  </conditionalFormatting>
  <conditionalFormatting sqref="Z37">
    <cfRule type="expression" dxfId="15364" priority="670">
      <formula>#REF!="TO"</formula>
    </cfRule>
    <cfRule type="expression" dxfId="15363" priority="671">
      <formula>#REF!="IO"</formula>
    </cfRule>
    <cfRule type="expression" dxfId="15362" priority="672">
      <formula>#REF!="L"</formula>
    </cfRule>
    <cfRule type="expression" dxfId="15361" priority="673">
      <formula>H37="TO"</formula>
    </cfRule>
    <cfRule type="expression" dxfId="15360" priority="674">
      <formula>H37="IO"</formula>
    </cfRule>
    <cfRule type="expression" dxfId="15359" priority="675">
      <formula>H37="L"</formula>
    </cfRule>
  </conditionalFormatting>
  <conditionalFormatting sqref="AT37">
    <cfRule type="expression" dxfId="15358" priority="667">
      <formula>#REF!="TO"</formula>
    </cfRule>
    <cfRule type="expression" dxfId="15357" priority="668">
      <formula>#REF!="IO"</formula>
    </cfRule>
    <cfRule type="expression" dxfId="15356" priority="669">
      <formula>#REF!="L"</formula>
    </cfRule>
  </conditionalFormatting>
  <conditionalFormatting sqref="Q37">
    <cfRule type="expression" dxfId="15355" priority="655">
      <formula>#REF!="TO"</formula>
    </cfRule>
    <cfRule type="expression" dxfId="15354" priority="656">
      <formula>#REF!="IO"</formula>
    </cfRule>
    <cfRule type="expression" dxfId="15353" priority="657">
      <formula>#REF!="L"</formula>
    </cfRule>
  </conditionalFormatting>
  <conditionalFormatting sqref="AE37">
    <cfRule type="expression" dxfId="15352" priority="661">
      <formula>#REF!="TO"</formula>
    </cfRule>
    <cfRule type="expression" dxfId="15351" priority="662">
      <formula>#REF!="IO"</formula>
    </cfRule>
    <cfRule type="expression" dxfId="15350" priority="663">
      <formula>#REF!="L"</formula>
    </cfRule>
    <cfRule type="expression" dxfId="15349" priority="664">
      <formula>E37="TO"</formula>
    </cfRule>
    <cfRule type="expression" dxfId="15348" priority="665">
      <formula>E37="IO"</formula>
    </cfRule>
    <cfRule type="expression" dxfId="15347" priority="666">
      <formula>E37="L"</formula>
    </cfRule>
  </conditionalFormatting>
  <conditionalFormatting sqref="AF37">
    <cfRule type="expression" dxfId="15346" priority="658">
      <formula>#REF!="TO"</formula>
    </cfRule>
    <cfRule type="expression" dxfId="15345" priority="659">
      <formula>#REF!="IO"</formula>
    </cfRule>
    <cfRule type="expression" dxfId="15344" priority="660">
      <formula>#REF!="L"</formula>
    </cfRule>
  </conditionalFormatting>
  <conditionalFormatting sqref="S37">
    <cfRule type="expression" dxfId="15343" priority="652">
      <formula>#REF!="TO"</formula>
    </cfRule>
    <cfRule type="expression" dxfId="15342" priority="653">
      <formula>#REF!="IO"</formula>
    </cfRule>
    <cfRule type="expression" dxfId="15341" priority="654">
      <formula>#REF!="L"</formula>
    </cfRule>
  </conditionalFormatting>
  <conditionalFormatting sqref="O37:P37">
    <cfRule type="expression" dxfId="15340" priority="649">
      <formula>#REF!="TO"</formula>
    </cfRule>
    <cfRule type="expression" dxfId="15339" priority="650">
      <formula>#REF!="IO"</formula>
    </cfRule>
    <cfRule type="expression" dxfId="15338" priority="651">
      <formula>#REF!="L"</formula>
    </cfRule>
  </conditionalFormatting>
  <conditionalFormatting sqref="R37">
    <cfRule type="expression" dxfId="15337" priority="646">
      <formula>#REF!="TO"</formula>
    </cfRule>
    <cfRule type="expression" dxfId="15336" priority="647">
      <formula>#REF!="IO"</formula>
    </cfRule>
    <cfRule type="expression" dxfId="15335" priority="648">
      <formula>#REF!="L"</formula>
    </cfRule>
  </conditionalFormatting>
  <conditionalFormatting sqref="P37">
    <cfRule type="expression" dxfId="15334" priority="643">
      <formula>#REF!="TO"</formula>
    </cfRule>
    <cfRule type="expression" dxfId="15333" priority="644">
      <formula>#REF!="IO"</formula>
    </cfRule>
    <cfRule type="expression" dxfId="15332" priority="645">
      <formula>#REF!="L"</formula>
    </cfRule>
  </conditionalFormatting>
  <conditionalFormatting sqref="AA37">
    <cfRule type="expression" dxfId="15331" priority="640">
      <formula>#REF!="TO"</formula>
    </cfRule>
    <cfRule type="expression" dxfId="15330" priority="641">
      <formula>#REF!="IO"</formula>
    </cfRule>
    <cfRule type="expression" dxfId="15329" priority="642">
      <formula>#REF!="L"</formula>
    </cfRule>
  </conditionalFormatting>
  <conditionalFormatting sqref="AB37:AD37">
    <cfRule type="expression" dxfId="15328" priority="637">
      <formula>#REF!="TO"</formula>
    </cfRule>
    <cfRule type="expression" dxfId="15327" priority="638">
      <formula>#REF!="IO"</formula>
    </cfRule>
    <cfRule type="expression" dxfId="15326" priority="639">
      <formula>#REF!="L"</formula>
    </cfRule>
  </conditionalFormatting>
  <conditionalFormatting sqref="U37">
    <cfRule type="expression" dxfId="15325" priority="634">
      <formula>#REF!="TO"</formula>
    </cfRule>
    <cfRule type="expression" dxfId="15324" priority="635">
      <formula>#REF!="IO"</formula>
    </cfRule>
    <cfRule type="expression" dxfId="15323" priority="636">
      <formula>#REF!="L"</formula>
    </cfRule>
  </conditionalFormatting>
  <conditionalFormatting sqref="C37">
    <cfRule type="expression" dxfId="15322" priority="631">
      <formula>#REF!="TO"</formula>
    </cfRule>
    <cfRule type="expression" dxfId="15321" priority="632">
      <formula>#REF!="IO"</formula>
    </cfRule>
    <cfRule type="expression" dxfId="15320" priority="633">
      <formula>#REF!="L"</formula>
    </cfRule>
  </conditionalFormatting>
  <conditionalFormatting sqref="B37">
    <cfRule type="expression" dxfId="15319" priority="628">
      <formula>#REF!="TO"</formula>
    </cfRule>
    <cfRule type="expression" dxfId="15318" priority="629">
      <formula>#REF!="IO"</formula>
    </cfRule>
    <cfRule type="expression" dxfId="15317" priority="630">
      <formula>#REF!="L"</formula>
    </cfRule>
  </conditionalFormatting>
  <conditionalFormatting sqref="AD37">
    <cfRule type="expression" dxfId="15316" priority="625">
      <formula>#REF!="TO"</formula>
    </cfRule>
    <cfRule type="expression" dxfId="15315" priority="626">
      <formula>#REF!="IO"</formula>
    </cfRule>
    <cfRule type="expression" dxfId="15314" priority="627">
      <formula>#REF!="L"</formula>
    </cfRule>
  </conditionalFormatting>
  <conditionalFormatting sqref="L37">
    <cfRule type="expression" dxfId="15313" priority="622">
      <formula>#REF!="TO"</formula>
    </cfRule>
    <cfRule type="expression" dxfId="15312" priority="623">
      <formula>#REF!="IO"</formula>
    </cfRule>
    <cfRule type="expression" dxfId="15311" priority="624">
      <formula>#REF!="L"</formula>
    </cfRule>
    <cfRule type="expression" dxfId="15310" priority="778">
      <formula>#REF!="TO"</formula>
    </cfRule>
    <cfRule type="expression" dxfId="15309" priority="779">
      <formula>#REF!="IO"</formula>
    </cfRule>
    <cfRule type="expression" dxfId="15308" priority="780">
      <formula>#REF!="L"</formula>
    </cfRule>
  </conditionalFormatting>
  <conditionalFormatting sqref="AO37">
    <cfRule type="expression" dxfId="15307" priority="619">
      <formula>#REF!="TO"</formula>
    </cfRule>
    <cfRule type="expression" dxfId="15306" priority="620">
      <formula>#REF!="IO"</formula>
    </cfRule>
    <cfRule type="expression" dxfId="15305" priority="621">
      <formula>#REF!="L"</formula>
    </cfRule>
  </conditionalFormatting>
  <conditionalFormatting sqref="BB37">
    <cfRule type="expression" dxfId="15304" priority="616">
      <formula>#REF!="TO"</formula>
    </cfRule>
    <cfRule type="expression" dxfId="15303" priority="617">
      <formula>#REF!="IO"</formula>
    </cfRule>
    <cfRule type="expression" dxfId="15302" priority="618">
      <formula>#REF!="L"</formula>
    </cfRule>
  </conditionalFormatting>
  <conditionalFormatting sqref="BC37:BE37">
    <cfRule type="expression" dxfId="15301" priority="613">
      <formula>#REF!="TO"</formula>
    </cfRule>
    <cfRule type="expression" dxfId="15300" priority="614">
      <formula>#REF!="IO"</formula>
    </cfRule>
    <cfRule type="expression" dxfId="15299" priority="615">
      <formula>#REF!="L"</formula>
    </cfRule>
  </conditionalFormatting>
  <conditionalFormatting sqref="BK37">
    <cfRule type="expression" dxfId="15298" priority="610">
      <formula>#REF!="TO"</formula>
    </cfRule>
    <cfRule type="expression" dxfId="15297" priority="611">
      <formula>#REF!="IO"</formula>
    </cfRule>
    <cfRule type="expression" dxfId="15296" priority="612">
      <formula>#REF!="L"</formula>
    </cfRule>
  </conditionalFormatting>
  <conditionalFormatting sqref="BL37">
    <cfRule type="expression" dxfId="15295" priority="604">
      <formula>#REF!="TO"</formula>
    </cfRule>
    <cfRule type="expression" dxfId="15294" priority="605">
      <formula>#REF!="IO"</formula>
    </cfRule>
    <cfRule type="expression" dxfId="15293" priority="606">
      <formula>#REF!="L"</formula>
    </cfRule>
    <cfRule type="expression" dxfId="15292" priority="607">
      <formula>AS37="TO"</formula>
    </cfRule>
    <cfRule type="expression" dxfId="15291" priority="608">
      <formula>AS37="IO"</formula>
    </cfRule>
    <cfRule type="expression" dxfId="15290" priority="609">
      <formula>AS37="L"</formula>
    </cfRule>
  </conditionalFormatting>
  <conditionalFormatting sqref="BM37">
    <cfRule type="expression" dxfId="15289" priority="601">
      <formula>#REF!="TO"</formula>
    </cfRule>
    <cfRule type="expression" dxfId="15288" priority="602">
      <formula>#REF!="IO"</formula>
    </cfRule>
    <cfRule type="expression" dxfId="15287" priority="603">
      <formula>#REF!="L"</formula>
    </cfRule>
  </conditionalFormatting>
  <conditionalFormatting sqref="BN37">
    <cfRule type="expression" dxfId="15286" priority="598">
      <formula>#REF!="TO"</formula>
    </cfRule>
    <cfRule type="expression" dxfId="15285" priority="599">
      <formula>#REF!="IO"</formula>
    </cfRule>
    <cfRule type="expression" dxfId="15284" priority="600">
      <formula>#REF!="L"</formula>
    </cfRule>
  </conditionalFormatting>
  <conditionalFormatting sqref="BR37">
    <cfRule type="expression" dxfId="15283" priority="592">
      <formula>#REF!="TO"</formula>
    </cfRule>
    <cfRule type="expression" dxfId="15282" priority="593">
      <formula>#REF!="IO"</formula>
    </cfRule>
    <cfRule type="expression" dxfId="15281" priority="594">
      <formula>#REF!="L"</formula>
    </cfRule>
    <cfRule type="expression" dxfId="15280" priority="595">
      <formula>BA37="TO"</formula>
    </cfRule>
    <cfRule type="expression" dxfId="15279" priority="596">
      <formula>BA37="IO"</formula>
    </cfRule>
    <cfRule type="expression" dxfId="15278" priority="597">
      <formula>BA37="L"</formula>
    </cfRule>
  </conditionalFormatting>
  <conditionalFormatting sqref="BO37">
    <cfRule type="expression" dxfId="15277" priority="586">
      <formula>#REF!="TO"</formula>
    </cfRule>
    <cfRule type="expression" dxfId="15276" priority="587">
      <formula>#REF!="IO"</formula>
    </cfRule>
    <cfRule type="expression" dxfId="15275" priority="588">
      <formula>#REF!="L"</formula>
    </cfRule>
    <cfRule type="expression" dxfId="15274" priority="589">
      <formula>AT37="TO"</formula>
    </cfRule>
    <cfRule type="expression" dxfId="15273" priority="590">
      <formula>AT37="IO"</formula>
    </cfRule>
    <cfRule type="expression" dxfId="15272" priority="591">
      <formula>AT37="L"</formula>
    </cfRule>
  </conditionalFormatting>
  <conditionalFormatting sqref="BF37">
    <cfRule type="expression" dxfId="15271" priority="583">
      <formula>#REF!="TO"</formula>
    </cfRule>
    <cfRule type="expression" dxfId="15270" priority="584">
      <formula>#REF!="IO"</formula>
    </cfRule>
    <cfRule type="expression" dxfId="15269" priority="585">
      <formula>#REF!="L"</formula>
    </cfRule>
  </conditionalFormatting>
  <conditionalFormatting sqref="BH37">
    <cfRule type="expression" dxfId="15268" priority="580">
      <formula>#REF!="TO"</formula>
    </cfRule>
    <cfRule type="expression" dxfId="15267" priority="581">
      <formula>#REF!="IO"</formula>
    </cfRule>
    <cfRule type="expression" dxfId="15266" priority="582">
      <formula>#REF!="L"</formula>
    </cfRule>
  </conditionalFormatting>
  <conditionalFormatting sqref="BD37:BE37">
    <cfRule type="expression" dxfId="15265" priority="577">
      <formula>#REF!="TO"</formula>
    </cfRule>
    <cfRule type="expression" dxfId="15264" priority="578">
      <formula>#REF!="IO"</formula>
    </cfRule>
    <cfRule type="expression" dxfId="15263" priority="579">
      <formula>#REF!="L"</formula>
    </cfRule>
  </conditionalFormatting>
  <conditionalFormatting sqref="BG37">
    <cfRule type="expression" dxfId="15262" priority="574">
      <formula>#REF!="TO"</formula>
    </cfRule>
    <cfRule type="expression" dxfId="15261" priority="575">
      <formula>#REF!="IO"</formula>
    </cfRule>
    <cfRule type="expression" dxfId="15260" priority="576">
      <formula>#REF!="L"</formula>
    </cfRule>
  </conditionalFormatting>
  <conditionalFormatting sqref="BE37">
    <cfRule type="expression" dxfId="15259" priority="571">
      <formula>#REF!="TO"</formula>
    </cfRule>
    <cfRule type="expression" dxfId="15258" priority="572">
      <formula>#REF!="IO"</formula>
    </cfRule>
    <cfRule type="expression" dxfId="15257" priority="573">
      <formula>#REF!="L"</formula>
    </cfRule>
  </conditionalFormatting>
  <conditionalFormatting sqref="BP37">
    <cfRule type="expression" dxfId="15256" priority="568">
      <formula>#REF!="TO"</formula>
    </cfRule>
    <cfRule type="expression" dxfId="15255" priority="569">
      <formula>#REF!="IO"</formula>
    </cfRule>
    <cfRule type="expression" dxfId="15254" priority="570">
      <formula>#REF!="L"</formula>
    </cfRule>
  </conditionalFormatting>
  <conditionalFormatting sqref="BQ37:BS37">
    <cfRule type="expression" dxfId="15253" priority="565">
      <formula>#REF!="TO"</formula>
    </cfRule>
    <cfRule type="expression" dxfId="15252" priority="566">
      <formula>#REF!="IO"</formula>
    </cfRule>
    <cfRule type="expression" dxfId="15251" priority="567">
      <formula>#REF!="L"</formula>
    </cfRule>
  </conditionalFormatting>
  <conditionalFormatting sqref="BJ37">
    <cfRule type="expression" dxfId="15250" priority="562">
      <formula>#REF!="TO"</formula>
    </cfRule>
    <cfRule type="expression" dxfId="15249" priority="563">
      <formula>#REF!="IO"</formula>
    </cfRule>
    <cfRule type="expression" dxfId="15248" priority="564">
      <formula>#REF!="L"</formula>
    </cfRule>
  </conditionalFormatting>
  <conditionalFormatting sqref="BI37">
    <cfRule type="expression" dxfId="15247" priority="559">
      <formula>#REF!="TO"</formula>
    </cfRule>
    <cfRule type="expression" dxfId="15246" priority="560">
      <formula>#REF!="IO"</formula>
    </cfRule>
    <cfRule type="expression" dxfId="15245" priority="561">
      <formula>#REF!="L"</formula>
    </cfRule>
  </conditionalFormatting>
  <conditionalFormatting sqref="BS37">
    <cfRule type="expression" dxfId="15244" priority="556">
      <formula>#REF!="TO"</formula>
    </cfRule>
    <cfRule type="expression" dxfId="15243" priority="557">
      <formula>#REF!="IO"</formula>
    </cfRule>
    <cfRule type="expression" dxfId="15242" priority="558">
      <formula>#REF!="L"</formula>
    </cfRule>
  </conditionalFormatting>
  <conditionalFormatting sqref="BA37">
    <cfRule type="expression" dxfId="15241" priority="550">
      <formula>#REF!="TO"</formula>
    </cfRule>
    <cfRule type="expression" dxfId="15240" priority="551">
      <formula>#REF!="IO"</formula>
    </cfRule>
    <cfRule type="expression" dxfId="15239" priority="552">
      <formula>#REF!="L"</formula>
    </cfRule>
    <cfRule type="expression" dxfId="15238" priority="553">
      <formula>AJ37="TO"</formula>
    </cfRule>
    <cfRule type="expression" dxfId="15237" priority="554">
      <formula>AJ37="IO"</formula>
    </cfRule>
    <cfRule type="expression" dxfId="15236" priority="555">
      <formula>AJ37="L"</formula>
    </cfRule>
  </conditionalFormatting>
  <conditionalFormatting sqref="AW37:AY37">
    <cfRule type="expression" dxfId="15235" priority="547">
      <formula>#REF!="TO"</formula>
    </cfRule>
    <cfRule type="expression" dxfId="15234" priority="548">
      <formula>#REF!="IO"</formula>
    </cfRule>
    <cfRule type="expression" dxfId="15233" priority="549">
      <formula>#REF!="L"</formula>
    </cfRule>
  </conditionalFormatting>
  <conditionalFormatting sqref="AV37">
    <cfRule type="expression" dxfId="15232" priority="544">
      <formula>#REF!="TO"</formula>
    </cfRule>
    <cfRule type="expression" dxfId="15231" priority="545">
      <formula>#REF!="IO"</formula>
    </cfRule>
    <cfRule type="expression" dxfId="15230" priority="546">
      <formula>#REF!="L"</formula>
    </cfRule>
  </conditionalFormatting>
  <conditionalFormatting sqref="AZ37">
    <cfRule type="expression" dxfId="15229" priority="541">
      <formula>#REF!="TO"</formula>
    </cfRule>
    <cfRule type="expression" dxfId="15228" priority="542">
      <formula>#REF!="IO"</formula>
    </cfRule>
    <cfRule type="expression" dxfId="15227" priority="543">
      <formula>#REF!="L"</formula>
    </cfRule>
  </conditionalFormatting>
  <conditionalFormatting sqref="T37">
    <cfRule type="expression" dxfId="15226" priority="538">
      <formula>#REF!="TO"</formula>
    </cfRule>
    <cfRule type="expression" dxfId="15225" priority="539">
      <formula>#REF!="IO"</formula>
    </cfRule>
    <cfRule type="expression" dxfId="15224" priority="540">
      <formula>#REF!="L"</formula>
    </cfRule>
  </conditionalFormatting>
  <conditionalFormatting sqref="M36">
    <cfRule type="expression" dxfId="15223" priority="310">
      <formula>#REF!="TO"</formula>
    </cfRule>
    <cfRule type="expression" dxfId="15222" priority="311">
      <formula>#REF!="IO"</formula>
    </cfRule>
    <cfRule type="expression" dxfId="15221" priority="312">
      <formula>#REF!="L"</formula>
    </cfRule>
    <cfRule type="expression" dxfId="15220" priority="433">
      <formula>#REF!="TO"</formula>
    </cfRule>
    <cfRule type="expression" dxfId="15219" priority="434">
      <formula>#REF!="IO"</formula>
    </cfRule>
    <cfRule type="expression" dxfId="15218" priority="435">
      <formula>#REF!="L"</formula>
    </cfRule>
  </conditionalFormatting>
  <conditionalFormatting sqref="Q36">
    <cfRule type="expression" dxfId="15217" priority="307">
      <formula>#REF!="TO"</formula>
    </cfRule>
    <cfRule type="expression" dxfId="15216" priority="308">
      <formula>#REF!="IO"</formula>
    </cfRule>
    <cfRule type="expression" dxfId="15215" priority="309">
      <formula>#REF!="L"</formula>
    </cfRule>
    <cfRule type="expression" dxfId="15214" priority="430">
      <formula>#REF!="TO"</formula>
    </cfRule>
    <cfRule type="expression" dxfId="15213" priority="431">
      <formula>#REF!="IO"</formula>
    </cfRule>
    <cfRule type="expression" dxfId="15212" priority="432">
      <formula>#REF!="L"</formula>
    </cfRule>
  </conditionalFormatting>
  <conditionalFormatting sqref="C36">
    <cfRule type="expression" dxfId="15211" priority="256">
      <formula>#REF!="TO"</formula>
    </cfRule>
    <cfRule type="expression" dxfId="15210" priority="257">
      <formula>#REF!="IO"</formula>
    </cfRule>
    <cfRule type="expression" dxfId="15209" priority="258">
      <formula>#REF!="L"</formula>
    </cfRule>
    <cfRule type="expression" dxfId="15208" priority="262">
      <formula>#REF!="TO"</formula>
    </cfRule>
    <cfRule type="expression" dxfId="15207" priority="263">
      <formula>#REF!="IO"</formula>
    </cfRule>
    <cfRule type="expression" dxfId="15206" priority="264">
      <formula>#REF!="L"</formula>
    </cfRule>
    <cfRule type="expression" dxfId="15205" priority="259">
      <formula>#REF!="TO"</formula>
    </cfRule>
    <cfRule type="expression" dxfId="15204" priority="260">
      <formula>#REF!="IO"</formula>
    </cfRule>
    <cfRule type="expression" dxfId="15203" priority="261">
      <formula>#REF!="L"</formula>
    </cfRule>
    <cfRule type="expression" dxfId="15202" priority="253">
      <formula>#REF!="TO"</formula>
    </cfRule>
    <cfRule type="expression" dxfId="15201" priority="254">
      <formula>#REF!="IO"</formula>
    </cfRule>
    <cfRule type="expression" dxfId="15200" priority="255">
      <formula>#REF!="L"</formula>
    </cfRule>
  </conditionalFormatting>
  <conditionalFormatting sqref="AO36">
    <cfRule type="expression" dxfId="15199" priority="214">
      <formula>#REF!="TO"</formula>
    </cfRule>
    <cfRule type="expression" dxfId="15198" priority="215">
      <formula>#REF!="IO"</formula>
    </cfRule>
    <cfRule type="expression" dxfId="15197" priority="216">
      <formula>#REF!="L"</formula>
    </cfRule>
    <cfRule type="expression" dxfId="15196" priority="211">
      <formula>#REF!="TO"</formula>
    </cfRule>
    <cfRule type="expression" dxfId="15195" priority="212">
      <formula>#REF!="IO"</formula>
    </cfRule>
    <cfRule type="expression" dxfId="15194" priority="213">
      <formula>#REF!="L"</formula>
    </cfRule>
  </conditionalFormatting>
  <conditionalFormatting sqref="AD36">
    <cfRule type="expression" dxfId="15193" priority="220">
      <formula>#REF!="TO"</formula>
    </cfRule>
    <cfRule type="expression" dxfId="15192" priority="221">
      <formula>#REF!="IO"</formula>
    </cfRule>
    <cfRule type="expression" dxfId="15191" priority="222">
      <formula>#REF!="L"</formula>
    </cfRule>
    <cfRule type="expression" dxfId="15190" priority="226">
      <formula>#REF!="TO"</formula>
    </cfRule>
    <cfRule type="expression" dxfId="15189" priority="227">
      <formula>#REF!="IO"</formula>
    </cfRule>
    <cfRule type="expression" dxfId="15188" priority="228">
      <formula>#REF!="L"</formula>
    </cfRule>
    <cfRule type="expression" dxfId="15187" priority="223">
      <formula>#REF!="TO"</formula>
    </cfRule>
    <cfRule type="expression" dxfId="15186" priority="224">
      <formula>#REF!="IO"</formula>
    </cfRule>
    <cfRule type="expression" dxfId="15185" priority="225">
      <formula>#REF!="L"</formula>
    </cfRule>
    <cfRule type="expression" dxfId="15184" priority="217">
      <formula>#REF!="TO"</formula>
    </cfRule>
    <cfRule type="expression" dxfId="15183" priority="218">
      <formula>#REF!="IO"</formula>
    </cfRule>
    <cfRule type="expression" dxfId="15182" priority="219">
      <formula>#REF!="L"</formula>
    </cfRule>
  </conditionalFormatting>
  <conditionalFormatting sqref="J36">
    <cfRule type="expression" dxfId="15181" priority="247">
      <formula>#REF!="TO"</formula>
    </cfRule>
    <cfRule type="expression" dxfId="15180" priority="248">
      <formula>#REF!="IO"</formula>
    </cfRule>
    <cfRule type="expression" dxfId="15179" priority="249">
      <formula>#REF!="L"</formula>
    </cfRule>
    <cfRule type="expression" dxfId="15178" priority="244">
      <formula>#REF!="TO"</formula>
    </cfRule>
    <cfRule type="expression" dxfId="15177" priority="245">
      <formula>#REF!="IO"</formula>
    </cfRule>
    <cfRule type="expression" dxfId="15176" priority="246">
      <formula>#REF!="L"</formula>
    </cfRule>
    <cfRule type="expression" dxfId="15175" priority="250">
      <formula>#REF!="TO"</formula>
    </cfRule>
    <cfRule type="expression" dxfId="15174" priority="251">
      <formula>#REF!="IO"</formula>
    </cfRule>
    <cfRule type="expression" dxfId="15173" priority="252">
      <formula>#REF!="L"</formula>
    </cfRule>
    <cfRule type="expression" dxfId="15172" priority="241">
      <formula>#REF!="TO"</formula>
    </cfRule>
    <cfRule type="expression" dxfId="15171" priority="242">
      <formula>#REF!="IO"</formula>
    </cfRule>
    <cfRule type="expression" dxfId="15170" priority="243">
      <formula>#REF!="L"</formula>
    </cfRule>
  </conditionalFormatting>
  <conditionalFormatting sqref="AK36">
    <cfRule type="expression" dxfId="15169" priority="376">
      <formula>#REF!="TO"</formula>
    </cfRule>
    <cfRule type="expression" dxfId="15168" priority="377">
      <formula>#REF!="IO"</formula>
    </cfRule>
    <cfRule type="expression" dxfId="15167" priority="378">
      <formula>#REF!="L"</formula>
    </cfRule>
    <cfRule type="expression" dxfId="15166" priority="502">
      <formula>#REF!="TO"</formula>
    </cfRule>
    <cfRule type="expression" dxfId="15165" priority="503">
      <formula>#REF!="IO"</formula>
    </cfRule>
    <cfRule type="expression" dxfId="15164" priority="504">
      <formula>#REF!="L"</formula>
    </cfRule>
    <cfRule type="expression" dxfId="15163" priority="451">
      <formula>#REF!="TO"</formula>
    </cfRule>
    <cfRule type="expression" dxfId="15162" priority="452">
      <formula>#REF!="IO"</formula>
    </cfRule>
    <cfRule type="expression" dxfId="15161" priority="453">
      <formula>#REF!="L"</formula>
    </cfRule>
    <cfRule type="expression" dxfId="15160" priority="328">
      <formula>#REF!="TO"</formula>
    </cfRule>
    <cfRule type="expression" dxfId="15159" priority="329">
      <formula>#REF!="IO"</formula>
    </cfRule>
    <cfRule type="expression" dxfId="15158" priority="330">
      <formula>#REF!="L"</formula>
    </cfRule>
  </conditionalFormatting>
  <conditionalFormatting sqref="S36 O36:P36 H36">
    <cfRule type="expression" dxfId="15157" priority="487">
      <formula>#REF!="TO"</formula>
    </cfRule>
    <cfRule type="expression" dxfId="15156" priority="488">
      <formula>#REF!="IO"</formula>
    </cfRule>
    <cfRule type="expression" dxfId="15155" priority="489">
      <formula>#REF!="L"</formula>
    </cfRule>
  </conditionalFormatting>
  <conditionalFormatting sqref="A36">
    <cfRule type="expression" dxfId="15154" priority="535">
      <formula>#REF!="TO"</formula>
    </cfRule>
    <cfRule type="expression" dxfId="15153" priority="536">
      <formula>#REF!="IO"</formula>
    </cfRule>
    <cfRule type="expression" dxfId="15152" priority="537">
      <formula>#REF!="L"</formula>
    </cfRule>
    <cfRule type="expression" dxfId="15151" priority="409">
      <formula>#REF!="TO"</formula>
    </cfRule>
    <cfRule type="expression" dxfId="15150" priority="410">
      <formula>#REF!="IO"</formula>
    </cfRule>
    <cfRule type="expression" dxfId="15149" priority="411">
      <formula>#REF!="L"</formula>
    </cfRule>
  </conditionalFormatting>
  <conditionalFormatting sqref="B36">
    <cfRule type="expression" dxfId="15148" priority="532">
      <formula>#REF!="TO"</formula>
    </cfRule>
    <cfRule type="expression" dxfId="15147" priority="533">
      <formula>#REF!="IO"</formula>
    </cfRule>
    <cfRule type="expression" dxfId="15146" priority="534">
      <formula>#REF!="L"</formula>
    </cfRule>
    <cfRule type="expression" dxfId="15145" priority="472">
      <formula>#REF!="TO"</formula>
    </cfRule>
    <cfRule type="expression" dxfId="15144" priority="473">
      <formula>#REF!="IO"</formula>
    </cfRule>
    <cfRule type="expression" dxfId="15143" priority="474">
      <formula>#REF!="L"</formula>
    </cfRule>
    <cfRule type="expression" dxfId="15142" priority="406">
      <formula>#REF!="TO"</formula>
    </cfRule>
    <cfRule type="expression" dxfId="15141" priority="407">
      <formula>#REF!="IO"</formula>
    </cfRule>
    <cfRule type="expression" dxfId="15140" priority="408">
      <formula>#REF!="L"</formula>
    </cfRule>
    <cfRule type="expression" dxfId="15139" priority="349">
      <formula>#REF!="TO"</formula>
    </cfRule>
    <cfRule type="expression" dxfId="15138" priority="350">
      <formula>#REF!="IO"</formula>
    </cfRule>
    <cfRule type="expression" dxfId="15137" priority="351">
      <formula>#REF!="L"</formula>
    </cfRule>
  </conditionalFormatting>
  <conditionalFormatting sqref="G36">
    <cfRule type="expression" dxfId="15136" priority="529">
      <formula>#REF!="TO"</formula>
    </cfRule>
    <cfRule type="expression" dxfId="15135" priority="530">
      <formula>#REF!="IO"</formula>
    </cfRule>
    <cfRule type="expression" dxfId="15134" priority="531">
      <formula>#REF!="L"</formula>
    </cfRule>
    <cfRule type="expression" dxfId="15133" priority="469">
      <formula>#REF!="TO"</formula>
    </cfRule>
    <cfRule type="expression" dxfId="15132" priority="470">
      <formula>#REF!="IO"</formula>
    </cfRule>
    <cfRule type="expression" dxfId="15131" priority="471">
      <formula>#REF!="L"</formula>
    </cfRule>
    <cfRule type="expression" dxfId="15130" priority="403">
      <formula>#REF!="TO"</formula>
    </cfRule>
    <cfRule type="expression" dxfId="15129" priority="404">
      <formula>#REF!="IO"</formula>
    </cfRule>
    <cfRule type="expression" dxfId="15128" priority="405">
      <formula>#REF!="L"</formula>
    </cfRule>
    <cfRule type="expression" dxfId="15127" priority="346">
      <formula>#REF!="TO"</formula>
    </cfRule>
    <cfRule type="expression" dxfId="15126" priority="347">
      <formula>#REF!="IO"</formula>
    </cfRule>
    <cfRule type="expression" dxfId="15125" priority="348">
      <formula>#REF!="L"</formula>
    </cfRule>
  </conditionalFormatting>
  <conditionalFormatting sqref="K36">
    <cfRule type="expression" dxfId="15124" priority="526">
      <formula>#REF!="TO"</formula>
    </cfRule>
    <cfRule type="expression" dxfId="15123" priority="527">
      <formula>#REF!="IO"</formula>
    </cfRule>
    <cfRule type="expression" dxfId="15122" priority="528">
      <formula>#REF!="L"</formula>
    </cfRule>
    <cfRule type="expression" dxfId="15121" priority="400">
      <formula>#REF!="TO"</formula>
    </cfRule>
    <cfRule type="expression" dxfId="15120" priority="401">
      <formula>#REF!="IO"</formula>
    </cfRule>
    <cfRule type="expression" dxfId="15119" priority="402">
      <formula>#REF!="L"</formula>
    </cfRule>
  </conditionalFormatting>
  <conditionalFormatting sqref="E36">
    <cfRule type="expression" dxfId="15118" priority="523">
      <formula>#REF!="TO"</formula>
    </cfRule>
    <cfRule type="expression" dxfId="15117" priority="524">
      <formula>#REF!="IO"</formula>
    </cfRule>
    <cfRule type="expression" dxfId="15116" priority="525">
      <formula>#REF!="L"</formula>
    </cfRule>
    <cfRule type="expression" dxfId="15115" priority="466">
      <formula>#REF!="TO"</formula>
    </cfRule>
    <cfRule type="expression" dxfId="15114" priority="467">
      <formula>#REF!="IO"</formula>
    </cfRule>
    <cfRule type="expression" dxfId="15113" priority="468">
      <formula>#REF!="L"</formula>
    </cfRule>
    <cfRule type="expression" dxfId="15112" priority="397">
      <formula>#REF!="TO"</formula>
    </cfRule>
    <cfRule type="expression" dxfId="15111" priority="398">
      <formula>#REF!="IO"</formula>
    </cfRule>
    <cfRule type="expression" dxfId="15110" priority="399">
      <formula>#REF!="L"</formula>
    </cfRule>
    <cfRule type="expression" dxfId="15109" priority="343">
      <formula>#REF!="TO"</formula>
    </cfRule>
    <cfRule type="expression" dxfId="15108" priority="344">
      <formula>#REF!="IO"</formula>
    </cfRule>
    <cfRule type="expression" dxfId="15107" priority="345">
      <formula>#REF!="L"</formula>
    </cfRule>
  </conditionalFormatting>
  <conditionalFormatting sqref="AJ36">
    <cfRule type="expression" dxfId="15106" priority="505">
      <formula>#REF!="TO"</formula>
    </cfRule>
    <cfRule type="expression" dxfId="15105" priority="506">
      <formula>#REF!="IO"</formula>
    </cfRule>
    <cfRule type="expression" dxfId="15104" priority="507">
      <formula>#REF!="L"</formula>
    </cfRule>
    <cfRule type="expression" dxfId="15103" priority="454">
      <formula>#REF!="TO"</formula>
    </cfRule>
    <cfRule type="expression" dxfId="15102" priority="455">
      <formula>#REF!="IO"</formula>
    </cfRule>
    <cfRule type="expression" dxfId="15101" priority="456">
      <formula>#REF!="L"</formula>
    </cfRule>
    <cfRule type="expression" dxfId="15100" priority="379">
      <formula>#REF!="TO"</formula>
    </cfRule>
    <cfRule type="expression" dxfId="15099" priority="380">
      <formula>#REF!="IO"</formula>
    </cfRule>
    <cfRule type="expression" dxfId="15098" priority="381">
      <formula>#REF!="L"</formula>
    </cfRule>
    <cfRule type="expression" dxfId="15097" priority="331">
      <formula>#REF!="TO"</formula>
    </cfRule>
    <cfRule type="expression" dxfId="15096" priority="332">
      <formula>#REF!="IO"</formula>
    </cfRule>
    <cfRule type="expression" dxfId="15095" priority="333">
      <formula>#REF!="L"</formula>
    </cfRule>
  </conditionalFormatting>
  <conditionalFormatting sqref="N36:P36">
    <cfRule type="expression" dxfId="15094" priority="520">
      <formula>#REF!="TO"</formula>
    </cfRule>
    <cfRule type="expression" dxfId="15093" priority="521">
      <formula>#REF!="IO"</formula>
    </cfRule>
    <cfRule type="expression" dxfId="15092" priority="522">
      <formula>#REF!="L"</formula>
    </cfRule>
    <cfRule type="expression" dxfId="15091" priority="463">
      <formula>#REF!="TO"</formula>
    </cfRule>
    <cfRule type="expression" dxfId="15090" priority="464">
      <formula>#REF!="IO"</formula>
    </cfRule>
    <cfRule type="expression" dxfId="15089" priority="465">
      <formula>#REF!="L"</formula>
    </cfRule>
    <cfRule type="expression" dxfId="15088" priority="394">
      <formula>#REF!="TO"</formula>
    </cfRule>
    <cfRule type="expression" dxfId="15087" priority="395">
      <formula>#REF!="IO"</formula>
    </cfRule>
    <cfRule type="expression" dxfId="15086" priority="396">
      <formula>#REF!="L"</formula>
    </cfRule>
    <cfRule type="expression" dxfId="15085" priority="340">
      <formula>#REF!="TO"</formula>
    </cfRule>
    <cfRule type="expression" dxfId="15084" priority="341">
      <formula>#REF!="IO"</formula>
    </cfRule>
    <cfRule type="expression" dxfId="15083" priority="342">
      <formula>#REF!="L"</formula>
    </cfRule>
  </conditionalFormatting>
  <conditionalFormatting sqref="V36">
    <cfRule type="expression" dxfId="15082" priority="517">
      <formula>#REF!="TO"</formula>
    </cfRule>
    <cfRule type="expression" dxfId="15081" priority="518">
      <formula>#REF!="IO"</formula>
    </cfRule>
    <cfRule type="expression" dxfId="15080" priority="519">
      <formula>#REF!="L"</formula>
    </cfRule>
    <cfRule type="expression" dxfId="15079" priority="391">
      <formula>#REF!="TO"</formula>
    </cfRule>
    <cfRule type="expression" dxfId="15078" priority="392">
      <formula>#REF!="IO"</formula>
    </cfRule>
    <cfRule type="expression" dxfId="15077" priority="393">
      <formula>#REF!="L"</formula>
    </cfRule>
  </conditionalFormatting>
  <conditionalFormatting sqref="X36">
    <cfRule type="expression" dxfId="15076" priority="514">
      <formula>#REF!="TO"</formula>
    </cfRule>
    <cfRule type="expression" dxfId="15075" priority="515">
      <formula>#REF!="IO"</formula>
    </cfRule>
    <cfRule type="expression" dxfId="15074" priority="516">
      <formula>#REF!="L"</formula>
    </cfRule>
    <cfRule type="expression" dxfId="15073" priority="460">
      <formula>#REF!="TO"</formula>
    </cfRule>
    <cfRule type="expression" dxfId="15072" priority="461">
      <formula>#REF!="IO"</formula>
    </cfRule>
    <cfRule type="expression" dxfId="15071" priority="462">
      <formula>#REF!="L"</formula>
    </cfRule>
    <cfRule type="expression" dxfId="15070" priority="388">
      <formula>#REF!="TO"</formula>
    </cfRule>
    <cfRule type="expression" dxfId="15069" priority="389">
      <formula>#REF!="IO"</formula>
    </cfRule>
    <cfRule type="expression" dxfId="15068" priority="390">
      <formula>#REF!="L"</formula>
    </cfRule>
    <cfRule type="expression" dxfId="15067" priority="337">
      <formula>#REF!="TO"</formula>
    </cfRule>
    <cfRule type="expression" dxfId="15066" priority="338">
      <formula>#REF!="IO"</formula>
    </cfRule>
    <cfRule type="expression" dxfId="15065" priority="339">
      <formula>#REF!="L"</formula>
    </cfRule>
  </conditionalFormatting>
  <conditionalFormatting sqref="Y36">
    <cfRule type="expression" dxfId="15064" priority="511">
      <formula>#REF!="TO"</formula>
    </cfRule>
    <cfRule type="expression" dxfId="15063" priority="512">
      <formula>#REF!="IO"</formula>
    </cfRule>
    <cfRule type="expression" dxfId="15062" priority="513">
      <formula>#REF!="L"</formula>
    </cfRule>
    <cfRule type="expression" dxfId="15061" priority="457">
      <formula>#REF!="TO"</formula>
    </cfRule>
    <cfRule type="expression" dxfId="15060" priority="458">
      <formula>#REF!="IO"</formula>
    </cfRule>
    <cfRule type="expression" dxfId="15059" priority="459">
      <formula>#REF!="L"</formula>
    </cfRule>
    <cfRule type="expression" dxfId="15058" priority="334">
      <formula>#REF!="TO"</formula>
    </cfRule>
    <cfRule type="expression" dxfId="15057" priority="335">
      <formula>#REF!="IO"</formula>
    </cfRule>
    <cfRule type="expression" dxfId="15056" priority="336">
      <formula>#REF!="L"</formula>
    </cfRule>
    <cfRule type="expression" dxfId="15055" priority="385">
      <formula>#REF!="TO"</formula>
    </cfRule>
    <cfRule type="expression" dxfId="15054" priority="386">
      <formula>#REF!="IO"</formula>
    </cfRule>
    <cfRule type="expression" dxfId="15053" priority="387">
      <formula>#REF!="L"</formula>
    </cfRule>
  </conditionalFormatting>
  <conditionalFormatting sqref="AH36">
    <cfRule type="expression" dxfId="15052" priority="508">
      <formula>#REF!="TO"</formula>
    </cfRule>
    <cfRule type="expression" dxfId="15051" priority="509">
      <formula>#REF!="IO"</formula>
    </cfRule>
    <cfRule type="expression" dxfId="15050" priority="510">
      <formula>#REF!="L"</formula>
    </cfRule>
    <cfRule type="expression" dxfId="15049" priority="382">
      <formula>#REF!="TO"</formula>
    </cfRule>
    <cfRule type="expression" dxfId="15048" priority="383">
      <formula>#REF!="IO"</formula>
    </cfRule>
    <cfRule type="expression" dxfId="15047" priority="384">
      <formula>#REF!="L"</formula>
    </cfRule>
  </conditionalFormatting>
  <conditionalFormatting sqref="AM36">
    <cfRule type="expression" dxfId="15046" priority="499">
      <formula>#REF!="TO"</formula>
    </cfRule>
    <cfRule type="expression" dxfId="15045" priority="500">
      <formula>#REF!="IO"</formula>
    </cfRule>
    <cfRule type="expression" dxfId="15044" priority="501">
      <formula>#REF!="L"</formula>
    </cfRule>
    <cfRule type="expression" dxfId="15043" priority="373">
      <formula>#REF!="TO"</formula>
    </cfRule>
    <cfRule type="expression" dxfId="15042" priority="374">
      <formula>#REF!="IO"</formula>
    </cfRule>
    <cfRule type="expression" dxfId="15041" priority="375">
      <formula>#REF!="L"</formula>
    </cfRule>
  </conditionalFormatting>
  <conditionalFormatting sqref="AQ36">
    <cfRule type="expression" dxfId="15040" priority="496">
      <formula>#REF!="TO"</formula>
    </cfRule>
    <cfRule type="expression" dxfId="15039" priority="497">
      <formula>#REF!="IO"</formula>
    </cfRule>
    <cfRule type="expression" dxfId="15038" priority="498">
      <formula>#REF!="L"</formula>
    </cfRule>
    <cfRule type="expression" dxfId="15037" priority="493">
      <formula>#REF!="TO"</formula>
    </cfRule>
    <cfRule type="expression" dxfId="15036" priority="494">
      <formula>#REF!="IO"</formula>
    </cfRule>
    <cfRule type="expression" dxfId="15035" priority="495">
      <formula>#REF!="L"</formula>
    </cfRule>
    <cfRule type="expression" dxfId="15034" priority="370">
      <formula>#REF!="TO"</formula>
    </cfRule>
    <cfRule type="expression" dxfId="15033" priority="371">
      <formula>#REF!="IO"</formula>
    </cfRule>
    <cfRule type="expression" dxfId="15032" priority="372">
      <formula>#REF!="L"</formula>
    </cfRule>
    <cfRule type="expression" dxfId="15031" priority="367">
      <formula>#REF!="TO"</formula>
    </cfRule>
    <cfRule type="expression" dxfId="15030" priority="368">
      <formula>#REF!="IO"</formula>
    </cfRule>
    <cfRule type="expression" dxfId="15029" priority="369">
      <formula>#REF!="L"</formula>
    </cfRule>
  </conditionalFormatting>
  <conditionalFormatting sqref="AR36">
    <cfRule type="expression" dxfId="15028" priority="490">
      <formula>#REF!="TO"</formula>
    </cfRule>
    <cfRule type="expression" dxfId="15027" priority="491">
      <formula>#REF!="IO"</formula>
    </cfRule>
    <cfRule type="expression" dxfId="15026" priority="492">
      <formula>#REF!="L"</formula>
    </cfRule>
    <cfRule type="expression" dxfId="15025" priority="364">
      <formula>#REF!="TO"</formula>
    </cfRule>
    <cfRule type="expression" dxfId="15024" priority="365">
      <formula>#REF!="IO"</formula>
    </cfRule>
    <cfRule type="expression" dxfId="15023" priority="366">
      <formula>#REF!="L"</formula>
    </cfRule>
  </conditionalFormatting>
  <conditionalFormatting sqref="S36">
    <cfRule type="expression" dxfId="15022" priority="481">
      <formula>#REF!="TO"</formula>
    </cfRule>
    <cfRule type="expression" dxfId="15021" priority="482">
      <formula>#REF!="IO"</formula>
    </cfRule>
    <cfRule type="expression" dxfId="15020" priority="483">
      <formula>#REF!="L"</formula>
    </cfRule>
    <cfRule type="expression" dxfId="15019" priority="358">
      <formula>#REF!="TO"</formula>
    </cfRule>
    <cfRule type="expression" dxfId="15018" priority="359">
      <formula>#REF!="IO"</formula>
    </cfRule>
    <cfRule type="expression" dxfId="15017" priority="360">
      <formula>#REF!="L"</formula>
    </cfRule>
  </conditionalFormatting>
  <conditionalFormatting sqref="O36:P36">
    <cfRule type="expression" dxfId="15016" priority="484">
      <formula>#REF!="TO"</formula>
    </cfRule>
    <cfRule type="expression" dxfId="15015" priority="485">
      <formula>#REF!="IO"</formula>
    </cfRule>
    <cfRule type="expression" dxfId="15014" priority="486">
      <formula>#REF!="L"</formula>
    </cfRule>
    <cfRule type="expression" dxfId="15013" priority="361">
      <formula>#REF!="TO"</formula>
    </cfRule>
    <cfRule type="expression" dxfId="15012" priority="362">
      <formula>#REF!="IO"</formula>
    </cfRule>
    <cfRule type="expression" dxfId="15011" priority="363">
      <formula>#REF!="L"</formula>
    </cfRule>
  </conditionalFormatting>
  <conditionalFormatting sqref="AT36">
    <cfRule type="expression" dxfId="15010" priority="478">
      <formula>#REF!="TO"</formula>
    </cfRule>
    <cfRule type="expression" dxfId="15009" priority="479">
      <formula>#REF!="IO"</formula>
    </cfRule>
    <cfRule type="expression" dxfId="15008" priority="480">
      <formula>#REF!="L"</formula>
    </cfRule>
    <cfRule type="expression" dxfId="15007" priority="355">
      <formula>#REF!="TO"</formula>
    </cfRule>
    <cfRule type="expression" dxfId="15006" priority="356">
      <formula>#REF!="IO"</formula>
    </cfRule>
    <cfRule type="expression" dxfId="15005" priority="357">
      <formula>#REF!="L"</formula>
    </cfRule>
  </conditionalFormatting>
  <conditionalFormatting sqref="AF36">
    <cfRule type="expression" dxfId="15004" priority="475">
      <formula>#REF!="TO"</formula>
    </cfRule>
    <cfRule type="expression" dxfId="15003" priority="476">
      <formula>#REF!="IO"</formula>
    </cfRule>
    <cfRule type="expression" dxfId="15002" priority="477">
      <formula>#REF!="L"</formula>
    </cfRule>
    <cfRule type="expression" dxfId="15001" priority="436">
      <formula>#REF!="TO"</formula>
    </cfRule>
    <cfRule type="expression" dxfId="15000" priority="437">
      <formula>#REF!="IO"</formula>
    </cfRule>
    <cfRule type="expression" dxfId="14999" priority="438">
      <formula>#REF!="L"</formula>
    </cfRule>
    <cfRule type="expression" dxfId="14998" priority="352">
      <formula>#REF!="TO"</formula>
    </cfRule>
    <cfRule type="expression" dxfId="14997" priority="353">
      <formula>#REF!="IO"</formula>
    </cfRule>
    <cfRule type="expression" dxfId="14996" priority="354">
      <formula>#REF!="L"</formula>
    </cfRule>
    <cfRule type="expression" dxfId="14995" priority="313">
      <formula>#REF!="TO"</formula>
    </cfRule>
    <cfRule type="expression" dxfId="14994" priority="314">
      <formula>#REF!="IO"</formula>
    </cfRule>
    <cfRule type="expression" dxfId="14993" priority="315">
      <formula>#REF!="L"</formula>
    </cfRule>
  </conditionalFormatting>
  <conditionalFormatting sqref="Z36">
    <cfRule type="expression" dxfId="14992" priority="445">
      <formula>#REF!="TO"</formula>
    </cfRule>
    <cfRule type="expression" dxfId="14991" priority="446">
      <formula>#REF!="IO"</formula>
    </cfRule>
    <cfRule type="expression" dxfId="14990" priority="447">
      <formula>#REF!="L"</formula>
    </cfRule>
    <cfRule type="expression" dxfId="14989" priority="448">
      <formula>H36="TO"</formula>
    </cfRule>
    <cfRule type="expression" dxfId="14988" priority="449">
      <formula>H36="IO"</formula>
    </cfRule>
    <cfRule type="expression" dxfId="14987" priority="450">
      <formula>H36="L"</formula>
    </cfRule>
    <cfRule type="expression" dxfId="14986" priority="322">
      <formula>#REF!="TO"</formula>
    </cfRule>
    <cfRule type="expression" dxfId="14985" priority="323">
      <formula>#REF!="IO"</formula>
    </cfRule>
    <cfRule type="expression" dxfId="14984" priority="324">
      <formula>#REF!="L"</formula>
    </cfRule>
    <cfRule type="expression" dxfId="14983" priority="325">
      <formula>H36="TO"</formula>
    </cfRule>
    <cfRule type="expression" dxfId="14982" priority="326">
      <formula>H36="IO"</formula>
    </cfRule>
    <cfRule type="expression" dxfId="14981" priority="327">
      <formula>H36="L"</formula>
    </cfRule>
  </conditionalFormatting>
  <conditionalFormatting sqref="AE36">
    <cfRule type="expression" dxfId="14980" priority="439">
      <formula>#REF!="TO"</formula>
    </cfRule>
    <cfRule type="expression" dxfId="14979" priority="440">
      <formula>#REF!="IO"</formula>
    </cfRule>
    <cfRule type="expression" dxfId="14978" priority="441">
      <formula>#REF!="L"</formula>
    </cfRule>
    <cfRule type="expression" dxfId="14977" priority="442">
      <formula>E36="TO"</formula>
    </cfRule>
    <cfRule type="expression" dxfId="14976" priority="443">
      <formula>E36="IO"</formula>
    </cfRule>
    <cfRule type="expression" dxfId="14975" priority="444">
      <formula>E36="L"</formula>
    </cfRule>
    <cfRule type="expression" dxfId="14974" priority="316">
      <formula>#REF!="TO"</formula>
    </cfRule>
    <cfRule type="expression" dxfId="14973" priority="317">
      <formula>#REF!="IO"</formula>
    </cfRule>
    <cfRule type="expression" dxfId="14972" priority="318">
      <formula>#REF!="L"</formula>
    </cfRule>
    <cfRule type="expression" dxfId="14971" priority="319">
      <formula>E36="TO"</formula>
    </cfRule>
    <cfRule type="expression" dxfId="14970" priority="320">
      <formula>E36="IO"</formula>
    </cfRule>
    <cfRule type="expression" dxfId="14969" priority="321">
      <formula>E36="L"</formula>
    </cfRule>
  </conditionalFormatting>
  <conditionalFormatting sqref="R36">
    <cfRule type="expression" dxfId="14968" priority="427">
      <formula>#REF!="TO"</formula>
    </cfRule>
    <cfRule type="expression" dxfId="14967" priority="428">
      <formula>#REF!="IO"</formula>
    </cfRule>
    <cfRule type="expression" dxfId="14966" priority="429">
      <formula>#REF!="L"</formula>
    </cfRule>
    <cfRule type="expression" dxfId="14965" priority="304">
      <formula>#REF!="TO"</formula>
    </cfRule>
    <cfRule type="expression" dxfId="14964" priority="305">
      <formula>#REF!="IO"</formula>
    </cfRule>
    <cfRule type="expression" dxfId="14963" priority="306">
      <formula>#REF!="L"</formula>
    </cfRule>
  </conditionalFormatting>
  <conditionalFormatting sqref="P36">
    <cfRule type="expression" dxfId="14962" priority="424">
      <formula>#REF!="TO"</formula>
    </cfRule>
    <cfRule type="expression" dxfId="14961" priority="425">
      <formula>#REF!="IO"</formula>
    </cfRule>
    <cfRule type="expression" dxfId="14960" priority="426">
      <formula>#REF!="L"</formula>
    </cfRule>
    <cfRule type="expression" dxfId="14959" priority="301">
      <formula>#REF!="TO"</formula>
    </cfRule>
    <cfRule type="expression" dxfId="14958" priority="302">
      <formula>#REF!="IO"</formula>
    </cfRule>
    <cfRule type="expression" dxfId="14957" priority="303">
      <formula>#REF!="L"</formula>
    </cfRule>
  </conditionalFormatting>
  <conditionalFormatting sqref="AA36">
    <cfRule type="expression" dxfId="14956" priority="418">
      <formula>#REF!="TO"</formula>
    </cfRule>
    <cfRule type="expression" dxfId="14955" priority="419">
      <formula>#REF!="IO"</formula>
    </cfRule>
    <cfRule type="expression" dxfId="14954" priority="420">
      <formula>#REF!="L"</formula>
    </cfRule>
    <cfRule type="expression" dxfId="14953" priority="421">
      <formula>#REF!="TO"</formula>
    </cfRule>
    <cfRule type="expression" dxfId="14952" priority="422">
      <formula>#REF!="IO"</formula>
    </cfRule>
    <cfRule type="expression" dxfId="14951" priority="423">
      <formula>#REF!="L"</formula>
    </cfRule>
    <cfRule type="expression" dxfId="14950" priority="298">
      <formula>#REF!="TO"</formula>
    </cfRule>
    <cfRule type="expression" dxfId="14949" priority="299">
      <formula>#REF!="IO"</formula>
    </cfRule>
    <cfRule type="expression" dxfId="14948" priority="300">
      <formula>#REF!="L"</formula>
    </cfRule>
    <cfRule type="expression" dxfId="14947" priority="295">
      <formula>#REF!="TO"</formula>
    </cfRule>
    <cfRule type="expression" dxfId="14946" priority="296">
      <formula>#REF!="IO"</formula>
    </cfRule>
    <cfRule type="expression" dxfId="14945" priority="297">
      <formula>#REF!="L"</formula>
    </cfRule>
  </conditionalFormatting>
  <conditionalFormatting sqref="AB36:AD36">
    <cfRule type="expression" dxfId="14944" priority="415">
      <formula>#REF!="TO"</formula>
    </cfRule>
    <cfRule type="expression" dxfId="14943" priority="416">
      <formula>#REF!="IO"</formula>
    </cfRule>
    <cfRule type="expression" dxfId="14942" priority="417">
      <formula>#REF!="L"</formula>
    </cfRule>
    <cfRule type="expression" dxfId="14941" priority="412">
      <formula>#REF!="TO"</formula>
    </cfRule>
    <cfRule type="expression" dxfId="14940" priority="413">
      <formula>#REF!="IO"</formula>
    </cfRule>
    <cfRule type="expression" dxfId="14939" priority="414">
      <formula>#REF!="L"</formula>
    </cfRule>
    <cfRule type="expression" dxfId="14938" priority="292">
      <formula>#REF!="TO"</formula>
    </cfRule>
    <cfRule type="expression" dxfId="14937" priority="293">
      <formula>#REF!="IO"</formula>
    </cfRule>
    <cfRule type="expression" dxfId="14936" priority="294">
      <formula>#REF!="L"</formula>
    </cfRule>
    <cfRule type="expression" dxfId="14935" priority="289">
      <formula>#REF!="TO"</formula>
    </cfRule>
    <cfRule type="expression" dxfId="14934" priority="290">
      <formula>#REF!="IO"</formula>
    </cfRule>
    <cfRule type="expression" dxfId="14933" priority="291">
      <formula>#REF!="L"</formula>
    </cfRule>
  </conditionalFormatting>
  <conditionalFormatting sqref="U36">
    <cfRule type="expression" dxfId="14932" priority="286">
      <formula>#REF!="TO"</formula>
    </cfRule>
    <cfRule type="expression" dxfId="14931" priority="287">
      <formula>#REF!="IO"</formula>
    </cfRule>
    <cfRule type="expression" dxfId="14930" priority="288">
      <formula>#REF!="L"</formula>
    </cfRule>
    <cfRule type="expression" dxfId="14929" priority="283">
      <formula>#REF!="TO"</formula>
    </cfRule>
    <cfRule type="expression" dxfId="14928" priority="284">
      <formula>#REF!="IO"</formula>
    </cfRule>
    <cfRule type="expression" dxfId="14927" priority="285">
      <formula>#REF!="L"</formula>
    </cfRule>
    <cfRule type="expression" dxfId="14926" priority="280">
      <formula>#REF!="TO"</formula>
    </cfRule>
    <cfRule type="expression" dxfId="14925" priority="281">
      <formula>#REF!="IO"</formula>
    </cfRule>
    <cfRule type="expression" dxfId="14924" priority="282">
      <formula>#REF!="L"</formula>
    </cfRule>
    <cfRule type="expression" dxfId="14923" priority="277">
      <formula>#REF!="TO"</formula>
    </cfRule>
    <cfRule type="expression" dxfId="14922" priority="278">
      <formula>#REF!="IO"</formula>
    </cfRule>
    <cfRule type="expression" dxfId="14921" priority="279">
      <formula>#REF!="L"</formula>
    </cfRule>
  </conditionalFormatting>
  <conditionalFormatting sqref="T36">
    <cfRule type="expression" dxfId="14920" priority="274">
      <formula>#REF!="TO"</formula>
    </cfRule>
    <cfRule type="expression" dxfId="14919" priority="275">
      <formula>#REF!="IO"</formula>
    </cfRule>
    <cfRule type="expression" dxfId="14918" priority="276">
      <formula>#REF!="L"</formula>
    </cfRule>
    <cfRule type="expression" dxfId="14917" priority="271">
      <formula>#REF!="TO"</formula>
    </cfRule>
    <cfRule type="expression" dxfId="14916" priority="272">
      <formula>#REF!="IO"</formula>
    </cfRule>
    <cfRule type="expression" dxfId="14915" priority="273">
      <formula>#REF!="L"</formula>
    </cfRule>
    <cfRule type="expression" dxfId="14914" priority="268">
      <formula>#REF!="TO"</formula>
    </cfRule>
    <cfRule type="expression" dxfId="14913" priority="269">
      <formula>#REF!="IO"</formula>
    </cfRule>
    <cfRule type="expression" dxfId="14912" priority="270">
      <formula>#REF!="L"</formula>
    </cfRule>
    <cfRule type="expression" dxfId="14911" priority="265">
      <formula>#REF!="TO"</formula>
    </cfRule>
    <cfRule type="expression" dxfId="14910" priority="266">
      <formula>#REF!="IO"</formula>
    </cfRule>
    <cfRule type="expression" dxfId="14909" priority="267">
      <formula>#REF!="L"</formula>
    </cfRule>
  </conditionalFormatting>
  <conditionalFormatting sqref="I36">
    <cfRule type="expression" dxfId="14908" priority="238">
      <formula>#REF!="TO"</formula>
    </cfRule>
    <cfRule type="expression" dxfId="14907" priority="239">
      <formula>#REF!="IO"</formula>
    </cfRule>
    <cfRule type="expression" dxfId="14906" priority="240">
      <formula>#REF!="L"</formula>
    </cfRule>
    <cfRule type="expression" dxfId="14905" priority="235">
      <formula>#REF!="TO"</formula>
    </cfRule>
    <cfRule type="expression" dxfId="14904" priority="236">
      <formula>#REF!="IO"</formula>
    </cfRule>
    <cfRule type="expression" dxfId="14903" priority="237">
      <formula>#REF!="L"</formula>
    </cfRule>
    <cfRule type="expression" dxfId="14902" priority="232">
      <formula>#REF!="TO"</formula>
    </cfRule>
    <cfRule type="expression" dxfId="14901" priority="233">
      <formula>#REF!="IO"</formula>
    </cfRule>
    <cfRule type="expression" dxfId="14900" priority="234">
      <formula>#REF!="L"</formula>
    </cfRule>
    <cfRule type="expression" dxfId="14899" priority="229">
      <formula>#REF!="TO"</formula>
    </cfRule>
    <cfRule type="expression" dxfId="14898" priority="230">
      <formula>#REF!="IO"</formula>
    </cfRule>
    <cfRule type="expression" dxfId="14897" priority="231">
      <formula>#REF!="L"</formula>
    </cfRule>
  </conditionalFormatting>
  <conditionalFormatting sqref="BC36:BE36">
    <cfRule type="expression" dxfId="14896" priority="208">
      <formula>#REF!="TO"</formula>
    </cfRule>
    <cfRule type="expression" dxfId="14895" priority="209">
      <formula>#REF!="IO"</formula>
    </cfRule>
    <cfRule type="expression" dxfId="14894" priority="210">
      <formula>#REF!="L"</formula>
    </cfRule>
    <cfRule type="expression" dxfId="14893" priority="148">
      <formula>#REF!="TO"</formula>
    </cfRule>
    <cfRule type="expression" dxfId="14892" priority="149">
      <formula>#REF!="IO"</formula>
    </cfRule>
    <cfRule type="expression" dxfId="14891" priority="150">
      <formula>#REF!="L"</formula>
    </cfRule>
    <cfRule type="expression" dxfId="14890" priority="187">
      <formula>#REF!="TO"</formula>
    </cfRule>
    <cfRule type="expression" dxfId="14889" priority="188">
      <formula>#REF!="IO"</formula>
    </cfRule>
    <cfRule type="expression" dxfId="14888" priority="189">
      <formula>#REF!="L"</formula>
    </cfRule>
    <cfRule type="expression" dxfId="14887" priority="130">
      <formula>#REF!="TO"</formula>
    </cfRule>
    <cfRule type="expression" dxfId="14886" priority="131">
      <formula>#REF!="IO"</formula>
    </cfRule>
    <cfRule type="expression" dxfId="14885" priority="132">
      <formula>#REF!="L"</formula>
    </cfRule>
  </conditionalFormatting>
  <conditionalFormatting sqref="BS36">
    <cfRule type="expression" dxfId="14884" priority="61">
      <formula>#REF!="TO"</formula>
    </cfRule>
    <cfRule type="expression" dxfId="14883" priority="62">
      <formula>#REF!="IO"</formula>
    </cfRule>
    <cfRule type="expression" dxfId="14882" priority="63">
      <formula>#REF!="L"</formula>
    </cfRule>
    <cfRule type="expression" dxfId="14881" priority="67">
      <formula>#REF!="TO"</formula>
    </cfRule>
    <cfRule type="expression" dxfId="14880" priority="68">
      <formula>#REF!="IO"</formula>
    </cfRule>
    <cfRule type="expression" dxfId="14879" priority="69">
      <formula>#REF!="L"</formula>
    </cfRule>
    <cfRule type="expression" dxfId="14878" priority="64">
      <formula>#REF!="TO"</formula>
    </cfRule>
    <cfRule type="expression" dxfId="14877" priority="65">
      <formula>#REF!="IO"</formula>
    </cfRule>
    <cfRule type="expression" dxfId="14876" priority="66">
      <formula>#REF!="L"</formula>
    </cfRule>
    <cfRule type="expression" dxfId="14875" priority="58">
      <formula>#REF!="TO"</formula>
    </cfRule>
    <cfRule type="expression" dxfId="14874" priority="59">
      <formula>#REF!="IO"</formula>
    </cfRule>
    <cfRule type="expression" dxfId="14873" priority="60">
      <formula>#REF!="L"</formula>
    </cfRule>
  </conditionalFormatting>
  <conditionalFormatting sqref="BH36 BD36:BE36">
    <cfRule type="expression" dxfId="14872" priority="196">
      <formula>#REF!="TO"</formula>
    </cfRule>
    <cfRule type="expression" dxfId="14871" priority="197">
      <formula>#REF!="IO"</formula>
    </cfRule>
    <cfRule type="expression" dxfId="14870" priority="198">
      <formula>#REF!="L"</formula>
    </cfRule>
  </conditionalFormatting>
  <conditionalFormatting sqref="BK36">
    <cfRule type="expression" dxfId="14869" priority="205">
      <formula>#REF!="TO"</formula>
    </cfRule>
    <cfRule type="expression" dxfId="14868" priority="206">
      <formula>#REF!="IO"</formula>
    </cfRule>
    <cfRule type="expression" dxfId="14867" priority="207">
      <formula>#REF!="L"</formula>
    </cfRule>
    <cfRule type="expression" dxfId="14866" priority="145">
      <formula>#REF!="TO"</formula>
    </cfRule>
    <cfRule type="expression" dxfId="14865" priority="146">
      <formula>#REF!="IO"</formula>
    </cfRule>
    <cfRule type="expression" dxfId="14864" priority="147">
      <formula>#REF!="L"</formula>
    </cfRule>
  </conditionalFormatting>
  <conditionalFormatting sqref="BM36">
    <cfRule type="expression" dxfId="14863" priority="202">
      <formula>#REF!="TO"</formula>
    </cfRule>
    <cfRule type="expression" dxfId="14862" priority="203">
      <formula>#REF!="IO"</formula>
    </cfRule>
    <cfRule type="expression" dxfId="14861" priority="204">
      <formula>#REF!="L"</formula>
    </cfRule>
    <cfRule type="expression" dxfId="14860" priority="184">
      <formula>#REF!="TO"</formula>
    </cfRule>
    <cfRule type="expression" dxfId="14859" priority="185">
      <formula>#REF!="IO"</formula>
    </cfRule>
    <cfRule type="expression" dxfId="14858" priority="186">
      <formula>#REF!="L"</formula>
    </cfRule>
    <cfRule type="expression" dxfId="14857" priority="142">
      <formula>#REF!="TO"</formula>
    </cfRule>
    <cfRule type="expression" dxfId="14856" priority="143">
      <formula>#REF!="IO"</formula>
    </cfRule>
    <cfRule type="expression" dxfId="14855" priority="144">
      <formula>#REF!="L"</formula>
    </cfRule>
    <cfRule type="expression" dxfId="14854" priority="127">
      <formula>#REF!="TO"</formula>
    </cfRule>
    <cfRule type="expression" dxfId="14853" priority="128">
      <formula>#REF!="IO"</formula>
    </cfRule>
    <cfRule type="expression" dxfId="14852" priority="129">
      <formula>#REF!="L"</formula>
    </cfRule>
  </conditionalFormatting>
  <conditionalFormatting sqref="BN36">
    <cfRule type="expression" dxfId="14851" priority="199">
      <formula>#REF!="TO"</formula>
    </cfRule>
    <cfRule type="expression" dxfId="14850" priority="200">
      <formula>#REF!="IO"</formula>
    </cfRule>
    <cfRule type="expression" dxfId="14849" priority="201">
      <formula>#REF!="L"</formula>
    </cfRule>
    <cfRule type="expression" dxfId="14848" priority="181">
      <formula>#REF!="TO"</formula>
    </cfRule>
    <cfRule type="expression" dxfId="14847" priority="182">
      <formula>#REF!="IO"</formula>
    </cfRule>
    <cfRule type="expression" dxfId="14846" priority="183">
      <formula>#REF!="L"</formula>
    </cfRule>
    <cfRule type="expression" dxfId="14845" priority="124">
      <formula>#REF!="TO"</formula>
    </cfRule>
    <cfRule type="expression" dxfId="14844" priority="125">
      <formula>#REF!="IO"</formula>
    </cfRule>
    <cfRule type="expression" dxfId="14843" priority="126">
      <formula>#REF!="L"</formula>
    </cfRule>
    <cfRule type="expression" dxfId="14842" priority="139">
      <formula>#REF!="TO"</formula>
    </cfRule>
    <cfRule type="expression" dxfId="14841" priority="140">
      <formula>#REF!="IO"</formula>
    </cfRule>
    <cfRule type="expression" dxfId="14840" priority="141">
      <formula>#REF!="L"</formula>
    </cfRule>
  </conditionalFormatting>
  <conditionalFormatting sqref="BH36">
    <cfRule type="expression" dxfId="14839" priority="190">
      <formula>#REF!="TO"</formula>
    </cfRule>
    <cfRule type="expression" dxfId="14838" priority="191">
      <formula>#REF!="IO"</formula>
    </cfRule>
    <cfRule type="expression" dxfId="14837" priority="192">
      <formula>#REF!="L"</formula>
    </cfRule>
    <cfRule type="expression" dxfId="14836" priority="133">
      <formula>#REF!="TO"</formula>
    </cfRule>
    <cfRule type="expression" dxfId="14835" priority="134">
      <formula>#REF!="IO"</formula>
    </cfRule>
    <cfRule type="expression" dxfId="14834" priority="135">
      <formula>#REF!="L"</formula>
    </cfRule>
  </conditionalFormatting>
  <conditionalFormatting sqref="BD36:BE36">
    <cfRule type="expression" dxfId="14833" priority="193">
      <formula>#REF!="TO"</formula>
    </cfRule>
    <cfRule type="expression" dxfId="14832" priority="194">
      <formula>#REF!="IO"</formula>
    </cfRule>
    <cfRule type="expression" dxfId="14831" priority="195">
      <formula>#REF!="L"</formula>
    </cfRule>
    <cfRule type="expression" dxfId="14830" priority="136">
      <formula>#REF!="TO"</formula>
    </cfRule>
    <cfRule type="expression" dxfId="14829" priority="137">
      <formula>#REF!="IO"</formula>
    </cfRule>
    <cfRule type="expression" dxfId="14828" priority="138">
      <formula>#REF!="L"</formula>
    </cfRule>
  </conditionalFormatting>
  <conditionalFormatting sqref="BO36">
    <cfRule type="expression" dxfId="14827" priority="175">
      <formula>#REF!="TO"</formula>
    </cfRule>
    <cfRule type="expression" dxfId="14826" priority="176">
      <formula>#REF!="IO"</formula>
    </cfRule>
    <cfRule type="expression" dxfId="14825" priority="177">
      <formula>#REF!="L"</formula>
    </cfRule>
    <cfRule type="expression" dxfId="14824" priority="178">
      <formula>AT36="TO"</formula>
    </cfRule>
    <cfRule type="expression" dxfId="14823" priority="179">
      <formula>AT36="IO"</formula>
    </cfRule>
    <cfRule type="expression" dxfId="14822" priority="180">
      <formula>AT36="L"</formula>
    </cfRule>
    <cfRule type="expression" dxfId="14821" priority="118">
      <formula>#REF!="TO"</formula>
    </cfRule>
    <cfRule type="expression" dxfId="14820" priority="119">
      <formula>#REF!="IO"</formula>
    </cfRule>
    <cfRule type="expression" dxfId="14819" priority="120">
      <formula>#REF!="L"</formula>
    </cfRule>
    <cfRule type="expression" dxfId="14818" priority="121">
      <formula>AT36="TO"</formula>
    </cfRule>
    <cfRule type="expression" dxfId="14817" priority="122">
      <formula>AT36="IO"</formula>
    </cfRule>
    <cfRule type="expression" dxfId="14816" priority="123">
      <formula>AT36="L"</formula>
    </cfRule>
  </conditionalFormatting>
  <conditionalFormatting sqref="BB36">
    <cfRule type="expression" dxfId="14815" priority="172">
      <formula>#REF!="TO"</formula>
    </cfRule>
    <cfRule type="expression" dxfId="14814" priority="173">
      <formula>#REF!="IO"</formula>
    </cfRule>
    <cfRule type="expression" dxfId="14813" priority="174">
      <formula>#REF!="L"</formula>
    </cfRule>
    <cfRule type="expression" dxfId="14812" priority="115">
      <formula>#REF!="TO"</formula>
    </cfRule>
    <cfRule type="expression" dxfId="14811" priority="116">
      <formula>#REF!="IO"</formula>
    </cfRule>
    <cfRule type="expression" dxfId="14810" priority="117">
      <formula>#REF!="L"</formula>
    </cfRule>
  </conditionalFormatting>
  <conditionalFormatting sqref="BF36">
    <cfRule type="expression" dxfId="14809" priority="169">
      <formula>#REF!="TO"</formula>
    </cfRule>
    <cfRule type="expression" dxfId="14808" priority="170">
      <formula>#REF!="IO"</formula>
    </cfRule>
    <cfRule type="expression" dxfId="14807" priority="171">
      <formula>#REF!="L"</formula>
    </cfRule>
    <cfRule type="expression" dxfId="14806" priority="112">
      <formula>#REF!="TO"</formula>
    </cfRule>
    <cfRule type="expression" dxfId="14805" priority="113">
      <formula>#REF!="IO"</formula>
    </cfRule>
    <cfRule type="expression" dxfId="14804" priority="114">
      <formula>#REF!="L"</formula>
    </cfRule>
  </conditionalFormatting>
  <conditionalFormatting sqref="BG36">
    <cfRule type="expression" dxfId="14803" priority="166">
      <formula>#REF!="TO"</formula>
    </cfRule>
    <cfRule type="expression" dxfId="14802" priority="167">
      <formula>#REF!="IO"</formula>
    </cfRule>
    <cfRule type="expression" dxfId="14801" priority="168">
      <formula>#REF!="L"</formula>
    </cfRule>
    <cfRule type="expression" dxfId="14800" priority="109">
      <formula>#REF!="TO"</formula>
    </cfRule>
    <cfRule type="expression" dxfId="14799" priority="110">
      <formula>#REF!="IO"</formula>
    </cfRule>
    <cfRule type="expression" dxfId="14798" priority="111">
      <formula>#REF!="L"</formula>
    </cfRule>
  </conditionalFormatting>
  <conditionalFormatting sqref="BE36">
    <cfRule type="expression" dxfId="14797" priority="163">
      <formula>#REF!="TO"</formula>
    </cfRule>
    <cfRule type="expression" dxfId="14796" priority="164">
      <formula>#REF!="IO"</formula>
    </cfRule>
    <cfRule type="expression" dxfId="14795" priority="165">
      <formula>#REF!="L"</formula>
    </cfRule>
    <cfRule type="expression" dxfId="14794" priority="106">
      <formula>#REF!="TO"</formula>
    </cfRule>
    <cfRule type="expression" dxfId="14793" priority="107">
      <formula>#REF!="IO"</formula>
    </cfRule>
    <cfRule type="expression" dxfId="14792" priority="108">
      <formula>#REF!="L"</formula>
    </cfRule>
  </conditionalFormatting>
  <conditionalFormatting sqref="BP36">
    <cfRule type="expression" dxfId="14791" priority="157">
      <formula>#REF!="TO"</formula>
    </cfRule>
    <cfRule type="expression" dxfId="14790" priority="158">
      <formula>#REF!="IO"</formula>
    </cfRule>
    <cfRule type="expression" dxfId="14789" priority="159">
      <formula>#REF!="L"</formula>
    </cfRule>
    <cfRule type="expression" dxfId="14788" priority="160">
      <formula>#REF!="TO"</formula>
    </cfRule>
    <cfRule type="expression" dxfId="14787" priority="161">
      <formula>#REF!="IO"</formula>
    </cfRule>
    <cfRule type="expression" dxfId="14786" priority="162">
      <formula>#REF!="L"</formula>
    </cfRule>
    <cfRule type="expression" dxfId="14785" priority="103">
      <formula>#REF!="TO"</formula>
    </cfRule>
    <cfRule type="expression" dxfId="14784" priority="104">
      <formula>#REF!="IO"</formula>
    </cfRule>
    <cfRule type="expression" dxfId="14783" priority="105">
      <formula>#REF!="L"</formula>
    </cfRule>
    <cfRule type="expression" dxfId="14782" priority="100">
      <formula>#REF!="TO"</formula>
    </cfRule>
    <cfRule type="expression" dxfId="14781" priority="101">
      <formula>#REF!="IO"</formula>
    </cfRule>
    <cfRule type="expression" dxfId="14780" priority="102">
      <formula>#REF!="L"</formula>
    </cfRule>
  </conditionalFormatting>
  <conditionalFormatting sqref="BQ36:BS36">
    <cfRule type="expression" dxfId="14779" priority="154">
      <formula>#REF!="TO"</formula>
    </cfRule>
    <cfRule type="expression" dxfId="14778" priority="155">
      <formula>#REF!="IO"</formula>
    </cfRule>
    <cfRule type="expression" dxfId="14777" priority="156">
      <formula>#REF!="L"</formula>
    </cfRule>
    <cfRule type="expression" dxfId="14776" priority="151">
      <formula>#REF!="TO"</formula>
    </cfRule>
    <cfRule type="expression" dxfId="14775" priority="152">
      <formula>#REF!="IO"</formula>
    </cfRule>
    <cfRule type="expression" dxfId="14774" priority="153">
      <formula>#REF!="L"</formula>
    </cfRule>
    <cfRule type="expression" dxfId="14773" priority="97">
      <formula>#REF!="TO"</formula>
    </cfRule>
    <cfRule type="expression" dxfId="14772" priority="98">
      <formula>#REF!="IO"</formula>
    </cfRule>
    <cfRule type="expression" dxfId="14771" priority="99">
      <formula>#REF!="L"</formula>
    </cfRule>
    <cfRule type="expression" dxfId="14770" priority="94">
      <formula>#REF!="TO"</formula>
    </cfRule>
    <cfRule type="expression" dxfId="14769" priority="95">
      <formula>#REF!="IO"</formula>
    </cfRule>
    <cfRule type="expression" dxfId="14768" priority="96">
      <formula>#REF!="L"</formula>
    </cfRule>
  </conditionalFormatting>
  <conditionalFormatting sqref="BJ36">
    <cfRule type="expression" dxfId="14767" priority="91">
      <formula>#REF!="TO"</formula>
    </cfRule>
    <cfRule type="expression" dxfId="14766" priority="92">
      <formula>#REF!="IO"</formula>
    </cfRule>
    <cfRule type="expression" dxfId="14765" priority="93">
      <formula>#REF!="L"</formula>
    </cfRule>
    <cfRule type="expression" dxfId="14764" priority="88">
      <formula>#REF!="TO"</formula>
    </cfRule>
    <cfRule type="expression" dxfId="14763" priority="89">
      <formula>#REF!="IO"</formula>
    </cfRule>
    <cfRule type="expression" dxfId="14762" priority="90">
      <formula>#REF!="L"</formula>
    </cfRule>
    <cfRule type="expression" dxfId="14761" priority="85">
      <formula>#REF!="TO"</formula>
    </cfRule>
    <cfRule type="expression" dxfId="14760" priority="86">
      <formula>#REF!="IO"</formula>
    </cfRule>
    <cfRule type="expression" dxfId="14759" priority="87">
      <formula>#REF!="L"</formula>
    </cfRule>
    <cfRule type="expression" dxfId="14758" priority="82">
      <formula>#REF!="TO"</formula>
    </cfRule>
    <cfRule type="expression" dxfId="14757" priority="83">
      <formula>#REF!="IO"</formula>
    </cfRule>
    <cfRule type="expression" dxfId="14756" priority="84">
      <formula>#REF!="L"</formula>
    </cfRule>
  </conditionalFormatting>
  <conditionalFormatting sqref="BI36">
    <cfRule type="expression" dxfId="14755" priority="79">
      <formula>#REF!="TO"</formula>
    </cfRule>
    <cfRule type="expression" dxfId="14754" priority="80">
      <formula>#REF!="IO"</formula>
    </cfRule>
    <cfRule type="expression" dxfId="14753" priority="81">
      <formula>#REF!="L"</formula>
    </cfRule>
    <cfRule type="expression" dxfId="14752" priority="76">
      <formula>#REF!="TO"</formula>
    </cfRule>
    <cfRule type="expression" dxfId="14751" priority="77">
      <formula>#REF!="IO"</formula>
    </cfRule>
    <cfRule type="expression" dxfId="14750" priority="78">
      <formula>#REF!="L"</formula>
    </cfRule>
    <cfRule type="expression" dxfId="14749" priority="73">
      <formula>#REF!="TO"</formula>
    </cfRule>
    <cfRule type="expression" dxfId="14748" priority="74">
      <formula>#REF!="IO"</formula>
    </cfRule>
    <cfRule type="expression" dxfId="14747" priority="75">
      <formula>#REF!="L"</formula>
    </cfRule>
    <cfRule type="expression" dxfId="14746" priority="70">
      <formula>#REF!="TO"</formula>
    </cfRule>
    <cfRule type="expression" dxfId="14745" priority="71">
      <formula>#REF!="IO"</formula>
    </cfRule>
    <cfRule type="expression" dxfId="14744" priority="72">
      <formula>#REF!="L"</formula>
    </cfRule>
  </conditionalFormatting>
  <conditionalFormatting sqref="AY36">
    <cfRule type="expression" dxfId="14743" priority="31">
      <formula>#REF!="TO"</formula>
    </cfRule>
    <cfRule type="expression" dxfId="14742" priority="32">
      <formula>#REF!="IO"</formula>
    </cfRule>
    <cfRule type="expression" dxfId="14741" priority="33">
      <formula>#REF!="L"</formula>
    </cfRule>
    <cfRule type="expression" dxfId="14740" priority="28">
      <formula>#REF!="TO"</formula>
    </cfRule>
    <cfRule type="expression" dxfId="14739" priority="29">
      <formula>#REF!="IO"</formula>
    </cfRule>
    <cfRule type="expression" dxfId="14738" priority="30">
      <formula>#REF!="L"</formula>
    </cfRule>
    <cfRule type="expression" dxfId="14737" priority="34">
      <formula>#REF!="TO"</formula>
    </cfRule>
    <cfRule type="expression" dxfId="14736" priority="35">
      <formula>#REF!="IO"</formula>
    </cfRule>
    <cfRule type="expression" dxfId="14735" priority="36">
      <formula>#REF!="L"</formula>
    </cfRule>
    <cfRule type="expression" dxfId="14734" priority="25">
      <formula>#REF!="TO"</formula>
    </cfRule>
    <cfRule type="expression" dxfId="14733" priority="26">
      <formula>#REF!="IO"</formula>
    </cfRule>
    <cfRule type="expression" dxfId="14732" priority="27">
      <formula>#REF!="L"</formula>
    </cfRule>
  </conditionalFormatting>
  <conditionalFormatting sqref="AW36">
    <cfRule type="expression" dxfId="14731" priority="49">
      <formula>#REF!="TO"</formula>
    </cfRule>
    <cfRule type="expression" dxfId="14730" priority="50">
      <formula>#REF!="IO"</formula>
    </cfRule>
    <cfRule type="expression" dxfId="14729" priority="51">
      <formula>#REF!="L"</formula>
    </cfRule>
  </conditionalFormatting>
  <conditionalFormatting sqref="AV36">
    <cfRule type="expression" dxfId="14728" priority="55">
      <formula>#REF!="TO"</formula>
    </cfRule>
    <cfRule type="expression" dxfId="14727" priority="56">
      <formula>#REF!="IO"</formula>
    </cfRule>
    <cfRule type="expression" dxfId="14726" priority="57">
      <formula>#REF!="L"</formula>
    </cfRule>
    <cfRule type="expression" dxfId="14725" priority="46">
      <formula>#REF!="TO"</formula>
    </cfRule>
    <cfRule type="expression" dxfId="14724" priority="47">
      <formula>#REF!="IO"</formula>
    </cfRule>
    <cfRule type="expression" dxfId="14723" priority="48">
      <formula>#REF!="L"</formula>
    </cfRule>
    <cfRule type="expression" dxfId="14722" priority="43">
      <formula>#REF!="TO"</formula>
    </cfRule>
    <cfRule type="expression" dxfId="14721" priority="44">
      <formula>#REF!="IO"</formula>
    </cfRule>
    <cfRule type="expression" dxfId="14720" priority="45">
      <formula>#REF!="L"</formula>
    </cfRule>
    <cfRule type="expression" dxfId="14719" priority="37">
      <formula>#REF!="TO"</formula>
    </cfRule>
    <cfRule type="expression" dxfId="14718" priority="38">
      <formula>#REF!="IO"</formula>
    </cfRule>
    <cfRule type="expression" dxfId="14717" priority="39">
      <formula>#REF!="L"</formula>
    </cfRule>
  </conditionalFormatting>
  <conditionalFormatting sqref="AZ36">
    <cfRule type="expression" dxfId="14716" priority="52">
      <formula>#REF!="TO"</formula>
    </cfRule>
    <cfRule type="expression" dxfId="14715" priority="53">
      <formula>#REF!="IO"</formula>
    </cfRule>
    <cfRule type="expression" dxfId="14714" priority="54">
      <formula>#REF!="L"</formula>
    </cfRule>
    <cfRule type="expression" dxfId="14713" priority="40">
      <formula>#REF!="TO"</formula>
    </cfRule>
    <cfRule type="expression" dxfId="14712" priority="41">
      <formula>#REF!="IO"</formula>
    </cfRule>
    <cfRule type="expression" dxfId="14711" priority="42">
      <formula>#REF!="L"</formula>
    </cfRule>
  </conditionalFormatting>
  <conditionalFormatting sqref="AX36">
    <cfRule type="expression" dxfId="14710" priority="22">
      <formula>#REF!="TO"</formula>
    </cfRule>
    <cfRule type="expression" dxfId="14709" priority="23">
      <formula>#REF!="IO"</formula>
    </cfRule>
    <cfRule type="expression" dxfId="14708" priority="24">
      <formula>#REF!="L"</formula>
    </cfRule>
    <cfRule type="expression" dxfId="14707" priority="19">
      <formula>#REF!="TO"</formula>
    </cfRule>
    <cfRule type="expression" dxfId="14706" priority="20">
      <formula>#REF!="IO"</formula>
    </cfRule>
    <cfRule type="expression" dxfId="14705" priority="21">
      <formula>#REF!="L"</formula>
    </cfRule>
    <cfRule type="expression" dxfId="14704" priority="16">
      <formula>#REF!="TO"</formula>
    </cfRule>
    <cfRule type="expression" dxfId="14703" priority="17">
      <formula>#REF!="IO"</formula>
    </cfRule>
    <cfRule type="expression" dxfId="14702" priority="18">
      <formula>#REF!="L"</formula>
    </cfRule>
    <cfRule type="expression" dxfId="14701" priority="13">
      <formula>#REF!="TO"</formula>
    </cfRule>
    <cfRule type="expression" dxfId="14700" priority="14">
      <formula>#REF!="IO"</formula>
    </cfRule>
    <cfRule type="expression" dxfId="14699" priority="15">
      <formula>#REF!="L"</formula>
    </cfRule>
  </conditionalFormatting>
  <conditionalFormatting sqref="AT32">
    <cfRule type="expression" dxfId="14698" priority="4">
      <formula>#REF!="TO"</formula>
    </cfRule>
    <cfRule type="expression" dxfId="14697" priority="5">
      <formula>#REF!="IO"</formula>
    </cfRule>
    <cfRule type="expression" dxfId="14696" priority="6">
      <formula>#REF!="L"</formula>
    </cfRule>
    <cfRule type="expression" dxfId="14695" priority="1">
      <formula>#REF!="TO"</formula>
    </cfRule>
    <cfRule type="expression" dxfId="14694" priority="2">
      <formula>#REF!="IO"</formula>
    </cfRule>
    <cfRule type="expression" dxfId="14693" priority="3">
      <formula>#REF!="L"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BG157"/>
  <sheetViews>
    <sheetView showGridLines="0" workbookViewId="0">
      <pane xSplit="1" ySplit="1" topLeftCell="B70" activePane="bottomRight" state="frozen"/>
      <selection pane="topRight" activeCell="B1" sqref="B1"/>
      <selection pane="bottomLeft" activeCell="A2" sqref="A2"/>
      <selection pane="bottomRight" activeCell="V31" sqref="V31"/>
    </sheetView>
  </sheetViews>
  <sheetFormatPr defaultRowHeight="15" x14ac:dyDescent="0.25"/>
  <cols>
    <col min="1" max="1" width="9.42578125" style="215" customWidth="1"/>
    <col min="2" max="3" width="12.7109375" style="186" customWidth="1"/>
    <col min="4" max="4" width="1.5703125" style="371" customWidth="1"/>
    <col min="5" max="6" width="12.7109375" style="372" customWidth="1"/>
    <col min="7" max="7" width="12.7109375" style="186" customWidth="1"/>
    <col min="8" max="8" width="1.5703125" style="371" customWidth="1"/>
    <col min="9" max="10" width="12.7109375" style="186" customWidth="1"/>
    <col min="11" max="11" width="1.5703125" style="371" customWidth="1"/>
    <col min="12" max="14" width="19" style="186" customWidth="1"/>
    <col min="15" max="15" width="1.5703125" style="371" customWidth="1"/>
    <col min="16" max="16" width="12.7109375" style="186" customWidth="1"/>
    <col min="17" max="17" width="13.5703125" style="186" customWidth="1"/>
    <col min="18" max="18" width="1.5703125" style="371" customWidth="1"/>
    <col min="19" max="25" width="12.7109375" style="186" customWidth="1"/>
    <col min="26" max="26" width="15.7109375" style="186" customWidth="1"/>
    <col min="27" max="27" width="13.85546875" style="186" customWidth="1"/>
    <col min="28" max="28" width="12.7109375" style="186" customWidth="1"/>
    <col min="29" max="29" width="1.5703125" style="371" customWidth="1"/>
    <col min="30" max="30" width="14.5703125" style="186" customWidth="1"/>
    <col min="31" max="31" width="1.5703125" style="371" customWidth="1"/>
    <col min="32" max="32" width="14.5703125" style="186" customWidth="1"/>
    <col min="33" max="33" width="1.5703125" style="371" customWidth="1"/>
    <col min="34" max="34" width="12.7109375" style="186" customWidth="1"/>
    <col min="35" max="35" width="1.5703125" style="371" customWidth="1"/>
    <col min="36" max="38" width="12.7109375" style="186" customWidth="1"/>
    <col min="39" max="39" width="1.5703125" style="371" customWidth="1"/>
    <col min="40" max="40" width="12.7109375" style="186" customWidth="1"/>
    <col min="41" max="41" width="1.5703125" style="371" customWidth="1"/>
    <col min="42" max="42" width="12.7109375" style="186" customWidth="1"/>
    <col min="43" max="43" width="1.5703125" style="371" customWidth="1"/>
    <col min="44" max="45" width="12.7109375" style="186" customWidth="1"/>
    <col min="46" max="46" width="1.5703125" style="371" customWidth="1"/>
    <col min="47" max="47" width="12.7109375" style="186" customWidth="1"/>
    <col min="48" max="48" width="1.5703125" style="371" customWidth="1"/>
    <col min="49" max="49" width="15.140625" style="186" bestFit="1" customWidth="1"/>
    <col min="50" max="50" width="15.140625" style="186" customWidth="1"/>
    <col min="51" max="52" width="12.7109375" style="186" customWidth="1"/>
    <col min="53" max="53" width="15.140625" style="186" customWidth="1"/>
    <col min="54" max="54" width="1.5703125" style="371" customWidth="1"/>
    <col min="55" max="55" width="12.7109375" style="186" customWidth="1"/>
  </cols>
  <sheetData>
    <row r="1" spans="1:55" s="40" customFormat="1" ht="36.75" customHeight="1" thickBot="1" x14ac:dyDescent="0.3">
      <c r="A1" s="373" t="s">
        <v>176</v>
      </c>
      <c r="B1" s="374" t="s">
        <v>177</v>
      </c>
      <c r="C1" s="375" t="s">
        <v>178</v>
      </c>
      <c r="D1" s="376"/>
      <c r="E1" s="419" t="s">
        <v>179</v>
      </c>
      <c r="F1" s="379" t="s">
        <v>205</v>
      </c>
      <c r="G1" s="382" t="s">
        <v>206</v>
      </c>
      <c r="H1" s="420"/>
      <c r="I1" s="379" t="s">
        <v>207</v>
      </c>
      <c r="J1" s="379" t="s">
        <v>208</v>
      </c>
      <c r="K1" s="421"/>
      <c r="L1" s="378" t="s">
        <v>209</v>
      </c>
      <c r="M1" s="422" t="s">
        <v>210</v>
      </c>
      <c r="N1" s="380" t="s">
        <v>211</v>
      </c>
      <c r="O1" s="376"/>
      <c r="P1" s="385" t="s">
        <v>212</v>
      </c>
      <c r="Q1" s="385" t="s">
        <v>213</v>
      </c>
      <c r="R1" s="376"/>
      <c r="S1" s="381" t="s">
        <v>11</v>
      </c>
      <c r="T1" s="382" t="s">
        <v>127</v>
      </c>
      <c r="U1" s="382" t="s">
        <v>130</v>
      </c>
      <c r="V1" s="382" t="s">
        <v>136</v>
      </c>
      <c r="W1" s="382" t="s">
        <v>140</v>
      </c>
      <c r="X1" s="382" t="s">
        <v>214</v>
      </c>
      <c r="Y1" s="382" t="s">
        <v>145</v>
      </c>
      <c r="Z1" s="382" t="s">
        <v>20</v>
      </c>
      <c r="AA1" s="379" t="s">
        <v>186</v>
      </c>
      <c r="AB1" s="383" t="s">
        <v>187</v>
      </c>
      <c r="AC1" s="376"/>
      <c r="AD1" s="385" t="s">
        <v>192</v>
      </c>
      <c r="AE1" s="376"/>
      <c r="AF1" s="385" t="s">
        <v>25</v>
      </c>
      <c r="AG1" s="376"/>
      <c r="AH1" s="385" t="s">
        <v>193</v>
      </c>
      <c r="AI1" s="376"/>
      <c r="AJ1" s="378" t="s">
        <v>215</v>
      </c>
      <c r="AK1" s="379" t="s">
        <v>216</v>
      </c>
      <c r="AL1" s="384" t="s">
        <v>217</v>
      </c>
      <c r="AM1" s="376"/>
      <c r="AN1" s="385" t="s">
        <v>196</v>
      </c>
      <c r="AO1" s="376"/>
      <c r="AP1" s="385" t="s">
        <v>197</v>
      </c>
      <c r="AQ1" s="376"/>
      <c r="AR1" s="386" t="s">
        <v>198</v>
      </c>
      <c r="AS1" s="387" t="s">
        <v>199</v>
      </c>
      <c r="AT1" s="376"/>
      <c r="AU1" s="385" t="s">
        <v>200</v>
      </c>
      <c r="AV1" s="376"/>
      <c r="AW1" s="386" t="s">
        <v>218</v>
      </c>
      <c r="AX1" s="386" t="s">
        <v>219</v>
      </c>
      <c r="AY1" s="386" t="s">
        <v>157</v>
      </c>
      <c r="AZ1" s="386" t="s">
        <v>220</v>
      </c>
      <c r="BA1" s="387" t="s">
        <v>221</v>
      </c>
      <c r="BB1" s="376"/>
      <c r="BC1" s="385" t="s">
        <v>222</v>
      </c>
    </row>
    <row r="2" spans="1:55" x14ac:dyDescent="0.25">
      <c r="A2" s="197">
        <v>43070</v>
      </c>
      <c r="B2" s="388">
        <f>IF($A2&lt;=baseData, INDEX(Indicadores!B:B, MATCH($A2,Indicadores!A:A, 0)), INDEX(Indicadores!B:B, MATCH(baseData,Indicadores!A:A, 0)))</f>
        <v>718.27599999999995</v>
      </c>
      <c r="C2" s="389">
        <f>IF($A2&lt;=baseData, INDEX(Indicadores!E:E, MATCH($A2, Indicadores!A:A, 0)), INDEX(Indicadores!E:E, MATCH(baseData, Indicadores!A:A, 0)))</f>
        <v>4916.46</v>
      </c>
      <c r="D2" s="390"/>
      <c r="E2" s="423"/>
      <c r="F2" s="424"/>
      <c r="G2" s="390"/>
      <c r="H2" s="393"/>
      <c r="I2" s="390"/>
      <c r="J2" s="398"/>
      <c r="K2" s="390"/>
      <c r="L2" s="397"/>
      <c r="M2" s="398"/>
      <c r="N2" s="393">
        <f>IF($A2&lt;=baseData,IFERROR(INDEX('LDI - Fluxo de Caixa'!$AP$161:$AP$374,MATCH($A2,'LDI - Fluxo de Caixa'!$C$161:$C$374,0)), 0),SUM(L2:M2))</f>
        <v>0</v>
      </c>
      <c r="O2" s="390"/>
      <c r="P2" s="397"/>
      <c r="Q2" s="398"/>
      <c r="R2" s="390"/>
      <c r="S2" s="392"/>
      <c r="T2" s="425"/>
      <c r="U2" s="425"/>
      <c r="V2" s="425"/>
      <c r="W2" s="425"/>
      <c r="X2" s="425"/>
      <c r="Y2" s="425"/>
      <c r="Z2" s="425"/>
      <c r="AA2" s="426"/>
      <c r="AB2" s="393">
        <f t="shared" ref="AB2:AB33" si="0">SUM(S2:AA2)</f>
        <v>0</v>
      </c>
      <c r="AC2" s="390"/>
      <c r="AD2" s="393">
        <f t="shared" ref="AD2:AD33" si="1">P2+AB2</f>
        <v>0</v>
      </c>
      <c r="AE2" s="390"/>
      <c r="AF2" s="399"/>
      <c r="AG2" s="390"/>
      <c r="AH2" s="393">
        <f t="shared" ref="AH2:AH33" si="2">E2+AD2+AF2</f>
        <v>0</v>
      </c>
      <c r="AI2" s="390"/>
      <c r="AJ2" s="397">
        <f t="shared" ref="AJ2:AJ33" si="3">IF(AND($A2&gt;baseData, $A2&lt;inicioDistribuicoes), IF(IF($L2&lt;0, $L2+IF($A2&lt;=entrega, IF(AH2&lt;cxMinHoldingPreObra, cxMinHoldingPreObra-AH2-N2, 0), IF(AH2&lt;cxMinHoldingPosObra, cxMinHoldingPosObra-AH2-N2, 0)), 0)&lt;&gt;0, IF($L2&lt;0, $L2+IF($A2&lt;=entrega, IF(AH2&lt;cxMinHoldingPreObra, cxMinHoldingPreObra-AH2-N2, 0), IF(AH2&lt;cxMinHoldingPosObra, cxMinHoldingPosObra-AH2-N2, 0)), 0),IF(AND(AH2&lt;0, AK2=0), IF($A2&lt;=entrega, cxMinHoldingPreObra-AH2, cxMinHoldingPosObra-AH2), IF(AND(AK2&lt;&gt;0, AK2+AH2+SUM(AD3:AD14)+SUM(N3:N14)&lt;0), MAX(IF($A2&lt;=entrega, cxMinHoldingPreObra, cxMinHoldingPosObra)-(AK2+AH2), -(AK2+AH2+SUM(AD3:AD14)+SUM(N3:N14))), 0))), 0)</f>
        <v>0</v>
      </c>
      <c r="AK2" s="390">
        <f>IF($A2&gt;baseData, INDEX(Permutas!AC:AC, MATCH('Fluxo Bandeira Co'!A2, Permutas!N:N, 0)), 0)</f>
        <v>0</v>
      </c>
      <c r="AL2" s="398">
        <f t="shared" ref="AL2:AL35" si="4">IF($A2&gt;baseData, IF(A2=terminoProjeto,-AH2,IF(A2&gt;=inicioDistribuicoes,IF(AH2&gt;cxMinHoldingPosObra,-AH2+cxMinHoldingPosObra,0),0)), 0)</f>
        <v>0</v>
      </c>
      <c r="AM2" s="390"/>
      <c r="AN2" s="393">
        <f t="shared" ref="AN2:AN33" si="5">AH2+AJ2+AK2+AL2</f>
        <v>0</v>
      </c>
      <c r="AO2" s="390"/>
      <c r="AP2" s="399">
        <f t="shared" ref="AP2:AP15" si="6">AJ2+AL2+AM2+AN2</f>
        <v>0</v>
      </c>
      <c r="AQ2" s="390"/>
      <c r="AR2" s="397">
        <f t="shared" ref="AR2:AR33" si="7">-(I2+G2+AJ2+AL2)</f>
        <v>0</v>
      </c>
      <c r="AS2" s="398">
        <v>0</v>
      </c>
      <c r="AT2" s="390"/>
      <c r="AU2" s="393">
        <f t="shared" ref="AU2:AU33" si="8">AR2*IF(A2&gt;baseData,1,ipcaData/C2)</f>
        <v>0</v>
      </c>
      <c r="AV2" s="390"/>
      <c r="AW2" s="397">
        <f>AU2</f>
        <v>0</v>
      </c>
      <c r="AX2" s="390">
        <f>IF(AW2&gt;0, IF(#REF!&lt;0, AW2, AU2), 0)</f>
        <v>0</v>
      </c>
      <c r="AY2" s="390">
        <f t="shared" ref="AY2:AY33" si="9">txPerformance*AX2</f>
        <v>0</v>
      </c>
      <c r="AZ2" s="390">
        <f t="shared" ref="AZ2:AZ33" si="10">AR2-AY2</f>
        <v>0</v>
      </c>
      <c r="BA2" s="398">
        <f>AZ2</f>
        <v>0</v>
      </c>
      <c r="BB2" s="390"/>
      <c r="BC2" s="393">
        <f t="shared" ref="BC2:BC33" si="11">AU2-AY2</f>
        <v>0</v>
      </c>
    </row>
    <row r="3" spans="1:55" x14ac:dyDescent="0.25">
      <c r="A3" s="197">
        <f t="shared" ref="A3:A34" si="12">DATE(YEAR(A2),MONTH(A2)+1,1)</f>
        <v>43101</v>
      </c>
      <c r="B3" s="388">
        <f>IF($A3&lt;=baseData, INDEX(Indicadores!B:B, MATCH($A3,Indicadores!A:A, 0)), INDEX(Indicadores!B:B, MATCH(baseData,Indicadores!A:A, 0)))</f>
        <v>720.495</v>
      </c>
      <c r="C3" s="389">
        <f>IF($A3&lt;=baseData, INDEX(Indicadores!E:E, MATCH($A3, Indicadores!A:A, 0)), INDEX(Indicadores!E:E, MATCH(baseData, Indicadores!A:A, 0)))</f>
        <v>4930.72</v>
      </c>
      <c r="D3" s="390"/>
      <c r="E3" s="423"/>
      <c r="F3" s="424"/>
      <c r="G3" s="390"/>
      <c r="H3" s="393"/>
      <c r="I3" s="390"/>
      <c r="J3" s="398"/>
      <c r="K3" s="390"/>
      <c r="L3" s="397"/>
      <c r="M3" s="398"/>
      <c r="N3" s="393">
        <f>IF($A3&lt;=baseData,IFERROR(INDEX('LDI - Fluxo de Caixa'!$AP$161:$AP$374,MATCH($A3,'LDI - Fluxo de Caixa'!$C$161:$C$374,0)), 0),SUM(L3:M3))</f>
        <v>0</v>
      </c>
      <c r="O3" s="390"/>
      <c r="P3" s="397"/>
      <c r="Q3" s="398"/>
      <c r="R3" s="390"/>
      <c r="S3" s="392"/>
      <c r="T3" s="425"/>
      <c r="U3" s="425"/>
      <c r="V3" s="425"/>
      <c r="W3" s="425"/>
      <c r="X3" s="425"/>
      <c r="Y3" s="425"/>
      <c r="Z3" s="425"/>
      <c r="AA3" s="426"/>
      <c r="AB3" s="393">
        <f t="shared" si="0"/>
        <v>0</v>
      </c>
      <c r="AC3" s="390"/>
      <c r="AD3" s="393">
        <f t="shared" si="1"/>
        <v>0</v>
      </c>
      <c r="AE3" s="390"/>
      <c r="AF3" s="399"/>
      <c r="AG3" s="390"/>
      <c r="AH3" s="393">
        <f t="shared" si="2"/>
        <v>0</v>
      </c>
      <c r="AI3" s="390"/>
      <c r="AJ3" s="397">
        <f t="shared" si="3"/>
        <v>0</v>
      </c>
      <c r="AK3" s="390">
        <f>IF($A3&gt;baseData, INDEX(Permutas!AC:AC, MATCH('Fluxo Bandeira Co'!A3, Permutas!N:N, 0)), 0)</f>
        <v>0</v>
      </c>
      <c r="AL3" s="398">
        <f t="shared" si="4"/>
        <v>0</v>
      </c>
      <c r="AM3" s="390"/>
      <c r="AN3" s="393">
        <f t="shared" si="5"/>
        <v>0</v>
      </c>
      <c r="AO3" s="390"/>
      <c r="AP3" s="399">
        <f t="shared" si="6"/>
        <v>0</v>
      </c>
      <c r="AQ3" s="390"/>
      <c r="AR3" s="397">
        <f t="shared" si="7"/>
        <v>0</v>
      </c>
      <c r="AS3" s="398">
        <f t="shared" ref="AS3:AS34" si="13">+AS2+AR3</f>
        <v>0</v>
      </c>
      <c r="AT3" s="390"/>
      <c r="AU3" s="393">
        <f t="shared" si="8"/>
        <v>0</v>
      </c>
      <c r="AV3" s="390"/>
      <c r="AW3" s="397">
        <f t="shared" ref="AW3:AW34" si="14">IF(A3&lt;=terminoProjeto, (AW2*(1+hurdle)^(1/12))+AU3, 0)</f>
        <v>0</v>
      </c>
      <c r="AX3" s="390">
        <f t="shared" ref="AX3:AX34" si="15">IF(AW3&gt;0, IF(AW2&lt;0, AW3, AU3), 0)</f>
        <v>0</v>
      </c>
      <c r="AY3" s="390">
        <f t="shared" si="9"/>
        <v>0</v>
      </c>
      <c r="AZ3" s="390">
        <f t="shared" si="10"/>
        <v>0</v>
      </c>
      <c r="BA3" s="398">
        <f t="shared" ref="BA3:BA34" si="16">+BA2+AZ3</f>
        <v>0</v>
      </c>
      <c r="BB3" s="390"/>
      <c r="BC3" s="393">
        <f t="shared" si="11"/>
        <v>0</v>
      </c>
    </row>
    <row r="4" spans="1:55" x14ac:dyDescent="0.25">
      <c r="A4" s="197">
        <f t="shared" si="12"/>
        <v>43132</v>
      </c>
      <c r="B4" s="388">
        <f>IF($A4&lt;=baseData, INDEX(Indicadores!B:B, MATCH($A4,Indicadores!A:A, 0)), INDEX(Indicadores!B:B, MATCH(baseData,Indicadores!A:A, 0)))</f>
        <v>721.41399999999999</v>
      </c>
      <c r="C4" s="389">
        <f>IF($A4&lt;=baseData, INDEX(Indicadores!E:E, MATCH($A4, Indicadores!A:A, 0)), INDEX(Indicadores!E:E, MATCH(baseData, Indicadores!A:A, 0)))</f>
        <v>4946.5</v>
      </c>
      <c r="D4" s="390"/>
      <c r="E4" s="397"/>
      <c r="F4" s="390"/>
      <c r="G4" s="390"/>
      <c r="H4" s="393"/>
      <c r="I4" s="390"/>
      <c r="J4" s="398"/>
      <c r="K4" s="390"/>
      <c r="L4" s="397"/>
      <c r="M4" s="398"/>
      <c r="N4" s="393">
        <f>IF($A4&lt;=baseData,IFERROR(INDEX('LDI - Fluxo de Caixa'!$AP$161:$AP$374,MATCH($A4,'LDI - Fluxo de Caixa'!$C$161:$C$374,0)), 0),SUM(L4:M4))</f>
        <v>0</v>
      </c>
      <c r="O4" s="390"/>
      <c r="P4" s="397"/>
      <c r="Q4" s="398"/>
      <c r="R4" s="390"/>
      <c r="S4" s="392"/>
      <c r="T4" s="425"/>
      <c r="U4" s="425"/>
      <c r="V4" s="425"/>
      <c r="W4" s="425"/>
      <c r="X4" s="425"/>
      <c r="Y4" s="425"/>
      <c r="Z4" s="425"/>
      <c r="AA4" s="426"/>
      <c r="AB4" s="393">
        <f t="shared" si="0"/>
        <v>0</v>
      </c>
      <c r="AC4" s="390"/>
      <c r="AD4" s="393">
        <f t="shared" si="1"/>
        <v>0</v>
      </c>
      <c r="AE4" s="390"/>
      <c r="AF4" s="399"/>
      <c r="AG4" s="390"/>
      <c r="AH4" s="393">
        <f t="shared" si="2"/>
        <v>0</v>
      </c>
      <c r="AI4" s="390"/>
      <c r="AJ4" s="397">
        <f t="shared" si="3"/>
        <v>0</v>
      </c>
      <c r="AK4" s="390">
        <f>IF($A4&gt;baseData, INDEX(Permutas!AC:AC, MATCH('Fluxo Bandeira Co'!A4, Permutas!N:N, 0)), 0)</f>
        <v>0</v>
      </c>
      <c r="AL4" s="398">
        <f t="shared" si="4"/>
        <v>0</v>
      </c>
      <c r="AM4" s="390"/>
      <c r="AN4" s="393">
        <f t="shared" si="5"/>
        <v>0</v>
      </c>
      <c r="AO4" s="390"/>
      <c r="AP4" s="399">
        <f t="shared" si="6"/>
        <v>0</v>
      </c>
      <c r="AQ4" s="390"/>
      <c r="AR4" s="397">
        <f t="shared" si="7"/>
        <v>0</v>
      </c>
      <c r="AS4" s="398">
        <f t="shared" si="13"/>
        <v>0</v>
      </c>
      <c r="AT4" s="390"/>
      <c r="AU4" s="393">
        <f t="shared" si="8"/>
        <v>0</v>
      </c>
      <c r="AV4" s="390"/>
      <c r="AW4" s="397">
        <f t="shared" si="14"/>
        <v>0</v>
      </c>
      <c r="AX4" s="390">
        <f t="shared" si="15"/>
        <v>0</v>
      </c>
      <c r="AY4" s="390">
        <f t="shared" si="9"/>
        <v>0</v>
      </c>
      <c r="AZ4" s="390">
        <f t="shared" si="10"/>
        <v>0</v>
      </c>
      <c r="BA4" s="398">
        <f t="shared" si="16"/>
        <v>0</v>
      </c>
      <c r="BB4" s="390"/>
      <c r="BC4" s="393">
        <f t="shared" si="11"/>
        <v>0</v>
      </c>
    </row>
    <row r="5" spans="1:55" x14ac:dyDescent="0.25">
      <c r="A5" s="197">
        <f t="shared" si="12"/>
        <v>43160</v>
      </c>
      <c r="B5" s="388">
        <f>IF($A5&lt;=baseData, INDEX(Indicadores!B:B, MATCH($A5,Indicadores!A:A, 0)), INDEX(Indicadores!B:B, MATCH(baseData,Indicadores!A:A, 0)))</f>
        <v>723.16300000000001</v>
      </c>
      <c r="C5" s="389">
        <f>IF($A5&lt;=baseData, INDEX(Indicadores!E:E, MATCH($A5, Indicadores!A:A, 0)), INDEX(Indicadores!E:E, MATCH(baseData, Indicadores!A:A, 0)))</f>
        <v>4950.95</v>
      </c>
      <c r="D5" s="390"/>
      <c r="E5" s="397"/>
      <c r="F5" s="390"/>
      <c r="G5" s="390"/>
      <c r="H5" s="393"/>
      <c r="I5" s="390"/>
      <c r="J5" s="398"/>
      <c r="K5" s="390"/>
      <c r="L5" s="397"/>
      <c r="M5" s="398"/>
      <c r="N5" s="393">
        <f>IF($A5&lt;=baseData,IFERROR(INDEX('LDI - Fluxo de Caixa'!$AP$161:$AP$374,MATCH($A5,'LDI - Fluxo de Caixa'!$C$161:$C$374,0)), 0),SUM(L5:M5))</f>
        <v>0</v>
      </c>
      <c r="O5" s="390"/>
      <c r="P5" s="397"/>
      <c r="Q5" s="398"/>
      <c r="R5" s="390"/>
      <c r="S5" s="392"/>
      <c r="T5" s="425"/>
      <c r="U5" s="425"/>
      <c r="V5" s="425"/>
      <c r="W5" s="425"/>
      <c r="X5" s="425"/>
      <c r="Y5" s="425"/>
      <c r="Z5" s="425"/>
      <c r="AA5" s="426"/>
      <c r="AB5" s="393">
        <f t="shared" si="0"/>
        <v>0</v>
      </c>
      <c r="AC5" s="390"/>
      <c r="AD5" s="393">
        <f t="shared" si="1"/>
        <v>0</v>
      </c>
      <c r="AE5" s="390"/>
      <c r="AF5" s="399"/>
      <c r="AG5" s="390"/>
      <c r="AH5" s="393">
        <f t="shared" si="2"/>
        <v>0</v>
      </c>
      <c r="AI5" s="390"/>
      <c r="AJ5" s="397">
        <f t="shared" si="3"/>
        <v>0</v>
      </c>
      <c r="AK5" s="390">
        <f>IF($A5&gt;baseData, INDEX(Permutas!AC:AC, MATCH('Fluxo Bandeira Co'!A5, Permutas!N:N, 0)), 0)</f>
        <v>0</v>
      </c>
      <c r="AL5" s="398">
        <f t="shared" si="4"/>
        <v>0</v>
      </c>
      <c r="AM5" s="390"/>
      <c r="AN5" s="393">
        <f t="shared" si="5"/>
        <v>0</v>
      </c>
      <c r="AO5" s="390"/>
      <c r="AP5" s="399">
        <f t="shared" si="6"/>
        <v>0</v>
      </c>
      <c r="AQ5" s="390"/>
      <c r="AR5" s="397">
        <f t="shared" si="7"/>
        <v>0</v>
      </c>
      <c r="AS5" s="398">
        <f t="shared" si="13"/>
        <v>0</v>
      </c>
      <c r="AT5" s="390"/>
      <c r="AU5" s="393">
        <f t="shared" si="8"/>
        <v>0</v>
      </c>
      <c r="AV5" s="390"/>
      <c r="AW5" s="397">
        <f t="shared" si="14"/>
        <v>0</v>
      </c>
      <c r="AX5" s="390">
        <f t="shared" si="15"/>
        <v>0</v>
      </c>
      <c r="AY5" s="390">
        <f t="shared" si="9"/>
        <v>0</v>
      </c>
      <c r="AZ5" s="390">
        <f t="shared" si="10"/>
        <v>0</v>
      </c>
      <c r="BA5" s="398">
        <f t="shared" si="16"/>
        <v>0</v>
      </c>
      <c r="BB5" s="390"/>
      <c r="BC5" s="393">
        <f t="shared" si="11"/>
        <v>0</v>
      </c>
    </row>
    <row r="6" spans="1:55" x14ac:dyDescent="0.25">
      <c r="A6" s="197">
        <f t="shared" si="12"/>
        <v>43191</v>
      </c>
      <c r="B6" s="388">
        <f>IF($A6&lt;=baseData, INDEX(Indicadores!B:B, MATCH($A6,Indicadores!A:A, 0)), INDEX(Indicadores!B:B, MATCH(baseData,Indicadores!A:A, 0)))</f>
        <v>725.245</v>
      </c>
      <c r="C6" s="389">
        <f>IF($A6&lt;=baseData, INDEX(Indicadores!E:E, MATCH($A6, Indicadores!A:A, 0)), INDEX(Indicadores!E:E, MATCH(baseData, Indicadores!A:A, 0)))</f>
        <v>4961.84</v>
      </c>
      <c r="D6" s="390"/>
      <c r="E6" s="397"/>
      <c r="F6" s="390"/>
      <c r="G6" s="390"/>
      <c r="H6" s="393"/>
      <c r="I6" s="390"/>
      <c r="J6" s="398"/>
      <c r="K6" s="390"/>
      <c r="L6" s="397"/>
      <c r="M6" s="398"/>
      <c r="N6" s="393">
        <f>IF($A6&lt;=baseData,IFERROR(INDEX('LDI - Fluxo de Caixa'!$AP$161:$AP$374,MATCH($A6,'LDI - Fluxo de Caixa'!$C$161:$C$374,0)), 0),SUM(L6:M6))</f>
        <v>0</v>
      </c>
      <c r="O6" s="390"/>
      <c r="P6" s="397"/>
      <c r="Q6" s="398"/>
      <c r="R6" s="390"/>
      <c r="S6" s="392"/>
      <c r="T6" s="425"/>
      <c r="U6" s="425"/>
      <c r="V6" s="425"/>
      <c r="W6" s="425"/>
      <c r="X6" s="425"/>
      <c r="Y6" s="425"/>
      <c r="Z6" s="425"/>
      <c r="AA6" s="426"/>
      <c r="AB6" s="393">
        <f t="shared" si="0"/>
        <v>0</v>
      </c>
      <c r="AC6" s="390"/>
      <c r="AD6" s="393">
        <f t="shared" si="1"/>
        <v>0</v>
      </c>
      <c r="AE6" s="390"/>
      <c r="AF6" s="399"/>
      <c r="AG6" s="390"/>
      <c r="AH6" s="393">
        <f t="shared" si="2"/>
        <v>0</v>
      </c>
      <c r="AI6" s="390"/>
      <c r="AJ6" s="397">
        <f t="shared" si="3"/>
        <v>0</v>
      </c>
      <c r="AK6" s="390">
        <f>IF($A6&gt;baseData, INDEX(Permutas!AC:AC, MATCH('Fluxo Bandeira Co'!A6, Permutas!N:N, 0)), 0)</f>
        <v>0</v>
      </c>
      <c r="AL6" s="398">
        <f t="shared" si="4"/>
        <v>0</v>
      </c>
      <c r="AM6" s="390"/>
      <c r="AN6" s="393">
        <f t="shared" si="5"/>
        <v>0</v>
      </c>
      <c r="AO6" s="390"/>
      <c r="AP6" s="399">
        <f t="shared" si="6"/>
        <v>0</v>
      </c>
      <c r="AQ6" s="390"/>
      <c r="AR6" s="397">
        <f t="shared" si="7"/>
        <v>0</v>
      </c>
      <c r="AS6" s="398">
        <f t="shared" si="13"/>
        <v>0</v>
      </c>
      <c r="AT6" s="390"/>
      <c r="AU6" s="393">
        <f t="shared" si="8"/>
        <v>0</v>
      </c>
      <c r="AV6" s="390"/>
      <c r="AW6" s="397">
        <f t="shared" si="14"/>
        <v>0</v>
      </c>
      <c r="AX6" s="390">
        <f t="shared" si="15"/>
        <v>0</v>
      </c>
      <c r="AY6" s="390">
        <f t="shared" si="9"/>
        <v>0</v>
      </c>
      <c r="AZ6" s="390">
        <f t="shared" si="10"/>
        <v>0</v>
      </c>
      <c r="BA6" s="398">
        <f t="shared" si="16"/>
        <v>0</v>
      </c>
      <c r="BB6" s="390"/>
      <c r="BC6" s="393">
        <f t="shared" si="11"/>
        <v>0</v>
      </c>
    </row>
    <row r="7" spans="1:55" x14ac:dyDescent="0.25">
      <c r="A7" s="197">
        <f t="shared" si="12"/>
        <v>43221</v>
      </c>
      <c r="B7" s="388">
        <f>IF($A7&lt;=baseData, INDEX(Indicadores!B:B, MATCH($A7,Indicadores!A:A, 0)), INDEX(Indicadores!B:B, MATCH(baseData,Indicadores!A:A, 0)))</f>
        <v>726.923</v>
      </c>
      <c r="C7" s="389">
        <f>IF($A7&lt;=baseData, INDEX(Indicadores!E:E, MATCH($A7, Indicadores!A:A, 0)), INDEX(Indicadores!E:E, MATCH(baseData, Indicadores!A:A, 0)))</f>
        <v>4981.6899999999996</v>
      </c>
      <c r="D7" s="390"/>
      <c r="E7" s="397"/>
      <c r="F7" s="390"/>
      <c r="G7" s="390"/>
      <c r="H7" s="393"/>
      <c r="I7" s="390"/>
      <c r="J7" s="398"/>
      <c r="K7" s="390"/>
      <c r="L7" s="397">
        <f>IF(A7&lt;=baseData, N7-M7, -INDEX('Fluxo Projeto'!AQ:AQ, MATCH($A7, 'Fluxo Projeto'!A:A, 0))*(pctSCPequity+pctSCPpermuta))</f>
        <v>112500</v>
      </c>
      <c r="M7" s="398">
        <f>IFERROR(INDEX(Permutas!AJ:AJ, MATCH('Fluxo Bandeira Co'!A7, Permutas!N:N, 0)), 0)</f>
        <v>0</v>
      </c>
      <c r="N7" s="393">
        <f>IF($A7&lt;=baseData,IFERROR(INDEX('LDI - Fluxo de Caixa'!$AP$161:$AP$374,MATCH($A7,'LDI - Fluxo de Caixa'!$C$161:$C$374,0)), 0),SUM(L7:M7))</f>
        <v>112500</v>
      </c>
      <c r="O7" s="390"/>
      <c r="P7" s="397"/>
      <c r="Q7" s="398"/>
      <c r="R7" s="390"/>
      <c r="S7" s="392"/>
      <c r="T7" s="425"/>
      <c r="U7" s="425"/>
      <c r="V7" s="425"/>
      <c r="W7" s="425"/>
      <c r="X7" s="425"/>
      <c r="Y7" s="425"/>
      <c r="Z7" s="425"/>
      <c r="AA7" s="426"/>
      <c r="AB7" s="393">
        <f t="shared" si="0"/>
        <v>0</v>
      </c>
      <c r="AC7" s="390"/>
      <c r="AD7" s="393">
        <f t="shared" si="1"/>
        <v>0</v>
      </c>
      <c r="AE7" s="390"/>
      <c r="AF7" s="399"/>
      <c r="AG7" s="390"/>
      <c r="AH7" s="393">
        <f t="shared" si="2"/>
        <v>0</v>
      </c>
      <c r="AI7" s="390"/>
      <c r="AJ7" s="397">
        <f t="shared" si="3"/>
        <v>0</v>
      </c>
      <c r="AK7" s="390">
        <f>IF($A7&gt;baseData, INDEX(Permutas!AC:AC, MATCH('Fluxo Bandeira Co'!A7, Permutas!N:N, 0)), 0)</f>
        <v>0</v>
      </c>
      <c r="AL7" s="398">
        <f t="shared" si="4"/>
        <v>0</v>
      </c>
      <c r="AM7" s="390"/>
      <c r="AN7" s="393">
        <f t="shared" si="5"/>
        <v>0</v>
      </c>
      <c r="AO7" s="390"/>
      <c r="AP7" s="399">
        <f t="shared" si="6"/>
        <v>0</v>
      </c>
      <c r="AQ7" s="390"/>
      <c r="AR7" s="397">
        <f t="shared" si="7"/>
        <v>0</v>
      </c>
      <c r="AS7" s="398">
        <f t="shared" si="13"/>
        <v>0</v>
      </c>
      <c r="AT7" s="390"/>
      <c r="AU7" s="393">
        <f t="shared" si="8"/>
        <v>0</v>
      </c>
      <c r="AV7" s="390"/>
      <c r="AW7" s="397">
        <f t="shared" si="14"/>
        <v>0</v>
      </c>
      <c r="AX7" s="390">
        <f t="shared" si="15"/>
        <v>0</v>
      </c>
      <c r="AY7" s="390">
        <f t="shared" si="9"/>
        <v>0</v>
      </c>
      <c r="AZ7" s="390">
        <f t="shared" si="10"/>
        <v>0</v>
      </c>
      <c r="BA7" s="398">
        <f t="shared" si="16"/>
        <v>0</v>
      </c>
      <c r="BB7" s="390"/>
      <c r="BC7" s="393">
        <f t="shared" si="11"/>
        <v>0</v>
      </c>
    </row>
    <row r="8" spans="1:55" x14ac:dyDescent="0.25">
      <c r="A8" s="197">
        <f t="shared" si="12"/>
        <v>43252</v>
      </c>
      <c r="B8" s="388">
        <f>IF($A8&lt;=baseData, INDEX(Indicadores!B:B, MATCH($A8,Indicadores!A:A, 0)), INDEX(Indicadores!B:B, MATCH(baseData,Indicadores!A:A, 0)))</f>
        <v>733.98400000000004</v>
      </c>
      <c r="C8" s="389">
        <f>IF($A8&lt;=baseData, INDEX(Indicadores!E:E, MATCH($A8, Indicadores!A:A, 0)), INDEX(Indicadores!E:E, MATCH(baseData, Indicadores!A:A, 0)))</f>
        <v>5044.46</v>
      </c>
      <c r="D8" s="390"/>
      <c r="E8" s="397"/>
      <c r="F8" s="390"/>
      <c r="G8" s="390"/>
      <c r="H8" s="393"/>
      <c r="I8" s="390"/>
      <c r="J8" s="398"/>
      <c r="K8" s="390"/>
      <c r="L8" s="397">
        <f>IF(A8&lt;=baseData, N8-M8, -INDEX('Fluxo Projeto'!AQ:AQ, MATCH($A8, 'Fluxo Projeto'!A:A, 0))*(pctSCPequity+pctSCPpermuta))</f>
        <v>0</v>
      </c>
      <c r="M8" s="398">
        <f>IFERROR(INDEX(Permutas!AJ:AJ, MATCH('Fluxo Bandeira Co'!A8, Permutas!N:N, 0)), 0)</f>
        <v>0</v>
      </c>
      <c r="N8" s="393">
        <f>IF($A8&lt;=baseData,IFERROR(INDEX('LDI - Fluxo de Caixa'!$AP$161:$AP$374,MATCH($A8,'LDI - Fluxo de Caixa'!$C$161:$C$374,0)), 0),SUM(L8:M8))</f>
        <v>0</v>
      </c>
      <c r="O8" s="390"/>
      <c r="P8" s="397"/>
      <c r="Q8" s="398"/>
      <c r="R8" s="390"/>
      <c r="S8" s="392"/>
      <c r="T8" s="425"/>
      <c r="U8" s="425"/>
      <c r="V8" s="425"/>
      <c r="W8" s="425"/>
      <c r="X8" s="425"/>
      <c r="Y8" s="425"/>
      <c r="Z8" s="425"/>
      <c r="AA8" s="426"/>
      <c r="AB8" s="393">
        <f t="shared" si="0"/>
        <v>0</v>
      </c>
      <c r="AC8" s="390"/>
      <c r="AD8" s="393">
        <f t="shared" si="1"/>
        <v>0</v>
      </c>
      <c r="AE8" s="390"/>
      <c r="AF8" s="399"/>
      <c r="AG8" s="390"/>
      <c r="AH8" s="393">
        <f t="shared" si="2"/>
        <v>0</v>
      </c>
      <c r="AI8" s="390"/>
      <c r="AJ8" s="397">
        <f t="shared" si="3"/>
        <v>0</v>
      </c>
      <c r="AK8" s="390">
        <f>IF($A8&gt;baseData, INDEX(Permutas!AC:AC, MATCH('Fluxo Bandeira Co'!A8, Permutas!N:N, 0)), 0)</f>
        <v>0</v>
      </c>
      <c r="AL8" s="398">
        <f t="shared" si="4"/>
        <v>0</v>
      </c>
      <c r="AM8" s="390"/>
      <c r="AN8" s="393">
        <f t="shared" si="5"/>
        <v>0</v>
      </c>
      <c r="AO8" s="390"/>
      <c r="AP8" s="399">
        <f t="shared" si="6"/>
        <v>0</v>
      </c>
      <c r="AQ8" s="390"/>
      <c r="AR8" s="397">
        <f t="shared" si="7"/>
        <v>0</v>
      </c>
      <c r="AS8" s="398">
        <f t="shared" si="13"/>
        <v>0</v>
      </c>
      <c r="AT8" s="390"/>
      <c r="AU8" s="393">
        <f t="shared" si="8"/>
        <v>0</v>
      </c>
      <c r="AV8" s="390"/>
      <c r="AW8" s="397">
        <f t="shared" si="14"/>
        <v>0</v>
      </c>
      <c r="AX8" s="390">
        <f t="shared" si="15"/>
        <v>0</v>
      </c>
      <c r="AY8" s="390">
        <f t="shared" si="9"/>
        <v>0</v>
      </c>
      <c r="AZ8" s="390">
        <f t="shared" si="10"/>
        <v>0</v>
      </c>
      <c r="BA8" s="398">
        <f t="shared" si="16"/>
        <v>0</v>
      </c>
      <c r="BB8" s="390"/>
      <c r="BC8" s="393">
        <f t="shared" si="11"/>
        <v>0</v>
      </c>
    </row>
    <row r="9" spans="1:55" x14ac:dyDescent="0.25">
      <c r="A9" s="197">
        <f t="shared" si="12"/>
        <v>43282</v>
      </c>
      <c r="B9" s="388">
        <f>IF($A9&lt;=baseData, INDEX(Indicadores!B:B, MATCH($A9,Indicadores!A:A, 0)), INDEX(Indicadores!B:B, MATCH(baseData,Indicadores!A:A, 0)))</f>
        <v>738.48699999999997</v>
      </c>
      <c r="C9" s="389">
        <f>IF($A9&lt;=baseData, INDEX(Indicadores!E:E, MATCH($A9, Indicadores!A:A, 0)), INDEX(Indicadores!E:E, MATCH(baseData, Indicadores!A:A, 0)))</f>
        <v>5061.1099999999997</v>
      </c>
      <c r="D9" s="390"/>
      <c r="E9" s="397"/>
      <c r="F9" s="390"/>
      <c r="G9" s="390"/>
      <c r="H9" s="393"/>
      <c r="I9" s="390"/>
      <c r="J9" s="398"/>
      <c r="K9" s="390"/>
      <c r="L9" s="397">
        <f>IF(A9&lt;=baseData, N9-M9, -INDEX('Fluxo Projeto'!AQ:AQ, MATCH($A9, 'Fluxo Projeto'!A:A, 0))*(pctSCPequity+pctSCPpermuta))</f>
        <v>0</v>
      </c>
      <c r="M9" s="398">
        <f>IFERROR(INDEX(Permutas!AJ:AJ, MATCH('Fluxo Bandeira Co'!A9, Permutas!N:N, 0)), 0)</f>
        <v>0</v>
      </c>
      <c r="N9" s="393">
        <f>IF($A9&lt;=baseData,IFERROR(INDEX('LDI - Fluxo de Caixa'!$AP$161:$AP$374,MATCH($A9,'LDI - Fluxo de Caixa'!$C$161:$C$374,0)), 0),SUM(L9:M9))</f>
        <v>0</v>
      </c>
      <c r="O9" s="390"/>
      <c r="P9" s="397"/>
      <c r="Q9" s="398"/>
      <c r="R9" s="390"/>
      <c r="S9" s="392"/>
      <c r="T9" s="425"/>
      <c r="U9" s="425"/>
      <c r="V9" s="425"/>
      <c r="W9" s="425"/>
      <c r="X9" s="425"/>
      <c r="Y9" s="425"/>
      <c r="Z9" s="425"/>
      <c r="AA9" s="425"/>
      <c r="AB9" s="393">
        <f t="shared" si="0"/>
        <v>0</v>
      </c>
      <c r="AC9" s="390"/>
      <c r="AD9" s="393">
        <f t="shared" si="1"/>
        <v>0</v>
      </c>
      <c r="AE9" s="390"/>
      <c r="AF9" s="399"/>
      <c r="AG9" s="390"/>
      <c r="AH9" s="393">
        <f t="shared" si="2"/>
        <v>0</v>
      </c>
      <c r="AI9" s="390"/>
      <c r="AJ9" s="397">
        <f t="shared" si="3"/>
        <v>0</v>
      </c>
      <c r="AK9" s="390">
        <f>IF($A9&gt;baseData, INDEX(Permutas!AC:AC, MATCH('Fluxo Bandeira Co'!A9, Permutas!N:N, 0)), 0)</f>
        <v>0</v>
      </c>
      <c r="AL9" s="398">
        <f t="shared" si="4"/>
        <v>0</v>
      </c>
      <c r="AM9" s="390"/>
      <c r="AN9" s="393">
        <f t="shared" si="5"/>
        <v>0</v>
      </c>
      <c r="AO9" s="390"/>
      <c r="AP9" s="399">
        <f t="shared" si="6"/>
        <v>0</v>
      </c>
      <c r="AQ9" s="390"/>
      <c r="AR9" s="397">
        <f t="shared" si="7"/>
        <v>0</v>
      </c>
      <c r="AS9" s="398">
        <f t="shared" si="13"/>
        <v>0</v>
      </c>
      <c r="AT9" s="390"/>
      <c r="AU9" s="393">
        <f t="shared" si="8"/>
        <v>0</v>
      </c>
      <c r="AV9" s="390"/>
      <c r="AW9" s="397">
        <f t="shared" si="14"/>
        <v>0</v>
      </c>
      <c r="AX9" s="390">
        <f t="shared" si="15"/>
        <v>0</v>
      </c>
      <c r="AY9" s="390">
        <f t="shared" si="9"/>
        <v>0</v>
      </c>
      <c r="AZ9" s="390">
        <f t="shared" si="10"/>
        <v>0</v>
      </c>
      <c r="BA9" s="398">
        <f t="shared" si="16"/>
        <v>0</v>
      </c>
      <c r="BB9" s="390"/>
      <c r="BC9" s="393">
        <f t="shared" si="11"/>
        <v>0</v>
      </c>
    </row>
    <row r="10" spans="1:55" x14ac:dyDescent="0.25">
      <c r="A10" s="197">
        <f t="shared" si="12"/>
        <v>43313</v>
      </c>
      <c r="B10" s="388">
        <f>IF($A10&lt;=baseData, INDEX(Indicadores!B:B, MATCH($A10,Indicadores!A:A, 0)), INDEX(Indicadores!B:B, MATCH(baseData,Indicadores!A:A, 0)))</f>
        <v>739.58299999999997</v>
      </c>
      <c r="C10" s="389">
        <f>IF($A10&lt;=baseData, INDEX(Indicadores!E:E, MATCH($A10, Indicadores!A:A, 0)), INDEX(Indicadores!E:E, MATCH(baseData, Indicadores!A:A, 0)))</f>
        <v>5056.5600000000004</v>
      </c>
      <c r="D10" s="390"/>
      <c r="E10" s="397"/>
      <c r="F10" s="390"/>
      <c r="G10" s="390"/>
      <c r="H10" s="393"/>
      <c r="I10" s="390"/>
      <c r="J10" s="398"/>
      <c r="K10" s="390"/>
      <c r="L10" s="397">
        <f>IF(A10&lt;=baseData, N10-M10, -INDEX('Fluxo Projeto'!AQ:AQ, MATCH($A10, 'Fluxo Projeto'!A:A, 0))*(pctSCPequity+pctSCPpermuta))</f>
        <v>0</v>
      </c>
      <c r="M10" s="398">
        <f>IFERROR(INDEX(Permutas!AJ:AJ, MATCH('Fluxo Bandeira Co'!A10, Permutas!N:N, 0)), 0)</f>
        <v>0</v>
      </c>
      <c r="N10" s="393">
        <f>IF($A10&lt;=baseData,IFERROR(INDEX('LDI - Fluxo de Caixa'!$AP$161:$AP$374,MATCH($A10,'LDI - Fluxo de Caixa'!$C$161:$C$374,0)), 0),SUM(L10:M10))</f>
        <v>0</v>
      </c>
      <c r="O10" s="390"/>
      <c r="P10" s="397"/>
      <c r="Q10" s="398"/>
      <c r="R10" s="390"/>
      <c r="S10" s="392"/>
      <c r="T10" s="425"/>
      <c r="U10" s="425"/>
      <c r="V10" s="425"/>
      <c r="W10" s="425"/>
      <c r="X10" s="425"/>
      <c r="Y10" s="425"/>
      <c r="Z10" s="425"/>
      <c r="AA10" s="425"/>
      <c r="AB10" s="393">
        <f t="shared" si="0"/>
        <v>0</v>
      </c>
      <c r="AC10" s="390"/>
      <c r="AD10" s="393">
        <f t="shared" si="1"/>
        <v>0</v>
      </c>
      <c r="AE10" s="390"/>
      <c r="AF10" s="399"/>
      <c r="AG10" s="390"/>
      <c r="AH10" s="393">
        <f t="shared" si="2"/>
        <v>0</v>
      </c>
      <c r="AI10" s="390"/>
      <c r="AJ10" s="397">
        <f t="shared" si="3"/>
        <v>0</v>
      </c>
      <c r="AK10" s="390">
        <f>IF($A10&gt;baseData, INDEX(Permutas!AC:AC, MATCH('Fluxo Bandeira Co'!A10, Permutas!N:N, 0)), 0)</f>
        <v>0</v>
      </c>
      <c r="AL10" s="398">
        <f t="shared" si="4"/>
        <v>0</v>
      </c>
      <c r="AM10" s="390"/>
      <c r="AN10" s="393">
        <f t="shared" si="5"/>
        <v>0</v>
      </c>
      <c r="AO10" s="390"/>
      <c r="AP10" s="399">
        <f t="shared" si="6"/>
        <v>0</v>
      </c>
      <c r="AQ10" s="390"/>
      <c r="AR10" s="397">
        <f t="shared" si="7"/>
        <v>0</v>
      </c>
      <c r="AS10" s="398">
        <f t="shared" si="13"/>
        <v>0</v>
      </c>
      <c r="AT10" s="390"/>
      <c r="AU10" s="393">
        <f t="shared" si="8"/>
        <v>0</v>
      </c>
      <c r="AV10" s="390"/>
      <c r="AW10" s="397">
        <f t="shared" si="14"/>
        <v>0</v>
      </c>
      <c r="AX10" s="390">
        <f t="shared" si="15"/>
        <v>0</v>
      </c>
      <c r="AY10" s="390">
        <f t="shared" si="9"/>
        <v>0</v>
      </c>
      <c r="AZ10" s="390">
        <f t="shared" si="10"/>
        <v>0</v>
      </c>
      <c r="BA10" s="398">
        <f t="shared" si="16"/>
        <v>0</v>
      </c>
      <c r="BB10" s="390"/>
      <c r="BC10" s="393">
        <f t="shared" si="11"/>
        <v>0</v>
      </c>
    </row>
    <row r="11" spans="1:55" x14ac:dyDescent="0.25">
      <c r="A11" s="197">
        <f t="shared" si="12"/>
        <v>43344</v>
      </c>
      <c r="B11" s="388">
        <f>IF($A11&lt;=baseData, INDEX(Indicadores!B:B, MATCH($A11,Indicadores!A:A, 0)), INDEX(Indicadores!B:B, MATCH(baseData,Indicadores!A:A, 0)))</f>
        <v>741.30499999999995</v>
      </c>
      <c r="C11" s="389">
        <f>IF($A11&lt;=baseData, INDEX(Indicadores!E:E, MATCH($A11, Indicadores!A:A, 0)), INDEX(Indicadores!E:E, MATCH(baseData, Indicadores!A:A, 0)))</f>
        <v>5080.83</v>
      </c>
      <c r="D11" s="390"/>
      <c r="E11" s="397"/>
      <c r="F11" s="390"/>
      <c r="G11" s="390"/>
      <c r="H11" s="393"/>
      <c r="I11" s="390"/>
      <c r="J11" s="398"/>
      <c r="K11" s="390"/>
      <c r="L11" s="397">
        <f>IF(A11&lt;=baseData, N11-M11, -INDEX('Fluxo Projeto'!AQ:AQ, MATCH($A11, 'Fluxo Projeto'!A:A, 0))*(pctSCPequity+pctSCPpermuta))</f>
        <v>0</v>
      </c>
      <c r="M11" s="398">
        <f>IFERROR(INDEX(Permutas!AJ:AJ, MATCH('Fluxo Bandeira Co'!A11, Permutas!N:N, 0)), 0)</f>
        <v>0</v>
      </c>
      <c r="N11" s="393">
        <f>IF($A11&lt;=baseData,IFERROR(INDEX('LDI - Fluxo de Caixa'!$AP$161:$AP$374,MATCH($A11,'LDI - Fluxo de Caixa'!$C$161:$C$374,0)), 0),SUM(L11:M11))</f>
        <v>0</v>
      </c>
      <c r="O11" s="390"/>
      <c r="P11" s="397"/>
      <c r="Q11" s="398"/>
      <c r="R11" s="390"/>
      <c r="S11" s="392"/>
      <c r="T11" s="425"/>
      <c r="U11" s="425"/>
      <c r="V11" s="425"/>
      <c r="W11" s="425"/>
      <c r="X11" s="425"/>
      <c r="Y11" s="425"/>
      <c r="Z11" s="425"/>
      <c r="AA11" s="425"/>
      <c r="AB11" s="393">
        <f t="shared" si="0"/>
        <v>0</v>
      </c>
      <c r="AC11" s="390"/>
      <c r="AD11" s="393">
        <f t="shared" si="1"/>
        <v>0</v>
      </c>
      <c r="AE11" s="390"/>
      <c r="AF11" s="399"/>
      <c r="AG11" s="390"/>
      <c r="AH11" s="393">
        <f t="shared" si="2"/>
        <v>0</v>
      </c>
      <c r="AI11" s="390"/>
      <c r="AJ11" s="397">
        <f t="shared" si="3"/>
        <v>0</v>
      </c>
      <c r="AK11" s="390">
        <f>IF($A11&gt;baseData, INDEX(Permutas!AC:AC, MATCH('Fluxo Bandeira Co'!A11, Permutas!N:N, 0)), 0)</f>
        <v>0</v>
      </c>
      <c r="AL11" s="398">
        <f t="shared" si="4"/>
        <v>0</v>
      </c>
      <c r="AM11" s="390"/>
      <c r="AN11" s="393">
        <f t="shared" si="5"/>
        <v>0</v>
      </c>
      <c r="AO11" s="390"/>
      <c r="AP11" s="399">
        <f t="shared" si="6"/>
        <v>0</v>
      </c>
      <c r="AQ11" s="390"/>
      <c r="AR11" s="397">
        <f t="shared" si="7"/>
        <v>0</v>
      </c>
      <c r="AS11" s="398">
        <f t="shared" si="13"/>
        <v>0</v>
      </c>
      <c r="AT11" s="390"/>
      <c r="AU11" s="393">
        <f t="shared" si="8"/>
        <v>0</v>
      </c>
      <c r="AV11" s="390"/>
      <c r="AW11" s="397">
        <f t="shared" si="14"/>
        <v>0</v>
      </c>
      <c r="AX11" s="390">
        <f t="shared" si="15"/>
        <v>0</v>
      </c>
      <c r="AY11" s="390">
        <f t="shared" si="9"/>
        <v>0</v>
      </c>
      <c r="AZ11" s="390">
        <f t="shared" si="10"/>
        <v>0</v>
      </c>
      <c r="BA11" s="398">
        <f t="shared" si="16"/>
        <v>0</v>
      </c>
      <c r="BB11" s="390"/>
      <c r="BC11" s="393">
        <f t="shared" si="11"/>
        <v>0</v>
      </c>
    </row>
    <row r="12" spans="1:55" x14ac:dyDescent="0.25">
      <c r="A12" s="197">
        <f t="shared" si="12"/>
        <v>43374</v>
      </c>
      <c r="B12" s="388">
        <f>IF($A12&lt;=baseData, INDEX(Indicadores!B:B, MATCH($A12,Indicadores!A:A, 0)), INDEX(Indicadores!B:B, MATCH(baseData,Indicadores!A:A, 0)))</f>
        <v>743.86599999999999</v>
      </c>
      <c r="C12" s="389">
        <f>IF($A12&lt;=baseData, INDEX(Indicadores!E:E, MATCH($A12, Indicadores!A:A, 0)), INDEX(Indicadores!E:E, MATCH(baseData, Indicadores!A:A, 0)))</f>
        <v>5103.6899999999996</v>
      </c>
      <c r="D12" s="390"/>
      <c r="E12" s="397"/>
      <c r="F12" s="390"/>
      <c r="G12" s="390"/>
      <c r="H12" s="393"/>
      <c r="I12" s="390"/>
      <c r="J12" s="398"/>
      <c r="K12" s="390"/>
      <c r="L12" s="397">
        <f>IF(A12&lt;=baseData, N12-M12, -INDEX('Fluxo Projeto'!AQ:AQ, MATCH($A12, 'Fluxo Projeto'!A:A, 0))*(pctSCPequity+pctSCPpermuta))</f>
        <v>0</v>
      </c>
      <c r="M12" s="398">
        <f>IFERROR(INDEX(Permutas!AJ:AJ, MATCH('Fluxo Bandeira Co'!A12, Permutas!N:N, 0)), 0)</f>
        <v>0</v>
      </c>
      <c r="N12" s="393">
        <f>IF($A12&lt;=baseData,IFERROR(INDEX('LDI - Fluxo de Caixa'!$AP$161:$AP$374,MATCH($A12,'LDI - Fluxo de Caixa'!$C$161:$C$374,0)), 0),SUM(L12:M12))</f>
        <v>0</v>
      </c>
      <c r="O12" s="390"/>
      <c r="P12" s="397"/>
      <c r="Q12" s="398"/>
      <c r="R12" s="390"/>
      <c r="S12" s="392"/>
      <c r="T12" s="425"/>
      <c r="U12" s="425"/>
      <c r="V12" s="425"/>
      <c r="W12" s="425"/>
      <c r="X12" s="425"/>
      <c r="Y12" s="425"/>
      <c r="Z12" s="425"/>
      <c r="AA12" s="425"/>
      <c r="AB12" s="393">
        <f t="shared" si="0"/>
        <v>0</v>
      </c>
      <c r="AC12" s="390"/>
      <c r="AD12" s="393">
        <f t="shared" si="1"/>
        <v>0</v>
      </c>
      <c r="AE12" s="390"/>
      <c r="AF12" s="399"/>
      <c r="AG12" s="390"/>
      <c r="AH12" s="393">
        <f t="shared" si="2"/>
        <v>0</v>
      </c>
      <c r="AI12" s="390"/>
      <c r="AJ12" s="397">
        <f t="shared" si="3"/>
        <v>0</v>
      </c>
      <c r="AK12" s="390">
        <f>IF($A12&gt;baseData, INDEX(Permutas!AC:AC, MATCH('Fluxo Bandeira Co'!A12, Permutas!N:N, 0)), 0)</f>
        <v>0</v>
      </c>
      <c r="AL12" s="398">
        <f t="shared" si="4"/>
        <v>0</v>
      </c>
      <c r="AM12" s="390"/>
      <c r="AN12" s="393">
        <f t="shared" si="5"/>
        <v>0</v>
      </c>
      <c r="AO12" s="390"/>
      <c r="AP12" s="399">
        <f t="shared" si="6"/>
        <v>0</v>
      </c>
      <c r="AQ12" s="390"/>
      <c r="AR12" s="397">
        <f t="shared" si="7"/>
        <v>0</v>
      </c>
      <c r="AS12" s="398">
        <f t="shared" si="13"/>
        <v>0</v>
      </c>
      <c r="AT12" s="390"/>
      <c r="AU12" s="393">
        <f t="shared" si="8"/>
        <v>0</v>
      </c>
      <c r="AV12" s="390"/>
      <c r="AW12" s="397">
        <f t="shared" si="14"/>
        <v>0</v>
      </c>
      <c r="AX12" s="390">
        <f t="shared" si="15"/>
        <v>0</v>
      </c>
      <c r="AY12" s="390">
        <f t="shared" si="9"/>
        <v>0</v>
      </c>
      <c r="AZ12" s="390">
        <f t="shared" si="10"/>
        <v>0</v>
      </c>
      <c r="BA12" s="398">
        <f t="shared" si="16"/>
        <v>0</v>
      </c>
      <c r="BB12" s="390"/>
      <c r="BC12" s="393">
        <f t="shared" si="11"/>
        <v>0</v>
      </c>
    </row>
    <row r="13" spans="1:55" x14ac:dyDescent="0.25">
      <c r="A13" s="197">
        <f t="shared" si="12"/>
        <v>43405</v>
      </c>
      <c r="B13" s="388">
        <f>IF($A13&lt;=baseData, INDEX(Indicadores!B:B, MATCH($A13,Indicadores!A:A, 0)), INDEX(Indicadores!B:B, MATCH(baseData,Indicadores!A:A, 0)))</f>
        <v>744.86500000000001</v>
      </c>
      <c r="C13" s="389">
        <f>IF($A13&lt;=baseData, INDEX(Indicadores!E:E, MATCH($A13, Indicadores!A:A, 0)), INDEX(Indicadores!E:E, MATCH(baseData, Indicadores!A:A, 0)))</f>
        <v>5092.97</v>
      </c>
      <c r="D13" s="390"/>
      <c r="E13" s="397"/>
      <c r="F13" s="390"/>
      <c r="G13" s="390"/>
      <c r="H13" s="393"/>
      <c r="I13" s="390"/>
      <c r="J13" s="398"/>
      <c r="K13" s="390"/>
      <c r="L13" s="397">
        <f>IF(A13&lt;=baseData, N13-M13, -INDEX('Fluxo Projeto'!AQ:AQ, MATCH($A13, 'Fluxo Projeto'!A:A, 0))*(pctSCPequity+pctSCPpermuta))</f>
        <v>0</v>
      </c>
      <c r="M13" s="398">
        <f>IFERROR(INDEX(Permutas!AJ:AJ, MATCH('Fluxo Bandeira Co'!A13, Permutas!N:N, 0)), 0)</f>
        <v>0</v>
      </c>
      <c r="N13" s="393">
        <f>IF($A13&lt;=baseData,IFERROR(INDEX('LDI - Fluxo de Caixa'!$AP$161:$AP$374,MATCH($A13,'LDI - Fluxo de Caixa'!$C$161:$C$374,0)), 0),SUM(L13:M13))</f>
        <v>0</v>
      </c>
      <c r="O13" s="390"/>
      <c r="P13" s="397"/>
      <c r="Q13" s="398"/>
      <c r="R13" s="390"/>
      <c r="S13" s="392"/>
      <c r="T13" s="425"/>
      <c r="U13" s="425"/>
      <c r="V13" s="425"/>
      <c r="W13" s="425"/>
      <c r="X13" s="425"/>
      <c r="Y13" s="425"/>
      <c r="Z13" s="425"/>
      <c r="AA13" s="425"/>
      <c r="AB13" s="393">
        <f t="shared" si="0"/>
        <v>0</v>
      </c>
      <c r="AC13" s="390"/>
      <c r="AD13" s="393">
        <f t="shared" si="1"/>
        <v>0</v>
      </c>
      <c r="AE13" s="390"/>
      <c r="AF13" s="399"/>
      <c r="AG13" s="390"/>
      <c r="AH13" s="393">
        <f t="shared" si="2"/>
        <v>0</v>
      </c>
      <c r="AI13" s="390"/>
      <c r="AJ13" s="397">
        <f t="shared" si="3"/>
        <v>0</v>
      </c>
      <c r="AK13" s="390">
        <f>IF($A13&gt;baseData, INDEX(Permutas!AC:AC, MATCH('Fluxo Bandeira Co'!A13, Permutas!N:N, 0)), 0)</f>
        <v>0</v>
      </c>
      <c r="AL13" s="398">
        <f t="shared" si="4"/>
        <v>0</v>
      </c>
      <c r="AM13" s="390"/>
      <c r="AN13" s="393">
        <f t="shared" si="5"/>
        <v>0</v>
      </c>
      <c r="AO13" s="390"/>
      <c r="AP13" s="399">
        <f t="shared" si="6"/>
        <v>0</v>
      </c>
      <c r="AQ13" s="390"/>
      <c r="AR13" s="397">
        <f t="shared" si="7"/>
        <v>0</v>
      </c>
      <c r="AS13" s="398">
        <f t="shared" si="13"/>
        <v>0</v>
      </c>
      <c r="AT13" s="390"/>
      <c r="AU13" s="393">
        <f t="shared" si="8"/>
        <v>0</v>
      </c>
      <c r="AV13" s="390"/>
      <c r="AW13" s="397">
        <f t="shared" si="14"/>
        <v>0</v>
      </c>
      <c r="AX13" s="390">
        <f t="shared" si="15"/>
        <v>0</v>
      </c>
      <c r="AY13" s="390">
        <f t="shared" si="9"/>
        <v>0</v>
      </c>
      <c r="AZ13" s="390">
        <f t="shared" si="10"/>
        <v>0</v>
      </c>
      <c r="BA13" s="398">
        <f t="shared" si="16"/>
        <v>0</v>
      </c>
      <c r="BB13" s="390"/>
      <c r="BC13" s="393">
        <f t="shared" si="11"/>
        <v>0</v>
      </c>
    </row>
    <row r="14" spans="1:55" x14ac:dyDescent="0.25">
      <c r="A14" s="197">
        <f t="shared" si="12"/>
        <v>43435</v>
      </c>
      <c r="B14" s="388">
        <f>IF($A14&lt;=baseData, INDEX(Indicadores!B:B, MATCH($A14,Indicadores!A:A, 0)), INDEX(Indicadores!B:B, MATCH(baseData,Indicadores!A:A, 0)))</f>
        <v>745.85599999999999</v>
      </c>
      <c r="C14" s="389">
        <f>IF($A14&lt;=baseData, INDEX(Indicadores!E:E, MATCH($A14, Indicadores!A:A, 0)), INDEX(Indicadores!E:E, MATCH(baseData, Indicadores!A:A, 0)))</f>
        <v>5100.6099999999997</v>
      </c>
      <c r="D14" s="390"/>
      <c r="E14" s="397"/>
      <c r="F14" s="390"/>
      <c r="G14" s="390"/>
      <c r="H14" s="393"/>
      <c r="I14" s="390"/>
      <c r="J14" s="398"/>
      <c r="K14" s="390"/>
      <c r="L14" s="397">
        <f>IF(A14&lt;=baseData, N14-M14, -INDEX('Fluxo Projeto'!AQ:AQ, MATCH($A14, 'Fluxo Projeto'!A:A, 0))*(pctSCPequity+pctSCPpermuta))</f>
        <v>-112500</v>
      </c>
      <c r="M14" s="398">
        <f>IFERROR(INDEX(Permutas!AJ:AJ, MATCH('Fluxo Bandeira Co'!A14, Permutas!N:N, 0)), 0)</f>
        <v>0</v>
      </c>
      <c r="N14" s="393">
        <f>IF($A14&lt;=baseData,IFERROR(INDEX('LDI - Fluxo de Caixa'!$AP$161:$AP$374,MATCH($A14,'LDI - Fluxo de Caixa'!$C$161:$C$374,0)), 0),SUM(L14:M14))</f>
        <v>-112500</v>
      </c>
      <c r="O14" s="390"/>
      <c r="P14" s="397"/>
      <c r="Q14" s="398"/>
      <c r="R14" s="390"/>
      <c r="S14" s="392"/>
      <c r="T14" s="425"/>
      <c r="U14" s="425"/>
      <c r="V14" s="425"/>
      <c r="W14" s="425"/>
      <c r="X14" s="425"/>
      <c r="Y14" s="425"/>
      <c r="Z14" s="425"/>
      <c r="AA14" s="425"/>
      <c r="AB14" s="393">
        <f t="shared" si="0"/>
        <v>0</v>
      </c>
      <c r="AC14" s="390"/>
      <c r="AD14" s="393">
        <f t="shared" si="1"/>
        <v>0</v>
      </c>
      <c r="AE14" s="390"/>
      <c r="AF14" s="399"/>
      <c r="AG14" s="390"/>
      <c r="AH14" s="393">
        <f t="shared" si="2"/>
        <v>0</v>
      </c>
      <c r="AI14" s="390"/>
      <c r="AJ14" s="397">
        <f t="shared" si="3"/>
        <v>0</v>
      </c>
      <c r="AK14" s="390">
        <f>IF($A14&gt;baseData, INDEX(Permutas!AC:AC, MATCH('Fluxo Bandeira Co'!A14, Permutas!N:N, 0)), 0)</f>
        <v>0</v>
      </c>
      <c r="AL14" s="398">
        <f t="shared" si="4"/>
        <v>0</v>
      </c>
      <c r="AM14" s="390"/>
      <c r="AN14" s="393">
        <f t="shared" si="5"/>
        <v>0</v>
      </c>
      <c r="AO14" s="390"/>
      <c r="AP14" s="399">
        <f t="shared" si="6"/>
        <v>0</v>
      </c>
      <c r="AQ14" s="390"/>
      <c r="AR14" s="397">
        <f t="shared" si="7"/>
        <v>0</v>
      </c>
      <c r="AS14" s="398">
        <f t="shared" si="13"/>
        <v>0</v>
      </c>
      <c r="AT14" s="390"/>
      <c r="AU14" s="393">
        <f t="shared" si="8"/>
        <v>0</v>
      </c>
      <c r="AV14" s="390"/>
      <c r="AW14" s="397">
        <f t="shared" si="14"/>
        <v>0</v>
      </c>
      <c r="AX14" s="390">
        <f t="shared" si="15"/>
        <v>0</v>
      </c>
      <c r="AY14" s="390">
        <f t="shared" si="9"/>
        <v>0</v>
      </c>
      <c r="AZ14" s="390">
        <f t="shared" si="10"/>
        <v>0</v>
      </c>
      <c r="BA14" s="398">
        <f t="shared" si="16"/>
        <v>0</v>
      </c>
      <c r="BB14" s="390"/>
      <c r="BC14" s="393">
        <f t="shared" si="11"/>
        <v>0</v>
      </c>
    </row>
    <row r="15" spans="1:55" x14ac:dyDescent="0.25">
      <c r="A15" s="197">
        <f t="shared" si="12"/>
        <v>43466</v>
      </c>
      <c r="B15" s="388">
        <f>IF($A15&lt;=baseData, INDEX(Indicadores!B:B, MATCH($A15,Indicadores!A:A, 0)), INDEX(Indicadores!B:B, MATCH(baseData,Indicadores!A:A, 0)))</f>
        <v>749.51700000000005</v>
      </c>
      <c r="C15" s="389">
        <f>IF($A15&lt;=baseData, INDEX(Indicadores!E:E, MATCH($A15, Indicadores!A:A, 0)), INDEX(Indicadores!E:E, MATCH(baseData, Indicadores!A:A, 0)))</f>
        <v>5116.93</v>
      </c>
      <c r="D15" s="390"/>
      <c r="E15" s="397"/>
      <c r="F15" s="390"/>
      <c r="G15" s="390"/>
      <c r="H15" s="393"/>
      <c r="I15" s="390"/>
      <c r="J15" s="398"/>
      <c r="K15" s="390"/>
      <c r="L15" s="397">
        <f>IF(A15&lt;=baseData, N15-M15, -INDEX('Fluxo Projeto'!AQ:AQ, MATCH($A15, 'Fluxo Projeto'!A:A, 0))*(pctSCPequity+pctSCPpermuta))</f>
        <v>0</v>
      </c>
      <c r="M15" s="398">
        <f>IFERROR(INDEX(Permutas!AJ:AJ, MATCH('Fluxo Bandeira Co'!A15, Permutas!N:N, 0)), 0)</f>
        <v>0</v>
      </c>
      <c r="N15" s="393">
        <f>IF($A15&lt;=baseData,IFERROR(INDEX('LDI - Fluxo de Caixa'!$AP$161:$AP$374,MATCH($A15,'LDI - Fluxo de Caixa'!$C$161:$C$374,0)), 0),SUM(L15:M15))</f>
        <v>0</v>
      </c>
      <c r="O15" s="390"/>
      <c r="P15" s="397"/>
      <c r="Q15" s="398"/>
      <c r="R15" s="390"/>
      <c r="S15" s="392"/>
      <c r="T15" s="425"/>
      <c r="U15" s="425"/>
      <c r="V15" s="425"/>
      <c r="W15" s="425"/>
      <c r="X15" s="425"/>
      <c r="Y15" s="425"/>
      <c r="Z15" s="425"/>
      <c r="AA15" s="425"/>
      <c r="AB15" s="393">
        <f t="shared" si="0"/>
        <v>0</v>
      </c>
      <c r="AC15" s="390"/>
      <c r="AD15" s="393">
        <f t="shared" si="1"/>
        <v>0</v>
      </c>
      <c r="AE15" s="390"/>
      <c r="AF15" s="399"/>
      <c r="AG15" s="390"/>
      <c r="AH15" s="393">
        <f t="shared" si="2"/>
        <v>0</v>
      </c>
      <c r="AI15" s="390"/>
      <c r="AJ15" s="397">
        <f t="shared" si="3"/>
        <v>0</v>
      </c>
      <c r="AK15" s="390">
        <f>IF($A15&gt;baseData, INDEX(Permutas!AC:AC, MATCH('Fluxo Bandeira Co'!A15, Permutas!N:N, 0)), 0)</f>
        <v>0</v>
      </c>
      <c r="AL15" s="398">
        <f t="shared" si="4"/>
        <v>0</v>
      </c>
      <c r="AM15" s="390"/>
      <c r="AN15" s="393">
        <f t="shared" si="5"/>
        <v>0</v>
      </c>
      <c r="AO15" s="390"/>
      <c r="AP15" s="399">
        <f t="shared" si="6"/>
        <v>0</v>
      </c>
      <c r="AQ15" s="390"/>
      <c r="AR15" s="397">
        <f t="shared" si="7"/>
        <v>0</v>
      </c>
      <c r="AS15" s="398">
        <f t="shared" si="13"/>
        <v>0</v>
      </c>
      <c r="AT15" s="390"/>
      <c r="AU15" s="393">
        <f t="shared" si="8"/>
        <v>0</v>
      </c>
      <c r="AV15" s="390"/>
      <c r="AW15" s="397">
        <f t="shared" si="14"/>
        <v>0</v>
      </c>
      <c r="AX15" s="390">
        <f t="shared" si="15"/>
        <v>0</v>
      </c>
      <c r="AY15" s="390">
        <f t="shared" si="9"/>
        <v>0</v>
      </c>
      <c r="AZ15" s="390">
        <f t="shared" si="10"/>
        <v>0</v>
      </c>
      <c r="BA15" s="398">
        <f t="shared" si="16"/>
        <v>0</v>
      </c>
      <c r="BB15" s="390"/>
      <c r="BC15" s="393">
        <f t="shared" si="11"/>
        <v>0</v>
      </c>
    </row>
    <row r="16" spans="1:55" x14ac:dyDescent="0.25">
      <c r="A16" s="197">
        <f t="shared" si="12"/>
        <v>43497</v>
      </c>
      <c r="B16" s="388">
        <f>IF($A16&lt;=baseData, INDEX(Indicadores!B:B, MATCH($A16,Indicadores!A:A, 0)), INDEX(Indicadores!B:B, MATCH(baseData,Indicadores!A:A, 0)))</f>
        <v>750.18</v>
      </c>
      <c r="C16" s="389">
        <f>IF($A16&lt;=baseData, INDEX(Indicadores!E:E, MATCH($A16, Indicadores!A:A, 0)), INDEX(Indicadores!E:E, MATCH(baseData, Indicadores!A:A, 0)))</f>
        <v>5138.93</v>
      </c>
      <c r="D16" s="390"/>
      <c r="E16" s="397"/>
      <c r="F16" s="390"/>
      <c r="G16" s="390"/>
      <c r="H16" s="393"/>
      <c r="I16" s="390"/>
      <c r="J16" s="398"/>
      <c r="K16" s="390"/>
      <c r="L16" s="397">
        <f>IF(A16&lt;=baseData, N16-M16, -INDEX('Fluxo Projeto'!AQ:AQ, MATCH($A16, 'Fluxo Projeto'!A:A, 0))*(pctSCPequity+pctSCPpermuta))</f>
        <v>0</v>
      </c>
      <c r="M16" s="398">
        <f>IFERROR(INDEX(Permutas!AJ:AJ, MATCH('Fluxo Bandeira Co'!A16, Permutas!N:N, 0)), 0)</f>
        <v>0</v>
      </c>
      <c r="N16" s="393">
        <f>IF($A16&lt;=baseData,IFERROR(INDEX('LDI - Fluxo de Caixa'!$AP$161:$AP$374,MATCH($A16,'LDI - Fluxo de Caixa'!$C$161:$C$374,0)), 0),SUM(L16:M16))</f>
        <v>0</v>
      </c>
      <c r="O16" s="390"/>
      <c r="P16" s="397"/>
      <c r="Q16" s="398"/>
      <c r="R16" s="390"/>
      <c r="S16" s="392"/>
      <c r="T16" s="425"/>
      <c r="U16" s="425"/>
      <c r="V16" s="425"/>
      <c r="W16" s="425"/>
      <c r="X16" s="425"/>
      <c r="Y16" s="425"/>
      <c r="Z16" s="425"/>
      <c r="AA16" s="425"/>
      <c r="AB16" s="393">
        <f t="shared" si="0"/>
        <v>0</v>
      </c>
      <c r="AC16" s="390"/>
      <c r="AD16" s="393">
        <f t="shared" si="1"/>
        <v>0</v>
      </c>
      <c r="AE16" s="390"/>
      <c r="AF16" s="399"/>
      <c r="AG16" s="390"/>
      <c r="AH16" s="393">
        <f t="shared" si="2"/>
        <v>0</v>
      </c>
      <c r="AI16" s="390"/>
      <c r="AJ16" s="397">
        <f t="shared" si="3"/>
        <v>0</v>
      </c>
      <c r="AK16" s="390">
        <f>IF($A16&gt;baseData, INDEX(Permutas!AC:AC, MATCH('Fluxo Bandeira Co'!A16, Permutas!N:N, 0)), 0)</f>
        <v>0</v>
      </c>
      <c r="AL16" s="398">
        <f t="shared" si="4"/>
        <v>0</v>
      </c>
      <c r="AM16" s="390"/>
      <c r="AN16" s="393">
        <f t="shared" si="5"/>
        <v>0</v>
      </c>
      <c r="AO16" s="390"/>
      <c r="AP16" s="399">
        <v>0</v>
      </c>
      <c r="AQ16" s="390"/>
      <c r="AR16" s="397">
        <f t="shared" si="7"/>
        <v>0</v>
      </c>
      <c r="AS16" s="398">
        <f t="shared" si="13"/>
        <v>0</v>
      </c>
      <c r="AT16" s="390"/>
      <c r="AU16" s="393">
        <f t="shared" si="8"/>
        <v>0</v>
      </c>
      <c r="AV16" s="390"/>
      <c r="AW16" s="397">
        <f t="shared" si="14"/>
        <v>0</v>
      </c>
      <c r="AX16" s="390">
        <f t="shared" si="15"/>
        <v>0</v>
      </c>
      <c r="AY16" s="390">
        <f t="shared" si="9"/>
        <v>0</v>
      </c>
      <c r="AZ16" s="390">
        <f t="shared" si="10"/>
        <v>0</v>
      </c>
      <c r="BA16" s="398">
        <f t="shared" si="16"/>
        <v>0</v>
      </c>
      <c r="BB16" s="390"/>
      <c r="BC16" s="393">
        <f t="shared" si="11"/>
        <v>0</v>
      </c>
    </row>
    <row r="17" spans="1:55" x14ac:dyDescent="0.25">
      <c r="A17" s="197">
        <f t="shared" si="12"/>
        <v>43525</v>
      </c>
      <c r="B17" s="388">
        <f>IF($A17&lt;=baseData, INDEX(Indicadores!B:B, MATCH($A17,Indicadores!A:A, 0)), INDEX(Indicadores!B:B, MATCH(baseData,Indicadores!A:A, 0)))</f>
        <v>752.524</v>
      </c>
      <c r="C17" s="389">
        <f>IF($A17&lt;=baseData, INDEX(Indicadores!E:E, MATCH($A17, Indicadores!A:A, 0)), INDEX(Indicadores!E:E, MATCH(baseData, Indicadores!A:A, 0)))</f>
        <v>5177.47</v>
      </c>
      <c r="D17" s="390"/>
      <c r="E17" s="397">
        <f t="shared" ref="E17:E48" si="17">AP16</f>
        <v>0</v>
      </c>
      <c r="F17" s="390">
        <f>IF($A17&lt;=baseData, -SUMIF('Fluxo Investidores'!$L17:$X17, "&lt;0", 'Fluxo Investidores'!$L17:$X17), 0)</f>
        <v>0</v>
      </c>
      <c r="G17" s="390">
        <f>IF($A17&lt;=baseData, -SUMIF('Fluxo Investidores'!$L17:$X17, "&gt;0", 'Fluxo Investidores'!$L17:$X17), 0)</f>
        <v>0</v>
      </c>
      <c r="H17" s="393"/>
      <c r="I17" s="390">
        <f t="shared" ref="I17:I48" si="18">F17-J17</f>
        <v>0</v>
      </c>
      <c r="J17" s="398">
        <f>IF($A17&lt;=baseData, INDEX(Permutas!AC:AC, MATCH($A17, Permutas!N:N, 0)), 0)</f>
        <v>0</v>
      </c>
      <c r="K17" s="390"/>
      <c r="L17" s="397">
        <f>IF(A17&lt;=baseData, N17-M17, -INDEX('Fluxo Projeto'!AQ:AQ, MATCH($A17, 'Fluxo Projeto'!A:A, 0))*(pctSCPequity+pctSCPpermuta))</f>
        <v>0</v>
      </c>
      <c r="M17" s="398">
        <f>IFERROR(INDEX(Permutas!AJ:AJ, MATCH('Fluxo Bandeira Co'!A17, Permutas!N:N, 0)), 0)</f>
        <v>0</v>
      </c>
      <c r="N17" s="393">
        <f>IF($A17&lt;=baseData,IFERROR(INDEX('LDI - Fluxo de Caixa'!$AP$161:$AP$374,MATCH($A17,'LDI - Fluxo de Caixa'!$C$161:$C$374,0)), 0),SUM(L17:M17))</f>
        <v>0</v>
      </c>
      <c r="O17" s="390"/>
      <c r="P17" s="397">
        <f t="shared" ref="P17:P48" si="19">F17+G17-N17</f>
        <v>0</v>
      </c>
      <c r="Q17" s="398">
        <f t="shared" ref="Q17:Q48" si="20">P17*IF(A17&gt;baseData, 1, ipcaData/C17)</f>
        <v>0</v>
      </c>
      <c r="R17" s="390"/>
      <c r="S17" s="392">
        <v>-39.79</v>
      </c>
      <c r="T17" s="425">
        <v>0</v>
      </c>
      <c r="U17" s="425">
        <v>0</v>
      </c>
      <c r="V17" s="425">
        <v>0</v>
      </c>
      <c r="W17" s="425">
        <v>0</v>
      </c>
      <c r="X17" s="425">
        <v>0</v>
      </c>
      <c r="Y17" s="425">
        <v>0</v>
      </c>
      <c r="Z17" s="425">
        <v>0</v>
      </c>
      <c r="AA17" s="425">
        <v>0</v>
      </c>
      <c r="AB17" s="393">
        <f t="shared" si="0"/>
        <v>-39.79</v>
      </c>
      <c r="AC17" s="390"/>
      <c r="AD17" s="393">
        <f t="shared" si="1"/>
        <v>-39.79</v>
      </c>
      <c r="AE17" s="390"/>
      <c r="AF17" s="399">
        <v>0</v>
      </c>
      <c r="AG17" s="390"/>
      <c r="AH17" s="393">
        <f t="shared" si="2"/>
        <v>-39.79</v>
      </c>
      <c r="AI17" s="390"/>
      <c r="AJ17" s="397">
        <f t="shared" si="3"/>
        <v>0</v>
      </c>
      <c r="AK17" s="390">
        <f>IF($A17&gt;baseData, INDEX(Permutas!AC:AC, MATCH('Fluxo Bandeira Co'!A17, Permutas!N:N, 0)), 0)</f>
        <v>0</v>
      </c>
      <c r="AL17" s="398">
        <f t="shared" si="4"/>
        <v>0</v>
      </c>
      <c r="AM17" s="390"/>
      <c r="AN17" s="393">
        <f t="shared" si="5"/>
        <v>-39.79</v>
      </c>
      <c r="AO17" s="390"/>
      <c r="AP17" s="399">
        <v>3400003.09</v>
      </c>
      <c r="AQ17" s="390"/>
      <c r="AR17" s="397">
        <f t="shared" si="7"/>
        <v>0</v>
      </c>
      <c r="AS17" s="398">
        <f t="shared" si="13"/>
        <v>0</v>
      </c>
      <c r="AT17" s="390"/>
      <c r="AU17" s="393">
        <f t="shared" si="8"/>
        <v>0</v>
      </c>
      <c r="AV17" s="390"/>
      <c r="AW17" s="397">
        <f t="shared" si="14"/>
        <v>0</v>
      </c>
      <c r="AX17" s="390">
        <f t="shared" si="15"/>
        <v>0</v>
      </c>
      <c r="AY17" s="390">
        <f t="shared" si="9"/>
        <v>0</v>
      </c>
      <c r="AZ17" s="390">
        <f t="shared" si="10"/>
        <v>0</v>
      </c>
      <c r="BA17" s="398">
        <f t="shared" si="16"/>
        <v>0</v>
      </c>
      <c r="BB17" s="390"/>
      <c r="BC17" s="393">
        <f t="shared" si="11"/>
        <v>0</v>
      </c>
    </row>
    <row r="18" spans="1:55" x14ac:dyDescent="0.25">
      <c r="A18" s="197">
        <f t="shared" si="12"/>
        <v>43556</v>
      </c>
      <c r="B18" s="388">
        <f>IF($A18&lt;=baseData, INDEX(Indicadores!B:B, MATCH($A18,Indicadores!A:A, 0)), INDEX(Indicadores!B:B, MATCH(baseData,Indicadores!A:A, 0)))</f>
        <v>755.37300000000005</v>
      </c>
      <c r="C18" s="389">
        <f>IF($A18&lt;=baseData, INDEX(Indicadores!E:E, MATCH($A18, Indicadores!A:A, 0)), INDEX(Indicadores!E:E, MATCH(baseData, Indicadores!A:A, 0)))</f>
        <v>5206.9799999999996</v>
      </c>
      <c r="D18" s="390"/>
      <c r="E18" s="397">
        <f t="shared" si="17"/>
        <v>3400003.09</v>
      </c>
      <c r="F18" s="390">
        <f>IF($A18&lt;=baseData, -SUMIF('Fluxo Investidores'!$L18:$X18, "&lt;0", 'Fluxo Investidores'!$L18:$X18), 0)</f>
        <v>11200000</v>
      </c>
      <c r="G18" s="390">
        <f>IF($A18&lt;=baseData, -SUMIF('Fluxo Investidores'!$L18:$X18, "&gt;0", 'Fluxo Investidores'!$L18:$X18), 0)</f>
        <v>0</v>
      </c>
      <c r="H18" s="393"/>
      <c r="I18" s="390">
        <f t="shared" si="18"/>
        <v>9090263.8661209121</v>
      </c>
      <c r="J18" s="398">
        <f>IF($A18&lt;=baseData, INDEX(Permutas!AC:AC, MATCH($A18, Permutas!N:N, 0)), 0)</f>
        <v>2109736.1338790888</v>
      </c>
      <c r="K18" s="390"/>
      <c r="L18" s="397">
        <f>IF(A18&lt;=baseData, N18-M18, -INDEX('Fluxo Projeto'!AQ:AQ, MATCH($A18, 'Fluxo Projeto'!A:A, 0))*(pctSCPequity+pctSCPpermuta))</f>
        <v>7560682.2650081497</v>
      </c>
      <c r="M18" s="398">
        <f>IFERROR(INDEX(Permutas!AJ:AJ, MATCH('Fluxo Bandeira Co'!A18, Permutas!N:N, 0)), 0)</f>
        <v>1754739.4449918512</v>
      </c>
      <c r="N18" s="393">
        <f>IF($A18&lt;=baseData,IFERROR(INDEX('LDI - Fluxo de Caixa'!$AP$161:$AP$374,MATCH($A18,'LDI - Fluxo de Caixa'!$C$161:$C$374,0)), 0),SUM(L18:M18))</f>
        <v>9315421.7100000009</v>
      </c>
      <c r="O18" s="390"/>
      <c r="P18" s="397">
        <f t="shared" si="19"/>
        <v>1884578.2899999991</v>
      </c>
      <c r="Q18" s="398">
        <f t="shared" si="20"/>
        <v>1985753.0621686268</v>
      </c>
      <c r="R18" s="390"/>
      <c r="S18" s="392">
        <v>0</v>
      </c>
      <c r="T18" s="425">
        <v>0</v>
      </c>
      <c r="U18" s="425">
        <v>0</v>
      </c>
      <c r="V18" s="425">
        <v>0</v>
      </c>
      <c r="W18" s="425">
        <v>0</v>
      </c>
      <c r="X18" s="425">
        <v>0</v>
      </c>
      <c r="Y18" s="425">
        <v>-419.54</v>
      </c>
      <c r="Z18" s="425">
        <f>-55-1.8-0.9-0.9-516.21</f>
        <v>-574.81000000000006</v>
      </c>
      <c r="AA18" s="425">
        <v>0</v>
      </c>
      <c r="AB18" s="393">
        <f t="shared" si="0"/>
        <v>-994.35000000000014</v>
      </c>
      <c r="AC18" s="390"/>
      <c r="AD18" s="393">
        <f t="shared" si="1"/>
        <v>1883583.939999999</v>
      </c>
      <c r="AE18" s="390"/>
      <c r="AF18" s="399">
        <f t="shared" ref="AF18:AF26" si="21">189419.53/9</f>
        <v>21046.614444444444</v>
      </c>
      <c r="AG18" s="390"/>
      <c r="AH18" s="393">
        <f t="shared" si="2"/>
        <v>5304633.6444444442</v>
      </c>
      <c r="AI18" s="390"/>
      <c r="AJ18" s="397">
        <f t="shared" si="3"/>
        <v>0</v>
      </c>
      <c r="AK18" s="390">
        <f>IF($A18&gt;baseData, INDEX(Permutas!AC:AC, MATCH('Fluxo Bandeira Co'!A18, Permutas!N:N, 0)), 0)</f>
        <v>0</v>
      </c>
      <c r="AL18" s="398">
        <f t="shared" si="4"/>
        <v>0</v>
      </c>
      <c r="AM18" s="390"/>
      <c r="AN18" s="393">
        <f t="shared" si="5"/>
        <v>5304633.6444444442</v>
      </c>
      <c r="AO18" s="390"/>
      <c r="AP18" s="399">
        <v>1888453.13</v>
      </c>
      <c r="AQ18" s="390"/>
      <c r="AR18" s="397">
        <f t="shared" si="7"/>
        <v>-9090263.8661209121</v>
      </c>
      <c r="AS18" s="398">
        <f t="shared" si="13"/>
        <v>-9090263.8661209121</v>
      </c>
      <c r="AT18" s="390"/>
      <c r="AU18" s="393">
        <f t="shared" si="8"/>
        <v>-9578280.4056765568</v>
      </c>
      <c r="AV18" s="390"/>
      <c r="AW18" s="397">
        <f t="shared" si="14"/>
        <v>-9578280.4056765568</v>
      </c>
      <c r="AX18" s="390">
        <f t="shared" si="15"/>
        <v>0</v>
      </c>
      <c r="AY18" s="390">
        <f t="shared" si="9"/>
        <v>0</v>
      </c>
      <c r="AZ18" s="390">
        <f t="shared" si="10"/>
        <v>-9090263.8661209121</v>
      </c>
      <c r="BA18" s="398">
        <f t="shared" si="16"/>
        <v>-9090263.8661209121</v>
      </c>
      <c r="BB18" s="390"/>
      <c r="BC18" s="393">
        <f t="shared" si="11"/>
        <v>-9578280.4056765568</v>
      </c>
    </row>
    <row r="19" spans="1:55" x14ac:dyDescent="0.25">
      <c r="A19" s="197">
        <f t="shared" si="12"/>
        <v>43586</v>
      </c>
      <c r="B19" s="388">
        <f>IF($A19&lt;=baseData, INDEX(Indicadores!B:B, MATCH($A19,Indicadores!A:A, 0)), INDEX(Indicadores!B:B, MATCH(baseData,Indicadores!A:A, 0)))</f>
        <v>755.625</v>
      </c>
      <c r="C19" s="389">
        <f>IF($A19&lt;=baseData, INDEX(Indicadores!E:E, MATCH($A19, Indicadores!A:A, 0)), INDEX(Indicadores!E:E, MATCH(baseData, Indicadores!A:A, 0)))</f>
        <v>5213.75</v>
      </c>
      <c r="D19" s="390"/>
      <c r="E19" s="397">
        <f t="shared" si="17"/>
        <v>1888453.13</v>
      </c>
      <c r="F19" s="390">
        <f>IF($A19&lt;=baseData, -SUMIF('Fluxo Investidores'!$L19:$X19, "&lt;0", 'Fluxo Investidores'!$L19:$X19), 0)</f>
        <v>0</v>
      </c>
      <c r="G19" s="390">
        <f>IF($A19&lt;=baseData, -SUMIF('Fluxo Investidores'!$L19:$X19, "&gt;0", 'Fluxo Investidores'!$L19:$X19), 0)</f>
        <v>0</v>
      </c>
      <c r="H19" s="393"/>
      <c r="I19" s="390">
        <f t="shared" si="18"/>
        <v>0</v>
      </c>
      <c r="J19" s="398">
        <f>IF($A19&lt;=baseData, INDEX(Permutas!AC:AC, MATCH($A19, Permutas!N:N, 0)), 0)</f>
        <v>0</v>
      </c>
      <c r="K19" s="390"/>
      <c r="L19" s="397">
        <f>IF(A19&lt;=baseData, N19-M19, -INDEX('Fluxo Projeto'!AQ:AQ, MATCH($A19, 'Fluxo Projeto'!A:A, 0))*(pctSCPequity+pctSCPpermuta))</f>
        <v>0</v>
      </c>
      <c r="M19" s="398">
        <f>IFERROR(INDEX(Permutas!AJ:AJ, MATCH('Fluxo Bandeira Co'!A19, Permutas!N:N, 0)), 0)</f>
        <v>0</v>
      </c>
      <c r="N19" s="393">
        <f>IF($A19&lt;=baseData,IFERROR(INDEX('LDI - Fluxo de Caixa'!$AP$161:$AP$374,MATCH($A19,'LDI - Fluxo de Caixa'!$C$161:$C$374,0)), 0),SUM(L19:M19))</f>
        <v>0</v>
      </c>
      <c r="O19" s="390"/>
      <c r="P19" s="397">
        <f t="shared" si="19"/>
        <v>0</v>
      </c>
      <c r="Q19" s="398">
        <f t="shared" si="20"/>
        <v>0</v>
      </c>
      <c r="R19" s="390"/>
      <c r="S19" s="392">
        <v>0</v>
      </c>
      <c r="T19" s="425">
        <v>0</v>
      </c>
      <c r="U19" s="425">
        <v>0</v>
      </c>
      <c r="V19" s="425">
        <v>0</v>
      </c>
      <c r="W19" s="425">
        <v>0</v>
      </c>
      <c r="X19" s="425">
        <v>0</v>
      </c>
      <c r="Y19" s="425">
        <v>-429.19</v>
      </c>
      <c r="Z19" s="425">
        <f>-9.72-55-29.45-0.9-1.8-9.72-0.9-17643.16-55171.35-14752.27</f>
        <v>-87674.27</v>
      </c>
      <c r="AA19" s="425">
        <v>0</v>
      </c>
      <c r="AB19" s="393">
        <f t="shared" si="0"/>
        <v>-88103.46</v>
      </c>
      <c r="AC19" s="390"/>
      <c r="AD19" s="393">
        <f t="shared" si="1"/>
        <v>-88103.46</v>
      </c>
      <c r="AE19" s="390"/>
      <c r="AF19" s="399">
        <f t="shared" si="21"/>
        <v>21046.614444444444</v>
      </c>
      <c r="AG19" s="390"/>
      <c r="AH19" s="393">
        <f t="shared" si="2"/>
        <v>1821396.2844444443</v>
      </c>
      <c r="AI19" s="390"/>
      <c r="AJ19" s="397">
        <f t="shared" si="3"/>
        <v>0</v>
      </c>
      <c r="AK19" s="390">
        <f>IF($A19&gt;baseData, INDEX(Permutas!AC:AC, MATCH('Fluxo Bandeira Co'!A19, Permutas!N:N, 0)), 0)</f>
        <v>0</v>
      </c>
      <c r="AL19" s="398">
        <f t="shared" si="4"/>
        <v>0</v>
      </c>
      <c r="AM19" s="390"/>
      <c r="AN19" s="393">
        <f t="shared" si="5"/>
        <v>1821396.2844444443</v>
      </c>
      <c r="AO19" s="390"/>
      <c r="AP19" s="399">
        <v>1805746.16</v>
      </c>
      <c r="AQ19" s="390"/>
      <c r="AR19" s="397">
        <f t="shared" si="7"/>
        <v>0</v>
      </c>
      <c r="AS19" s="398">
        <f t="shared" si="13"/>
        <v>-9090263.8661209121</v>
      </c>
      <c r="AT19" s="390"/>
      <c r="AU19" s="393">
        <f t="shared" si="8"/>
        <v>0</v>
      </c>
      <c r="AV19" s="390"/>
      <c r="AW19" s="397">
        <f t="shared" si="14"/>
        <v>-9624903.1698802225</v>
      </c>
      <c r="AX19" s="390">
        <f t="shared" si="15"/>
        <v>0</v>
      </c>
      <c r="AY19" s="390">
        <f t="shared" si="9"/>
        <v>0</v>
      </c>
      <c r="AZ19" s="390">
        <f t="shared" si="10"/>
        <v>0</v>
      </c>
      <c r="BA19" s="398">
        <f t="shared" si="16"/>
        <v>-9090263.8661209121</v>
      </c>
      <c r="BB19" s="390"/>
      <c r="BC19" s="393">
        <f t="shared" si="11"/>
        <v>0</v>
      </c>
    </row>
    <row r="20" spans="1:55" x14ac:dyDescent="0.25">
      <c r="A20" s="197">
        <f t="shared" si="12"/>
        <v>43617</v>
      </c>
      <c r="B20" s="388">
        <f>IF($A20&lt;=baseData, INDEX(Indicadores!B:B, MATCH($A20,Indicadores!A:A, 0)), INDEX(Indicadores!B:B, MATCH(baseData,Indicadores!A:A, 0)))</f>
        <v>762.30399999999997</v>
      </c>
      <c r="C20" s="389">
        <f>IF($A20&lt;=baseData, INDEX(Indicadores!E:E, MATCH($A20, Indicadores!A:A, 0)), INDEX(Indicadores!E:E, MATCH(baseData, Indicadores!A:A, 0)))</f>
        <v>5214.2700000000004</v>
      </c>
      <c r="D20" s="390"/>
      <c r="E20" s="397">
        <f t="shared" si="17"/>
        <v>1805746.16</v>
      </c>
      <c r="F20" s="390">
        <f>IF($A20&lt;=baseData, -SUMIF('Fluxo Investidores'!$L20:$X20, "&lt;0", 'Fluxo Investidores'!$L20:$X20), 0)</f>
        <v>0</v>
      </c>
      <c r="G20" s="390">
        <f>IF($A20&lt;=baseData, -SUMIF('Fluxo Investidores'!$L20:$X20, "&gt;0", 'Fluxo Investidores'!$L20:$X20), 0)</f>
        <v>0</v>
      </c>
      <c r="H20" s="393"/>
      <c r="I20" s="390">
        <f t="shared" si="18"/>
        <v>0</v>
      </c>
      <c r="J20" s="398">
        <f>IF($A20&lt;=baseData, INDEX(Permutas!AC:AC, MATCH($A20, Permutas!N:N, 0)), 0)</f>
        <v>0</v>
      </c>
      <c r="K20" s="390"/>
      <c r="L20" s="397">
        <f>IF(A20&lt;=baseData, N20-M20, -INDEX('Fluxo Projeto'!AQ:AQ, MATCH($A20, 'Fluxo Projeto'!A:A, 0))*(pctSCPequity+pctSCPpermuta))</f>
        <v>0</v>
      </c>
      <c r="M20" s="398">
        <f>IFERROR(INDEX(Permutas!AJ:AJ, MATCH('Fluxo Bandeira Co'!A20, Permutas!N:N, 0)), 0)</f>
        <v>0</v>
      </c>
      <c r="N20" s="393">
        <f>IF($A20&lt;=baseData,IFERROR(INDEX('LDI - Fluxo de Caixa'!$AP$161:$AP$374,MATCH($A20,'LDI - Fluxo de Caixa'!$C$161:$C$374,0)), 0),SUM(L20:M20))</f>
        <v>0</v>
      </c>
      <c r="O20" s="390"/>
      <c r="P20" s="397">
        <f t="shared" si="19"/>
        <v>0</v>
      </c>
      <c r="Q20" s="398">
        <f t="shared" si="20"/>
        <v>0</v>
      </c>
      <c r="R20" s="390"/>
      <c r="S20" s="392">
        <v>0</v>
      </c>
      <c r="T20" s="425">
        <v>0</v>
      </c>
      <c r="U20" s="425">
        <v>0</v>
      </c>
      <c r="V20" s="425">
        <v>0</v>
      </c>
      <c r="W20" s="425">
        <v>-14076.37</v>
      </c>
      <c r="X20" s="425">
        <v>0</v>
      </c>
      <c r="Y20" s="425">
        <v>-419.54</v>
      </c>
      <c r="Z20" s="425">
        <f>-55-46990.26-9.72-0.9-0.9</f>
        <v>-47056.780000000006</v>
      </c>
      <c r="AA20" s="425">
        <v>0</v>
      </c>
      <c r="AB20" s="393">
        <f t="shared" si="0"/>
        <v>-61552.69000000001</v>
      </c>
      <c r="AC20" s="390"/>
      <c r="AD20" s="393">
        <f t="shared" si="1"/>
        <v>-61552.69000000001</v>
      </c>
      <c r="AE20" s="390"/>
      <c r="AF20" s="399">
        <f t="shared" si="21"/>
        <v>21046.614444444444</v>
      </c>
      <c r="AG20" s="390"/>
      <c r="AH20" s="393">
        <f t="shared" si="2"/>
        <v>1765240.0844444444</v>
      </c>
      <c r="AI20" s="390"/>
      <c r="AJ20" s="397">
        <f t="shared" si="3"/>
        <v>0</v>
      </c>
      <c r="AK20" s="390">
        <f>IF($A20&gt;baseData, INDEX(Permutas!AC:AC, MATCH('Fluxo Bandeira Co'!A20, Permutas!N:N, 0)), 0)</f>
        <v>0</v>
      </c>
      <c r="AL20" s="398">
        <f t="shared" si="4"/>
        <v>0</v>
      </c>
      <c r="AM20" s="390"/>
      <c r="AN20" s="393">
        <f t="shared" si="5"/>
        <v>1765240.0844444444</v>
      </c>
      <c r="AO20" s="390"/>
      <c r="AP20" s="399">
        <v>1748453.83</v>
      </c>
      <c r="AQ20" s="390"/>
      <c r="AR20" s="397">
        <f t="shared" si="7"/>
        <v>0</v>
      </c>
      <c r="AS20" s="398">
        <f t="shared" si="13"/>
        <v>-9090263.8661209121</v>
      </c>
      <c r="AT20" s="390"/>
      <c r="AU20" s="393">
        <f t="shared" si="8"/>
        <v>0</v>
      </c>
      <c r="AV20" s="390"/>
      <c r="AW20" s="397">
        <f t="shared" si="14"/>
        <v>-9671752.8727461454</v>
      </c>
      <c r="AX20" s="390">
        <f t="shared" si="15"/>
        <v>0</v>
      </c>
      <c r="AY20" s="390">
        <f t="shared" si="9"/>
        <v>0</v>
      </c>
      <c r="AZ20" s="390">
        <f t="shared" si="10"/>
        <v>0</v>
      </c>
      <c r="BA20" s="398">
        <f t="shared" si="16"/>
        <v>-9090263.8661209121</v>
      </c>
      <c r="BB20" s="390"/>
      <c r="BC20" s="393">
        <f t="shared" si="11"/>
        <v>0</v>
      </c>
    </row>
    <row r="21" spans="1:55" x14ac:dyDescent="0.25">
      <c r="A21" s="197">
        <f t="shared" si="12"/>
        <v>43647</v>
      </c>
      <c r="B21" s="388">
        <f>IF($A21&lt;=baseData, INDEX(Indicadores!B:B, MATCH($A21,Indicadores!A:A, 0)), INDEX(Indicadores!B:B, MATCH(baseData,Indicadores!A:A, 0)))</f>
        <v>766.69899999999996</v>
      </c>
      <c r="C21" s="389">
        <f>IF($A21&lt;=baseData, INDEX(Indicadores!E:E, MATCH($A21, Indicadores!A:A, 0)), INDEX(Indicadores!E:E, MATCH(baseData, Indicadores!A:A, 0)))</f>
        <v>5224.18</v>
      </c>
      <c r="D21" s="390"/>
      <c r="E21" s="397">
        <f t="shared" si="17"/>
        <v>1748453.83</v>
      </c>
      <c r="F21" s="390">
        <f>IF($A21&lt;=baseData, -SUMIF('Fluxo Investidores'!$L21:$X21, "&lt;0", 'Fluxo Investidores'!$L21:$X21), 0)</f>
        <v>0</v>
      </c>
      <c r="G21" s="390">
        <f>IF($A21&lt;=baseData, -SUMIF('Fluxo Investidores'!$L21:$X21, "&gt;0", 'Fluxo Investidores'!$L21:$X21), 0)</f>
        <v>0</v>
      </c>
      <c r="H21" s="393"/>
      <c r="I21" s="390">
        <f t="shared" si="18"/>
        <v>0</v>
      </c>
      <c r="J21" s="398">
        <f>IF($A21&lt;=baseData, INDEX(Permutas!AC:AC, MATCH($A21, Permutas!N:N, 0)), 0)</f>
        <v>0</v>
      </c>
      <c r="K21" s="390"/>
      <c r="L21" s="397">
        <f>IF(A21&lt;=baseData, N21-M21, -INDEX('Fluxo Projeto'!AQ:AQ, MATCH($A21, 'Fluxo Projeto'!A:A, 0))*(pctSCPequity+pctSCPpermuta))</f>
        <v>0</v>
      </c>
      <c r="M21" s="398">
        <f>IFERROR(INDEX(Permutas!AJ:AJ, MATCH('Fluxo Bandeira Co'!A21, Permutas!N:N, 0)), 0)</f>
        <v>0</v>
      </c>
      <c r="N21" s="393">
        <f>IF($A21&lt;=baseData,IFERROR(INDEX('LDI - Fluxo de Caixa'!$AP$161:$AP$374,MATCH($A21,'LDI - Fluxo de Caixa'!$C$161:$C$374,0)), 0),SUM(L21:M21))</f>
        <v>0</v>
      </c>
      <c r="O21" s="390"/>
      <c r="P21" s="397">
        <f t="shared" si="19"/>
        <v>0</v>
      </c>
      <c r="Q21" s="398">
        <f t="shared" si="20"/>
        <v>0</v>
      </c>
      <c r="R21" s="390"/>
      <c r="S21" s="392">
        <v>0</v>
      </c>
      <c r="T21" s="425">
        <v>0</v>
      </c>
      <c r="U21" s="425">
        <v>0</v>
      </c>
      <c r="V21" s="425">
        <v>0</v>
      </c>
      <c r="W21" s="425">
        <v>-12156.87</v>
      </c>
      <c r="X21" s="425">
        <v>0</v>
      </c>
      <c r="Y21" s="425">
        <v>-419.54</v>
      </c>
      <c r="Z21" s="425">
        <f>-55-0.9-0.9</f>
        <v>-56.8</v>
      </c>
      <c r="AA21" s="425">
        <v>0</v>
      </c>
      <c r="AB21" s="393">
        <f t="shared" si="0"/>
        <v>-12633.210000000001</v>
      </c>
      <c r="AC21" s="390"/>
      <c r="AD21" s="393">
        <f t="shared" si="1"/>
        <v>-12633.210000000001</v>
      </c>
      <c r="AE21" s="390"/>
      <c r="AF21" s="399">
        <f t="shared" si="21"/>
        <v>21046.614444444444</v>
      </c>
      <c r="AG21" s="390"/>
      <c r="AH21" s="393">
        <f t="shared" si="2"/>
        <v>1756867.2344444445</v>
      </c>
      <c r="AI21" s="390"/>
      <c r="AJ21" s="397">
        <f t="shared" si="3"/>
        <v>0</v>
      </c>
      <c r="AK21" s="390">
        <f>IF($A21&gt;baseData, INDEX(Permutas!AC:AC, MATCH('Fluxo Bandeira Co'!A21, Permutas!N:N, 0)), 0)</f>
        <v>0</v>
      </c>
      <c r="AL21" s="398">
        <f t="shared" si="4"/>
        <v>0</v>
      </c>
      <c r="AM21" s="390"/>
      <c r="AN21" s="393">
        <f t="shared" si="5"/>
        <v>1756867.2344444445</v>
      </c>
      <c r="AO21" s="390"/>
      <c r="AP21" s="399">
        <v>1740949.52</v>
      </c>
      <c r="AQ21" s="390"/>
      <c r="AR21" s="397">
        <f t="shared" si="7"/>
        <v>0</v>
      </c>
      <c r="AS21" s="398">
        <f t="shared" si="13"/>
        <v>-9090263.8661209121</v>
      </c>
      <c r="AT21" s="390"/>
      <c r="AU21" s="393">
        <f t="shared" si="8"/>
        <v>0</v>
      </c>
      <c r="AV21" s="390"/>
      <c r="AW21" s="397">
        <f t="shared" si="14"/>
        <v>-9718830.618909739</v>
      </c>
      <c r="AX21" s="390">
        <f t="shared" si="15"/>
        <v>0</v>
      </c>
      <c r="AY21" s="390">
        <f t="shared" si="9"/>
        <v>0</v>
      </c>
      <c r="AZ21" s="390">
        <f t="shared" si="10"/>
        <v>0</v>
      </c>
      <c r="BA21" s="398">
        <f t="shared" si="16"/>
        <v>-9090263.8661209121</v>
      </c>
      <c r="BB21" s="390"/>
      <c r="BC21" s="393">
        <f t="shared" si="11"/>
        <v>0</v>
      </c>
    </row>
    <row r="22" spans="1:55" x14ac:dyDescent="0.25">
      <c r="A22" s="197">
        <f t="shared" si="12"/>
        <v>43678</v>
      </c>
      <c r="B22" s="388">
        <f>IF($A22&lt;=baseData, INDEX(Indicadores!B:B, MATCH($A22,Indicadores!A:A, 0)), INDEX(Indicadores!B:B, MATCH(baseData,Indicadores!A:A, 0)))</f>
        <v>769.95100000000002</v>
      </c>
      <c r="C22" s="389">
        <f>IF($A22&lt;=baseData, INDEX(Indicadores!E:E, MATCH($A22, Indicadores!A:A, 0)), INDEX(Indicadores!E:E, MATCH(baseData, Indicadores!A:A, 0)))</f>
        <v>5229.93</v>
      </c>
      <c r="D22" s="390"/>
      <c r="E22" s="397">
        <f t="shared" si="17"/>
        <v>1740949.52</v>
      </c>
      <c r="F22" s="390">
        <f>IF($A22&lt;=baseData, -SUMIF('Fluxo Investidores'!$L22:$X22, "&lt;0", 'Fluxo Investidores'!$L22:$X22), 0)</f>
        <v>6580000</v>
      </c>
      <c r="G22" s="390">
        <f>IF($A22&lt;=baseData, -SUMIF('Fluxo Investidores'!$L22:$X22, "&gt;0", 'Fluxo Investidores'!$L22:$X22), 0)</f>
        <v>0</v>
      </c>
      <c r="H22" s="393"/>
      <c r="I22" s="390">
        <f t="shared" si="18"/>
        <v>5340530.0213460354</v>
      </c>
      <c r="J22" s="398">
        <f>IF($A22&lt;=baseData, INDEX(Permutas!AC:AC, MATCH($A22, Permutas!N:N, 0)), 0)</f>
        <v>1239469.9786539646</v>
      </c>
      <c r="K22" s="390"/>
      <c r="L22" s="397">
        <f>IF(A22&lt;=baseData, N22-M22, -INDEX('Fluxo Projeto'!AQ:AQ, MATCH($A22, 'Fluxo Projeto'!A:A, 0))*(pctSCPequity+pctSCPpermuta))</f>
        <v>5259366.9511128124</v>
      </c>
      <c r="M22" s="398">
        <f>IFERROR(INDEX(Permutas!AJ:AJ, MATCH('Fluxo Bandeira Co'!A22, Permutas!N:N, 0)), 0)</f>
        <v>1220633.0488871871</v>
      </c>
      <c r="N22" s="393">
        <f>IF($A22&lt;=baseData,IFERROR(INDEX('LDI - Fluxo de Caixa'!$AP$161:$AP$374,MATCH($A22,'LDI - Fluxo de Caixa'!$C$161:$C$374,0)), 0),SUM(L22:M22))</f>
        <v>6480000</v>
      </c>
      <c r="O22" s="390"/>
      <c r="P22" s="397">
        <f t="shared" si="19"/>
        <v>100000</v>
      </c>
      <c r="Q22" s="398">
        <f t="shared" si="20"/>
        <v>104906.18421279061</v>
      </c>
      <c r="R22" s="390"/>
      <c r="S22" s="392">
        <v>0</v>
      </c>
      <c r="T22" s="425">
        <v>0</v>
      </c>
      <c r="U22" s="425">
        <v>0</v>
      </c>
      <c r="V22" s="425">
        <v>0</v>
      </c>
      <c r="W22" s="425">
        <v>-14716.21</v>
      </c>
      <c r="X22" s="425">
        <v>0</v>
      </c>
      <c r="Y22" s="425">
        <v>-419.54</v>
      </c>
      <c r="Z22" s="425">
        <f>-55-0.9-0.9-0.9-0.9-0.9-0.9</f>
        <v>-60.399999999999991</v>
      </c>
      <c r="AA22" s="425">
        <v>0</v>
      </c>
      <c r="AB22" s="393">
        <f t="shared" si="0"/>
        <v>-15196.15</v>
      </c>
      <c r="AC22" s="390"/>
      <c r="AD22" s="393">
        <f t="shared" si="1"/>
        <v>84803.85</v>
      </c>
      <c r="AE22" s="390"/>
      <c r="AF22" s="399">
        <f t="shared" si="21"/>
        <v>21046.614444444444</v>
      </c>
      <c r="AG22" s="390"/>
      <c r="AH22" s="393">
        <f t="shared" si="2"/>
        <v>1846799.9844444445</v>
      </c>
      <c r="AI22" s="390"/>
      <c r="AJ22" s="397">
        <f t="shared" si="3"/>
        <v>0</v>
      </c>
      <c r="AK22" s="390">
        <f>IF($A22&gt;baseData, INDEX(Permutas!AC:AC, MATCH('Fluxo Bandeira Co'!A22, Permutas!N:N, 0)), 0)</f>
        <v>0</v>
      </c>
      <c r="AL22" s="398">
        <f t="shared" si="4"/>
        <v>0</v>
      </c>
      <c r="AM22" s="390"/>
      <c r="AN22" s="393">
        <f t="shared" si="5"/>
        <v>1846799.9844444445</v>
      </c>
      <c r="AO22" s="390"/>
      <c r="AP22" s="399">
        <v>1242064.27</v>
      </c>
      <c r="AQ22" s="390"/>
      <c r="AR22" s="397">
        <f t="shared" si="7"/>
        <v>-5340530.0213460354</v>
      </c>
      <c r="AS22" s="398">
        <f t="shared" si="13"/>
        <v>-14430793.887466948</v>
      </c>
      <c r="AT22" s="390"/>
      <c r="AU22" s="393">
        <f t="shared" si="8"/>
        <v>-5602546.2621326577</v>
      </c>
      <c r="AV22" s="390"/>
      <c r="AW22" s="397">
        <f t="shared" si="14"/>
        <v>-15368683.780515945</v>
      </c>
      <c r="AX22" s="390">
        <f t="shared" si="15"/>
        <v>0</v>
      </c>
      <c r="AY22" s="390">
        <f t="shared" si="9"/>
        <v>0</v>
      </c>
      <c r="AZ22" s="390">
        <f t="shared" si="10"/>
        <v>-5340530.0213460354</v>
      </c>
      <c r="BA22" s="398">
        <f t="shared" si="16"/>
        <v>-14430793.887466948</v>
      </c>
      <c r="BB22" s="390"/>
      <c r="BC22" s="393">
        <f t="shared" si="11"/>
        <v>-5602546.2621326577</v>
      </c>
    </row>
    <row r="23" spans="1:55" x14ac:dyDescent="0.25">
      <c r="A23" s="197">
        <f t="shared" si="12"/>
        <v>43709</v>
      </c>
      <c r="B23" s="388">
        <f>IF($A23&lt;=baseData, INDEX(Indicadores!B:B, MATCH($A23,Indicadores!A:A, 0)), INDEX(Indicadores!B:B, MATCH(baseData,Indicadores!A:A, 0)))</f>
        <v>773.52</v>
      </c>
      <c r="C23" s="389">
        <f>IF($A23&lt;=baseData, INDEX(Indicadores!E:E, MATCH($A23, Indicadores!A:A, 0)), INDEX(Indicadores!E:E, MATCH(baseData, Indicadores!A:A, 0)))</f>
        <v>5227.84</v>
      </c>
      <c r="E23" s="397">
        <f t="shared" si="17"/>
        <v>1242064.27</v>
      </c>
      <c r="F23" s="390">
        <f>IF($A23&lt;=baseData, -SUMIF('Fluxo Investidores'!$L23:$X23, "&lt;0", 'Fluxo Investidores'!$L23:$X23), 0)</f>
        <v>0</v>
      </c>
      <c r="G23" s="390">
        <f>IF($A23&lt;=baseData, -SUMIF('Fluxo Investidores'!$L23:$X23, "&gt;0", 'Fluxo Investidores'!$L23:$X23), 0)</f>
        <v>0</v>
      </c>
      <c r="H23" s="393"/>
      <c r="I23" s="390">
        <f t="shared" si="18"/>
        <v>0</v>
      </c>
      <c r="J23" s="398">
        <f>IF($A23&lt;=baseData, INDEX(Permutas!AC:AC, MATCH($A23, Permutas!N:N, 0)), 0)</f>
        <v>0</v>
      </c>
      <c r="L23" s="397">
        <f>IF(A23&lt;=baseData, N23-M23, -INDEX('Fluxo Projeto'!AQ:AQ, MATCH($A23, 'Fluxo Projeto'!A:A, 0))*(pctSCPequity+pctSCPpermuta))</f>
        <v>0</v>
      </c>
      <c r="M23" s="398">
        <f>IFERROR(INDEX(Permutas!AJ:AJ, MATCH('Fluxo Bandeira Co'!A23, Permutas!N:N, 0)), 0)</f>
        <v>0</v>
      </c>
      <c r="N23" s="393">
        <f>IF($A23&lt;=baseData,IFERROR(INDEX('LDI - Fluxo de Caixa'!$AP$161:$AP$374,MATCH($A23,'LDI - Fluxo de Caixa'!$C$161:$C$374,0)), 0),SUM(L23:M23))</f>
        <v>0</v>
      </c>
      <c r="P23" s="397">
        <f t="shared" si="19"/>
        <v>0</v>
      </c>
      <c r="Q23" s="398">
        <f t="shared" si="20"/>
        <v>0</v>
      </c>
      <c r="S23" s="392">
        <v>-20.46</v>
      </c>
      <c r="T23" s="425">
        <v>0</v>
      </c>
      <c r="U23" s="425">
        <v>0</v>
      </c>
      <c r="V23" s="425">
        <v>0</v>
      </c>
      <c r="W23" s="425">
        <v>-16635.71</v>
      </c>
      <c r="X23" s="425">
        <v>0</v>
      </c>
      <c r="Y23" s="425">
        <v>0</v>
      </c>
      <c r="Z23" s="425">
        <f>-55-0.9-162.5-1.8</f>
        <v>-220.20000000000002</v>
      </c>
      <c r="AA23" s="425">
        <v>0</v>
      </c>
      <c r="AB23" s="393">
        <f t="shared" si="0"/>
        <v>-16876.37</v>
      </c>
      <c r="AD23" s="393">
        <f t="shared" si="1"/>
        <v>-16876.37</v>
      </c>
      <c r="AE23" s="390"/>
      <c r="AF23" s="399">
        <f t="shared" si="21"/>
        <v>21046.614444444444</v>
      </c>
      <c r="AH23" s="393">
        <f t="shared" si="2"/>
        <v>1246234.5144444443</v>
      </c>
      <c r="AJ23" s="397">
        <f t="shared" si="3"/>
        <v>0</v>
      </c>
      <c r="AK23" s="390">
        <f>IF($A23&gt;baseData, INDEX(Permutas!AC:AC, MATCH('Fluxo Bandeira Co'!A23, Permutas!N:N, 0)), 0)</f>
        <v>0</v>
      </c>
      <c r="AL23" s="398">
        <f t="shared" si="4"/>
        <v>0</v>
      </c>
      <c r="AN23" s="393">
        <f t="shared" si="5"/>
        <v>1246234.5144444443</v>
      </c>
      <c r="AP23" s="399">
        <v>1816816.36</v>
      </c>
      <c r="AR23" s="397">
        <f t="shared" si="7"/>
        <v>0</v>
      </c>
      <c r="AS23" s="398">
        <f t="shared" si="13"/>
        <v>-14430793.887466948</v>
      </c>
      <c r="AU23" s="393">
        <f t="shared" si="8"/>
        <v>0</v>
      </c>
      <c r="AW23" s="397">
        <f t="shared" si="14"/>
        <v>-15443491.625940373</v>
      </c>
      <c r="AX23" s="390">
        <f t="shared" si="15"/>
        <v>0</v>
      </c>
      <c r="AY23" s="390">
        <f t="shared" si="9"/>
        <v>0</v>
      </c>
      <c r="AZ23" s="390">
        <f t="shared" si="10"/>
        <v>0</v>
      </c>
      <c r="BA23" s="398">
        <f t="shared" si="16"/>
        <v>-14430793.887466948</v>
      </c>
      <c r="BC23" s="393">
        <f t="shared" si="11"/>
        <v>0</v>
      </c>
    </row>
    <row r="24" spans="1:55" x14ac:dyDescent="0.25">
      <c r="A24" s="197">
        <f t="shared" si="12"/>
        <v>43739</v>
      </c>
      <c r="B24" s="388">
        <f>IF($A24&lt;=baseData, INDEX(Indicadores!B:B, MATCH($A24,Indicadores!A:A, 0)), INDEX(Indicadores!B:B, MATCH(baseData,Indicadores!A:A, 0)))</f>
        <v>774.93899999999996</v>
      </c>
      <c r="C24" s="389">
        <f>IF($A24&lt;=baseData, INDEX(Indicadores!E:E, MATCH($A24, Indicadores!A:A, 0)), INDEX(Indicadores!E:E, MATCH(baseData, Indicadores!A:A, 0)))</f>
        <v>5233.07</v>
      </c>
      <c r="E24" s="397">
        <f t="shared" si="17"/>
        <v>1816816.36</v>
      </c>
      <c r="F24" s="390">
        <f>IF($A24&lt;=baseData, -SUMIF('Fluxo Investidores'!$L24:$X24, "&lt;0", 'Fluxo Investidores'!$L24:$X24), 0)</f>
        <v>10920000</v>
      </c>
      <c r="G24" s="390">
        <f>IF($A24&lt;=baseData, -SUMIF('Fluxo Investidores'!$L24:$X24, "&gt;0", 'Fluxo Investidores'!$L24:$X24), 0)</f>
        <v>0</v>
      </c>
      <c r="H24" s="393"/>
      <c r="I24" s="390">
        <f t="shared" si="18"/>
        <v>8863007.2694678884</v>
      </c>
      <c r="J24" s="398">
        <f>IF($A24&lt;=baseData, INDEX(Permutas!AC:AC, MATCH($A24, Permutas!N:N, 0)), 0)</f>
        <v>2056992.7305321116</v>
      </c>
      <c r="L24" s="397">
        <f>IF(A24&lt;=baseData, N24-M24, -INDEX('Fluxo Projeto'!AQ:AQ, MATCH($A24, 'Fluxo Projeto'!A:A, 0))*(pctSCPequity+pctSCPpermuta))</f>
        <v>8473424.5323484205</v>
      </c>
      <c r="M24" s="398">
        <f>IFERROR(INDEX(Permutas!AJ:AJ, MATCH('Fluxo Bandeira Co'!A24, Permutas!N:N, 0)), 0)</f>
        <v>1966575.4676515795</v>
      </c>
      <c r="N24" s="393">
        <f>IF($A24&lt;=baseData,IFERROR(INDEX('LDI - Fluxo de Caixa'!$AP$161:$AP$374,MATCH($A24,'LDI - Fluxo de Caixa'!$C$161:$C$374,0)), 0),SUM(L24:M24))</f>
        <v>10440000</v>
      </c>
      <c r="P24" s="397">
        <f t="shared" si="19"/>
        <v>480000</v>
      </c>
      <c r="Q24" s="398">
        <f t="shared" si="20"/>
        <v>503247.53920738696</v>
      </c>
      <c r="S24" s="392">
        <f>-2619.15-1197.24</f>
        <v>-3816.3900000000003</v>
      </c>
      <c r="T24" s="425">
        <v>0</v>
      </c>
      <c r="U24" s="425">
        <v>0</v>
      </c>
      <c r="V24" s="425">
        <v>0</v>
      </c>
      <c r="W24" s="425">
        <v>-21330.51</v>
      </c>
      <c r="X24" s="425">
        <v>0</v>
      </c>
      <c r="Y24" s="425">
        <f>-6519.79-419.54</f>
        <v>-6939.33</v>
      </c>
      <c r="Z24" s="425">
        <f>-55-1.8-0.9-0.9-0.9</f>
        <v>-59.499999999999993</v>
      </c>
      <c r="AA24" s="425">
        <v>0</v>
      </c>
      <c r="AB24" s="393">
        <f t="shared" si="0"/>
        <v>-32145.729999999996</v>
      </c>
      <c r="AD24" s="393">
        <f t="shared" si="1"/>
        <v>447854.27</v>
      </c>
      <c r="AE24" s="390"/>
      <c r="AF24" s="399">
        <f t="shared" si="21"/>
        <v>21046.614444444444</v>
      </c>
      <c r="AH24" s="393">
        <f t="shared" si="2"/>
        <v>2285717.2444444443</v>
      </c>
      <c r="AJ24" s="397">
        <f t="shared" si="3"/>
        <v>0</v>
      </c>
      <c r="AK24" s="390">
        <f>IF($A24&gt;baseData, INDEX(Permutas!AC:AC, MATCH('Fluxo Bandeira Co'!A24, Permutas!N:N, 0)), 0)</f>
        <v>0</v>
      </c>
      <c r="AL24" s="398">
        <f t="shared" si="4"/>
        <v>0</v>
      </c>
      <c r="AN24" s="393">
        <f t="shared" si="5"/>
        <v>2285717.2444444443</v>
      </c>
      <c r="AP24" s="399">
        <v>2268573.17</v>
      </c>
      <c r="AR24" s="397">
        <f t="shared" si="7"/>
        <v>-8863007.2694678884</v>
      </c>
      <c r="AS24" s="398">
        <f t="shared" si="13"/>
        <v>-23293801.156934835</v>
      </c>
      <c r="AU24" s="393">
        <f t="shared" si="8"/>
        <v>-9292263.7465352025</v>
      </c>
      <c r="AW24" s="397">
        <f t="shared" si="14"/>
        <v>-24810927.348870292</v>
      </c>
      <c r="AX24" s="390">
        <f t="shared" si="15"/>
        <v>0</v>
      </c>
      <c r="AY24" s="390">
        <f t="shared" si="9"/>
        <v>0</v>
      </c>
      <c r="AZ24" s="390">
        <f t="shared" si="10"/>
        <v>-8863007.2694678884</v>
      </c>
      <c r="BA24" s="398">
        <f t="shared" si="16"/>
        <v>-23293801.156934835</v>
      </c>
      <c r="BC24" s="393">
        <f t="shared" si="11"/>
        <v>-9292263.7465352025</v>
      </c>
    </row>
    <row r="25" spans="1:55" x14ac:dyDescent="0.25">
      <c r="A25" s="197">
        <f t="shared" si="12"/>
        <v>43770</v>
      </c>
      <c r="B25" s="388">
        <f>IF($A25&lt;=baseData, INDEX(Indicadores!B:B, MATCH($A25,Indicadores!A:A, 0)), INDEX(Indicadores!B:B, MATCH(baseData,Indicadores!A:A, 0)))</f>
        <v>775.22500000000002</v>
      </c>
      <c r="C25" s="389">
        <f>IF($A25&lt;=baseData, INDEX(Indicadores!E:E, MATCH($A25, Indicadores!A:A, 0)), INDEX(Indicadores!E:E, MATCH(baseData, Indicadores!A:A, 0)))</f>
        <v>5259.76</v>
      </c>
      <c r="E25" s="397">
        <f t="shared" si="17"/>
        <v>2268573.17</v>
      </c>
      <c r="F25" s="390">
        <f>IF($A25&lt;=baseData, -SUMIF('Fluxo Investidores'!$L25:$X25, "&lt;0", 'Fluxo Investidores'!$L25:$X25), 0)</f>
        <v>0</v>
      </c>
      <c r="G25" s="390">
        <f>IF($A25&lt;=baseData, -SUMIF('Fluxo Investidores'!$L25:$X25, "&gt;0", 'Fluxo Investidores'!$L25:$X25), 0)</f>
        <v>0</v>
      </c>
      <c r="H25" s="393"/>
      <c r="I25" s="390">
        <f t="shared" si="18"/>
        <v>0</v>
      </c>
      <c r="J25" s="398">
        <f>IF($A25&lt;=baseData, INDEX(Permutas!AC:AC, MATCH($A25, Permutas!N:N, 0)), 0)</f>
        <v>0</v>
      </c>
      <c r="L25" s="397">
        <f>IF(A25&lt;=baseData, N25-M25, -INDEX('Fluxo Projeto'!AQ:AQ, MATCH($A25, 'Fluxo Projeto'!A:A, 0))*(pctSCPequity+pctSCPpermuta))</f>
        <v>0</v>
      </c>
      <c r="M25" s="398">
        <f>IFERROR(INDEX(Permutas!AJ:AJ, MATCH('Fluxo Bandeira Co'!A25, Permutas!N:N, 0)), 0)</f>
        <v>0</v>
      </c>
      <c r="N25" s="393">
        <f>IF($A25&lt;=baseData,IFERROR(INDEX('LDI - Fluxo de Caixa'!$AP$161:$AP$374,MATCH($A25,'LDI - Fluxo de Caixa'!$C$161:$C$374,0)), 0),SUM(L25:M25))</f>
        <v>0</v>
      </c>
      <c r="P25" s="397">
        <f t="shared" si="19"/>
        <v>0</v>
      </c>
      <c r="Q25" s="398">
        <f t="shared" si="20"/>
        <v>0</v>
      </c>
      <c r="S25" s="392">
        <v>-353.36</v>
      </c>
      <c r="T25" s="425">
        <v>0</v>
      </c>
      <c r="U25" s="425">
        <v>0</v>
      </c>
      <c r="V25" s="425">
        <f>-4.42-38.35</f>
        <v>-42.77</v>
      </c>
      <c r="W25" s="425">
        <v>-25857.34</v>
      </c>
      <c r="X25" s="425">
        <v>0</v>
      </c>
      <c r="Y25" s="425">
        <f>-6100.25-432.79-216.39</f>
        <v>-6749.43</v>
      </c>
      <c r="Z25" s="425">
        <f>-55-0.9-0.9-1.8-0.9-0.9-9.72</f>
        <v>-70.11999999999999</v>
      </c>
      <c r="AA25" s="425">
        <v>0</v>
      </c>
      <c r="AB25" s="393">
        <f t="shared" si="0"/>
        <v>-33073.020000000004</v>
      </c>
      <c r="AD25" s="393">
        <f t="shared" si="1"/>
        <v>-33073.020000000004</v>
      </c>
      <c r="AE25" s="390"/>
      <c r="AF25" s="399">
        <f t="shared" si="21"/>
        <v>21046.614444444444</v>
      </c>
      <c r="AH25" s="393">
        <f t="shared" si="2"/>
        <v>2256546.7644444443</v>
      </c>
      <c r="AJ25" s="397">
        <f t="shared" si="3"/>
        <v>0</v>
      </c>
      <c r="AK25" s="390">
        <f>IF($A25&gt;baseData, INDEX(Permutas!AC:AC, MATCH('Fluxo Bandeira Co'!A25, Permutas!N:N, 0)), 0)</f>
        <v>0</v>
      </c>
      <c r="AL25" s="398">
        <f t="shared" si="4"/>
        <v>0</v>
      </c>
      <c r="AN25" s="393">
        <f t="shared" si="5"/>
        <v>2256546.7644444443</v>
      </c>
      <c r="AP25" s="399">
        <v>2203376.0699999998</v>
      </c>
      <c r="AR25" s="397">
        <f t="shared" si="7"/>
        <v>0</v>
      </c>
      <c r="AS25" s="398">
        <f t="shared" si="13"/>
        <v>-23293801.156934835</v>
      </c>
      <c r="AU25" s="393">
        <f t="shared" si="8"/>
        <v>0</v>
      </c>
      <c r="AW25" s="397">
        <f t="shared" si="14"/>
        <v>-24931695.792313971</v>
      </c>
      <c r="AX25" s="390">
        <f t="shared" si="15"/>
        <v>0</v>
      </c>
      <c r="AY25" s="390">
        <f t="shared" si="9"/>
        <v>0</v>
      </c>
      <c r="AZ25" s="390">
        <f t="shared" si="10"/>
        <v>0</v>
      </c>
      <c r="BA25" s="398">
        <f t="shared" si="16"/>
        <v>-23293801.156934835</v>
      </c>
      <c r="BC25" s="393">
        <f t="shared" si="11"/>
        <v>0</v>
      </c>
    </row>
    <row r="26" spans="1:55" x14ac:dyDescent="0.25">
      <c r="A26" s="197">
        <f t="shared" si="12"/>
        <v>43800</v>
      </c>
      <c r="B26" s="388">
        <f>IF($A26&lt;=baseData, INDEX(Indicadores!B:B, MATCH($A26,Indicadores!A:A, 0)), INDEX(Indicadores!B:B, MATCH(baseData,Indicadores!A:A, 0)))</f>
        <v>776.83900000000006</v>
      </c>
      <c r="C26" s="389">
        <f>IF($A26&lt;=baseData, INDEX(Indicadores!E:E, MATCH($A26, Indicadores!A:A, 0)), INDEX(Indicadores!E:E, MATCH(baseData, Indicadores!A:A, 0)))</f>
        <v>5320.25</v>
      </c>
      <c r="E26" s="397">
        <f t="shared" si="17"/>
        <v>2203376.0699999998</v>
      </c>
      <c r="F26" s="390">
        <f>IF($A26&lt;=baseData, -SUMIF('Fluxo Investidores'!$L26:$X26, "&lt;0", 'Fluxo Investidores'!$L26:$X26), 0)</f>
        <v>3586300</v>
      </c>
      <c r="G26" s="390">
        <f>IF($A26&lt;=baseData, -SUMIF('Fluxo Investidores'!$L26:$X26, "&gt;0", 'Fluxo Investidores'!$L26:$X26), 0)</f>
        <v>0</v>
      </c>
      <c r="H26" s="393"/>
      <c r="I26" s="390">
        <f t="shared" si="18"/>
        <v>2910702.4899319159</v>
      </c>
      <c r="J26" s="398">
        <f>IF($A26&lt;=baseData, INDEX(Permutas!AC:AC, MATCH($A26, Permutas!N:N, 0)), 0)</f>
        <v>675597.51006808423</v>
      </c>
      <c r="L26" s="397">
        <f>IF(A26&lt;=baseData, N26-M26, -INDEX('Fluxo Projeto'!AQ:AQ, MATCH($A26, 'Fluxo Projeto'!A:A, 0))*(pctSCPequity+pctSCPpermuta))</f>
        <v>3780972.780537812</v>
      </c>
      <c r="M26" s="398">
        <f>IFERROR(INDEX(Permutas!AJ:AJ, MATCH('Fluxo Bandeira Co'!A26, Permutas!N:N, 0)), 0)</f>
        <v>877594.25946218811</v>
      </c>
      <c r="N26" s="393">
        <f>IF($A26&lt;=baseData,IFERROR(INDEX('LDI - Fluxo de Caixa'!$AP$161:$AP$374,MATCH($A26,'LDI - Fluxo de Caixa'!$C$161:$C$374,0)), 0),SUM(L26:M26))</f>
        <v>4658567.04</v>
      </c>
      <c r="P26" s="397">
        <f t="shared" si="19"/>
        <v>-1072267.04</v>
      </c>
      <c r="Q26" s="398">
        <f t="shared" si="20"/>
        <v>-1105777.8413233967</v>
      </c>
      <c r="S26" s="392">
        <v>-3050.24</v>
      </c>
      <c r="T26" s="425">
        <v>0</v>
      </c>
      <c r="U26" s="425">
        <v>0</v>
      </c>
      <c r="V26" s="425">
        <v>-93.6</v>
      </c>
      <c r="W26" s="425">
        <v>-32791.550000000003</v>
      </c>
      <c r="X26" s="425">
        <v>0</v>
      </c>
      <c r="Y26" s="425">
        <f>-40084.41-1233.11</f>
        <v>-41317.520000000004</v>
      </c>
      <c r="Z26" s="425">
        <f>-55-0.9-2.7-93.6-1.8-0.9-1.8-0.9-0.9</f>
        <v>-158.50000000000003</v>
      </c>
      <c r="AA26" s="425">
        <v>0</v>
      </c>
      <c r="AB26" s="393">
        <f t="shared" si="0"/>
        <v>-77411.41</v>
      </c>
      <c r="AD26" s="393">
        <f t="shared" si="1"/>
        <v>-1149678.45</v>
      </c>
      <c r="AE26" s="390"/>
      <c r="AF26" s="399">
        <f t="shared" si="21"/>
        <v>21046.614444444444</v>
      </c>
      <c r="AH26" s="393">
        <f t="shared" si="2"/>
        <v>1074744.2344444443</v>
      </c>
      <c r="AJ26" s="397">
        <f t="shared" si="3"/>
        <v>0</v>
      </c>
      <c r="AK26" s="390">
        <f>IF($A26&gt;baseData, INDEX(Permutas!AC:AC, MATCH('Fluxo Bandeira Co'!A26, Permutas!N:N, 0)), 0)</f>
        <v>0</v>
      </c>
      <c r="AL26" s="398">
        <f t="shared" si="4"/>
        <v>0</v>
      </c>
      <c r="AN26" s="393">
        <f t="shared" si="5"/>
        <v>1074744.2344444443</v>
      </c>
      <c r="AP26" s="399">
        <v>1057457.05</v>
      </c>
      <c r="AR26" s="397">
        <f t="shared" si="7"/>
        <v>-2910702.4899319159</v>
      </c>
      <c r="AS26" s="398">
        <f t="shared" si="13"/>
        <v>-26204503.64686675</v>
      </c>
      <c r="AU26" s="393">
        <f t="shared" si="8"/>
        <v>-3001668.6105091409</v>
      </c>
      <c r="AW26" s="397">
        <f t="shared" si="14"/>
        <v>-28054720.692771953</v>
      </c>
      <c r="AX26" s="390">
        <f t="shared" si="15"/>
        <v>0</v>
      </c>
      <c r="AY26" s="390">
        <f t="shared" si="9"/>
        <v>0</v>
      </c>
      <c r="AZ26" s="390">
        <f t="shared" si="10"/>
        <v>-2910702.4899319159</v>
      </c>
      <c r="BA26" s="398">
        <f t="shared" si="16"/>
        <v>-26204503.64686675</v>
      </c>
      <c r="BC26" s="393">
        <f t="shared" si="11"/>
        <v>-3001668.6105091409</v>
      </c>
    </row>
    <row r="27" spans="1:55" x14ac:dyDescent="0.25">
      <c r="A27" s="197">
        <f t="shared" si="12"/>
        <v>43831</v>
      </c>
      <c r="B27" s="388">
        <f>IF($A27&lt;=baseData, INDEX(Indicadores!B:B, MATCH($A27,Indicadores!A:A, 0)), INDEX(Indicadores!B:B, MATCH(baseData,Indicadores!A:A, 0)))</f>
        <v>779.76599999999996</v>
      </c>
      <c r="C27" s="389">
        <f>IF($A27&lt;=baseData, INDEX(Indicadores!E:E, MATCH($A27, Indicadores!A:A, 0)), INDEX(Indicadores!E:E, MATCH(baseData, Indicadores!A:A, 0)))</f>
        <v>5331.42</v>
      </c>
      <c r="E27" s="397">
        <f t="shared" si="17"/>
        <v>1057457.05</v>
      </c>
      <c r="F27" s="390">
        <f>IF($A27&lt;=baseData, -SUMIF('Fluxo Investidores'!$L27:$X27, "&lt;0", 'Fluxo Investidores'!$L27:$X27), 0)</f>
        <v>0</v>
      </c>
      <c r="G27" s="390">
        <f>IF($A27&lt;=baseData, -SUMIF('Fluxo Investidores'!$L27:$X27, "&gt;0", 'Fluxo Investidores'!$L27:$X27), 0)</f>
        <v>0</v>
      </c>
      <c r="H27" s="393"/>
      <c r="I27" s="390">
        <f t="shared" si="18"/>
        <v>0</v>
      </c>
      <c r="J27" s="398">
        <f>IF($A27&lt;=baseData, INDEX(Permutas!AC:AC, MATCH($A27, Permutas!N:N, 0)), 0)</f>
        <v>0</v>
      </c>
      <c r="L27" s="397">
        <f>IF(A27&lt;=baseData, N27-M27, -INDEX('Fluxo Projeto'!AQ:AQ, MATCH($A27, 'Fluxo Projeto'!A:A, 0))*(pctSCPequity+pctSCPpermuta))</f>
        <v>0</v>
      </c>
      <c r="M27" s="398">
        <f>IFERROR(INDEX(Permutas!AJ:AJ, MATCH('Fluxo Bandeira Co'!A27, Permutas!N:N, 0)), 0)</f>
        <v>0</v>
      </c>
      <c r="N27" s="393">
        <f>IF($A27&lt;=baseData,IFERROR(INDEX('LDI - Fluxo de Caixa'!$AP$161:$AP$374,MATCH($A27,'LDI - Fluxo de Caixa'!$C$161:$C$374,0)), 0),SUM(L27:M27))</f>
        <v>0</v>
      </c>
      <c r="P27" s="397">
        <f t="shared" si="19"/>
        <v>0</v>
      </c>
      <c r="Q27" s="398">
        <f t="shared" si="20"/>
        <v>0</v>
      </c>
      <c r="S27" s="392">
        <f>-118.33-2696.66-428.67-8359.54</f>
        <v>-11603.2</v>
      </c>
      <c r="T27" s="425">
        <v>0</v>
      </c>
      <c r="U27" s="425">
        <v>0</v>
      </c>
      <c r="V27" s="425">
        <v>-366.44</v>
      </c>
      <c r="W27" s="425">
        <v>-35660.400000000001</v>
      </c>
      <c r="X27" s="425">
        <v>0</v>
      </c>
      <c r="Y27" s="425">
        <f>-6533.04-656.95</f>
        <v>-7189.99</v>
      </c>
      <c r="Z27" s="425">
        <f>-55-0.9-9.75-0.9-9.72-1.8-0.9</f>
        <v>-78.970000000000013</v>
      </c>
      <c r="AA27" s="425">
        <v>0</v>
      </c>
      <c r="AB27" s="393">
        <f t="shared" si="0"/>
        <v>-54899</v>
      </c>
      <c r="AD27" s="393">
        <f t="shared" si="1"/>
        <v>-54899</v>
      </c>
      <c r="AE27" s="390"/>
      <c r="AF27" s="399">
        <v>0</v>
      </c>
      <c r="AH27" s="393">
        <f t="shared" si="2"/>
        <v>1002558.05</v>
      </c>
      <c r="AJ27" s="397">
        <f t="shared" si="3"/>
        <v>0</v>
      </c>
      <c r="AK27" s="390">
        <f>IF($A27&gt;baseData, INDEX(Permutas!AC:AC, MATCH('Fluxo Bandeira Co'!A27, Permutas!N:N, 0)), 0)</f>
        <v>0</v>
      </c>
      <c r="AL27" s="398">
        <f t="shared" si="4"/>
        <v>0</v>
      </c>
      <c r="AN27" s="393">
        <f t="shared" si="5"/>
        <v>1002558.05</v>
      </c>
      <c r="AP27" s="399">
        <v>1005954.98</v>
      </c>
      <c r="AR27" s="397">
        <f t="shared" si="7"/>
        <v>0</v>
      </c>
      <c r="AS27" s="398">
        <f t="shared" si="13"/>
        <v>-26204503.64686675</v>
      </c>
      <c r="AU27" s="393">
        <f t="shared" si="8"/>
        <v>0</v>
      </c>
      <c r="AW27" s="397">
        <f t="shared" si="14"/>
        <v>-28191278.464340597</v>
      </c>
      <c r="AX27" s="390">
        <f t="shared" si="15"/>
        <v>0</v>
      </c>
      <c r="AY27" s="390">
        <f t="shared" si="9"/>
        <v>0</v>
      </c>
      <c r="AZ27" s="390">
        <f t="shared" si="10"/>
        <v>0</v>
      </c>
      <c r="BA27" s="398">
        <f t="shared" si="16"/>
        <v>-26204503.64686675</v>
      </c>
      <c r="BC27" s="393">
        <f t="shared" si="11"/>
        <v>0</v>
      </c>
    </row>
    <row r="28" spans="1:55" x14ac:dyDescent="0.25">
      <c r="A28" s="197">
        <f t="shared" si="12"/>
        <v>43862</v>
      </c>
      <c r="B28" s="388">
        <f>IF($A28&lt;=baseData, INDEX(Indicadores!B:B, MATCH($A28,Indicadores!A:A, 0)), INDEX(Indicadores!B:B, MATCH(baseData,Indicadores!A:A, 0)))</f>
        <v>782.33600000000001</v>
      </c>
      <c r="C28" s="389">
        <f>IF($A28&lt;=baseData, INDEX(Indicadores!E:E, MATCH($A28, Indicadores!A:A, 0)), INDEX(Indicadores!E:E, MATCH(baseData, Indicadores!A:A, 0)))</f>
        <v>5344.75</v>
      </c>
      <c r="E28" s="397">
        <f t="shared" si="17"/>
        <v>1005954.98</v>
      </c>
      <c r="F28" s="390">
        <f>IF($A28&lt;=baseData, -SUMIF('Fluxo Investidores'!$L28:$X28, "&lt;0", 'Fluxo Investidores'!$L28:$X28), 0)</f>
        <v>0</v>
      </c>
      <c r="G28" s="390">
        <f>IF($A28&lt;=baseData, -SUMIF('Fluxo Investidores'!$L28:$X28, "&gt;0", 'Fluxo Investidores'!$L28:$X28), 0)</f>
        <v>0</v>
      </c>
      <c r="H28" s="393"/>
      <c r="I28" s="390">
        <f t="shared" si="18"/>
        <v>0</v>
      </c>
      <c r="J28" s="398">
        <f>IF($A28&lt;=baseData, INDEX(Permutas!AC:AC, MATCH($A28, Permutas!N:N, 0)), 0)</f>
        <v>0</v>
      </c>
      <c r="L28" s="397">
        <f>IF(A28&lt;=baseData, N28-M28, -INDEX('Fluxo Projeto'!AQ:AQ, MATCH($A28, 'Fluxo Projeto'!A:A, 0))*(pctSCPequity+pctSCPpermuta))</f>
        <v>0</v>
      </c>
      <c r="M28" s="398">
        <f>IFERROR(INDEX(Permutas!AJ:AJ, MATCH('Fluxo Bandeira Co'!A28, Permutas!N:N, 0)), 0)</f>
        <v>0</v>
      </c>
      <c r="N28" s="393">
        <f>IF($A28&lt;=baseData,IFERROR(INDEX('LDI - Fluxo de Caixa'!$AP$161:$AP$374,MATCH($A28,'LDI - Fluxo de Caixa'!$C$161:$C$374,0)), 0),SUM(L28:M28))</f>
        <v>0</v>
      </c>
      <c r="P28" s="397">
        <f t="shared" si="19"/>
        <v>0</v>
      </c>
      <c r="Q28" s="398">
        <f t="shared" si="20"/>
        <v>0</v>
      </c>
      <c r="S28" s="392">
        <v>-453.41</v>
      </c>
      <c r="T28" s="425">
        <v>0</v>
      </c>
      <c r="U28" s="425">
        <v>0</v>
      </c>
      <c r="V28" s="425">
        <v>0</v>
      </c>
      <c r="W28" s="425">
        <v>-40578.04</v>
      </c>
      <c r="X28" s="425">
        <v>0</v>
      </c>
      <c r="Y28" s="425">
        <f>-6100.25-432.79</f>
        <v>-6533.04</v>
      </c>
      <c r="Z28" s="425">
        <f>-57-0.9-0.9-0.9</f>
        <v>-59.699999999999996</v>
      </c>
      <c r="AA28" s="425">
        <v>0</v>
      </c>
      <c r="AB28" s="393">
        <f t="shared" si="0"/>
        <v>-47624.19</v>
      </c>
      <c r="AD28" s="393">
        <f t="shared" si="1"/>
        <v>-47624.19</v>
      </c>
      <c r="AE28" s="390"/>
      <c r="AF28" s="399">
        <v>0</v>
      </c>
      <c r="AH28" s="393">
        <f t="shared" si="2"/>
        <v>958330.79</v>
      </c>
      <c r="AJ28" s="397">
        <f t="shared" si="3"/>
        <v>0</v>
      </c>
      <c r="AK28" s="390">
        <f>IF($A28&gt;baseData, INDEX(Permutas!AC:AC, MATCH('Fluxo Bandeira Co'!A28, Permutas!N:N, 0)), 0)</f>
        <v>0</v>
      </c>
      <c r="AL28" s="398">
        <f t="shared" si="4"/>
        <v>0</v>
      </c>
      <c r="AN28" s="393">
        <f t="shared" si="5"/>
        <v>958330.79</v>
      </c>
      <c r="AP28" s="399">
        <v>960456.65</v>
      </c>
      <c r="AR28" s="397">
        <f t="shared" si="7"/>
        <v>0</v>
      </c>
      <c r="AS28" s="398">
        <f t="shared" si="13"/>
        <v>-26204503.64686675</v>
      </c>
      <c r="AU28" s="393">
        <f t="shared" si="8"/>
        <v>0</v>
      </c>
      <c r="AW28" s="397">
        <f t="shared" si="14"/>
        <v>-28328500.937767442</v>
      </c>
      <c r="AX28" s="390">
        <f t="shared" si="15"/>
        <v>0</v>
      </c>
      <c r="AY28" s="390">
        <f t="shared" si="9"/>
        <v>0</v>
      </c>
      <c r="AZ28" s="390">
        <f t="shared" si="10"/>
        <v>0</v>
      </c>
      <c r="BA28" s="398">
        <f t="shared" si="16"/>
        <v>-26204503.64686675</v>
      </c>
      <c r="BC28" s="393">
        <f t="shared" si="11"/>
        <v>0</v>
      </c>
    </row>
    <row r="29" spans="1:55" x14ac:dyDescent="0.25">
      <c r="A29" s="197">
        <f t="shared" si="12"/>
        <v>43891</v>
      </c>
      <c r="B29" s="388">
        <f>IF($A29&lt;=baseData, INDEX(Indicadores!B:B, MATCH($A29,Indicadores!A:A, 0)), INDEX(Indicadores!B:B, MATCH(baseData,Indicadores!A:A, 0)))</f>
        <v>784.33799999999997</v>
      </c>
      <c r="C29" s="389">
        <f>IF($A29&lt;=baseData, INDEX(Indicadores!E:E, MATCH($A29, Indicadores!A:A, 0)), INDEX(Indicadores!E:E, MATCH(baseData, Indicadores!A:A, 0)))</f>
        <v>5348.491325</v>
      </c>
      <c r="E29" s="397">
        <f t="shared" si="17"/>
        <v>960456.65</v>
      </c>
      <c r="F29" s="390">
        <f>IF($A29&lt;=baseData, -SUMIF('Fluxo Investidores'!$L29:$X29, "&lt;0", 'Fluxo Investidores'!$L29:$X29), 0)</f>
        <v>0</v>
      </c>
      <c r="G29" s="390">
        <f>IF($A29&lt;=baseData, -SUMIF('Fluxo Investidores'!$L29:$X29, "&gt;0", 'Fluxo Investidores'!$L29:$X29), 0)</f>
        <v>0</v>
      </c>
      <c r="H29" s="393"/>
      <c r="I29" s="390">
        <f t="shared" si="18"/>
        <v>0</v>
      </c>
      <c r="J29" s="398">
        <f>IF($A29&lt;=baseData, INDEX(Permutas!AC:AC, MATCH($A29, Permutas!N:N, 0)), 0)</f>
        <v>0</v>
      </c>
      <c r="L29" s="397">
        <f>IF(A29&lt;=baseData, N29-M29, -INDEX('Fluxo Projeto'!AQ:AQ, MATCH($A29, 'Fluxo Projeto'!A:A, 0))*(pctSCPequity+pctSCPpermuta))</f>
        <v>0</v>
      </c>
      <c r="M29" s="398">
        <f>IFERROR(INDEX(Permutas!AJ:AJ, MATCH('Fluxo Bandeira Co'!A29, Permutas!N:N, 0)), 0)</f>
        <v>0</v>
      </c>
      <c r="N29" s="393">
        <f>IF($A29&lt;=baseData,IFERROR(INDEX('LDI - Fluxo de Caixa'!$AP$161:$AP$374,MATCH($A29,'LDI - Fluxo de Caixa'!$C$161:$C$374,0)), 0),SUM(L29:M29))</f>
        <v>0</v>
      </c>
      <c r="P29" s="397">
        <f t="shared" si="19"/>
        <v>0</v>
      </c>
      <c r="Q29" s="398">
        <f t="shared" si="20"/>
        <v>0</v>
      </c>
      <c r="S29" s="392">
        <f>-420.86-12.73</f>
        <v>-433.59000000000003</v>
      </c>
      <c r="T29" s="425">
        <v>0</v>
      </c>
      <c r="U29" s="425">
        <v>0</v>
      </c>
      <c r="V29" s="425">
        <f>-28.27-10.02</f>
        <v>-38.29</v>
      </c>
      <c r="W29" s="425">
        <v>-33200.21</v>
      </c>
      <c r="X29" s="425">
        <v>0</v>
      </c>
      <c r="Y29" s="425">
        <v>-6533.04</v>
      </c>
      <c r="Z29" s="425">
        <f>-253-57-19.44-0.9-1.8-9.72-1.4</f>
        <v>-343.26</v>
      </c>
      <c r="AA29" s="425">
        <v>0</v>
      </c>
      <c r="AB29" s="393">
        <f t="shared" si="0"/>
        <v>-40548.39</v>
      </c>
      <c r="AD29" s="393">
        <f t="shared" si="1"/>
        <v>-40548.39</v>
      </c>
      <c r="AE29" s="390"/>
      <c r="AF29" s="399">
        <v>0</v>
      </c>
      <c r="AH29" s="393">
        <f t="shared" si="2"/>
        <v>919908.26</v>
      </c>
      <c r="AJ29" s="397">
        <f t="shared" si="3"/>
        <v>0</v>
      </c>
      <c r="AK29" s="390">
        <f>IF($A29&gt;baseData, INDEX(Permutas!AC:AC, MATCH('Fluxo Bandeira Co'!A29, Permutas!N:N, 0)), 0)</f>
        <v>0</v>
      </c>
      <c r="AL29" s="398">
        <f t="shared" si="4"/>
        <v>0</v>
      </c>
      <c r="AN29" s="393">
        <f t="shared" si="5"/>
        <v>919908.26</v>
      </c>
      <c r="AP29" s="399">
        <v>922309.13</v>
      </c>
      <c r="AR29" s="397">
        <f t="shared" si="7"/>
        <v>0</v>
      </c>
      <c r="AS29" s="398">
        <f t="shared" si="13"/>
        <v>-26204503.64686675</v>
      </c>
      <c r="AU29" s="393">
        <f t="shared" si="8"/>
        <v>0</v>
      </c>
      <c r="AW29" s="397">
        <f t="shared" si="14"/>
        <v>-28466391.348522395</v>
      </c>
      <c r="AX29" s="390">
        <f t="shared" si="15"/>
        <v>0</v>
      </c>
      <c r="AY29" s="390">
        <f t="shared" si="9"/>
        <v>0</v>
      </c>
      <c r="AZ29" s="390">
        <f t="shared" si="10"/>
        <v>0</v>
      </c>
      <c r="BA29" s="398">
        <f t="shared" si="16"/>
        <v>-26204503.64686675</v>
      </c>
      <c r="BC29" s="393">
        <f t="shared" si="11"/>
        <v>0</v>
      </c>
    </row>
    <row r="30" spans="1:55" x14ac:dyDescent="0.25">
      <c r="A30" s="197">
        <f t="shared" si="12"/>
        <v>43922</v>
      </c>
      <c r="B30" s="388">
        <f>IF($A30&lt;=baseData, INDEX(Indicadores!B:B, MATCH($A30,Indicadores!A:A, 0)), INDEX(Indicadores!B:B, MATCH(baseData,Indicadores!A:A, 0)))</f>
        <v>786.07</v>
      </c>
      <c r="C30" s="389">
        <f>IF($A30&lt;=baseData, INDEX(Indicadores!E:E, MATCH($A30, Indicadores!A:A, 0)), INDEX(Indicadores!E:E, MATCH(baseData, Indicadores!A:A, 0)))</f>
        <v>5331.9110018925003</v>
      </c>
      <c r="E30" s="397">
        <f t="shared" si="17"/>
        <v>922309.13</v>
      </c>
      <c r="F30" s="390">
        <f>IF($A30&lt;=baseData, -SUMIF('Fluxo Investidores'!$L30:$X30, "&lt;0", 'Fluxo Investidores'!$L30:$X30), 0)</f>
        <v>0</v>
      </c>
      <c r="G30" s="390">
        <f>IF($A30&lt;=baseData, -SUMIF('Fluxo Investidores'!$L30:$X30, "&gt;0", 'Fluxo Investidores'!$L30:$X30), 0)</f>
        <v>0</v>
      </c>
      <c r="H30" s="393"/>
      <c r="I30" s="390">
        <f t="shared" si="18"/>
        <v>0</v>
      </c>
      <c r="J30" s="398">
        <f>IF($A30&lt;=baseData, INDEX(Permutas!AC:AC, MATCH($A30, Permutas!N:N, 0)), 0)</f>
        <v>0</v>
      </c>
      <c r="L30" s="397">
        <f>IF(A30&lt;=baseData, N30-M30, -INDEX('Fluxo Projeto'!AQ:AQ, MATCH($A30, 'Fluxo Projeto'!A:A, 0))*(pctSCPequity+pctSCPpermuta))</f>
        <v>0</v>
      </c>
      <c r="M30" s="398">
        <f>IFERROR(INDEX(Permutas!AJ:AJ, MATCH('Fluxo Bandeira Co'!A30, Permutas!N:N, 0)), 0)</f>
        <v>0</v>
      </c>
      <c r="N30" s="393">
        <f>IF($A30&lt;=baseData,IFERROR(INDEX('LDI - Fluxo de Caixa'!$AP$161:$AP$374,MATCH($A30,'LDI - Fluxo de Caixa'!$C$161:$C$374,0)), 0),SUM(L30:M30))</f>
        <v>0</v>
      </c>
      <c r="P30" s="397">
        <f t="shared" si="19"/>
        <v>0</v>
      </c>
      <c r="Q30" s="398">
        <f t="shared" si="20"/>
        <v>0</v>
      </c>
      <c r="S30" s="392">
        <v>-69.7</v>
      </c>
      <c r="T30" s="425">
        <v>0</v>
      </c>
      <c r="U30" s="425">
        <v>0</v>
      </c>
      <c r="V30" s="425">
        <v>0</v>
      </c>
      <c r="W30" s="425">
        <v>-40578.04</v>
      </c>
      <c r="X30" s="425">
        <v>0</v>
      </c>
      <c r="Y30" s="425">
        <f>-6100.25-432.79</f>
        <v>-6533.04</v>
      </c>
      <c r="Z30" s="425">
        <f>-57-0.9-0.9-0.9</f>
        <v>-59.699999999999996</v>
      </c>
      <c r="AA30" s="425">
        <v>0</v>
      </c>
      <c r="AB30" s="393">
        <f t="shared" si="0"/>
        <v>-47240.479999999996</v>
      </c>
      <c r="AD30" s="393">
        <f t="shared" si="1"/>
        <v>-47240.479999999996</v>
      </c>
      <c r="AE30" s="390"/>
      <c r="AF30" s="399">
        <v>0</v>
      </c>
      <c r="AH30" s="393">
        <f t="shared" si="2"/>
        <v>875068.65</v>
      </c>
      <c r="AJ30" s="397">
        <f t="shared" si="3"/>
        <v>0</v>
      </c>
      <c r="AK30" s="390">
        <f>IF($A30&gt;baseData, INDEX(Permutas!AC:AC, MATCH('Fluxo Bandeira Co'!A30, Permutas!N:N, 0)), 0)</f>
        <v>0</v>
      </c>
      <c r="AL30" s="398">
        <f t="shared" si="4"/>
        <v>0</v>
      </c>
      <c r="AN30" s="393">
        <f t="shared" si="5"/>
        <v>875068.65</v>
      </c>
      <c r="AP30" s="399">
        <v>876551.8</v>
      </c>
      <c r="AR30" s="397">
        <f t="shared" si="7"/>
        <v>0</v>
      </c>
      <c r="AS30" s="398">
        <f t="shared" si="13"/>
        <v>-26204503.64686675</v>
      </c>
      <c r="AU30" s="393">
        <f t="shared" si="8"/>
        <v>0</v>
      </c>
      <c r="AW30" s="397">
        <f t="shared" si="14"/>
        <v>-28604952.947824173</v>
      </c>
      <c r="AX30" s="390">
        <f t="shared" si="15"/>
        <v>0</v>
      </c>
      <c r="AY30" s="390">
        <f t="shared" si="9"/>
        <v>0</v>
      </c>
      <c r="AZ30" s="390">
        <f t="shared" si="10"/>
        <v>0</v>
      </c>
      <c r="BA30" s="398">
        <f t="shared" si="16"/>
        <v>-26204503.64686675</v>
      </c>
      <c r="BC30" s="393">
        <f t="shared" si="11"/>
        <v>0</v>
      </c>
    </row>
    <row r="31" spans="1:55" x14ac:dyDescent="0.25">
      <c r="A31" s="197">
        <f t="shared" si="12"/>
        <v>43952</v>
      </c>
      <c r="B31" s="388">
        <f>IF($A31&lt;=baseData, INDEX(Indicadores!B:B, MATCH($A31,Indicadores!A:A, 0)), INDEX(Indicadores!B:B, MATCH(baseData,Indicadores!A:A, 0)))</f>
        <v>787.66600000000005</v>
      </c>
      <c r="C31" s="389">
        <f>IF($A31&lt;=baseData, INDEX(Indicadores!E:E, MATCH($A31, Indicadores!A:A, 0)), INDEX(Indicadores!E:E, MATCH(baseData, Indicadores!A:A, 0)))</f>
        <v>5311.6497400853086</v>
      </c>
      <c r="E31" s="397">
        <f t="shared" si="17"/>
        <v>876551.8</v>
      </c>
      <c r="F31" s="390">
        <f>IF($A31&lt;=baseData, -SUMIF('Fluxo Investidores'!$L31:$X31, "&lt;0", 'Fluxo Investidores'!$L31:$X31), 0)</f>
        <v>0</v>
      </c>
      <c r="G31" s="390">
        <f>IF($A31&lt;=baseData, -SUMIF('Fluxo Investidores'!$L31:$X31, "&gt;0", 'Fluxo Investidores'!$L31:$X31), 0)</f>
        <v>0</v>
      </c>
      <c r="H31" s="393"/>
      <c r="I31" s="390">
        <f t="shared" si="18"/>
        <v>0</v>
      </c>
      <c r="J31" s="398">
        <f>IF($A31&lt;=baseData, INDEX(Permutas!AC:AC, MATCH($A31, Permutas!N:N, 0)), 0)</f>
        <v>0</v>
      </c>
      <c r="L31" s="397">
        <f>IF(A31&lt;=baseData, N31-M31, -INDEX('Fluxo Projeto'!AQ:AQ, MATCH($A31, 'Fluxo Projeto'!A:A, 0))*(pctSCPequity+pctSCPpermuta))</f>
        <v>216000</v>
      </c>
      <c r="M31" s="398">
        <f>IFERROR(INDEX(Permutas!AJ:AJ, MATCH('Fluxo Bandeira Co'!A31, Permutas!N:N, 0)), 0)</f>
        <v>0</v>
      </c>
      <c r="N31" s="393">
        <f>IF($A31&lt;=baseData,IFERROR(INDEX('LDI - Fluxo de Caixa'!$AP$161:$AP$374,MATCH($A31,'LDI - Fluxo de Caixa'!$C$161:$C$374,0)), 0),SUM(L31:M31))</f>
        <v>216000</v>
      </c>
      <c r="P31" s="397">
        <f t="shared" si="19"/>
        <v>-216000</v>
      </c>
      <c r="Q31" s="398">
        <f t="shared" si="20"/>
        <v>-223111.15717147547</v>
      </c>
      <c r="S31" s="392">
        <v>-420.86</v>
      </c>
      <c r="T31" s="425">
        <v>0</v>
      </c>
      <c r="U31" s="425">
        <v>0</v>
      </c>
      <c r="V31" s="425">
        <v>0</v>
      </c>
      <c r="W31" s="425">
        <v>-36889.129999999997</v>
      </c>
      <c r="X31" s="425">
        <v>0</v>
      </c>
      <c r="Y31" s="425">
        <f>-7009.79-2346.25</f>
        <v>-9356.0400000000009</v>
      </c>
      <c r="Z31" s="425">
        <f>-57-0.9-2.7-0.9-0.9</f>
        <v>-62.4</v>
      </c>
      <c r="AA31" s="425">
        <v>0</v>
      </c>
      <c r="AB31" s="393">
        <f t="shared" si="0"/>
        <v>-46728.43</v>
      </c>
      <c r="AD31" s="393">
        <f t="shared" si="1"/>
        <v>-262728.43</v>
      </c>
      <c r="AE31" s="390"/>
      <c r="AF31" s="399">
        <v>1896.21</v>
      </c>
      <c r="AH31" s="393">
        <f t="shared" si="2"/>
        <v>615719.58000000007</v>
      </c>
      <c r="AJ31" s="397">
        <f t="shared" si="3"/>
        <v>0</v>
      </c>
      <c r="AK31" s="390">
        <f>IF($A31&gt;baseData, INDEX(Permutas!AC:AC, MATCH('Fluxo Bandeira Co'!A31, Permutas!N:N, 0)), 0)</f>
        <v>0</v>
      </c>
      <c r="AL31" s="398">
        <f t="shared" si="4"/>
        <v>0</v>
      </c>
      <c r="AN31" s="393">
        <f t="shared" si="5"/>
        <v>615719.58000000007</v>
      </c>
      <c r="AP31" s="399">
        <v>615296.14</v>
      </c>
      <c r="AR31" s="397">
        <f t="shared" si="7"/>
        <v>0</v>
      </c>
      <c r="AS31" s="398">
        <f t="shared" si="13"/>
        <v>-26204503.64686675</v>
      </c>
      <c r="AU31" s="393">
        <f t="shared" si="8"/>
        <v>0</v>
      </c>
      <c r="AW31" s="397">
        <f t="shared" si="14"/>
        <v>-28744189.002716966</v>
      </c>
      <c r="AX31" s="390">
        <f t="shared" si="15"/>
        <v>0</v>
      </c>
      <c r="AY31" s="390">
        <f t="shared" si="9"/>
        <v>0</v>
      </c>
      <c r="AZ31" s="390">
        <f t="shared" si="10"/>
        <v>0</v>
      </c>
      <c r="BA31" s="398">
        <f t="shared" si="16"/>
        <v>-26204503.64686675</v>
      </c>
      <c r="BC31" s="393">
        <f t="shared" si="11"/>
        <v>0</v>
      </c>
    </row>
    <row r="32" spans="1:55" x14ac:dyDescent="0.25">
      <c r="A32" s="197">
        <f t="shared" si="12"/>
        <v>43983</v>
      </c>
      <c r="B32" s="388">
        <f>IF($A32&lt;=baseData, INDEX(Indicadores!B:B, MATCH($A32,Indicadores!A:A, 0)), INDEX(Indicadores!B:B, MATCH(baseData,Indicadores!A:A, 0)))</f>
        <v>790.33100000000002</v>
      </c>
      <c r="C32" s="389">
        <f>IF($A32&lt;=baseData, INDEX(Indicadores!E:E, MATCH($A32, Indicadores!A:A, 0)), INDEX(Indicadores!E:E, MATCH(baseData, Indicadores!A:A, 0)))</f>
        <v>5325.46</v>
      </c>
      <c r="E32" s="397">
        <f t="shared" si="17"/>
        <v>615296.14</v>
      </c>
      <c r="F32" s="390">
        <f>IF($A32&lt;=baseData, -SUMIF('Fluxo Investidores'!$L32:$X32, "&lt;0", 'Fluxo Investidores'!$L32:$X32), 0)</f>
        <v>0</v>
      </c>
      <c r="G32" s="390">
        <f>IF($A32&lt;=baseData, -SUMIF('Fluxo Investidores'!$L32:$X32, "&gt;0", 'Fluxo Investidores'!$L32:$X32), 0)</f>
        <v>0</v>
      </c>
      <c r="H32" s="393"/>
      <c r="I32" s="390">
        <f t="shared" si="18"/>
        <v>0</v>
      </c>
      <c r="J32" s="398">
        <f>IF($A32&lt;=baseData, INDEX(Permutas!AC:AC, MATCH($A32, Permutas!N:N, 0)), 0)</f>
        <v>0</v>
      </c>
      <c r="L32" s="397">
        <f>IF(A32&lt;=baseData, N32-M32, -INDEX('Fluxo Projeto'!AQ:AQ, MATCH($A32, 'Fluxo Projeto'!A:A, 0))*(pctSCPequity+pctSCPpermuta))</f>
        <v>72000</v>
      </c>
      <c r="M32" s="398">
        <f>IFERROR(INDEX(Permutas!AJ:AJ, MATCH('Fluxo Bandeira Co'!A32, Permutas!N:N, 0)), 0)</f>
        <v>0</v>
      </c>
      <c r="N32" s="393">
        <f>IF($A32&lt;=baseData,IFERROR(INDEX('LDI - Fluxo de Caixa'!$AP$161:$AP$374,MATCH($A32,'LDI - Fluxo de Caixa'!$C$161:$C$374,0)), 0),SUM(L32:M32))</f>
        <v>72000</v>
      </c>
      <c r="P32" s="397">
        <f t="shared" si="19"/>
        <v>-72000</v>
      </c>
      <c r="Q32" s="398">
        <f t="shared" si="20"/>
        <v>-74177.524570647423</v>
      </c>
      <c r="S32" s="392">
        <v>-597.86</v>
      </c>
      <c r="T32" s="425">
        <v>0</v>
      </c>
      <c r="U32" s="425">
        <v>0</v>
      </c>
      <c r="V32" s="425">
        <v>-1265.43</v>
      </c>
      <c r="W32" s="425">
        <v>-36889.129999999997</v>
      </c>
      <c r="X32" s="425">
        <v>0</v>
      </c>
      <c r="Y32" s="425">
        <v>-9356.0400000000009</v>
      </c>
      <c r="Z32" s="425">
        <f>-57-3.6-0.9-0.9-0.9</f>
        <v>-63.3</v>
      </c>
      <c r="AA32" s="425">
        <v>0</v>
      </c>
      <c r="AB32" s="393">
        <f t="shared" si="0"/>
        <v>-48171.76</v>
      </c>
      <c r="AD32" s="393">
        <f t="shared" si="1"/>
        <v>-120171.76000000001</v>
      </c>
      <c r="AE32" s="390"/>
      <c r="AF32" s="399">
        <v>1200.25</v>
      </c>
      <c r="AH32" s="393">
        <f t="shared" si="2"/>
        <v>496324.63</v>
      </c>
      <c r="AJ32" s="397">
        <f t="shared" si="3"/>
        <v>0</v>
      </c>
      <c r="AK32" s="390">
        <f>IF($A32&gt;baseData, INDEX(Permutas!AC:AC, MATCH('Fluxo Bandeira Co'!A32, Permutas!N:N, 0)), 0)</f>
        <v>0</v>
      </c>
      <c r="AL32" s="398">
        <f t="shared" si="4"/>
        <v>0</v>
      </c>
      <c r="AN32" s="393">
        <f t="shared" si="5"/>
        <v>496324.63</v>
      </c>
      <c r="AP32" s="399">
        <v>496323.53</v>
      </c>
      <c r="AR32" s="397">
        <f t="shared" si="7"/>
        <v>0</v>
      </c>
      <c r="AS32" s="398">
        <f t="shared" si="13"/>
        <v>-26204503.64686675</v>
      </c>
      <c r="AU32" s="393">
        <f t="shared" si="8"/>
        <v>0</v>
      </c>
      <c r="AW32" s="397">
        <f t="shared" si="14"/>
        <v>-28884102.796147469</v>
      </c>
      <c r="AX32" s="390">
        <f t="shared" si="15"/>
        <v>0</v>
      </c>
      <c r="AY32" s="390">
        <f t="shared" si="9"/>
        <v>0</v>
      </c>
      <c r="AZ32" s="390">
        <f t="shared" si="10"/>
        <v>0</v>
      </c>
      <c r="BA32" s="398">
        <f t="shared" si="16"/>
        <v>-26204503.64686675</v>
      </c>
      <c r="BC32" s="393">
        <f t="shared" si="11"/>
        <v>0</v>
      </c>
    </row>
    <row r="33" spans="1:55" x14ac:dyDescent="0.25">
      <c r="A33" s="197">
        <f t="shared" si="12"/>
        <v>44013</v>
      </c>
      <c r="B33" s="388">
        <f>IF($A33&lt;=baseData, INDEX(Indicadores!B:B, MATCH($A33,Indicadores!A:A, 0)), INDEX(Indicadores!B:B, MATCH(baseData,Indicadores!A:A, 0)))</f>
        <v>799.58900000000006</v>
      </c>
      <c r="C33" s="389">
        <f>IF($A33&lt;=baseData, INDEX(Indicadores!E:E, MATCH($A33, Indicadores!A:A, 0)), INDEX(Indicadores!E:E, MATCH(baseData, Indicadores!A:A, 0)))</f>
        <v>5344.63</v>
      </c>
      <c r="E33" s="397">
        <f t="shared" si="17"/>
        <v>496323.53</v>
      </c>
      <c r="F33" s="390">
        <f>IF($A33&lt;=baseData, -SUMIF('Fluxo Investidores'!$L33:$X33, "&lt;0", 'Fluxo Investidores'!$L33:$X33), 0)</f>
        <v>0</v>
      </c>
      <c r="G33" s="390">
        <f>IF($A33&lt;=baseData, -SUMIF('Fluxo Investidores'!$L33:$X33, "&gt;0", 'Fluxo Investidores'!$L33:$X33), 0)</f>
        <v>0</v>
      </c>
      <c r="H33" s="393"/>
      <c r="I33" s="390">
        <f t="shared" si="18"/>
        <v>0</v>
      </c>
      <c r="J33" s="398">
        <f>IF($A33&lt;=baseData, INDEX(Permutas!AC:AC, MATCH($A33, Permutas!N:N, 0)), 0)</f>
        <v>0</v>
      </c>
      <c r="L33" s="397">
        <f>IF(A33&lt;=baseData, N33-M33, -INDEX('Fluxo Projeto'!AQ:AQ, MATCH($A33, 'Fluxo Projeto'!A:A, 0))*(pctSCPequity+pctSCPpermuta))</f>
        <v>0</v>
      </c>
      <c r="M33" s="398">
        <f>IFERROR(INDEX(Permutas!AJ:AJ, MATCH('Fluxo Bandeira Co'!A33, Permutas!N:N, 0)), 0)</f>
        <v>0</v>
      </c>
      <c r="N33" s="393">
        <f>IF($A33&lt;=baseData,IFERROR(INDEX('LDI - Fluxo de Caixa'!$AP$161:$AP$374,MATCH($A33,'LDI - Fluxo de Caixa'!$C$161:$C$374,0)), 0),SUM(L33:M33))</f>
        <v>0</v>
      </c>
      <c r="P33" s="397">
        <f t="shared" si="19"/>
        <v>0</v>
      </c>
      <c r="Q33" s="398">
        <f t="shared" si="20"/>
        <v>0</v>
      </c>
      <c r="S33" s="392">
        <f>-169.84-680.78-942.54</f>
        <v>-1793.1599999999999</v>
      </c>
      <c r="T33" s="425">
        <v>-44109.5</v>
      </c>
      <c r="U33" s="425">
        <v>0</v>
      </c>
      <c r="V33" s="425">
        <v>0</v>
      </c>
      <c r="W33" s="425">
        <v>-38733.58</v>
      </c>
      <c r="X33" s="425">
        <v>0</v>
      </c>
      <c r="Y33" s="425">
        <f>-476.75-9356.04</f>
        <v>-9832.7900000000009</v>
      </c>
      <c r="Z33" s="425">
        <f>-0.9-57-0.9-3.6-0.9-1.4-232</f>
        <v>-296.7</v>
      </c>
      <c r="AA33" s="425">
        <v>0</v>
      </c>
      <c r="AB33" s="393">
        <f t="shared" si="0"/>
        <v>-94765.73</v>
      </c>
      <c r="AD33" s="393">
        <f t="shared" si="1"/>
        <v>-94765.73</v>
      </c>
      <c r="AE33" s="390"/>
      <c r="AF33" s="399">
        <v>874.84</v>
      </c>
      <c r="AH33" s="393">
        <f t="shared" si="2"/>
        <v>402432.64000000007</v>
      </c>
      <c r="AJ33" s="397">
        <f t="shared" si="3"/>
        <v>0</v>
      </c>
      <c r="AK33" s="390">
        <f>IF($A33&gt;baseData, INDEX(Permutas!AC:AC, MATCH('Fluxo Bandeira Co'!A33, Permutas!N:N, 0)), 0)</f>
        <v>0</v>
      </c>
      <c r="AL33" s="398">
        <f t="shared" si="4"/>
        <v>0</v>
      </c>
      <c r="AN33" s="393">
        <f t="shared" si="5"/>
        <v>402432.64000000007</v>
      </c>
      <c r="AP33" s="399">
        <v>402290.78</v>
      </c>
      <c r="AR33" s="397">
        <f t="shared" si="7"/>
        <v>0</v>
      </c>
      <c r="AS33" s="398">
        <f t="shared" si="13"/>
        <v>-26204503.64686675</v>
      </c>
      <c r="AU33" s="393">
        <f t="shared" si="8"/>
        <v>0</v>
      </c>
      <c r="AW33" s="397">
        <f t="shared" si="14"/>
        <v>-29024697.627042282</v>
      </c>
      <c r="AX33" s="390">
        <f t="shared" si="15"/>
        <v>0</v>
      </c>
      <c r="AY33" s="390">
        <f t="shared" si="9"/>
        <v>0</v>
      </c>
      <c r="AZ33" s="390">
        <f t="shared" si="10"/>
        <v>0</v>
      </c>
      <c r="BA33" s="398">
        <f t="shared" si="16"/>
        <v>-26204503.64686675</v>
      </c>
      <c r="BC33" s="393">
        <f t="shared" si="11"/>
        <v>0</v>
      </c>
    </row>
    <row r="34" spans="1:55" x14ac:dyDescent="0.25">
      <c r="A34" s="197">
        <f t="shared" si="12"/>
        <v>44044</v>
      </c>
      <c r="B34" s="388">
        <f>IF($A34&lt;=baseData, INDEX(Indicadores!B:B, MATCH($A34,Indicadores!A:A, 0)), INDEX(Indicadores!B:B, MATCH(baseData,Indicadores!A:A, 0)))</f>
        <v>805.35599999999999</v>
      </c>
      <c r="C34" s="389">
        <f>IF($A34&lt;=baseData, INDEX(Indicadores!E:E, MATCH($A34, Indicadores!A:A, 0)), INDEX(Indicadores!E:E, MATCH(baseData, Indicadores!A:A, 0)))</f>
        <v>5357.46</v>
      </c>
      <c r="E34" s="397">
        <f t="shared" si="17"/>
        <v>402290.78</v>
      </c>
      <c r="F34" s="390">
        <f>IF($A34&lt;=baseData, -SUMIF('Fluxo Investidores'!$L34:$X34, "&lt;0", 'Fluxo Investidores'!$L34:$X34), 0)</f>
        <v>0</v>
      </c>
      <c r="G34" s="390">
        <f>IF($A34&lt;=baseData, -SUMIF('Fluxo Investidores'!$L34:$X34, "&gt;0", 'Fluxo Investidores'!$L34:$X34), 0)</f>
        <v>0</v>
      </c>
      <c r="H34" s="393"/>
      <c r="I34" s="390">
        <f t="shared" si="18"/>
        <v>0</v>
      </c>
      <c r="J34" s="398">
        <f>IF($A34&lt;=baseData, INDEX(Permutas!AC:AC, MATCH($A34, Permutas!N:N, 0)), 0)</f>
        <v>0</v>
      </c>
      <c r="L34" s="397">
        <f>IF(A34&lt;=baseData, N34-M34, -INDEX('Fluxo Projeto'!AQ:AQ, MATCH($A34, 'Fluxo Projeto'!A:A, 0))*(pctSCPequity+pctSCPpermuta))</f>
        <v>0</v>
      </c>
      <c r="M34" s="398">
        <f>IFERROR(INDEX(Permutas!AJ:AJ, MATCH('Fluxo Bandeira Co'!A34, Permutas!N:N, 0)), 0)</f>
        <v>0</v>
      </c>
      <c r="N34" s="393">
        <f>IF($A34&lt;=baseData,IFERROR(INDEX('LDI - Fluxo de Caixa'!$AP$161:$AP$374,MATCH($A34,'LDI - Fluxo de Caixa'!$C$161:$C$374,0)), 0),SUM(L34:M34))</f>
        <v>0</v>
      </c>
      <c r="P34" s="397">
        <f t="shared" si="19"/>
        <v>0</v>
      </c>
      <c r="Q34" s="398">
        <f t="shared" si="20"/>
        <v>0</v>
      </c>
      <c r="S34" s="392">
        <v>-3591.96</v>
      </c>
      <c r="T34" s="425">
        <f>-412.51-425.91</f>
        <v>-838.42000000000007</v>
      </c>
      <c r="U34" s="425">
        <v>0</v>
      </c>
      <c r="V34" s="425">
        <f>-1898.92-2252.4</f>
        <v>-4151.32</v>
      </c>
      <c r="W34" s="425">
        <v>-42422.49</v>
      </c>
      <c r="X34" s="425">
        <v>0</v>
      </c>
      <c r="Y34" s="425">
        <v>-7009.79</v>
      </c>
      <c r="Z34" s="425">
        <f>-57-0.9-2.7-0.9-1.8-1010-0.9-0.9</f>
        <v>-1075.1000000000001</v>
      </c>
      <c r="AA34" s="425">
        <v>0</v>
      </c>
      <c r="AB34" s="393">
        <f t="shared" ref="AB34:AB65" si="22">SUM(S34:AA34)</f>
        <v>-59089.08</v>
      </c>
      <c r="AD34" s="393">
        <f t="shared" ref="AD34:AD65" si="23">P34+AB34</f>
        <v>-59089.08</v>
      </c>
      <c r="AE34" s="390"/>
      <c r="AF34" s="399">
        <v>89.916186702400736</v>
      </c>
      <c r="AH34" s="393">
        <f t="shared" ref="AH34:AH65" si="24">E34+AD34+AF34</f>
        <v>343291.61618670239</v>
      </c>
      <c r="AJ34" s="397">
        <f t="shared" ref="AJ34:AJ65" si="25">IF(AND($A34&gt;baseData, $A34&lt;inicioDistribuicoes), IF(IF($L34&lt;0, $L34+IF($A34&lt;=entrega, IF(AH34&lt;cxMinHoldingPreObra, cxMinHoldingPreObra-AH34-N34, 0), IF(AH34&lt;cxMinHoldingPosObra, cxMinHoldingPosObra-AH34-N34, 0)), 0)&lt;&gt;0, IF($L34&lt;0, $L34+IF($A34&lt;=entrega, IF(AH34&lt;cxMinHoldingPreObra, cxMinHoldingPreObra-AH34-N34, 0), IF(AH34&lt;cxMinHoldingPosObra, cxMinHoldingPosObra-AH34-N34, 0)), 0),IF(AND(AH34&lt;0, AK34=0), IF($A34&lt;=entrega, cxMinHoldingPreObra-AH34, cxMinHoldingPosObra-AH34), IF(AND(AK34&lt;&gt;0, AK34+AH34+SUM(AD35:AD46)+SUM(N35:N46)&lt;0), MAX(IF($A34&lt;=entrega, cxMinHoldingPreObra, cxMinHoldingPosObra)-(AK34+AH34), -(AK34+AH34+SUM(AD35:AD46)+SUM(N35:N46))), 0))), 0)</f>
        <v>0</v>
      </c>
      <c r="AK34" s="390">
        <f>IF($A34&gt;baseData, INDEX(Permutas!AC:AC, MATCH('Fluxo Bandeira Co'!A34, Permutas!N:N, 0)), 0)</f>
        <v>0</v>
      </c>
      <c r="AL34" s="398">
        <f t="shared" si="4"/>
        <v>0</v>
      </c>
      <c r="AN34" s="393">
        <f t="shared" ref="AN34:AN65" si="26">AH34+AJ34+AK34+AL34</f>
        <v>343291.61618670239</v>
      </c>
      <c r="AP34" s="399">
        <v>343594.05</v>
      </c>
      <c r="AR34" s="397">
        <f t="shared" ref="AR34:AR65" si="27">-(I34+G34+AJ34+AL34)</f>
        <v>0</v>
      </c>
      <c r="AS34" s="398">
        <f t="shared" si="13"/>
        <v>-26204503.64686675</v>
      </c>
      <c r="AU34" s="393">
        <f t="shared" ref="AU34:AU65" si="28">AR34*IF(A34&gt;baseData,1,ipcaData/C34)</f>
        <v>0</v>
      </c>
      <c r="AW34" s="397">
        <f t="shared" si="14"/>
        <v>-29165976.810385704</v>
      </c>
      <c r="AX34" s="390">
        <f t="shared" si="15"/>
        <v>0</v>
      </c>
      <c r="AY34" s="390">
        <f t="shared" ref="AY34:AY65" si="29">txPerformance*AX34</f>
        <v>0</v>
      </c>
      <c r="AZ34" s="390">
        <f t="shared" ref="AZ34:AZ65" si="30">AR34-AY34</f>
        <v>0</v>
      </c>
      <c r="BA34" s="398">
        <f t="shared" si="16"/>
        <v>-26204503.64686675</v>
      </c>
      <c r="BC34" s="393">
        <f t="shared" ref="BC34:BC65" si="31">AU34-AY34</f>
        <v>0</v>
      </c>
    </row>
    <row r="35" spans="1:55" x14ac:dyDescent="0.25">
      <c r="A35" s="197">
        <f t="shared" ref="A35:A66" si="32">DATE(YEAR(A34),MONTH(A34)+1,1)</f>
        <v>44075</v>
      </c>
      <c r="B35" s="388">
        <f>IF($A35&lt;=baseData, INDEX(Indicadores!B:B, MATCH($A35,Indicadores!A:A, 0)), INDEX(Indicadores!B:B, MATCH(baseData,Indicadores!A:A, 0)))</f>
        <v>814.70100000000002</v>
      </c>
      <c r="C35" s="389">
        <f>IF($A35&lt;=baseData, INDEX(Indicadores!E:E, MATCH($A35, Indicadores!A:A, 0)), INDEX(Indicadores!E:E, MATCH(baseData, Indicadores!A:A, 0)))</f>
        <v>5391.75</v>
      </c>
      <c r="E35" s="397">
        <f t="shared" si="17"/>
        <v>343594.05</v>
      </c>
      <c r="F35" s="390">
        <f>IF($A35&lt;=baseData, -SUMIF('Fluxo Investidores'!$L35:$X35, "&lt;0", 'Fluxo Investidores'!$L35:$X35), 0)</f>
        <v>0</v>
      </c>
      <c r="G35" s="390">
        <f>IF($A35&lt;=baseData, -SUMIF('Fluxo Investidores'!$L35:$X35, "&gt;0", 'Fluxo Investidores'!$L35:$X35), 0)</f>
        <v>0</v>
      </c>
      <c r="H35" s="393"/>
      <c r="I35" s="390">
        <f t="shared" si="18"/>
        <v>0</v>
      </c>
      <c r="J35" s="398">
        <f>IF($A35&lt;=baseData, INDEX(Permutas!AC:AC, MATCH($A35, Permutas!N:N, 0)), 0)</f>
        <v>0</v>
      </c>
      <c r="L35" s="397">
        <f>IF(A35&lt;=baseData, N35-M35, -INDEX('Fluxo Projeto'!AQ:AQ, MATCH($A35, 'Fluxo Projeto'!A:A, 0))*(pctSCPequity+pctSCPpermuta))</f>
        <v>0</v>
      </c>
      <c r="M35" s="398">
        <f>IFERROR(INDEX(Permutas!AJ:AJ, MATCH('Fluxo Bandeira Co'!A35, Permutas!N:N, 0)), 0)</f>
        <v>0</v>
      </c>
      <c r="N35" s="393">
        <f>IF($A35&lt;=baseData,IFERROR(INDEX('LDI - Fluxo de Caixa'!$AP$161:$AP$374,MATCH($A35,'LDI - Fluxo de Caixa'!$C$161:$C$374,0)), 0),SUM(L35:M35))</f>
        <v>0</v>
      </c>
      <c r="P35" s="397">
        <f t="shared" si="19"/>
        <v>0</v>
      </c>
      <c r="Q35" s="398">
        <f t="shared" si="20"/>
        <v>0</v>
      </c>
      <c r="S35" s="392">
        <v>-740.73</v>
      </c>
      <c r="T35" s="425">
        <f>-403.66-1198.18</f>
        <v>-1601.8400000000001</v>
      </c>
      <c r="U35" s="425">
        <v>0</v>
      </c>
      <c r="V35" s="425">
        <v>0</v>
      </c>
      <c r="W35" s="425">
        <v>-38733.579999999987</v>
      </c>
      <c r="X35" s="425">
        <v>-210620.67</v>
      </c>
      <c r="Y35" s="425">
        <f>-474.48-7009.79</f>
        <v>-7484.27</v>
      </c>
      <c r="Z35" s="425">
        <f>-57-0.9-2.7-0.9-1.8</f>
        <v>-63.3</v>
      </c>
      <c r="AA35" s="425">
        <v>0</v>
      </c>
      <c r="AB35" s="393">
        <f t="shared" si="22"/>
        <v>-259244.38999999998</v>
      </c>
      <c r="AD35" s="393">
        <f t="shared" si="23"/>
        <v>-259244.38999999998</v>
      </c>
      <c r="AE35" s="390"/>
      <c r="AF35" s="399">
        <v>383.68</v>
      </c>
      <c r="AH35" s="393">
        <f t="shared" si="24"/>
        <v>84733.34</v>
      </c>
      <c r="AJ35" s="397">
        <f t="shared" si="25"/>
        <v>0</v>
      </c>
      <c r="AK35" s="390">
        <f>IF($A35&gt;baseData, INDEX(Permutas!AC:AC, MATCH('Fluxo Bandeira Co'!A35, Permutas!N:N, 0)), 0)</f>
        <v>0</v>
      </c>
      <c r="AL35" s="398">
        <f t="shared" si="4"/>
        <v>0</v>
      </c>
      <c r="AN35" s="393">
        <f t="shared" si="26"/>
        <v>84733.34</v>
      </c>
      <c r="AP35" s="399">
        <v>83579.62</v>
      </c>
      <c r="AR35" s="397">
        <f t="shared" si="27"/>
        <v>0</v>
      </c>
      <c r="AS35" s="398">
        <f t="shared" ref="AS35:AS66" si="33">+AS34+AR35</f>
        <v>-26204503.64686675</v>
      </c>
      <c r="AU35" s="393">
        <f t="shared" si="28"/>
        <v>0</v>
      </c>
      <c r="AW35" s="397">
        <f t="shared" ref="AW35:AW66" si="34">IF(A35&lt;=terminoProjeto, (AW34*(1+hurdle)^(1/12))+AU35, 0)</f>
        <v>-29307943.677297879</v>
      </c>
      <c r="AX35" s="390">
        <f t="shared" ref="AX35:AX66" si="35">IF(AW35&gt;0, IF(AW34&lt;0, AW35, AU35), 0)</f>
        <v>0</v>
      </c>
      <c r="AY35" s="390">
        <f t="shared" si="29"/>
        <v>0</v>
      </c>
      <c r="AZ35" s="390">
        <f t="shared" si="30"/>
        <v>0</v>
      </c>
      <c r="BA35" s="398">
        <f t="shared" ref="BA35:BA66" si="36">+BA34+AZ35</f>
        <v>-26204503.64686675</v>
      </c>
      <c r="BC35" s="393">
        <f t="shared" si="31"/>
        <v>0</v>
      </c>
    </row>
    <row r="36" spans="1:55" x14ac:dyDescent="0.25">
      <c r="A36" s="197">
        <f t="shared" si="32"/>
        <v>44105</v>
      </c>
      <c r="B36" s="388">
        <f>IF($A36&lt;=baseData, INDEX(Indicadores!B:B, MATCH($A36,Indicadores!A:A, 0)), INDEX(Indicadores!B:B, MATCH(baseData,Indicadores!A:A, 0)))</f>
        <v>828.77800000000002</v>
      </c>
      <c r="C36" s="389">
        <f>IF($A36&lt;=baseData, INDEX(Indicadores!E:E, MATCH($A36, Indicadores!A:A, 0)), INDEX(Indicadores!E:E, MATCH(baseData, Indicadores!A:A, 0)))</f>
        <v>5438.12</v>
      </c>
      <c r="E36" s="397">
        <f t="shared" si="17"/>
        <v>83579.62</v>
      </c>
      <c r="F36" s="390">
        <f>IF($A36&lt;=baseData, -SUMIF('Fluxo Investidores'!$L36:$X36, "&lt;0", 'Fluxo Investidores'!$L36:$X36), 0)</f>
        <v>0</v>
      </c>
      <c r="G36" s="390">
        <f>IF($A36&lt;=baseData, -SUMIF('Fluxo Investidores'!$L36:$X36, "&gt;0", 'Fluxo Investidores'!$L36:$X36), 0)</f>
        <v>0</v>
      </c>
      <c r="H36" s="393"/>
      <c r="I36" s="390">
        <f t="shared" si="18"/>
        <v>0</v>
      </c>
      <c r="J36" s="398">
        <f>IF($A36&lt;=baseData, INDEX(Permutas!AC:AC, MATCH($A36, Permutas!N:N, 0)), 0)</f>
        <v>0</v>
      </c>
      <c r="L36" s="397">
        <f>IF(A36&lt;=baseData, N36-M36, -INDEX('Fluxo Projeto'!AQ:AQ, MATCH($A36, 'Fluxo Projeto'!A:A, 0))*(pctSCPequity+pctSCPpermuta))</f>
        <v>0</v>
      </c>
      <c r="M36" s="398">
        <f>IFERROR(INDEX(Permutas!AJ:AJ, MATCH('Fluxo Bandeira Co'!A36, Permutas!N:N, 0)), 0)</f>
        <v>0</v>
      </c>
      <c r="N36" s="393">
        <f>IF($A36&lt;=baseData,IFERROR(INDEX('LDI - Fluxo de Caixa'!$AP$161:$AP$374,MATCH($A36,'LDI - Fluxo de Caixa'!$C$161:$C$374,0)), 0),SUM(L36:M36))</f>
        <v>0</v>
      </c>
      <c r="P36" s="397">
        <f t="shared" si="19"/>
        <v>0</v>
      </c>
      <c r="Q36" s="398">
        <f t="shared" si="20"/>
        <v>0</v>
      </c>
      <c r="S36" s="392">
        <f>-534.19-793.65</f>
        <v>-1327.8400000000001</v>
      </c>
      <c r="T36" s="425">
        <v>0</v>
      </c>
      <c r="U36" s="425">
        <v>0</v>
      </c>
      <c r="V36" s="425">
        <v>-927.57</v>
      </c>
      <c r="W36" s="425">
        <v>0</v>
      </c>
      <c r="X36" s="425">
        <v>0</v>
      </c>
      <c r="Y36" s="425">
        <v>-7286.62</v>
      </c>
      <c r="Z36" s="425">
        <f>-57-3.6-1.8</f>
        <v>-62.4</v>
      </c>
      <c r="AA36" s="425">
        <v>0</v>
      </c>
      <c r="AB36" s="393">
        <f t="shared" si="22"/>
        <v>-9604.43</v>
      </c>
      <c r="AD36" s="393">
        <f t="shared" si="23"/>
        <v>-9604.43</v>
      </c>
      <c r="AE36" s="390"/>
      <c r="AF36" s="399">
        <v>0</v>
      </c>
      <c r="AH36" s="393">
        <f t="shared" si="24"/>
        <v>73975.19</v>
      </c>
      <c r="AJ36" s="397">
        <f t="shared" si="25"/>
        <v>0</v>
      </c>
      <c r="AK36" s="390">
        <f>IF($A36&gt;baseData, INDEX(Permutas!AC:AC, MATCH('Fluxo Bandeira Co'!A36, Permutas!N:N, 0)), 0)</f>
        <v>0</v>
      </c>
      <c r="AL36" s="398">
        <f t="shared" ref="AL36:AL67" si="37">IF(A36=terminoProjeto,-AH36,IF(A36&gt;=inicioDistribuicoes,IF(AH36&gt;cxMinHoldingPosObra,-AH36+cxMinHoldingPosObra,0),0))</f>
        <v>0</v>
      </c>
      <c r="AN36" s="393">
        <f t="shared" si="26"/>
        <v>73975.19</v>
      </c>
      <c r="AP36" s="399">
        <v>73861.77</v>
      </c>
      <c r="AR36" s="397">
        <f t="shared" si="27"/>
        <v>0</v>
      </c>
      <c r="AS36" s="398">
        <f t="shared" si="33"/>
        <v>-26204503.64686675</v>
      </c>
      <c r="AU36" s="393">
        <f t="shared" si="28"/>
        <v>0</v>
      </c>
      <c r="AW36" s="397">
        <f t="shared" si="34"/>
        <v>-29450601.575113352</v>
      </c>
      <c r="AX36" s="390">
        <f t="shared" si="35"/>
        <v>0</v>
      </c>
      <c r="AY36" s="390">
        <f t="shared" si="29"/>
        <v>0</v>
      </c>
      <c r="AZ36" s="390">
        <f t="shared" si="30"/>
        <v>0</v>
      </c>
      <c r="BA36" s="398">
        <f t="shared" si="36"/>
        <v>-26204503.64686675</v>
      </c>
      <c r="BC36" s="393">
        <f t="shared" si="31"/>
        <v>0</v>
      </c>
    </row>
    <row r="37" spans="1:55" x14ac:dyDescent="0.25">
      <c r="A37" s="198">
        <f t="shared" si="32"/>
        <v>44136</v>
      </c>
      <c r="B37" s="402">
        <f>IF($A37&lt;=baseData, INDEX(Indicadores!B:B, MATCH($A37,Indicadores!A:A, 0)), INDEX(Indicadores!B:B, MATCH(baseData,Indicadores!A:A, 0)))</f>
        <v>839.38199999999995</v>
      </c>
      <c r="C37" s="403">
        <f>IF($A37&lt;=baseData, INDEX(Indicadores!E:E, MATCH($A37, Indicadores!A:A, 0)), INDEX(Indicadores!E:E, MATCH(baseData, Indicadores!A:A, 0)))</f>
        <v>5486.52</v>
      </c>
      <c r="D37" s="404"/>
      <c r="E37" s="412">
        <f t="shared" si="17"/>
        <v>73861.77</v>
      </c>
      <c r="F37" s="409">
        <f>IF($A37&lt;=baseData, -SUMIF('Fluxo Investidores'!$L37:$X37, "&lt;0", 'Fluxo Investidores'!$L37:$X37), 0)</f>
        <v>4916349.99</v>
      </c>
      <c r="G37" s="409">
        <f>IF($A37&lt;=baseData, -SUMIF('Fluxo Investidores'!$L37:$X37, "&gt;0", 'Fluxo Investidores'!$L37:$X37), 0)</f>
        <v>0</v>
      </c>
      <c r="H37" s="405"/>
      <c r="I37" s="409">
        <f t="shared" si="18"/>
        <v>1732994.3307801546</v>
      </c>
      <c r="J37" s="413">
        <f>IF($A37&lt;=baseData, INDEX(Permutas!AC:AC, MATCH($A37, Permutas!N:N, 0)), 0)</f>
        <v>3183355.6592198457</v>
      </c>
      <c r="K37" s="404"/>
      <c r="L37" s="412">
        <f>IF(A37&lt;=baseData, N37-M37, -INDEX('Fluxo Projeto'!AQ:AQ, MATCH($A37, 'Fluxo Projeto'!A:A, 0))*(pctSCPequity+pctSCPpermuta))</f>
        <v>4.6566128730773926E-10</v>
      </c>
      <c r="M37" s="413">
        <f>IFERROR(INDEX(Permutas!AJ:AJ, MATCH('Fluxo Bandeira Co'!A37, Permutas!N:N, 0)), 0)</f>
        <v>3263661.4359717555</v>
      </c>
      <c r="N37" s="427">
        <v>3263661.435971756</v>
      </c>
      <c r="O37" s="404"/>
      <c r="P37" s="412">
        <f t="shared" si="19"/>
        <v>1652688.5540282442</v>
      </c>
      <c r="Q37" s="413">
        <f t="shared" si="20"/>
        <v>1652688.5540282442</v>
      </c>
      <c r="R37" s="404"/>
      <c r="S37" s="406">
        <v>-540.36</v>
      </c>
      <c r="T37" s="428">
        <v>0</v>
      </c>
      <c r="U37" s="428">
        <v>0</v>
      </c>
      <c r="V37" s="428">
        <v>-629.33000000000004</v>
      </c>
      <c r="W37" s="428">
        <f>-38733.58-38733.58</f>
        <v>-77467.16</v>
      </c>
      <c r="X37" s="428">
        <v>0</v>
      </c>
      <c r="Y37" s="428">
        <f>-238.37-3369.75-289.96-476.75-6739.49</f>
        <v>-11114.32</v>
      </c>
      <c r="Z37" s="428">
        <f>-0.9-57-0.9-1.8-0.9-0.9-1.8-0.9-0.9</f>
        <v>-66</v>
      </c>
      <c r="AA37" s="428">
        <v>-200000</v>
      </c>
      <c r="AB37" s="405">
        <f t="shared" si="22"/>
        <v>-289817.17000000004</v>
      </c>
      <c r="AC37" s="404"/>
      <c r="AD37" s="405">
        <f t="shared" si="23"/>
        <v>1362871.3840282443</v>
      </c>
      <c r="AE37" s="404"/>
      <c r="AF37" s="414">
        <v>0</v>
      </c>
      <c r="AG37" s="404"/>
      <c r="AH37" s="405">
        <f t="shared" si="24"/>
        <v>1436733.1540282443</v>
      </c>
      <c r="AI37" s="404"/>
      <c r="AJ37" s="412">
        <f t="shared" si="25"/>
        <v>0</v>
      </c>
      <c r="AK37" s="404">
        <f>IF($A37&gt;baseData, INDEX(Permutas!AC:AC, MATCH('Fluxo Bandeira Co'!A37, Permutas!N:N, 0)), 0)</f>
        <v>0</v>
      </c>
      <c r="AL37" s="413">
        <f t="shared" si="37"/>
        <v>0</v>
      </c>
      <c r="AM37" s="404"/>
      <c r="AN37" s="405">
        <f t="shared" si="26"/>
        <v>1436733.1540282443</v>
      </c>
      <c r="AO37" s="404"/>
      <c r="AP37" s="414">
        <f>4701208.06-3263661.43597176</f>
        <v>1437546.6240282394</v>
      </c>
      <c r="AQ37" s="404"/>
      <c r="AR37" s="412">
        <f t="shared" si="27"/>
        <v>-1732994.3307801546</v>
      </c>
      <c r="AS37" s="413">
        <f t="shared" si="33"/>
        <v>-27937497.977646906</v>
      </c>
      <c r="AT37" s="404"/>
      <c r="AU37" s="405">
        <f t="shared" si="28"/>
        <v>-1732994.3307801546</v>
      </c>
      <c r="AV37" s="404"/>
      <c r="AW37" s="412">
        <f t="shared" si="34"/>
        <v>-31326948.198240146</v>
      </c>
      <c r="AX37" s="404">
        <f t="shared" si="35"/>
        <v>0</v>
      </c>
      <c r="AY37" s="404">
        <f t="shared" si="29"/>
        <v>0</v>
      </c>
      <c r="AZ37" s="404">
        <f t="shared" si="30"/>
        <v>-1732994.3307801546</v>
      </c>
      <c r="BA37" s="413">
        <f t="shared" si="36"/>
        <v>-27937497.977646906</v>
      </c>
      <c r="BB37" s="404"/>
      <c r="BC37" s="405">
        <f t="shared" si="31"/>
        <v>-1732994.3307801546</v>
      </c>
    </row>
    <row r="38" spans="1:55" x14ac:dyDescent="0.25">
      <c r="A38" s="197">
        <f t="shared" si="32"/>
        <v>44166</v>
      </c>
      <c r="B38" s="388">
        <f>IF($A38&lt;=baseData, INDEX(Indicadores!B:B, MATCH($A38,Indicadores!A:A, 0)), INDEX(Indicadores!B:B, MATCH(baseData,Indicadores!A:A, 0)))</f>
        <v>839.38199999999995</v>
      </c>
      <c r="C38" s="389">
        <f>IF($A38&lt;=baseData, INDEX(Indicadores!E:E, MATCH($A38, Indicadores!A:A, 0)), INDEX(Indicadores!E:E, MATCH(baseData, Indicadores!A:A, 0)))</f>
        <v>5486.52</v>
      </c>
      <c r="E38" s="397">
        <f t="shared" si="17"/>
        <v>1437546.6240282394</v>
      </c>
      <c r="F38" s="390">
        <f>IF($A38&lt;=baseData, -SUMIF('Fluxo Investidores'!$L38:$X38, "&lt;0", 'Fluxo Investidores'!$L38:$X38), 0)</f>
        <v>0</v>
      </c>
      <c r="G38" s="390">
        <f>IF($A38&lt;=baseData, -SUMIF('Fluxo Investidores'!$L38:$X38, "&gt;0", 'Fluxo Investidores'!$L38:$X38), 0)</f>
        <v>0</v>
      </c>
      <c r="H38" s="429"/>
      <c r="I38" s="390">
        <f t="shared" si="18"/>
        <v>0</v>
      </c>
      <c r="J38" s="398">
        <f>IF($A38&lt;=baseData, INDEX(Permutas!AC:AC, MATCH($A38, Permutas!N:N, 0)), 0)</f>
        <v>0</v>
      </c>
      <c r="L38" s="397">
        <f ca="1">IF(A38&lt;=baseData, N38-M38, -INDEX('Fluxo Projeto'!AQ:AQ, MATCH($A38, 'Fluxo Projeto'!A:A, 0))*(pctSCPequity+pctSCPpermuta))</f>
        <v>0</v>
      </c>
      <c r="M38" s="398">
        <f>IFERROR(INDEX(Permutas!AJ:AJ, MATCH('Fluxo Bandeira Co'!A38, Permutas!N:N, 0)), 0)</f>
        <v>0</v>
      </c>
      <c r="N38" s="393">
        <f ca="1">IF($A38&lt;=baseData,IFERROR(INDEX('LDI - Fluxo de Caixa'!$AP$161:$AP$374,MATCH($A38,'LDI - Fluxo de Caixa'!$C$161:$C$374,0)), 0),SUM(L38:M38))</f>
        <v>0</v>
      </c>
      <c r="P38" s="397">
        <f t="shared" ca="1" si="19"/>
        <v>0</v>
      </c>
      <c r="Q38" s="398">
        <f t="shared" ca="1" si="20"/>
        <v>0</v>
      </c>
      <c r="S38" s="430">
        <v>0</v>
      </c>
      <c r="T38" s="390">
        <f t="shared" ref="T38:T69" si="38">-IF(A38&lt;=terminoProjeto, pctAuditoriaHolding/12, 0)</f>
        <v>-5000</v>
      </c>
      <c r="U38" s="390">
        <f t="shared" ref="U38:U69" si="39">-IF(AND(A38&gt;=inicioObra, A38&lt;=entrega), pctObraHolding, 0)</f>
        <v>-10000</v>
      </c>
      <c r="V38" s="390">
        <f t="shared" ref="V38:V69" si="40">-IF(A38&lt;=terminoProjeto, pctJurídicoHolding/12, 0)</f>
        <v>-1666.6666666666667</v>
      </c>
      <c r="W38" s="390">
        <f t="shared" ref="W38:W69" si="41">IF(A38&lt;=terminoProjeto, MIN(-((1+txAdmKinea)^(1/12)-1)*SUM($F$17:$F$35), -20000), 0)</f>
        <v>-38755.717930517523</v>
      </c>
      <c r="X38" s="431">
        <v>0</v>
      </c>
      <c r="Y38" s="415">
        <f t="shared" ref="Y38:Y69" si="42">-IF(A38&lt;=terminoProjeto, pctContHolding, 0)</f>
        <v>-10000</v>
      </c>
      <c r="Z38" s="415">
        <f t="shared" ref="Z38:Z69" si="43">-IF(A38&lt;=terminoProjeto, outrasDespesasHolding, 0)</f>
        <v>-10000</v>
      </c>
      <c r="AA38" s="432">
        <v>200000</v>
      </c>
      <c r="AB38" s="393">
        <f t="shared" si="22"/>
        <v>124577.61540281581</v>
      </c>
      <c r="AD38" s="393">
        <f t="shared" ca="1" si="23"/>
        <v>124577.61540281581</v>
      </c>
      <c r="AF38" s="393">
        <f t="shared" ref="AF38:AF69" si="44">E38*CDI</f>
        <v>-316.35892022855995</v>
      </c>
      <c r="AH38" s="393">
        <f t="shared" ca="1" si="24"/>
        <v>1561807.8805108266</v>
      </c>
      <c r="AJ38" s="397">
        <f t="shared" ca="1" si="25"/>
        <v>0</v>
      </c>
      <c r="AK38" s="390">
        <f>IF($A38&gt;baseData, INDEX(Permutas!AC:AC, MATCH('Fluxo Bandeira Co'!A38, Permutas!N:N, 0)), 0)</f>
        <v>0</v>
      </c>
      <c r="AL38" s="398">
        <f t="shared" si="37"/>
        <v>0</v>
      </c>
      <c r="AN38" s="393">
        <f t="shared" ca="1" si="26"/>
        <v>1561807.8805108266</v>
      </c>
      <c r="AP38" s="393">
        <f t="shared" ref="AP38:AP69" ca="1" si="45">AN38</f>
        <v>1561807.8805108266</v>
      </c>
      <c r="AR38" s="397">
        <f t="shared" ca="1" si="27"/>
        <v>0</v>
      </c>
      <c r="AS38" s="398">
        <f t="shared" ca="1" si="33"/>
        <v>-27937497.977646906</v>
      </c>
      <c r="AU38" s="393">
        <f t="shared" ca="1" si="28"/>
        <v>0</v>
      </c>
      <c r="AW38" s="397">
        <f t="shared" ca="1" si="34"/>
        <v>-31479433.702652961</v>
      </c>
      <c r="AX38" s="390">
        <f t="shared" ca="1" si="35"/>
        <v>0</v>
      </c>
      <c r="AY38" s="390">
        <f t="shared" ca="1" si="29"/>
        <v>0</v>
      </c>
      <c r="AZ38" s="390">
        <f t="shared" ca="1" si="30"/>
        <v>0</v>
      </c>
      <c r="BA38" s="398">
        <f t="shared" ca="1" si="36"/>
        <v>-27937497.977646906</v>
      </c>
      <c r="BC38" s="393">
        <f t="shared" ca="1" si="31"/>
        <v>0</v>
      </c>
    </row>
    <row r="39" spans="1:55" x14ac:dyDescent="0.25">
      <c r="A39" s="197">
        <f t="shared" si="32"/>
        <v>44197</v>
      </c>
      <c r="B39" s="388">
        <f>IF($A39&lt;=baseData, INDEX(Indicadores!B:B, MATCH($A39,Indicadores!A:A, 0)), INDEX(Indicadores!B:B, MATCH(baseData,Indicadores!A:A, 0)))</f>
        <v>839.38199999999995</v>
      </c>
      <c r="C39" s="389">
        <f>IF($A39&lt;=baseData, INDEX(Indicadores!E:E, MATCH($A39, Indicadores!A:A, 0)), INDEX(Indicadores!E:E, MATCH(baseData, Indicadores!A:A, 0)))</f>
        <v>5486.52</v>
      </c>
      <c r="E39" s="397">
        <f t="shared" ca="1" si="17"/>
        <v>1561807.8805108266</v>
      </c>
      <c r="F39" s="390">
        <f>IF($A39&lt;=baseData, -SUMIF('Fluxo Investidores'!$L39:$X39, "&lt;0", 'Fluxo Investidores'!$L39:$X39), 0)</f>
        <v>0</v>
      </c>
      <c r="G39" s="390">
        <f>IF($A39&lt;=baseData, -SUMIF('Fluxo Investidores'!$L39:$X39, "&gt;0", 'Fluxo Investidores'!$L39:$X39), 0)</f>
        <v>0</v>
      </c>
      <c r="H39" s="429"/>
      <c r="I39" s="390">
        <f t="shared" si="18"/>
        <v>0</v>
      </c>
      <c r="J39" s="398">
        <f>IF($A39&lt;=baseData, INDEX(Permutas!AC:AC, MATCH($A39, Permutas!N:N, 0)), 0)</f>
        <v>0</v>
      </c>
      <c r="L39" s="397">
        <f ca="1">IF(A39&lt;=baseData, N39-M39, -INDEX('Fluxo Projeto'!AQ:AQ, MATCH($A39, 'Fluxo Projeto'!A:A, 0))*(pctSCPequity+pctSCPpermuta))</f>
        <v>0</v>
      </c>
      <c r="M39" s="398">
        <f>IFERROR(INDEX(Permutas!AJ:AJ, MATCH('Fluxo Bandeira Co'!A39, Permutas!N:N, 0)), 0)</f>
        <v>0</v>
      </c>
      <c r="N39" s="393">
        <f ca="1">IF($A39&lt;=baseData,IFERROR(INDEX('LDI - Fluxo de Caixa'!$AP$161:$AP$374,MATCH($A39,'LDI - Fluxo de Caixa'!$C$161:$C$374,0)), 0),SUM(L39:M39))</f>
        <v>0</v>
      </c>
      <c r="P39" s="397">
        <f t="shared" ca="1" si="19"/>
        <v>0</v>
      </c>
      <c r="Q39" s="398">
        <f t="shared" ca="1" si="20"/>
        <v>0</v>
      </c>
      <c r="S39" s="430">
        <v>0</v>
      </c>
      <c r="T39" s="390">
        <f t="shared" si="38"/>
        <v>-5000</v>
      </c>
      <c r="U39" s="390">
        <f t="shared" si="39"/>
        <v>-10000</v>
      </c>
      <c r="V39" s="390">
        <f t="shared" si="40"/>
        <v>-1666.6666666666667</v>
      </c>
      <c r="W39" s="390">
        <f t="shared" si="41"/>
        <v>-38755.717930517523</v>
      </c>
      <c r="X39" s="431">
        <v>0</v>
      </c>
      <c r="Y39" s="415">
        <f t="shared" si="42"/>
        <v>-10000</v>
      </c>
      <c r="Z39" s="415">
        <f t="shared" si="43"/>
        <v>-10000</v>
      </c>
      <c r="AA39" s="432">
        <v>0</v>
      </c>
      <c r="AB39" s="393">
        <f t="shared" si="22"/>
        <v>-75422.384597184195</v>
      </c>
      <c r="AD39" s="393">
        <f t="shared" ca="1" si="23"/>
        <v>-75422.384597184195</v>
      </c>
      <c r="AF39" s="393">
        <f t="shared" ca="1" si="44"/>
        <v>-343.70492506068092</v>
      </c>
      <c r="AH39" s="393">
        <f t="shared" ca="1" si="24"/>
        <v>1486041.7909885817</v>
      </c>
      <c r="AJ39" s="397">
        <f t="shared" ca="1" si="25"/>
        <v>0</v>
      </c>
      <c r="AK39" s="390">
        <f>IF($A39&gt;baseData, INDEX(Permutas!AC:AC, MATCH('Fluxo Bandeira Co'!A39, Permutas!N:N, 0)), 0)</f>
        <v>0</v>
      </c>
      <c r="AL39" s="398">
        <f t="shared" si="37"/>
        <v>0</v>
      </c>
      <c r="AN39" s="393">
        <f t="shared" ca="1" si="26"/>
        <v>1486041.7909885817</v>
      </c>
      <c r="AP39" s="393">
        <f t="shared" ca="1" si="45"/>
        <v>1486041.7909885817</v>
      </c>
      <c r="AR39" s="397">
        <f t="shared" ca="1" si="27"/>
        <v>0</v>
      </c>
      <c r="AS39" s="398">
        <f t="shared" ca="1" si="33"/>
        <v>-27937497.977646906</v>
      </c>
      <c r="AU39" s="393">
        <f t="shared" ca="1" si="28"/>
        <v>0</v>
      </c>
      <c r="AW39" s="397">
        <f t="shared" ca="1" si="34"/>
        <v>-31632661.437968988</v>
      </c>
      <c r="AX39" s="390">
        <f t="shared" ca="1" si="35"/>
        <v>0</v>
      </c>
      <c r="AY39" s="390">
        <f t="shared" ca="1" si="29"/>
        <v>0</v>
      </c>
      <c r="AZ39" s="390">
        <f t="shared" ca="1" si="30"/>
        <v>0</v>
      </c>
      <c r="BA39" s="398">
        <f t="shared" ca="1" si="36"/>
        <v>-27937497.977646906</v>
      </c>
      <c r="BC39" s="393">
        <f t="shared" ca="1" si="31"/>
        <v>0</v>
      </c>
    </row>
    <row r="40" spans="1:55" x14ac:dyDescent="0.25">
      <c r="A40" s="197">
        <f t="shared" si="32"/>
        <v>44228</v>
      </c>
      <c r="B40" s="388">
        <f>IF($A40&lt;=baseData, INDEX(Indicadores!B:B, MATCH($A40,Indicadores!A:A, 0)), INDEX(Indicadores!B:B, MATCH(baseData,Indicadores!A:A, 0)))</f>
        <v>839.38199999999995</v>
      </c>
      <c r="C40" s="389">
        <f>IF($A40&lt;=baseData, INDEX(Indicadores!E:E, MATCH($A40, Indicadores!A:A, 0)), INDEX(Indicadores!E:E, MATCH(baseData, Indicadores!A:A, 0)))</f>
        <v>5486.52</v>
      </c>
      <c r="E40" s="397">
        <f t="shared" ca="1" si="17"/>
        <v>1486041.7909885817</v>
      </c>
      <c r="F40" s="390">
        <f>IF($A40&lt;=baseData, -SUMIF('Fluxo Investidores'!$L40:$X40, "&lt;0", 'Fluxo Investidores'!$L40:$X40), 0)</f>
        <v>0</v>
      </c>
      <c r="G40" s="390">
        <f>IF($A40&lt;=baseData, -SUMIF('Fluxo Investidores'!$L40:$X40, "&gt;0", 'Fluxo Investidores'!$L40:$X40), 0)</f>
        <v>0</v>
      </c>
      <c r="H40" s="429"/>
      <c r="I40" s="390">
        <f t="shared" si="18"/>
        <v>0</v>
      </c>
      <c r="J40" s="398">
        <f>IF($A40&lt;=baseData, INDEX(Permutas!AC:AC, MATCH($A40, Permutas!N:N, 0)), 0)</f>
        <v>0</v>
      </c>
      <c r="L40" s="397">
        <f ca="1">IF(A40&lt;=baseData, N40-M40, -INDEX('Fluxo Projeto'!AQ:AQ, MATCH($A40, 'Fluxo Projeto'!A:A, 0))*(pctSCPequity+pctSCPpermuta))</f>
        <v>0</v>
      </c>
      <c r="M40" s="398">
        <f>IFERROR(INDEX(Permutas!AJ:AJ, MATCH('Fluxo Bandeira Co'!A40, Permutas!N:N, 0)), 0)</f>
        <v>0</v>
      </c>
      <c r="N40" s="393">
        <f ca="1">IF($A40&lt;=baseData,IFERROR(INDEX('LDI - Fluxo de Caixa'!$AP$161:$AP$374,MATCH($A40,'LDI - Fluxo de Caixa'!$C$161:$C$374,0)), 0),SUM(L40:M40))</f>
        <v>0</v>
      </c>
      <c r="P40" s="397">
        <f t="shared" ca="1" si="19"/>
        <v>0</v>
      </c>
      <c r="Q40" s="398">
        <f t="shared" ca="1" si="20"/>
        <v>0</v>
      </c>
      <c r="S40" s="430">
        <v>0</v>
      </c>
      <c r="T40" s="390">
        <f t="shared" si="38"/>
        <v>-5000</v>
      </c>
      <c r="U40" s="390">
        <f t="shared" si="39"/>
        <v>-10000</v>
      </c>
      <c r="V40" s="390">
        <f t="shared" si="40"/>
        <v>-1666.6666666666667</v>
      </c>
      <c r="W40" s="390">
        <f t="shared" si="41"/>
        <v>-38755.717930517523</v>
      </c>
      <c r="X40" s="431">
        <v>0</v>
      </c>
      <c r="Y40" s="415">
        <f t="shared" si="42"/>
        <v>-10000</v>
      </c>
      <c r="Z40" s="415">
        <f t="shared" si="43"/>
        <v>-10000</v>
      </c>
      <c r="AA40" s="432">
        <v>0</v>
      </c>
      <c r="AB40" s="393">
        <f t="shared" si="22"/>
        <v>-75422.384597184195</v>
      </c>
      <c r="AD40" s="393">
        <f t="shared" ca="1" si="23"/>
        <v>-75422.384597184195</v>
      </c>
      <c r="AF40" s="393">
        <f t="shared" ca="1" si="44"/>
        <v>-327.03118532204758</v>
      </c>
      <c r="AH40" s="393">
        <f t="shared" ca="1" si="24"/>
        <v>1410292.3752060756</v>
      </c>
      <c r="AJ40" s="397">
        <f t="shared" ca="1" si="25"/>
        <v>0</v>
      </c>
      <c r="AK40" s="390">
        <f>IF($A40&gt;baseData, INDEX(Permutas!AC:AC, MATCH('Fluxo Bandeira Co'!A40, Permutas!N:N, 0)), 0)</f>
        <v>0</v>
      </c>
      <c r="AL40" s="398">
        <f t="shared" si="37"/>
        <v>0</v>
      </c>
      <c r="AN40" s="393">
        <f t="shared" ca="1" si="26"/>
        <v>1410292.3752060756</v>
      </c>
      <c r="AP40" s="393">
        <f t="shared" ca="1" si="45"/>
        <v>1410292.3752060756</v>
      </c>
      <c r="AR40" s="397">
        <f t="shared" ca="1" si="27"/>
        <v>0</v>
      </c>
      <c r="AS40" s="398">
        <f t="shared" ca="1" si="33"/>
        <v>-27937497.977646906</v>
      </c>
      <c r="AU40" s="393">
        <f t="shared" ca="1" si="28"/>
        <v>0</v>
      </c>
      <c r="AW40" s="397">
        <f t="shared" ca="1" si="34"/>
        <v>-31786635.01703468</v>
      </c>
      <c r="AX40" s="390">
        <f t="shared" ca="1" si="35"/>
        <v>0</v>
      </c>
      <c r="AY40" s="390">
        <f t="shared" ca="1" si="29"/>
        <v>0</v>
      </c>
      <c r="AZ40" s="390">
        <f t="shared" ca="1" si="30"/>
        <v>0</v>
      </c>
      <c r="BA40" s="398">
        <f t="shared" ca="1" si="36"/>
        <v>-27937497.977646906</v>
      </c>
      <c r="BC40" s="393">
        <f t="shared" ca="1" si="31"/>
        <v>0</v>
      </c>
    </row>
    <row r="41" spans="1:55" x14ac:dyDescent="0.25">
      <c r="A41" s="197">
        <f t="shared" si="32"/>
        <v>44256</v>
      </c>
      <c r="B41" s="388">
        <f>IF($A41&lt;=baseData, INDEX(Indicadores!B:B, MATCH($A41,Indicadores!A:A, 0)), INDEX(Indicadores!B:B, MATCH(baseData,Indicadores!A:A, 0)))</f>
        <v>839.38199999999995</v>
      </c>
      <c r="C41" s="389">
        <f>IF($A41&lt;=baseData, INDEX(Indicadores!E:E, MATCH($A41, Indicadores!A:A, 0)), INDEX(Indicadores!E:E, MATCH(baseData, Indicadores!A:A, 0)))</f>
        <v>5486.52</v>
      </c>
      <c r="E41" s="397">
        <f t="shared" ca="1" si="17"/>
        <v>1410292.3752060756</v>
      </c>
      <c r="F41" s="390">
        <f>IF($A41&lt;=baseData, -SUMIF('Fluxo Investidores'!$L41:$X41, "&lt;0", 'Fluxo Investidores'!$L41:$X41), 0)</f>
        <v>0</v>
      </c>
      <c r="G41" s="390">
        <f>IF($A41&lt;=baseData, -SUMIF('Fluxo Investidores'!$L41:$X41, "&gt;0", 'Fluxo Investidores'!$L41:$X41), 0)</f>
        <v>0</v>
      </c>
      <c r="H41" s="429"/>
      <c r="I41" s="390">
        <f t="shared" si="18"/>
        <v>0</v>
      </c>
      <c r="J41" s="398">
        <f>IF($A41&lt;=baseData, INDEX(Permutas!AC:AC, MATCH($A41, Permutas!N:N, 0)), 0)</f>
        <v>0</v>
      </c>
      <c r="L41" s="397">
        <f ca="1">IF(A41&lt;=baseData, N41-M41, -INDEX('Fluxo Projeto'!AQ:AQ, MATCH($A41, 'Fluxo Projeto'!A:A, 0))*(pctSCPequity+pctSCPpermuta))</f>
        <v>0</v>
      </c>
      <c r="M41" s="398">
        <f>IFERROR(INDEX(Permutas!AJ:AJ, MATCH('Fluxo Bandeira Co'!A41, Permutas!N:N, 0)), 0)</f>
        <v>0</v>
      </c>
      <c r="N41" s="393">
        <f ca="1">IF($A41&lt;=baseData,IFERROR(INDEX('LDI - Fluxo de Caixa'!$AP$161:$AP$374,MATCH($A41,'LDI - Fluxo de Caixa'!$C$161:$C$374,0)), 0),SUM(L41:M41))</f>
        <v>0</v>
      </c>
      <c r="P41" s="397">
        <f t="shared" ca="1" si="19"/>
        <v>0</v>
      </c>
      <c r="Q41" s="398">
        <f t="shared" ca="1" si="20"/>
        <v>0</v>
      </c>
      <c r="S41" s="430">
        <v>0</v>
      </c>
      <c r="T41" s="390">
        <f t="shared" si="38"/>
        <v>-5000</v>
      </c>
      <c r="U41" s="390">
        <f t="shared" si="39"/>
        <v>-10000</v>
      </c>
      <c r="V41" s="390">
        <f t="shared" si="40"/>
        <v>-1666.6666666666667</v>
      </c>
      <c r="W41" s="390">
        <f t="shared" si="41"/>
        <v>-38755.717930517523</v>
      </c>
      <c r="X41" s="431">
        <v>0</v>
      </c>
      <c r="Y41" s="415">
        <f t="shared" si="42"/>
        <v>-10000</v>
      </c>
      <c r="Z41" s="415">
        <f t="shared" si="43"/>
        <v>-10000</v>
      </c>
      <c r="AA41" s="432">
        <v>0</v>
      </c>
      <c r="AB41" s="393">
        <f t="shared" si="22"/>
        <v>-75422.384597184195</v>
      </c>
      <c r="AD41" s="393">
        <f t="shared" ca="1" si="23"/>
        <v>-75422.384597184195</v>
      </c>
      <c r="AF41" s="393">
        <f t="shared" ca="1" si="44"/>
        <v>-310.36111495052336</v>
      </c>
      <c r="AH41" s="393">
        <f t="shared" ca="1" si="24"/>
        <v>1334559.6294939409</v>
      </c>
      <c r="AJ41" s="397">
        <f t="shared" ca="1" si="25"/>
        <v>0</v>
      </c>
      <c r="AK41" s="390">
        <f>IF($A41&gt;baseData, INDEX(Permutas!AC:AC, MATCH('Fluxo Bandeira Co'!A41, Permutas!N:N, 0)), 0)</f>
        <v>0</v>
      </c>
      <c r="AL41" s="398">
        <f t="shared" si="37"/>
        <v>0</v>
      </c>
      <c r="AN41" s="393">
        <f t="shared" ca="1" si="26"/>
        <v>1334559.6294939409</v>
      </c>
      <c r="AP41" s="393">
        <f t="shared" ca="1" si="45"/>
        <v>1334559.6294939409</v>
      </c>
      <c r="AR41" s="397">
        <f t="shared" ca="1" si="27"/>
        <v>0</v>
      </c>
      <c r="AS41" s="398">
        <f t="shared" ca="1" si="33"/>
        <v>-27937497.977646906</v>
      </c>
      <c r="AU41" s="393">
        <f t="shared" ca="1" si="28"/>
        <v>0</v>
      </c>
      <c r="AW41" s="397">
        <f t="shared" ca="1" si="34"/>
        <v>-31941358.070282198</v>
      </c>
      <c r="AX41" s="390">
        <f t="shared" ca="1" si="35"/>
        <v>0</v>
      </c>
      <c r="AY41" s="390">
        <f t="shared" ca="1" si="29"/>
        <v>0</v>
      </c>
      <c r="AZ41" s="390">
        <f t="shared" ca="1" si="30"/>
        <v>0</v>
      </c>
      <c r="BA41" s="398">
        <f t="shared" ca="1" si="36"/>
        <v>-27937497.977646906</v>
      </c>
      <c r="BC41" s="393">
        <f t="shared" ca="1" si="31"/>
        <v>0</v>
      </c>
    </row>
    <row r="42" spans="1:55" x14ac:dyDescent="0.25">
      <c r="A42" s="197">
        <f t="shared" si="32"/>
        <v>44287</v>
      </c>
      <c r="B42" s="388">
        <f>IF($A42&lt;=baseData, INDEX(Indicadores!B:B, MATCH($A42,Indicadores!A:A, 0)), INDEX(Indicadores!B:B, MATCH(baseData,Indicadores!A:A, 0)))</f>
        <v>839.38199999999995</v>
      </c>
      <c r="C42" s="389">
        <f>IF($A42&lt;=baseData, INDEX(Indicadores!E:E, MATCH($A42, Indicadores!A:A, 0)), INDEX(Indicadores!E:E, MATCH(baseData, Indicadores!A:A, 0)))</f>
        <v>5486.52</v>
      </c>
      <c r="E42" s="397">
        <f t="shared" ca="1" si="17"/>
        <v>1334559.6294939409</v>
      </c>
      <c r="F42" s="390">
        <f>IF($A42&lt;=baseData, -SUMIF('Fluxo Investidores'!$L42:$X42, "&lt;0", 'Fluxo Investidores'!$L42:$X42), 0)</f>
        <v>0</v>
      </c>
      <c r="G42" s="390">
        <f>IF($A42&lt;=baseData, -SUMIF('Fluxo Investidores'!$L42:$X42, "&gt;0", 'Fluxo Investidores'!$L42:$X42), 0)</f>
        <v>0</v>
      </c>
      <c r="H42" s="429"/>
      <c r="I42" s="390">
        <f t="shared" si="18"/>
        <v>0</v>
      </c>
      <c r="J42" s="398">
        <f>IF($A42&lt;=baseData, INDEX(Permutas!AC:AC, MATCH($A42, Permutas!N:N, 0)), 0)</f>
        <v>0</v>
      </c>
      <c r="L42" s="397">
        <f ca="1">IF(A42&lt;=baseData, N42-M42, -INDEX('Fluxo Projeto'!AQ:AQ, MATCH($A42, 'Fluxo Projeto'!A:A, 0))*(pctSCPequity+pctSCPpermuta))</f>
        <v>0</v>
      </c>
      <c r="M42" s="398">
        <f>IFERROR(INDEX(Permutas!AJ:AJ, MATCH('Fluxo Bandeira Co'!A42, Permutas!N:N, 0)), 0)</f>
        <v>0</v>
      </c>
      <c r="N42" s="393">
        <f ca="1">IF($A42&lt;=baseData,IFERROR(INDEX('LDI - Fluxo de Caixa'!$AP$161:$AP$374,MATCH($A42,'LDI - Fluxo de Caixa'!$C$161:$C$374,0)), 0),SUM(L42:M42))</f>
        <v>0</v>
      </c>
      <c r="P42" s="397">
        <f t="shared" ca="1" si="19"/>
        <v>0</v>
      </c>
      <c r="Q42" s="398">
        <f t="shared" ca="1" si="20"/>
        <v>0</v>
      </c>
      <c r="S42" s="430">
        <v>0</v>
      </c>
      <c r="T42" s="390">
        <f t="shared" si="38"/>
        <v>-5000</v>
      </c>
      <c r="U42" s="390">
        <f t="shared" si="39"/>
        <v>-10000</v>
      </c>
      <c r="V42" s="390">
        <f t="shared" si="40"/>
        <v>-1666.6666666666667</v>
      </c>
      <c r="W42" s="390">
        <f t="shared" si="41"/>
        <v>-38755.717930517523</v>
      </c>
      <c r="X42" s="431">
        <v>0</v>
      </c>
      <c r="Y42" s="415">
        <f t="shared" si="42"/>
        <v>-10000</v>
      </c>
      <c r="Z42" s="415">
        <f t="shared" si="43"/>
        <v>-10000</v>
      </c>
      <c r="AA42" s="432">
        <v>0</v>
      </c>
      <c r="AB42" s="393">
        <f t="shared" si="22"/>
        <v>-75422.384597184195</v>
      </c>
      <c r="AD42" s="393">
        <f t="shared" ca="1" si="23"/>
        <v>-75422.384597184195</v>
      </c>
      <c r="AF42" s="393">
        <f t="shared" ca="1" si="44"/>
        <v>-293.69471313859549</v>
      </c>
      <c r="AH42" s="393">
        <f t="shared" ca="1" si="24"/>
        <v>1258843.5501836182</v>
      </c>
      <c r="AJ42" s="397">
        <f t="shared" ca="1" si="25"/>
        <v>0</v>
      </c>
      <c r="AK42" s="390">
        <f>IF($A42&gt;baseData, INDEX(Permutas!AC:AC, MATCH('Fluxo Bandeira Co'!A42, Permutas!N:N, 0)), 0)</f>
        <v>0</v>
      </c>
      <c r="AL42" s="398">
        <f t="shared" si="37"/>
        <v>0</v>
      </c>
      <c r="AN42" s="393">
        <f t="shared" ca="1" si="26"/>
        <v>1258843.5501836182</v>
      </c>
      <c r="AP42" s="393">
        <f t="shared" ca="1" si="45"/>
        <v>1258843.5501836182</v>
      </c>
      <c r="AR42" s="397">
        <f t="shared" ca="1" si="27"/>
        <v>0</v>
      </c>
      <c r="AS42" s="398">
        <f t="shared" ca="1" si="33"/>
        <v>-27937497.977646906</v>
      </c>
      <c r="AU42" s="393">
        <f t="shared" ca="1" si="28"/>
        <v>0</v>
      </c>
      <c r="AW42" s="397">
        <f t="shared" ca="1" si="34"/>
        <v>-32096834.245815024</v>
      </c>
      <c r="AX42" s="390">
        <f t="shared" ca="1" si="35"/>
        <v>0</v>
      </c>
      <c r="AY42" s="390">
        <f t="shared" ca="1" si="29"/>
        <v>0</v>
      </c>
      <c r="AZ42" s="390">
        <f t="shared" ca="1" si="30"/>
        <v>0</v>
      </c>
      <c r="BA42" s="398">
        <f t="shared" ca="1" si="36"/>
        <v>-27937497.977646906</v>
      </c>
      <c r="BC42" s="393">
        <f t="shared" ca="1" si="31"/>
        <v>0</v>
      </c>
    </row>
    <row r="43" spans="1:55" x14ac:dyDescent="0.25">
      <c r="A43" s="197">
        <f t="shared" si="32"/>
        <v>44317</v>
      </c>
      <c r="B43" s="388">
        <f>IF($A43&lt;=baseData, INDEX(Indicadores!B:B, MATCH($A43,Indicadores!A:A, 0)), INDEX(Indicadores!B:B, MATCH(baseData,Indicadores!A:A, 0)))</f>
        <v>839.38199999999995</v>
      </c>
      <c r="C43" s="389">
        <f>IF($A43&lt;=baseData, INDEX(Indicadores!E:E, MATCH($A43, Indicadores!A:A, 0)), INDEX(Indicadores!E:E, MATCH(baseData, Indicadores!A:A, 0)))</f>
        <v>5486.52</v>
      </c>
      <c r="E43" s="397">
        <f t="shared" ca="1" si="17"/>
        <v>1258843.5501836182</v>
      </c>
      <c r="F43" s="390">
        <f>IF($A43&lt;=baseData, -SUMIF('Fluxo Investidores'!$L43:$X43, "&lt;0", 'Fluxo Investidores'!$L43:$X43), 0)</f>
        <v>0</v>
      </c>
      <c r="G43" s="390">
        <f>IF($A43&lt;=baseData, -SUMIF('Fluxo Investidores'!$L43:$X43, "&gt;0", 'Fluxo Investidores'!$L43:$X43), 0)</f>
        <v>0</v>
      </c>
      <c r="H43" s="429"/>
      <c r="I43" s="390">
        <f t="shared" si="18"/>
        <v>0</v>
      </c>
      <c r="J43" s="398">
        <f>IF($A43&lt;=baseData, INDEX(Permutas!AC:AC, MATCH($A43, Permutas!N:N, 0)), 0)</f>
        <v>0</v>
      </c>
      <c r="L43" s="397">
        <f ca="1">IF(A43&lt;=baseData, N43-M43, -INDEX('Fluxo Projeto'!AQ:AQ, MATCH($A43, 'Fluxo Projeto'!A:A, 0))*(pctSCPequity+pctSCPpermuta))</f>
        <v>0</v>
      </c>
      <c r="M43" s="398">
        <f>IFERROR(INDEX(Permutas!AJ:AJ, MATCH('Fluxo Bandeira Co'!A43, Permutas!N:N, 0)), 0)</f>
        <v>0</v>
      </c>
      <c r="N43" s="393">
        <f ca="1">IF($A43&lt;=baseData,IFERROR(INDEX('LDI - Fluxo de Caixa'!$AP$161:$AP$374,MATCH($A43,'LDI - Fluxo de Caixa'!$C$161:$C$374,0)), 0),SUM(L43:M43))</f>
        <v>0</v>
      </c>
      <c r="P43" s="397">
        <f t="shared" ca="1" si="19"/>
        <v>0</v>
      </c>
      <c r="Q43" s="398">
        <f t="shared" ca="1" si="20"/>
        <v>0</v>
      </c>
      <c r="S43" s="430">
        <v>0</v>
      </c>
      <c r="T43" s="390">
        <f t="shared" si="38"/>
        <v>-5000</v>
      </c>
      <c r="U43" s="390">
        <f t="shared" si="39"/>
        <v>-10000</v>
      </c>
      <c r="V43" s="390">
        <f t="shared" si="40"/>
        <v>-1666.6666666666667</v>
      </c>
      <c r="W43" s="390">
        <f t="shared" si="41"/>
        <v>-38755.717930517523</v>
      </c>
      <c r="X43" s="431">
        <v>0</v>
      </c>
      <c r="Y43" s="415">
        <f t="shared" si="42"/>
        <v>-10000</v>
      </c>
      <c r="Z43" s="415">
        <f t="shared" si="43"/>
        <v>-10000</v>
      </c>
      <c r="AA43" s="432">
        <v>0</v>
      </c>
      <c r="AB43" s="393">
        <f t="shared" si="22"/>
        <v>-75422.384597184195</v>
      </c>
      <c r="AD43" s="393">
        <f t="shared" ca="1" si="23"/>
        <v>-75422.384597184195</v>
      </c>
      <c r="AF43" s="393">
        <f t="shared" ca="1" si="44"/>
        <v>-277.03197907892917</v>
      </c>
      <c r="AH43" s="393">
        <f t="shared" ca="1" si="24"/>
        <v>1183144.1336073552</v>
      </c>
      <c r="AJ43" s="397">
        <f t="shared" ca="1" si="25"/>
        <v>0</v>
      </c>
      <c r="AK43" s="390">
        <f>IF($A43&gt;baseData, INDEX(Permutas!AC:AC, MATCH('Fluxo Bandeira Co'!A43, Permutas!N:N, 0)), 0)</f>
        <v>0</v>
      </c>
      <c r="AL43" s="398">
        <f t="shared" si="37"/>
        <v>0</v>
      </c>
      <c r="AN43" s="393">
        <f t="shared" ca="1" si="26"/>
        <v>1183144.1336073552</v>
      </c>
      <c r="AP43" s="393">
        <f t="shared" ca="1" si="45"/>
        <v>1183144.1336073552</v>
      </c>
      <c r="AR43" s="397">
        <f t="shared" ca="1" si="27"/>
        <v>0</v>
      </c>
      <c r="AS43" s="398">
        <f t="shared" ca="1" si="33"/>
        <v>-27937497.977646906</v>
      </c>
      <c r="AU43" s="393">
        <f t="shared" ca="1" si="28"/>
        <v>0</v>
      </c>
      <c r="AW43" s="397">
        <f t="shared" ca="1" si="34"/>
        <v>-32253067.209493961</v>
      </c>
      <c r="AX43" s="390">
        <f t="shared" ca="1" si="35"/>
        <v>0</v>
      </c>
      <c r="AY43" s="390">
        <f t="shared" ca="1" si="29"/>
        <v>0</v>
      </c>
      <c r="AZ43" s="390">
        <f t="shared" ca="1" si="30"/>
        <v>0</v>
      </c>
      <c r="BA43" s="398">
        <f t="shared" ca="1" si="36"/>
        <v>-27937497.977646906</v>
      </c>
      <c r="BC43" s="393">
        <f t="shared" ca="1" si="31"/>
        <v>0</v>
      </c>
    </row>
    <row r="44" spans="1:55" x14ac:dyDescent="0.25">
      <c r="A44" s="197">
        <f t="shared" si="32"/>
        <v>44348</v>
      </c>
      <c r="B44" s="388">
        <f>IF($A44&lt;=baseData, INDEX(Indicadores!B:B, MATCH($A44,Indicadores!A:A, 0)), INDEX(Indicadores!B:B, MATCH(baseData,Indicadores!A:A, 0)))</f>
        <v>839.38199999999995</v>
      </c>
      <c r="C44" s="389">
        <f>IF($A44&lt;=baseData, INDEX(Indicadores!E:E, MATCH($A44, Indicadores!A:A, 0)), INDEX(Indicadores!E:E, MATCH(baseData, Indicadores!A:A, 0)))</f>
        <v>5486.52</v>
      </c>
      <c r="E44" s="397">
        <f t="shared" ca="1" si="17"/>
        <v>1183144.1336073552</v>
      </c>
      <c r="F44" s="390">
        <f>IF($A44&lt;=baseData, -SUMIF('Fluxo Investidores'!$L44:$X44, "&lt;0", 'Fluxo Investidores'!$L44:$X44), 0)</f>
        <v>0</v>
      </c>
      <c r="G44" s="390">
        <f>IF($A44&lt;=baseData, -SUMIF('Fluxo Investidores'!$L44:$X44, "&gt;0", 'Fluxo Investidores'!$L44:$X44), 0)</f>
        <v>0</v>
      </c>
      <c r="H44" s="429"/>
      <c r="I44" s="390">
        <f t="shared" si="18"/>
        <v>0</v>
      </c>
      <c r="J44" s="398">
        <f>IF($A44&lt;=baseData, INDEX(Permutas!AC:AC, MATCH($A44, Permutas!N:N, 0)), 0)</f>
        <v>0</v>
      </c>
      <c r="L44" s="397">
        <f ca="1">IF(A44&lt;=baseData, N44-M44, -INDEX('Fluxo Projeto'!AQ:AQ, MATCH($A44, 'Fluxo Projeto'!A:A, 0))*(pctSCPequity+pctSCPpermuta))</f>
        <v>0</v>
      </c>
      <c r="M44" s="398">
        <f>IFERROR(INDEX(Permutas!AJ:AJ, MATCH('Fluxo Bandeira Co'!A44, Permutas!N:N, 0)), 0)</f>
        <v>0</v>
      </c>
      <c r="N44" s="393">
        <f ca="1">IF($A44&lt;=baseData,IFERROR(INDEX('LDI - Fluxo de Caixa'!$AP$161:$AP$374,MATCH($A44,'LDI - Fluxo de Caixa'!$C$161:$C$374,0)), 0),SUM(L44:M44))</f>
        <v>0</v>
      </c>
      <c r="P44" s="397">
        <f t="shared" ca="1" si="19"/>
        <v>0</v>
      </c>
      <c r="Q44" s="398">
        <f t="shared" ca="1" si="20"/>
        <v>0</v>
      </c>
      <c r="S44" s="430">
        <v>0</v>
      </c>
      <c r="T44" s="390">
        <f t="shared" si="38"/>
        <v>-5000</v>
      </c>
      <c r="U44" s="390">
        <f t="shared" si="39"/>
        <v>-10000</v>
      </c>
      <c r="V44" s="390">
        <f t="shared" si="40"/>
        <v>-1666.6666666666667</v>
      </c>
      <c r="W44" s="390">
        <f t="shared" si="41"/>
        <v>-38755.717930517523</v>
      </c>
      <c r="X44" s="431">
        <v>0</v>
      </c>
      <c r="Y44" s="415">
        <f t="shared" si="42"/>
        <v>-10000</v>
      </c>
      <c r="Z44" s="415">
        <f t="shared" si="43"/>
        <v>-10000</v>
      </c>
      <c r="AA44" s="432">
        <v>0</v>
      </c>
      <c r="AB44" s="393">
        <f t="shared" si="22"/>
        <v>-75422.384597184195</v>
      </c>
      <c r="AD44" s="393">
        <f t="shared" ca="1" si="23"/>
        <v>-75422.384597184195</v>
      </c>
      <c r="AF44" s="393">
        <f t="shared" ca="1" si="44"/>
        <v>-260.37291196436712</v>
      </c>
      <c r="AH44" s="393">
        <f t="shared" ca="1" si="24"/>
        <v>1107461.3760982067</v>
      </c>
      <c r="AJ44" s="397">
        <f t="shared" ca="1" si="25"/>
        <v>0</v>
      </c>
      <c r="AK44" s="390">
        <f>IF($A44&gt;baseData, INDEX(Permutas!AC:AC, MATCH('Fluxo Bandeira Co'!A44, Permutas!N:N, 0)), 0)</f>
        <v>0</v>
      </c>
      <c r="AL44" s="398">
        <f t="shared" si="37"/>
        <v>0</v>
      </c>
      <c r="AN44" s="393">
        <f t="shared" ca="1" si="26"/>
        <v>1107461.3760982067</v>
      </c>
      <c r="AP44" s="393">
        <f t="shared" ca="1" si="45"/>
        <v>1107461.3760982067</v>
      </c>
      <c r="AR44" s="397">
        <f t="shared" ca="1" si="27"/>
        <v>0</v>
      </c>
      <c r="AS44" s="398">
        <f t="shared" ca="1" si="33"/>
        <v>-27937497.977646906</v>
      </c>
      <c r="AU44" s="393">
        <f t="shared" ca="1" si="28"/>
        <v>0</v>
      </c>
      <c r="AW44" s="397">
        <f t="shared" ca="1" si="34"/>
        <v>-32410060.645023581</v>
      </c>
      <c r="AX44" s="390">
        <f t="shared" ca="1" si="35"/>
        <v>0</v>
      </c>
      <c r="AY44" s="390">
        <f t="shared" ca="1" si="29"/>
        <v>0</v>
      </c>
      <c r="AZ44" s="390">
        <f t="shared" ca="1" si="30"/>
        <v>0</v>
      </c>
      <c r="BA44" s="398">
        <f t="shared" ca="1" si="36"/>
        <v>-27937497.977646906</v>
      </c>
      <c r="BC44" s="393">
        <f t="shared" ca="1" si="31"/>
        <v>0</v>
      </c>
    </row>
    <row r="45" spans="1:55" x14ac:dyDescent="0.25">
      <c r="A45" s="197">
        <f t="shared" si="32"/>
        <v>44378</v>
      </c>
      <c r="B45" s="388">
        <f>IF($A45&lt;=baseData, INDEX(Indicadores!B:B, MATCH($A45,Indicadores!A:A, 0)), INDEX(Indicadores!B:B, MATCH(baseData,Indicadores!A:A, 0)))</f>
        <v>839.38199999999995</v>
      </c>
      <c r="C45" s="389">
        <f>IF($A45&lt;=baseData, INDEX(Indicadores!E:E, MATCH($A45, Indicadores!A:A, 0)), INDEX(Indicadores!E:E, MATCH(baseData, Indicadores!A:A, 0)))</f>
        <v>5486.52</v>
      </c>
      <c r="E45" s="397">
        <f t="shared" ca="1" si="17"/>
        <v>1107461.3760982067</v>
      </c>
      <c r="F45" s="390">
        <f>IF($A45&lt;=baseData, -SUMIF('Fluxo Investidores'!$L45:$X45, "&lt;0", 'Fluxo Investidores'!$L45:$X45), 0)</f>
        <v>0</v>
      </c>
      <c r="G45" s="390">
        <f>IF($A45&lt;=baseData, -SUMIF('Fluxo Investidores'!$L45:$X45, "&gt;0", 'Fluxo Investidores'!$L45:$X45), 0)</f>
        <v>0</v>
      </c>
      <c r="H45" s="429"/>
      <c r="I45" s="390">
        <f t="shared" si="18"/>
        <v>0</v>
      </c>
      <c r="J45" s="398">
        <f>IF($A45&lt;=baseData, INDEX(Permutas!AC:AC, MATCH($A45, Permutas!N:N, 0)), 0)</f>
        <v>0</v>
      </c>
      <c r="L45" s="397">
        <f ca="1">IF(A45&lt;=baseData, N45-M45, -INDEX('Fluxo Projeto'!AQ:AQ, MATCH($A45, 'Fluxo Projeto'!A:A, 0))*(pctSCPequity+pctSCPpermuta))</f>
        <v>0</v>
      </c>
      <c r="M45" s="398">
        <f>IFERROR(INDEX(Permutas!AJ:AJ, MATCH('Fluxo Bandeira Co'!A45, Permutas!N:N, 0)), 0)</f>
        <v>0</v>
      </c>
      <c r="N45" s="393">
        <f ca="1">IF($A45&lt;=baseData,IFERROR(INDEX('LDI - Fluxo de Caixa'!$AP$161:$AP$374,MATCH($A45,'LDI - Fluxo de Caixa'!$C$161:$C$374,0)), 0),SUM(L45:M45))</f>
        <v>0</v>
      </c>
      <c r="P45" s="397">
        <f t="shared" ca="1" si="19"/>
        <v>0</v>
      </c>
      <c r="Q45" s="398">
        <f t="shared" ca="1" si="20"/>
        <v>0</v>
      </c>
      <c r="S45" s="430">
        <v>0</v>
      </c>
      <c r="T45" s="390">
        <f t="shared" si="38"/>
        <v>-5000</v>
      </c>
      <c r="U45" s="390">
        <f t="shared" si="39"/>
        <v>-10000</v>
      </c>
      <c r="V45" s="390">
        <f t="shared" si="40"/>
        <v>-1666.6666666666667</v>
      </c>
      <c r="W45" s="390">
        <f t="shared" si="41"/>
        <v>-38755.717930517523</v>
      </c>
      <c r="X45" s="431">
        <v>0</v>
      </c>
      <c r="Y45" s="415">
        <f t="shared" si="42"/>
        <v>-10000</v>
      </c>
      <c r="Z45" s="415">
        <f t="shared" si="43"/>
        <v>-10000</v>
      </c>
      <c r="AA45" s="432">
        <v>0</v>
      </c>
      <c r="AB45" s="393">
        <f t="shared" si="22"/>
        <v>-75422.384597184195</v>
      </c>
      <c r="AD45" s="393">
        <f t="shared" ca="1" si="23"/>
        <v>-75422.384597184195</v>
      </c>
      <c r="AF45" s="393">
        <f t="shared" ca="1" si="44"/>
        <v>-243.71751098792978</v>
      </c>
      <c r="AH45" s="393">
        <f t="shared" ca="1" si="24"/>
        <v>1031795.2739900347</v>
      </c>
      <c r="AJ45" s="397">
        <f t="shared" ca="1" si="25"/>
        <v>0</v>
      </c>
      <c r="AK45" s="390">
        <f>IF($A45&gt;baseData, INDEX(Permutas!AC:AC, MATCH('Fluxo Bandeira Co'!A45, Permutas!N:N, 0)), 0)</f>
        <v>0</v>
      </c>
      <c r="AL45" s="398">
        <f t="shared" si="37"/>
        <v>0</v>
      </c>
      <c r="AN45" s="393">
        <f t="shared" ca="1" si="26"/>
        <v>1031795.2739900347</v>
      </c>
      <c r="AP45" s="393">
        <f t="shared" ca="1" si="45"/>
        <v>1031795.2739900347</v>
      </c>
      <c r="AR45" s="397">
        <f t="shared" ca="1" si="27"/>
        <v>0</v>
      </c>
      <c r="AS45" s="398">
        <f t="shared" ca="1" si="33"/>
        <v>-27937497.977646906</v>
      </c>
      <c r="AU45" s="393">
        <f t="shared" ca="1" si="28"/>
        <v>0</v>
      </c>
      <c r="AW45" s="397">
        <f t="shared" ca="1" si="34"/>
        <v>-32567818.254039068</v>
      </c>
      <c r="AX45" s="390">
        <f t="shared" ca="1" si="35"/>
        <v>0</v>
      </c>
      <c r="AY45" s="390">
        <f t="shared" ca="1" si="29"/>
        <v>0</v>
      </c>
      <c r="AZ45" s="390">
        <f t="shared" ca="1" si="30"/>
        <v>0</v>
      </c>
      <c r="BA45" s="398">
        <f t="shared" ca="1" si="36"/>
        <v>-27937497.977646906</v>
      </c>
      <c r="BC45" s="393">
        <f t="shared" ca="1" si="31"/>
        <v>0</v>
      </c>
    </row>
    <row r="46" spans="1:55" x14ac:dyDescent="0.25">
      <c r="A46" s="197">
        <f t="shared" si="32"/>
        <v>44409</v>
      </c>
      <c r="B46" s="388">
        <f>IF($A46&lt;=baseData, INDEX(Indicadores!B:B, MATCH($A46,Indicadores!A:A, 0)), INDEX(Indicadores!B:B, MATCH(baseData,Indicadores!A:A, 0)))</f>
        <v>839.38199999999995</v>
      </c>
      <c r="C46" s="389">
        <f>IF($A46&lt;=baseData, INDEX(Indicadores!E:E, MATCH($A46, Indicadores!A:A, 0)), INDEX(Indicadores!E:E, MATCH(baseData, Indicadores!A:A, 0)))</f>
        <v>5486.52</v>
      </c>
      <c r="E46" s="397">
        <f t="shared" ca="1" si="17"/>
        <v>1031795.2739900347</v>
      </c>
      <c r="F46" s="390">
        <f>IF($A46&lt;=baseData, -SUMIF('Fluxo Investidores'!$L46:$X46, "&lt;0", 'Fluxo Investidores'!$L46:$X46), 0)</f>
        <v>0</v>
      </c>
      <c r="G46" s="390">
        <f>IF($A46&lt;=baseData, -SUMIF('Fluxo Investidores'!$L46:$X46, "&gt;0", 'Fluxo Investidores'!$L46:$X46), 0)</f>
        <v>0</v>
      </c>
      <c r="H46" s="429"/>
      <c r="I46" s="390">
        <f t="shared" si="18"/>
        <v>0</v>
      </c>
      <c r="J46" s="398">
        <f>IF($A46&lt;=baseData, INDEX(Permutas!AC:AC, MATCH($A46, Permutas!N:N, 0)), 0)</f>
        <v>0</v>
      </c>
      <c r="L46" s="397">
        <f ca="1">IF(A46&lt;=baseData, N46-M46, -INDEX('Fluxo Projeto'!AQ:AQ, MATCH($A46, 'Fluxo Projeto'!A:A, 0))*(pctSCPequity+pctSCPpermuta))</f>
        <v>0</v>
      </c>
      <c r="M46" s="398">
        <f>IFERROR(INDEX(Permutas!AJ:AJ, MATCH('Fluxo Bandeira Co'!A46, Permutas!N:N, 0)), 0)</f>
        <v>0</v>
      </c>
      <c r="N46" s="393">
        <f ca="1">IF($A46&lt;=baseData,IFERROR(INDEX('LDI - Fluxo de Caixa'!$AP$161:$AP$374,MATCH($A46,'LDI - Fluxo de Caixa'!$C$161:$C$374,0)), 0),SUM(L46:M46))</f>
        <v>0</v>
      </c>
      <c r="P46" s="397">
        <f t="shared" ca="1" si="19"/>
        <v>0</v>
      </c>
      <c r="Q46" s="398">
        <f t="shared" ca="1" si="20"/>
        <v>0</v>
      </c>
      <c r="S46" s="430">
        <v>0</v>
      </c>
      <c r="T46" s="390">
        <f t="shared" si="38"/>
        <v>-5000</v>
      </c>
      <c r="U46" s="390">
        <f t="shared" si="39"/>
        <v>-10000</v>
      </c>
      <c r="V46" s="390">
        <f t="shared" si="40"/>
        <v>-1666.6666666666667</v>
      </c>
      <c r="W46" s="390">
        <f t="shared" si="41"/>
        <v>-38755.717930517523</v>
      </c>
      <c r="X46" s="431">
        <v>0</v>
      </c>
      <c r="Y46" s="415">
        <f t="shared" si="42"/>
        <v>-10000</v>
      </c>
      <c r="Z46" s="415">
        <f t="shared" si="43"/>
        <v>-10000</v>
      </c>
      <c r="AA46" s="432">
        <v>0</v>
      </c>
      <c r="AB46" s="393">
        <f t="shared" si="22"/>
        <v>-75422.384597184195</v>
      </c>
      <c r="AD46" s="393">
        <f t="shared" ca="1" si="23"/>
        <v>-75422.384597184195</v>
      </c>
      <c r="AF46" s="393">
        <f t="shared" ca="1" si="44"/>
        <v>-227.06577534281513</v>
      </c>
      <c r="AH46" s="393">
        <f t="shared" ca="1" si="24"/>
        <v>956145.82361750759</v>
      </c>
      <c r="AJ46" s="397">
        <f t="shared" ca="1" si="25"/>
        <v>0</v>
      </c>
      <c r="AK46" s="390">
        <f>IF($A46&gt;baseData, INDEX(Permutas!AC:AC, MATCH('Fluxo Bandeira Co'!A46, Permutas!N:N, 0)), 0)</f>
        <v>0</v>
      </c>
      <c r="AL46" s="398">
        <f t="shared" si="37"/>
        <v>0</v>
      </c>
      <c r="AN46" s="393">
        <f t="shared" ca="1" si="26"/>
        <v>956145.82361750759</v>
      </c>
      <c r="AP46" s="393">
        <f t="shared" ca="1" si="45"/>
        <v>956145.82361750759</v>
      </c>
      <c r="AR46" s="397">
        <f t="shared" ca="1" si="27"/>
        <v>0</v>
      </c>
      <c r="AS46" s="398">
        <f t="shared" ca="1" si="33"/>
        <v>-27937497.977646906</v>
      </c>
      <c r="AU46" s="393">
        <f t="shared" ca="1" si="28"/>
        <v>0</v>
      </c>
      <c r="AW46" s="397">
        <f t="shared" ca="1" si="34"/>
        <v>-32726343.756193504</v>
      </c>
      <c r="AX46" s="390">
        <f t="shared" ca="1" si="35"/>
        <v>0</v>
      </c>
      <c r="AY46" s="390">
        <f t="shared" ca="1" si="29"/>
        <v>0</v>
      </c>
      <c r="AZ46" s="390">
        <f t="shared" ca="1" si="30"/>
        <v>0</v>
      </c>
      <c r="BA46" s="398">
        <f t="shared" ca="1" si="36"/>
        <v>-27937497.977646906</v>
      </c>
      <c r="BC46" s="393">
        <f t="shared" ca="1" si="31"/>
        <v>0</v>
      </c>
    </row>
    <row r="47" spans="1:55" x14ac:dyDescent="0.25">
      <c r="A47" s="197">
        <f t="shared" si="32"/>
        <v>44440</v>
      </c>
      <c r="B47" s="388">
        <f>IF($A47&lt;=baseData, INDEX(Indicadores!B:B, MATCH($A47,Indicadores!A:A, 0)), INDEX(Indicadores!B:B, MATCH(baseData,Indicadores!A:A, 0)))</f>
        <v>839.38199999999995</v>
      </c>
      <c r="C47" s="389">
        <f>IF($A47&lt;=baseData, INDEX(Indicadores!E:E, MATCH($A47, Indicadores!A:A, 0)), INDEX(Indicadores!E:E, MATCH(baseData, Indicadores!A:A, 0)))</f>
        <v>5486.52</v>
      </c>
      <c r="E47" s="397">
        <f t="shared" ca="1" si="17"/>
        <v>956145.82361750759</v>
      </c>
      <c r="F47" s="390">
        <f>IF($A47&lt;=baseData, -SUMIF('Fluxo Investidores'!$L47:$X47, "&lt;0", 'Fluxo Investidores'!$L47:$X47), 0)</f>
        <v>0</v>
      </c>
      <c r="G47" s="390">
        <f>IF($A47&lt;=baseData, -SUMIF('Fluxo Investidores'!$L47:$X47, "&gt;0", 'Fluxo Investidores'!$L47:$X47), 0)</f>
        <v>0</v>
      </c>
      <c r="H47" s="429"/>
      <c r="I47" s="390">
        <f t="shared" si="18"/>
        <v>0</v>
      </c>
      <c r="J47" s="398">
        <f>IF($A47&lt;=baseData, INDEX(Permutas!AC:AC, MATCH($A47, Permutas!N:N, 0)), 0)</f>
        <v>0</v>
      </c>
      <c r="L47" s="397">
        <f ca="1">IF(A47&lt;=baseData, N47-M47, -INDEX('Fluxo Projeto'!AQ:AQ, MATCH($A47, 'Fluxo Projeto'!A:A, 0))*(pctSCPequity+pctSCPpermuta))</f>
        <v>0</v>
      </c>
      <c r="M47" s="398">
        <f>IFERROR(INDEX(Permutas!AJ:AJ, MATCH('Fluxo Bandeira Co'!A47, Permutas!N:N, 0)), 0)</f>
        <v>0</v>
      </c>
      <c r="N47" s="393">
        <f ca="1">IF($A47&lt;=baseData,IFERROR(INDEX('LDI - Fluxo de Caixa'!$AP$161:$AP$374,MATCH($A47,'LDI - Fluxo de Caixa'!$C$161:$C$374,0)), 0),SUM(L47:M47))</f>
        <v>0</v>
      </c>
      <c r="P47" s="397">
        <f t="shared" ca="1" si="19"/>
        <v>0</v>
      </c>
      <c r="Q47" s="398">
        <f t="shared" ca="1" si="20"/>
        <v>0</v>
      </c>
      <c r="S47" s="430">
        <v>0</v>
      </c>
      <c r="T47" s="390">
        <f t="shared" si="38"/>
        <v>-5000</v>
      </c>
      <c r="U47" s="390">
        <f t="shared" si="39"/>
        <v>-10000</v>
      </c>
      <c r="V47" s="390">
        <f t="shared" si="40"/>
        <v>-1666.6666666666667</v>
      </c>
      <c r="W47" s="390">
        <f t="shared" si="41"/>
        <v>-38755.717930517523</v>
      </c>
      <c r="X47" s="431">
        <v>0</v>
      </c>
      <c r="Y47" s="415">
        <f t="shared" si="42"/>
        <v>-10000</v>
      </c>
      <c r="Z47" s="415">
        <f t="shared" si="43"/>
        <v>-10000</v>
      </c>
      <c r="AA47" s="432">
        <v>0</v>
      </c>
      <c r="AB47" s="393">
        <f t="shared" si="22"/>
        <v>-75422.384597184195</v>
      </c>
      <c r="AD47" s="393">
        <f t="shared" ca="1" si="23"/>
        <v>-75422.384597184195</v>
      </c>
      <c r="AF47" s="393">
        <f t="shared" ca="1" si="44"/>
        <v>-210.41770422239867</v>
      </c>
      <c r="AH47" s="393">
        <f t="shared" ca="1" si="24"/>
        <v>880513.02131610096</v>
      </c>
      <c r="AJ47" s="397">
        <f t="shared" ca="1" si="25"/>
        <v>0</v>
      </c>
      <c r="AK47" s="390">
        <f>IF($A47&gt;baseData, INDEX(Permutas!AC:AC, MATCH('Fluxo Bandeira Co'!A47, Permutas!N:N, 0)), 0)</f>
        <v>0</v>
      </c>
      <c r="AL47" s="398">
        <f t="shared" si="37"/>
        <v>0</v>
      </c>
      <c r="AN47" s="393">
        <f t="shared" ca="1" si="26"/>
        <v>880513.02131610096</v>
      </c>
      <c r="AP47" s="393">
        <f t="shared" ca="1" si="45"/>
        <v>880513.02131610096</v>
      </c>
      <c r="AR47" s="397">
        <f t="shared" ca="1" si="27"/>
        <v>0</v>
      </c>
      <c r="AS47" s="398">
        <f t="shared" ca="1" si="33"/>
        <v>-27937497.977646906</v>
      </c>
      <c r="AU47" s="393">
        <f t="shared" ca="1" si="28"/>
        <v>0</v>
      </c>
      <c r="AW47" s="397">
        <f t="shared" ca="1" si="34"/>
        <v>-32885640.889245573</v>
      </c>
      <c r="AX47" s="390">
        <f t="shared" ca="1" si="35"/>
        <v>0</v>
      </c>
      <c r="AY47" s="390">
        <f t="shared" ca="1" si="29"/>
        <v>0</v>
      </c>
      <c r="AZ47" s="390">
        <f t="shared" ca="1" si="30"/>
        <v>0</v>
      </c>
      <c r="BA47" s="398">
        <f t="shared" ca="1" si="36"/>
        <v>-27937497.977646906</v>
      </c>
      <c r="BC47" s="393">
        <f t="shared" ca="1" si="31"/>
        <v>0</v>
      </c>
    </row>
    <row r="48" spans="1:55" x14ac:dyDescent="0.25">
      <c r="A48" s="197">
        <f t="shared" si="32"/>
        <v>44470</v>
      </c>
      <c r="B48" s="388">
        <f>IF($A48&lt;=baseData, INDEX(Indicadores!B:B, MATCH($A48,Indicadores!A:A, 0)), INDEX(Indicadores!B:B, MATCH(baseData,Indicadores!A:A, 0)))</f>
        <v>839.38199999999995</v>
      </c>
      <c r="C48" s="389">
        <f>IF($A48&lt;=baseData, INDEX(Indicadores!E:E, MATCH($A48, Indicadores!A:A, 0)), INDEX(Indicadores!E:E, MATCH(baseData, Indicadores!A:A, 0)))</f>
        <v>5486.52</v>
      </c>
      <c r="E48" s="397">
        <f t="shared" ca="1" si="17"/>
        <v>880513.02131610096</v>
      </c>
      <c r="F48" s="390">
        <f>IF($A48&lt;=baseData, -SUMIF('Fluxo Investidores'!$L48:$X48, "&lt;0", 'Fluxo Investidores'!$L48:$X48), 0)</f>
        <v>0</v>
      </c>
      <c r="G48" s="390">
        <f>IF($A48&lt;=baseData, -SUMIF('Fluxo Investidores'!$L48:$X48, "&gt;0", 'Fluxo Investidores'!$L48:$X48), 0)</f>
        <v>0</v>
      </c>
      <c r="H48" s="429"/>
      <c r="I48" s="390">
        <f t="shared" si="18"/>
        <v>0</v>
      </c>
      <c r="J48" s="398">
        <f>IF($A48&lt;=baseData, INDEX(Permutas!AC:AC, MATCH($A48, Permutas!N:N, 0)), 0)</f>
        <v>0</v>
      </c>
      <c r="L48" s="397">
        <f ca="1">IF(A48&lt;=baseData, N48-M48, -INDEX('Fluxo Projeto'!AQ:AQ, MATCH($A48, 'Fluxo Projeto'!A:A, 0))*(pctSCPequity+pctSCPpermuta))</f>
        <v>0</v>
      </c>
      <c r="M48" s="398">
        <f>IFERROR(INDEX(Permutas!AJ:AJ, MATCH('Fluxo Bandeira Co'!A48, Permutas!N:N, 0)), 0)</f>
        <v>0</v>
      </c>
      <c r="N48" s="393">
        <f ca="1">IF($A48&lt;=baseData,IFERROR(INDEX('LDI - Fluxo de Caixa'!$AP$161:$AP$374,MATCH($A48,'LDI - Fluxo de Caixa'!$C$161:$C$374,0)), 0),SUM(L48:M48))</f>
        <v>0</v>
      </c>
      <c r="P48" s="397">
        <f t="shared" ca="1" si="19"/>
        <v>0</v>
      </c>
      <c r="Q48" s="398">
        <f t="shared" ca="1" si="20"/>
        <v>0</v>
      </c>
      <c r="S48" s="430">
        <v>0</v>
      </c>
      <c r="T48" s="390">
        <f t="shared" si="38"/>
        <v>-5000</v>
      </c>
      <c r="U48" s="390">
        <f t="shared" si="39"/>
        <v>-10000</v>
      </c>
      <c r="V48" s="390">
        <f t="shared" si="40"/>
        <v>-1666.6666666666667</v>
      </c>
      <c r="W48" s="390">
        <f t="shared" si="41"/>
        <v>-38755.717930517523</v>
      </c>
      <c r="X48" s="431">
        <v>0</v>
      </c>
      <c r="Y48" s="415">
        <f t="shared" si="42"/>
        <v>-10000</v>
      </c>
      <c r="Z48" s="415">
        <f t="shared" si="43"/>
        <v>-10000</v>
      </c>
      <c r="AA48" s="432">
        <v>0</v>
      </c>
      <c r="AB48" s="393">
        <f t="shared" si="22"/>
        <v>-75422.384597184195</v>
      </c>
      <c r="AD48" s="393">
        <f t="shared" ca="1" si="23"/>
        <v>-75422.384597184195</v>
      </c>
      <c r="AF48" s="393">
        <f t="shared" ca="1" si="44"/>
        <v>-193.77329682023353</v>
      </c>
      <c r="AH48" s="393">
        <f t="shared" ca="1" si="24"/>
        <v>804896.86342209647</v>
      </c>
      <c r="AJ48" s="397">
        <f t="shared" ca="1" si="25"/>
        <v>0</v>
      </c>
      <c r="AK48" s="390">
        <f>IF($A48&gt;baseData, INDEX(Permutas!AC:AC, MATCH('Fluxo Bandeira Co'!A48, Permutas!N:N, 0)), 0)</f>
        <v>0</v>
      </c>
      <c r="AL48" s="398">
        <f t="shared" si="37"/>
        <v>0</v>
      </c>
      <c r="AN48" s="393">
        <f t="shared" ca="1" si="26"/>
        <v>804896.86342209647</v>
      </c>
      <c r="AP48" s="393">
        <f t="shared" ca="1" si="45"/>
        <v>804896.86342209647</v>
      </c>
      <c r="AR48" s="397">
        <f t="shared" ca="1" si="27"/>
        <v>0</v>
      </c>
      <c r="AS48" s="398">
        <f t="shared" ca="1" si="33"/>
        <v>-27937497.977646906</v>
      </c>
      <c r="AU48" s="393">
        <f t="shared" ca="1" si="28"/>
        <v>0</v>
      </c>
      <c r="AW48" s="397">
        <f t="shared" ca="1" si="34"/>
        <v>-33045713.409147691</v>
      </c>
      <c r="AX48" s="390">
        <f t="shared" ca="1" si="35"/>
        <v>0</v>
      </c>
      <c r="AY48" s="390">
        <f t="shared" ca="1" si="29"/>
        <v>0</v>
      </c>
      <c r="AZ48" s="390">
        <f t="shared" ca="1" si="30"/>
        <v>0</v>
      </c>
      <c r="BA48" s="398">
        <f t="shared" ca="1" si="36"/>
        <v>-27937497.977646906</v>
      </c>
      <c r="BC48" s="393">
        <f t="shared" ca="1" si="31"/>
        <v>0</v>
      </c>
    </row>
    <row r="49" spans="1:55" x14ac:dyDescent="0.25">
      <c r="A49" s="197">
        <f t="shared" si="32"/>
        <v>44501</v>
      </c>
      <c r="B49" s="388">
        <f>IF($A49&lt;=baseData, INDEX(Indicadores!B:B, MATCH($A49,Indicadores!A:A, 0)), INDEX(Indicadores!B:B, MATCH(baseData,Indicadores!A:A, 0)))</f>
        <v>839.38199999999995</v>
      </c>
      <c r="C49" s="389">
        <f>IF($A49&lt;=baseData, INDEX(Indicadores!E:E, MATCH($A49, Indicadores!A:A, 0)), INDEX(Indicadores!E:E, MATCH(baseData, Indicadores!A:A, 0)))</f>
        <v>5486.52</v>
      </c>
      <c r="E49" s="397">
        <f t="shared" ref="E49:E80" ca="1" si="46">AP48</f>
        <v>804896.86342209647</v>
      </c>
      <c r="F49" s="390">
        <f>IF($A49&lt;=baseData, -SUMIF('Fluxo Investidores'!$L49:$X49, "&lt;0", 'Fluxo Investidores'!$L49:$X49), 0)</f>
        <v>0</v>
      </c>
      <c r="G49" s="390">
        <f>IF($A49&lt;=baseData, -SUMIF('Fluxo Investidores'!$L49:$X49, "&gt;0", 'Fluxo Investidores'!$L49:$X49), 0)</f>
        <v>0</v>
      </c>
      <c r="H49" s="429"/>
      <c r="I49" s="390">
        <f t="shared" ref="I49:I80" si="47">F49-J49</f>
        <v>0</v>
      </c>
      <c r="J49" s="398">
        <f>IF($A49&lt;=baseData, INDEX(Permutas!AC:AC, MATCH($A49, Permutas!N:N, 0)), 0)</f>
        <v>0</v>
      </c>
      <c r="L49" s="397">
        <f ca="1">IF(A49&lt;=baseData, N49-M49, -INDEX('Fluxo Projeto'!AQ:AQ, MATCH($A49, 'Fluxo Projeto'!A:A, 0))*(pctSCPequity+pctSCPpermuta))</f>
        <v>0</v>
      </c>
      <c r="M49" s="398">
        <f>IFERROR(INDEX(Permutas!AJ:AJ, MATCH('Fluxo Bandeira Co'!A49, Permutas!N:N, 0)), 0)</f>
        <v>0</v>
      </c>
      <c r="N49" s="393">
        <f ca="1">IF($A49&lt;=baseData,IFERROR(INDEX('LDI - Fluxo de Caixa'!$AP$161:$AP$374,MATCH($A49,'LDI - Fluxo de Caixa'!$C$161:$C$374,0)), 0),SUM(L49:M49))</f>
        <v>0</v>
      </c>
      <c r="P49" s="397">
        <f t="shared" ref="P49:P80" ca="1" si="48">F49+G49-N49</f>
        <v>0</v>
      </c>
      <c r="Q49" s="398">
        <f t="shared" ref="Q49:Q80" ca="1" si="49">P49*IF(A49&gt;baseData, 1, ipcaData/C49)</f>
        <v>0</v>
      </c>
      <c r="S49" s="430">
        <v>0</v>
      </c>
      <c r="T49" s="390">
        <f t="shared" si="38"/>
        <v>-5000</v>
      </c>
      <c r="U49" s="390">
        <f t="shared" si="39"/>
        <v>-10000</v>
      </c>
      <c r="V49" s="390">
        <f t="shared" si="40"/>
        <v>-1666.6666666666667</v>
      </c>
      <c r="W49" s="390">
        <f t="shared" si="41"/>
        <v>-38755.717930517523</v>
      </c>
      <c r="X49" s="431">
        <v>0</v>
      </c>
      <c r="Y49" s="415">
        <f t="shared" si="42"/>
        <v>-10000</v>
      </c>
      <c r="Z49" s="415">
        <f t="shared" si="43"/>
        <v>-10000</v>
      </c>
      <c r="AA49" s="432">
        <v>0</v>
      </c>
      <c r="AB49" s="393">
        <f t="shared" si="22"/>
        <v>-75422.384597184195</v>
      </c>
      <c r="AD49" s="393">
        <f t="shared" ca="1" si="23"/>
        <v>-75422.384597184195</v>
      </c>
      <c r="AF49" s="393">
        <f t="shared" ca="1" si="44"/>
        <v>-177.1325523300502</v>
      </c>
      <c r="AH49" s="393">
        <f t="shared" ca="1" si="24"/>
        <v>729297.3462725823</v>
      </c>
      <c r="AJ49" s="397">
        <f t="shared" ca="1" si="25"/>
        <v>0</v>
      </c>
      <c r="AK49" s="390">
        <f>IF($A49&gt;baseData, INDEX(Permutas!AC:AC, MATCH('Fluxo Bandeira Co'!A49, Permutas!N:N, 0)), 0)</f>
        <v>0</v>
      </c>
      <c r="AL49" s="398">
        <f t="shared" si="37"/>
        <v>0</v>
      </c>
      <c r="AN49" s="393">
        <f t="shared" ca="1" si="26"/>
        <v>729297.3462725823</v>
      </c>
      <c r="AP49" s="393">
        <f t="shared" ca="1" si="45"/>
        <v>729297.3462725823</v>
      </c>
      <c r="AR49" s="397">
        <f t="shared" ca="1" si="27"/>
        <v>0</v>
      </c>
      <c r="AS49" s="398">
        <f t="shared" ca="1" si="33"/>
        <v>-27937497.977646906</v>
      </c>
      <c r="AU49" s="393">
        <f t="shared" ca="1" si="28"/>
        <v>0</v>
      </c>
      <c r="AW49" s="397">
        <f t="shared" ca="1" si="34"/>
        <v>-33206565.090134554</v>
      </c>
      <c r="AX49" s="390">
        <f t="shared" ca="1" si="35"/>
        <v>0</v>
      </c>
      <c r="AY49" s="390">
        <f t="shared" ca="1" si="29"/>
        <v>0</v>
      </c>
      <c r="AZ49" s="390">
        <f t="shared" ca="1" si="30"/>
        <v>0</v>
      </c>
      <c r="BA49" s="398">
        <f t="shared" ca="1" si="36"/>
        <v>-27937497.977646906</v>
      </c>
      <c r="BC49" s="393">
        <f t="shared" ca="1" si="31"/>
        <v>0</v>
      </c>
    </row>
    <row r="50" spans="1:55" x14ac:dyDescent="0.25">
      <c r="A50" s="197">
        <f t="shared" si="32"/>
        <v>44531</v>
      </c>
      <c r="B50" s="388">
        <f>IF($A50&lt;=baseData, INDEX(Indicadores!B:B, MATCH($A50,Indicadores!A:A, 0)), INDEX(Indicadores!B:B, MATCH(baseData,Indicadores!A:A, 0)))</f>
        <v>839.38199999999995</v>
      </c>
      <c r="C50" s="389">
        <f>IF($A50&lt;=baseData, INDEX(Indicadores!E:E, MATCH($A50, Indicadores!A:A, 0)), INDEX(Indicadores!E:E, MATCH(baseData, Indicadores!A:A, 0)))</f>
        <v>5486.52</v>
      </c>
      <c r="E50" s="397">
        <f t="shared" ca="1" si="46"/>
        <v>729297.3462725823</v>
      </c>
      <c r="F50" s="390">
        <f>IF($A50&lt;=baseData, -SUMIF('Fluxo Investidores'!$L50:$X50, "&lt;0", 'Fluxo Investidores'!$L50:$X50), 0)</f>
        <v>0</v>
      </c>
      <c r="G50" s="390">
        <f>IF($A50&lt;=baseData, -SUMIF('Fluxo Investidores'!$L50:$X50, "&gt;0", 'Fluxo Investidores'!$L50:$X50), 0)</f>
        <v>0</v>
      </c>
      <c r="H50" s="429"/>
      <c r="I50" s="390">
        <f t="shared" si="47"/>
        <v>0</v>
      </c>
      <c r="J50" s="398">
        <f>IF($A50&lt;=baseData, INDEX(Permutas!AC:AC, MATCH($A50, Permutas!N:N, 0)), 0)</f>
        <v>0</v>
      </c>
      <c r="L50" s="397">
        <f ca="1">IF(A50&lt;=baseData, N50-M50, -INDEX('Fluxo Projeto'!AQ:AQ, MATCH($A50, 'Fluxo Projeto'!A:A, 0))*(pctSCPequity+pctSCPpermuta))</f>
        <v>0</v>
      </c>
      <c r="M50" s="398">
        <f>IFERROR(INDEX(Permutas!AJ:AJ, MATCH('Fluxo Bandeira Co'!A50, Permutas!N:N, 0)), 0)</f>
        <v>0</v>
      </c>
      <c r="N50" s="393">
        <f ca="1">IF($A50&lt;=baseData,IFERROR(INDEX('LDI - Fluxo de Caixa'!$AP$161:$AP$374,MATCH($A50,'LDI - Fluxo de Caixa'!$C$161:$C$374,0)), 0),SUM(L50:M50))</f>
        <v>0</v>
      </c>
      <c r="P50" s="397">
        <f t="shared" ca="1" si="48"/>
        <v>0</v>
      </c>
      <c r="Q50" s="398">
        <f t="shared" ca="1" si="49"/>
        <v>0</v>
      </c>
      <c r="S50" s="430">
        <v>0</v>
      </c>
      <c r="T50" s="390">
        <f t="shared" si="38"/>
        <v>-5000</v>
      </c>
      <c r="U50" s="390">
        <f t="shared" si="39"/>
        <v>-10000</v>
      </c>
      <c r="V50" s="390">
        <f t="shared" si="40"/>
        <v>-1666.6666666666667</v>
      </c>
      <c r="W50" s="390">
        <f t="shared" si="41"/>
        <v>-38755.717930517523</v>
      </c>
      <c r="X50" s="431">
        <v>0</v>
      </c>
      <c r="Y50" s="415">
        <f t="shared" si="42"/>
        <v>-10000</v>
      </c>
      <c r="Z50" s="415">
        <f t="shared" si="43"/>
        <v>-10000</v>
      </c>
      <c r="AA50" s="432">
        <v>0</v>
      </c>
      <c r="AB50" s="393">
        <f t="shared" si="22"/>
        <v>-75422.384597184195</v>
      </c>
      <c r="AD50" s="393">
        <f t="shared" ca="1" si="23"/>
        <v>-75422.384597184195</v>
      </c>
      <c r="AF50" s="393">
        <f t="shared" ca="1" si="44"/>
        <v>-160.4954699457567</v>
      </c>
      <c r="AH50" s="393">
        <f t="shared" ca="1" si="24"/>
        <v>653714.46620545234</v>
      </c>
      <c r="AJ50" s="397">
        <f t="shared" ca="1" si="25"/>
        <v>0</v>
      </c>
      <c r="AK50" s="390">
        <f>IF($A50&gt;baseData, INDEX(Permutas!AC:AC, MATCH('Fluxo Bandeira Co'!A50, Permutas!N:N, 0)), 0)</f>
        <v>0</v>
      </c>
      <c r="AL50" s="398">
        <f t="shared" si="37"/>
        <v>0</v>
      </c>
      <c r="AN50" s="393">
        <f t="shared" ca="1" si="26"/>
        <v>653714.46620545234</v>
      </c>
      <c r="AP50" s="393">
        <f t="shared" ca="1" si="45"/>
        <v>653714.46620545234</v>
      </c>
      <c r="AR50" s="397">
        <f t="shared" ca="1" si="27"/>
        <v>0</v>
      </c>
      <c r="AS50" s="398">
        <f t="shared" ca="1" si="33"/>
        <v>-27937497.977646906</v>
      </c>
      <c r="AU50" s="393">
        <f t="shared" ca="1" si="28"/>
        <v>0</v>
      </c>
      <c r="AW50" s="397">
        <f t="shared" ca="1" si="34"/>
        <v>-33368199.724812139</v>
      </c>
      <c r="AX50" s="390">
        <f t="shared" ca="1" si="35"/>
        <v>0</v>
      </c>
      <c r="AY50" s="390">
        <f t="shared" ca="1" si="29"/>
        <v>0</v>
      </c>
      <c r="AZ50" s="390">
        <f t="shared" ca="1" si="30"/>
        <v>0</v>
      </c>
      <c r="BA50" s="398">
        <f t="shared" ca="1" si="36"/>
        <v>-27937497.977646906</v>
      </c>
      <c r="BC50" s="393">
        <f t="shared" ca="1" si="31"/>
        <v>0</v>
      </c>
    </row>
    <row r="51" spans="1:55" x14ac:dyDescent="0.25">
      <c r="A51" s="197">
        <f t="shared" si="32"/>
        <v>44562</v>
      </c>
      <c r="B51" s="388">
        <f>IF($A51&lt;=baseData, INDEX(Indicadores!B:B, MATCH($A51,Indicadores!A:A, 0)), INDEX(Indicadores!B:B, MATCH(baseData,Indicadores!A:A, 0)))</f>
        <v>839.38199999999995</v>
      </c>
      <c r="C51" s="389">
        <f>IF($A51&lt;=baseData, INDEX(Indicadores!E:E, MATCH($A51, Indicadores!A:A, 0)), INDEX(Indicadores!E:E, MATCH(baseData, Indicadores!A:A, 0)))</f>
        <v>5486.52</v>
      </c>
      <c r="E51" s="397">
        <f t="shared" ca="1" si="46"/>
        <v>653714.46620545234</v>
      </c>
      <c r="F51" s="390">
        <f>IF($A51&lt;=baseData, -SUMIF('Fluxo Investidores'!$L51:$X51, "&lt;0", 'Fluxo Investidores'!$L51:$X51), 0)</f>
        <v>0</v>
      </c>
      <c r="G51" s="390">
        <f>IF($A51&lt;=baseData, -SUMIF('Fluxo Investidores'!$L51:$X51, "&gt;0", 'Fluxo Investidores'!$L51:$X51), 0)</f>
        <v>0</v>
      </c>
      <c r="H51" s="429"/>
      <c r="I51" s="390">
        <f t="shared" si="47"/>
        <v>0</v>
      </c>
      <c r="J51" s="398">
        <f>IF($A51&lt;=baseData, INDEX(Permutas!AC:AC, MATCH($A51, Permutas!N:N, 0)), 0)</f>
        <v>0</v>
      </c>
      <c r="L51" s="397">
        <f ca="1">IF(A51&lt;=baseData, N51-M51, -INDEX('Fluxo Projeto'!AQ:AQ, MATCH($A51, 'Fluxo Projeto'!A:A, 0))*(pctSCPequity+pctSCPpermuta))</f>
        <v>0</v>
      </c>
      <c r="M51" s="398">
        <f>IFERROR(INDEX(Permutas!AJ:AJ, MATCH('Fluxo Bandeira Co'!A51, Permutas!N:N, 0)), 0)</f>
        <v>3003946.7367434842</v>
      </c>
      <c r="N51" s="393">
        <f ca="1">IF($A51&lt;=baseData,IFERROR(INDEX('LDI - Fluxo de Caixa'!$AP$161:$AP$374,MATCH($A51,'LDI - Fluxo de Caixa'!$C$161:$C$374,0)), 0),SUM(L51:M51))</f>
        <v>3003946.7367434842</v>
      </c>
      <c r="P51" s="397">
        <f t="shared" ca="1" si="48"/>
        <v>-3003946.7367434842</v>
      </c>
      <c r="Q51" s="398">
        <f t="shared" ca="1" si="49"/>
        <v>-3003946.7367434842</v>
      </c>
      <c r="S51" s="430">
        <v>0</v>
      </c>
      <c r="T51" s="390">
        <f t="shared" si="38"/>
        <v>-5000</v>
      </c>
      <c r="U51" s="390">
        <f t="shared" si="39"/>
        <v>-10000</v>
      </c>
      <c r="V51" s="390">
        <f t="shared" si="40"/>
        <v>-1666.6666666666667</v>
      </c>
      <c r="W51" s="390">
        <f t="shared" si="41"/>
        <v>-38755.717930517523</v>
      </c>
      <c r="X51" s="431">
        <v>0</v>
      </c>
      <c r="Y51" s="415">
        <f t="shared" si="42"/>
        <v>-10000</v>
      </c>
      <c r="Z51" s="415">
        <f t="shared" si="43"/>
        <v>-10000</v>
      </c>
      <c r="AA51" s="432">
        <v>0</v>
      </c>
      <c r="AB51" s="393">
        <f t="shared" si="22"/>
        <v>-75422.384597184195</v>
      </c>
      <c r="AD51" s="393">
        <f t="shared" ca="1" si="23"/>
        <v>-3079369.1213406683</v>
      </c>
      <c r="AF51" s="393">
        <f t="shared" ca="1" si="44"/>
        <v>-143.86204886143835</v>
      </c>
      <c r="AH51" s="393">
        <f t="shared" ca="1" si="24"/>
        <v>-2425798.5171840778</v>
      </c>
      <c r="AJ51" s="397">
        <f t="shared" ca="1" si="25"/>
        <v>993854.15527431574</v>
      </c>
      <c r="AK51" s="390">
        <f>IF($A51&gt;baseData, INDEX(Permutas!AC:AC, MATCH('Fluxo Bandeira Co'!A51, Permutas!N:N, 0)), 0)</f>
        <v>2931944.361909762</v>
      </c>
      <c r="AL51" s="398">
        <f t="shared" si="37"/>
        <v>0</v>
      </c>
      <c r="AN51" s="393">
        <f t="shared" ca="1" si="26"/>
        <v>1500000</v>
      </c>
      <c r="AP51" s="393">
        <f t="shared" ca="1" si="45"/>
        <v>1500000</v>
      </c>
      <c r="AR51" s="397">
        <f t="shared" ca="1" si="27"/>
        <v>-993854.15527431574</v>
      </c>
      <c r="AS51" s="398">
        <f t="shared" ca="1" si="33"/>
        <v>-28931352.132921223</v>
      </c>
      <c r="AU51" s="393">
        <f t="shared" ca="1" si="28"/>
        <v>-993854.15527431574</v>
      </c>
      <c r="AW51" s="397">
        <f t="shared" ca="1" si="34"/>
        <v>-34524475.279521443</v>
      </c>
      <c r="AX51" s="390">
        <f t="shared" ca="1" si="35"/>
        <v>0</v>
      </c>
      <c r="AY51" s="390">
        <f t="shared" ca="1" si="29"/>
        <v>0</v>
      </c>
      <c r="AZ51" s="390">
        <f t="shared" ca="1" si="30"/>
        <v>-993854.15527431574</v>
      </c>
      <c r="BA51" s="398">
        <f t="shared" ca="1" si="36"/>
        <v>-28931352.132921223</v>
      </c>
      <c r="BC51" s="393">
        <f t="shared" ca="1" si="31"/>
        <v>-993854.15527431574</v>
      </c>
    </row>
    <row r="52" spans="1:55" x14ac:dyDescent="0.25">
      <c r="A52" s="197">
        <f t="shared" si="32"/>
        <v>44593</v>
      </c>
      <c r="B52" s="388">
        <f>IF($A52&lt;=baseData, INDEX(Indicadores!B:B, MATCH($A52,Indicadores!A:A, 0)), INDEX(Indicadores!B:B, MATCH(baseData,Indicadores!A:A, 0)))</f>
        <v>839.38199999999995</v>
      </c>
      <c r="C52" s="389">
        <f>IF($A52&lt;=baseData, INDEX(Indicadores!E:E, MATCH($A52, Indicadores!A:A, 0)), INDEX(Indicadores!E:E, MATCH(baseData, Indicadores!A:A, 0)))</f>
        <v>5486.52</v>
      </c>
      <c r="E52" s="397">
        <f t="shared" ca="1" si="46"/>
        <v>1500000</v>
      </c>
      <c r="F52" s="390">
        <f>IF($A52&lt;=baseData, -SUMIF('Fluxo Investidores'!$L52:$X52, "&lt;0", 'Fluxo Investidores'!$L52:$X52), 0)</f>
        <v>0</v>
      </c>
      <c r="G52" s="390">
        <f>IF($A52&lt;=baseData, -SUMIF('Fluxo Investidores'!$L52:$X52, "&gt;0", 'Fluxo Investidores'!$L52:$X52), 0)</f>
        <v>0</v>
      </c>
      <c r="H52" s="429"/>
      <c r="I52" s="390">
        <f t="shared" si="47"/>
        <v>0</v>
      </c>
      <c r="J52" s="398">
        <f>IF($A52&lt;=baseData, INDEX(Permutas!AC:AC, MATCH($A52, Permutas!N:N, 0)), 0)</f>
        <v>0</v>
      </c>
      <c r="L52" s="397">
        <f ca="1">IF(A52&lt;=baseData, N52-M52, -INDEX('Fluxo Projeto'!AQ:AQ, MATCH($A52, 'Fluxo Projeto'!A:A, 0))*(pctSCPequity+pctSCPpermuta))</f>
        <v>0</v>
      </c>
      <c r="M52" s="398">
        <f>IFERROR(INDEX(Permutas!AJ:AJ, MATCH('Fluxo Bandeira Co'!A52, Permutas!N:N, 0)), 0)</f>
        <v>0</v>
      </c>
      <c r="N52" s="393">
        <f ca="1">IF($A52&lt;=baseData,IFERROR(INDEX('LDI - Fluxo de Caixa'!$AP$161:$AP$374,MATCH($A52,'LDI - Fluxo de Caixa'!$C$161:$C$374,0)), 0),SUM(L52:M52))</f>
        <v>0</v>
      </c>
      <c r="P52" s="397">
        <f t="shared" ca="1" si="48"/>
        <v>0</v>
      </c>
      <c r="Q52" s="398">
        <f t="shared" ca="1" si="49"/>
        <v>0</v>
      </c>
      <c r="S52" s="430">
        <v>0</v>
      </c>
      <c r="T52" s="390">
        <f t="shared" si="38"/>
        <v>-5000</v>
      </c>
      <c r="U52" s="390">
        <f t="shared" si="39"/>
        <v>-10000</v>
      </c>
      <c r="V52" s="390">
        <f t="shared" si="40"/>
        <v>-1666.6666666666667</v>
      </c>
      <c r="W52" s="390">
        <f t="shared" si="41"/>
        <v>-38755.717930517523</v>
      </c>
      <c r="X52" s="431">
        <v>0</v>
      </c>
      <c r="Y52" s="415">
        <f t="shared" si="42"/>
        <v>-10000</v>
      </c>
      <c r="Z52" s="415">
        <f t="shared" si="43"/>
        <v>-10000</v>
      </c>
      <c r="AA52" s="432">
        <v>0</v>
      </c>
      <c r="AB52" s="393">
        <f t="shared" si="22"/>
        <v>-75422.384597184195</v>
      </c>
      <c r="AD52" s="393">
        <f t="shared" ca="1" si="23"/>
        <v>-75422.384597184195</v>
      </c>
      <c r="AF52" s="393">
        <f t="shared" ca="1" si="44"/>
        <v>-330.10294929642436</v>
      </c>
      <c r="AH52" s="393">
        <f t="shared" ca="1" si="24"/>
        <v>1424247.5124535195</v>
      </c>
      <c r="AJ52" s="397">
        <f t="shared" ca="1" si="25"/>
        <v>0</v>
      </c>
      <c r="AK52" s="390">
        <f>IF($A52&gt;baseData, INDEX(Permutas!AC:AC, MATCH('Fluxo Bandeira Co'!A52, Permutas!N:N, 0)), 0)</f>
        <v>0</v>
      </c>
      <c r="AL52" s="398">
        <f t="shared" si="37"/>
        <v>0</v>
      </c>
      <c r="AN52" s="393">
        <f t="shared" ca="1" si="26"/>
        <v>1424247.5124535195</v>
      </c>
      <c r="AP52" s="393">
        <f t="shared" ca="1" si="45"/>
        <v>1424247.5124535195</v>
      </c>
      <c r="AR52" s="397">
        <f t="shared" ca="1" si="27"/>
        <v>0</v>
      </c>
      <c r="AS52" s="398">
        <f t="shared" ca="1" si="33"/>
        <v>-28931352.132921223</v>
      </c>
      <c r="AU52" s="393">
        <f t="shared" ca="1" si="28"/>
        <v>0</v>
      </c>
      <c r="AW52" s="397">
        <f t="shared" ca="1" si="34"/>
        <v>-34692524.908686452</v>
      </c>
      <c r="AX52" s="390">
        <f t="shared" ca="1" si="35"/>
        <v>0</v>
      </c>
      <c r="AY52" s="390">
        <f t="shared" ca="1" si="29"/>
        <v>0</v>
      </c>
      <c r="AZ52" s="390">
        <f t="shared" ca="1" si="30"/>
        <v>0</v>
      </c>
      <c r="BA52" s="398">
        <f t="shared" ca="1" si="36"/>
        <v>-28931352.132921223</v>
      </c>
      <c r="BC52" s="393">
        <f t="shared" ca="1" si="31"/>
        <v>0</v>
      </c>
    </row>
    <row r="53" spans="1:55" x14ac:dyDescent="0.25">
      <c r="A53" s="197">
        <f t="shared" si="32"/>
        <v>44621</v>
      </c>
      <c r="B53" s="388">
        <f>IF($A53&lt;=baseData, INDEX(Indicadores!B:B, MATCH($A53,Indicadores!A:A, 0)), INDEX(Indicadores!B:B, MATCH(baseData,Indicadores!A:A, 0)))</f>
        <v>839.38199999999995</v>
      </c>
      <c r="C53" s="389">
        <f>IF($A53&lt;=baseData, INDEX(Indicadores!E:E, MATCH($A53, Indicadores!A:A, 0)), INDEX(Indicadores!E:E, MATCH(baseData, Indicadores!A:A, 0)))</f>
        <v>5486.52</v>
      </c>
      <c r="E53" s="397">
        <f t="shared" ca="1" si="46"/>
        <v>1424247.5124535195</v>
      </c>
      <c r="F53" s="390">
        <f>IF($A53&lt;=baseData, -SUMIF('Fluxo Investidores'!$L53:$X53, "&lt;0", 'Fluxo Investidores'!$L53:$X53), 0)</f>
        <v>0</v>
      </c>
      <c r="G53" s="390">
        <f>IF($A53&lt;=baseData, -SUMIF('Fluxo Investidores'!$L53:$X53, "&gt;0", 'Fluxo Investidores'!$L53:$X53), 0)</f>
        <v>0</v>
      </c>
      <c r="H53" s="429"/>
      <c r="I53" s="390">
        <f t="shared" si="47"/>
        <v>0</v>
      </c>
      <c r="J53" s="398">
        <f>IF($A53&lt;=baseData, INDEX(Permutas!AC:AC, MATCH($A53, Permutas!N:N, 0)), 0)</f>
        <v>0</v>
      </c>
      <c r="L53" s="397">
        <f ca="1">IF(A53&lt;=baseData, N53-M53, -INDEX('Fluxo Projeto'!AQ:AQ, MATCH($A53, 'Fluxo Projeto'!A:A, 0))*(pctSCPequity+pctSCPpermuta))</f>
        <v>0</v>
      </c>
      <c r="M53" s="398">
        <f>IFERROR(INDEX(Permutas!AJ:AJ, MATCH('Fluxo Bandeira Co'!A53, Permutas!N:N, 0)), 0)</f>
        <v>0</v>
      </c>
      <c r="N53" s="393">
        <f ca="1">IF($A53&lt;=baseData,IFERROR(INDEX('LDI - Fluxo de Caixa'!$AP$161:$AP$374,MATCH($A53,'LDI - Fluxo de Caixa'!$C$161:$C$374,0)), 0),SUM(L53:M53))</f>
        <v>0</v>
      </c>
      <c r="P53" s="397">
        <f t="shared" ca="1" si="48"/>
        <v>0</v>
      </c>
      <c r="Q53" s="398">
        <f t="shared" ca="1" si="49"/>
        <v>0</v>
      </c>
      <c r="S53" s="430">
        <v>0</v>
      </c>
      <c r="T53" s="390">
        <f t="shared" si="38"/>
        <v>-5000</v>
      </c>
      <c r="U53" s="390">
        <f t="shared" si="39"/>
        <v>-10000</v>
      </c>
      <c r="V53" s="390">
        <f t="shared" si="40"/>
        <v>-1666.6666666666667</v>
      </c>
      <c r="W53" s="390">
        <f t="shared" si="41"/>
        <v>-38755.717930517523</v>
      </c>
      <c r="X53" s="431">
        <v>0</v>
      </c>
      <c r="Y53" s="415">
        <f t="shared" si="42"/>
        <v>-10000</v>
      </c>
      <c r="Z53" s="415">
        <f t="shared" si="43"/>
        <v>-10000</v>
      </c>
      <c r="AA53" s="432">
        <v>0</v>
      </c>
      <c r="AB53" s="393">
        <f t="shared" si="22"/>
        <v>-75422.384597184195</v>
      </c>
      <c r="AD53" s="393">
        <f t="shared" ca="1" si="23"/>
        <v>-75422.384597184195</v>
      </c>
      <c r="AF53" s="393">
        <f t="shared" ca="1" si="44"/>
        <v>-313.43220292600176</v>
      </c>
      <c r="AH53" s="393">
        <f t="shared" ca="1" si="24"/>
        <v>1348511.6956534095</v>
      </c>
      <c r="AJ53" s="397">
        <f t="shared" ca="1" si="25"/>
        <v>0</v>
      </c>
      <c r="AK53" s="390">
        <f>IF($A53&gt;baseData, INDEX(Permutas!AC:AC, MATCH('Fluxo Bandeira Co'!A53, Permutas!N:N, 0)), 0)</f>
        <v>0</v>
      </c>
      <c r="AL53" s="398">
        <f t="shared" si="37"/>
        <v>0</v>
      </c>
      <c r="AN53" s="393">
        <f t="shared" ca="1" si="26"/>
        <v>1348511.6956534095</v>
      </c>
      <c r="AP53" s="393">
        <f t="shared" ca="1" si="45"/>
        <v>1348511.6956534095</v>
      </c>
      <c r="AR53" s="397">
        <f t="shared" ca="1" si="27"/>
        <v>0</v>
      </c>
      <c r="AS53" s="398">
        <f t="shared" ca="1" si="33"/>
        <v>-28931352.132921223</v>
      </c>
      <c r="AU53" s="393">
        <f t="shared" ca="1" si="28"/>
        <v>0</v>
      </c>
      <c r="AW53" s="397">
        <f t="shared" ca="1" si="34"/>
        <v>-34861392.527918905</v>
      </c>
      <c r="AX53" s="390">
        <f t="shared" ca="1" si="35"/>
        <v>0</v>
      </c>
      <c r="AY53" s="390">
        <f t="shared" ca="1" si="29"/>
        <v>0</v>
      </c>
      <c r="AZ53" s="390">
        <f t="shared" ca="1" si="30"/>
        <v>0</v>
      </c>
      <c r="BA53" s="398">
        <f t="shared" ca="1" si="36"/>
        <v>-28931352.132921223</v>
      </c>
      <c r="BC53" s="393">
        <f t="shared" ca="1" si="31"/>
        <v>0</v>
      </c>
    </row>
    <row r="54" spans="1:55" x14ac:dyDescent="0.25">
      <c r="A54" s="197">
        <f t="shared" si="32"/>
        <v>44652</v>
      </c>
      <c r="B54" s="388">
        <f>IF($A54&lt;=baseData, INDEX(Indicadores!B:B, MATCH($A54,Indicadores!A:A, 0)), INDEX(Indicadores!B:B, MATCH(baseData,Indicadores!A:A, 0)))</f>
        <v>839.38199999999995</v>
      </c>
      <c r="C54" s="389">
        <f>IF($A54&lt;=baseData, INDEX(Indicadores!E:E, MATCH($A54, Indicadores!A:A, 0)), INDEX(Indicadores!E:E, MATCH(baseData, Indicadores!A:A, 0)))</f>
        <v>5486.52</v>
      </c>
      <c r="E54" s="397">
        <f t="shared" ca="1" si="46"/>
        <v>1348511.6956534095</v>
      </c>
      <c r="F54" s="390">
        <f>IF($A54&lt;=baseData, -SUMIF('Fluxo Investidores'!$L54:$X54, "&lt;0", 'Fluxo Investidores'!$L54:$X54), 0)</f>
        <v>0</v>
      </c>
      <c r="G54" s="390">
        <f>IF($A54&lt;=baseData, -SUMIF('Fluxo Investidores'!$L54:$X54, "&gt;0", 'Fluxo Investidores'!$L54:$X54), 0)</f>
        <v>0</v>
      </c>
      <c r="H54" s="429"/>
      <c r="I54" s="390">
        <f t="shared" si="47"/>
        <v>0</v>
      </c>
      <c r="J54" s="398">
        <f>IF($A54&lt;=baseData, INDEX(Permutas!AC:AC, MATCH($A54, Permutas!N:N, 0)), 0)</f>
        <v>0</v>
      </c>
      <c r="L54" s="397">
        <f ca="1">IF(A54&lt;=baseData, N54-M54, -INDEX('Fluxo Projeto'!AQ:AQ, MATCH($A54, 'Fluxo Projeto'!A:A, 0))*(pctSCPequity+pctSCPpermuta))</f>
        <v>0</v>
      </c>
      <c r="M54" s="398">
        <f>IFERROR(INDEX(Permutas!AJ:AJ, MATCH('Fluxo Bandeira Co'!A54, Permutas!N:N, 0)), 0)</f>
        <v>0</v>
      </c>
      <c r="N54" s="393">
        <f ca="1">IF($A54&lt;=baseData,IFERROR(INDEX('LDI - Fluxo de Caixa'!$AP$161:$AP$374,MATCH($A54,'LDI - Fluxo de Caixa'!$C$161:$C$374,0)), 0),SUM(L54:M54))</f>
        <v>0</v>
      </c>
      <c r="P54" s="397">
        <f t="shared" ca="1" si="48"/>
        <v>0</v>
      </c>
      <c r="Q54" s="398">
        <f t="shared" ca="1" si="49"/>
        <v>0</v>
      </c>
      <c r="S54" s="430">
        <v>0</v>
      </c>
      <c r="T54" s="390">
        <f t="shared" si="38"/>
        <v>-5000</v>
      </c>
      <c r="U54" s="390">
        <f t="shared" si="39"/>
        <v>-10000</v>
      </c>
      <c r="V54" s="390">
        <f t="shared" si="40"/>
        <v>-1666.6666666666667</v>
      </c>
      <c r="W54" s="390">
        <f t="shared" si="41"/>
        <v>-38755.717930517523</v>
      </c>
      <c r="X54" s="431">
        <v>0</v>
      </c>
      <c r="Y54" s="415">
        <f t="shared" si="42"/>
        <v>-10000</v>
      </c>
      <c r="Z54" s="415">
        <f t="shared" si="43"/>
        <v>-10000</v>
      </c>
      <c r="AA54" s="432">
        <v>0</v>
      </c>
      <c r="AB54" s="393">
        <f t="shared" si="22"/>
        <v>-75422.384597184195</v>
      </c>
      <c r="AD54" s="393">
        <f t="shared" ca="1" si="23"/>
        <v>-75422.384597184195</v>
      </c>
      <c r="AF54" s="393">
        <f t="shared" ca="1" si="44"/>
        <v>-296.76512526394174</v>
      </c>
      <c r="AH54" s="393">
        <f t="shared" ca="1" si="24"/>
        <v>1272792.5459309614</v>
      </c>
      <c r="AJ54" s="397">
        <f t="shared" ca="1" si="25"/>
        <v>0</v>
      </c>
      <c r="AK54" s="390">
        <f>IF($A54&gt;baseData, INDEX(Permutas!AC:AC, MATCH('Fluxo Bandeira Co'!A54, Permutas!N:N, 0)), 0)</f>
        <v>0</v>
      </c>
      <c r="AL54" s="398">
        <f t="shared" si="37"/>
        <v>0</v>
      </c>
      <c r="AN54" s="393">
        <f t="shared" ca="1" si="26"/>
        <v>1272792.5459309614</v>
      </c>
      <c r="AP54" s="393">
        <f t="shared" ca="1" si="45"/>
        <v>1272792.5459309614</v>
      </c>
      <c r="AR54" s="397">
        <f t="shared" ca="1" si="27"/>
        <v>0</v>
      </c>
      <c r="AS54" s="398">
        <f t="shared" ca="1" si="33"/>
        <v>-28931352.132921223</v>
      </c>
      <c r="AU54" s="393">
        <f t="shared" ca="1" si="28"/>
        <v>0</v>
      </c>
      <c r="AW54" s="397">
        <f t="shared" ca="1" si="34"/>
        <v>-35031082.118826821</v>
      </c>
      <c r="AX54" s="390">
        <f t="shared" ca="1" si="35"/>
        <v>0</v>
      </c>
      <c r="AY54" s="390">
        <f t="shared" ca="1" si="29"/>
        <v>0</v>
      </c>
      <c r="AZ54" s="390">
        <f t="shared" ca="1" si="30"/>
        <v>0</v>
      </c>
      <c r="BA54" s="398">
        <f t="shared" ca="1" si="36"/>
        <v>-28931352.132921223</v>
      </c>
      <c r="BC54" s="393">
        <f t="shared" ca="1" si="31"/>
        <v>0</v>
      </c>
    </row>
    <row r="55" spans="1:55" x14ac:dyDescent="0.25">
      <c r="A55" s="197">
        <f t="shared" si="32"/>
        <v>44682</v>
      </c>
      <c r="B55" s="388">
        <f>IF($A55&lt;=baseData, INDEX(Indicadores!B:B, MATCH($A55,Indicadores!A:A, 0)), INDEX(Indicadores!B:B, MATCH(baseData,Indicadores!A:A, 0)))</f>
        <v>839.38199999999995</v>
      </c>
      <c r="C55" s="389">
        <f>IF($A55&lt;=baseData, INDEX(Indicadores!E:E, MATCH($A55, Indicadores!A:A, 0)), INDEX(Indicadores!E:E, MATCH(baseData, Indicadores!A:A, 0)))</f>
        <v>5486.52</v>
      </c>
      <c r="E55" s="397">
        <f t="shared" ca="1" si="46"/>
        <v>1272792.5459309614</v>
      </c>
      <c r="F55" s="390">
        <f>IF($A55&lt;=baseData, -SUMIF('Fluxo Investidores'!$L55:$X55, "&lt;0", 'Fluxo Investidores'!$L55:$X55), 0)</f>
        <v>0</v>
      </c>
      <c r="G55" s="390">
        <f>IF($A55&lt;=baseData, -SUMIF('Fluxo Investidores'!$L55:$X55, "&gt;0", 'Fluxo Investidores'!$L55:$X55), 0)</f>
        <v>0</v>
      </c>
      <c r="H55" s="429"/>
      <c r="I55" s="390">
        <f t="shared" si="47"/>
        <v>0</v>
      </c>
      <c r="J55" s="398">
        <f>IF($A55&lt;=baseData, INDEX(Permutas!AC:AC, MATCH($A55, Permutas!N:N, 0)), 0)</f>
        <v>0</v>
      </c>
      <c r="L55" s="397">
        <f ca="1">IF(A55&lt;=baseData, N55-M55, -INDEX('Fluxo Projeto'!AQ:AQ, MATCH($A55, 'Fluxo Projeto'!A:A, 0))*(pctSCPequity+pctSCPpermuta))</f>
        <v>0</v>
      </c>
      <c r="M55" s="398">
        <f>IFERROR(INDEX(Permutas!AJ:AJ, MATCH('Fluxo Bandeira Co'!A55, Permutas!N:N, 0)), 0)</f>
        <v>0</v>
      </c>
      <c r="N55" s="393">
        <f ca="1">IF($A55&lt;=baseData,IFERROR(INDEX('LDI - Fluxo de Caixa'!$AP$161:$AP$374,MATCH($A55,'LDI - Fluxo de Caixa'!$C$161:$C$374,0)), 0),SUM(L55:M55))</f>
        <v>0</v>
      </c>
      <c r="P55" s="397">
        <f t="shared" ca="1" si="48"/>
        <v>0</v>
      </c>
      <c r="Q55" s="398">
        <f t="shared" ca="1" si="49"/>
        <v>0</v>
      </c>
      <c r="S55" s="430">
        <v>0</v>
      </c>
      <c r="T55" s="390">
        <f t="shared" si="38"/>
        <v>-5000</v>
      </c>
      <c r="U55" s="390">
        <f t="shared" si="39"/>
        <v>-10000</v>
      </c>
      <c r="V55" s="390">
        <f t="shared" si="40"/>
        <v>-1666.6666666666667</v>
      </c>
      <c r="W55" s="390">
        <f t="shared" si="41"/>
        <v>-38755.717930517523</v>
      </c>
      <c r="X55" s="431">
        <v>0</v>
      </c>
      <c r="Y55" s="415">
        <f t="shared" si="42"/>
        <v>-10000</v>
      </c>
      <c r="Z55" s="415">
        <f t="shared" si="43"/>
        <v>-10000</v>
      </c>
      <c r="AA55" s="432">
        <v>0</v>
      </c>
      <c r="AB55" s="393">
        <f t="shared" si="22"/>
        <v>-75422.384597184195</v>
      </c>
      <c r="AD55" s="393">
        <f t="shared" ca="1" si="23"/>
        <v>-75422.384597184195</v>
      </c>
      <c r="AF55" s="393">
        <f t="shared" ca="1" si="44"/>
        <v>-280.10171550287669</v>
      </c>
      <c r="AH55" s="393">
        <f t="shared" ca="1" si="24"/>
        <v>1197090.0596182744</v>
      </c>
      <c r="AJ55" s="397">
        <f t="shared" ca="1" si="25"/>
        <v>0</v>
      </c>
      <c r="AK55" s="390">
        <f>IF($A55&gt;baseData, INDEX(Permutas!AC:AC, MATCH('Fluxo Bandeira Co'!A55, Permutas!N:N, 0)), 0)</f>
        <v>0</v>
      </c>
      <c r="AL55" s="398">
        <f t="shared" si="37"/>
        <v>0</v>
      </c>
      <c r="AN55" s="393">
        <f t="shared" ca="1" si="26"/>
        <v>1197090.0596182744</v>
      </c>
      <c r="AP55" s="393">
        <f t="shared" ca="1" si="45"/>
        <v>1197090.0596182744</v>
      </c>
      <c r="AR55" s="397">
        <f t="shared" ca="1" si="27"/>
        <v>0</v>
      </c>
      <c r="AS55" s="398">
        <f t="shared" ca="1" si="33"/>
        <v>-28931352.132921223</v>
      </c>
      <c r="AU55" s="393">
        <f t="shared" ca="1" si="28"/>
        <v>0</v>
      </c>
      <c r="AW55" s="397">
        <f t="shared" ca="1" si="34"/>
        <v>-35201597.682398893</v>
      </c>
      <c r="AX55" s="390">
        <f t="shared" ca="1" si="35"/>
        <v>0</v>
      </c>
      <c r="AY55" s="390">
        <f t="shared" ca="1" si="29"/>
        <v>0</v>
      </c>
      <c r="AZ55" s="390">
        <f t="shared" ca="1" si="30"/>
        <v>0</v>
      </c>
      <c r="BA55" s="398">
        <f t="shared" ca="1" si="36"/>
        <v>-28931352.132921223</v>
      </c>
      <c r="BC55" s="393">
        <f t="shared" ca="1" si="31"/>
        <v>0</v>
      </c>
    </row>
    <row r="56" spans="1:55" x14ac:dyDescent="0.25">
      <c r="A56" s="197">
        <f t="shared" si="32"/>
        <v>44713</v>
      </c>
      <c r="B56" s="388">
        <f>IF($A56&lt;=baseData, INDEX(Indicadores!B:B, MATCH($A56,Indicadores!A:A, 0)), INDEX(Indicadores!B:B, MATCH(baseData,Indicadores!A:A, 0)))</f>
        <v>839.38199999999995</v>
      </c>
      <c r="C56" s="389">
        <f>IF($A56&lt;=baseData, INDEX(Indicadores!E:E, MATCH($A56, Indicadores!A:A, 0)), INDEX(Indicadores!E:E, MATCH(baseData, Indicadores!A:A, 0)))</f>
        <v>5486.52</v>
      </c>
      <c r="E56" s="397">
        <f t="shared" ca="1" si="46"/>
        <v>1197090.0596182744</v>
      </c>
      <c r="F56" s="390">
        <f>IF($A56&lt;=baseData, -SUMIF('Fluxo Investidores'!$L56:$X56, "&lt;0", 'Fluxo Investidores'!$L56:$X56), 0)</f>
        <v>0</v>
      </c>
      <c r="G56" s="390">
        <f>IF($A56&lt;=baseData, -SUMIF('Fluxo Investidores'!$L56:$X56, "&gt;0", 'Fluxo Investidores'!$L56:$X56), 0)</f>
        <v>0</v>
      </c>
      <c r="H56" s="429"/>
      <c r="I56" s="390">
        <f t="shared" si="47"/>
        <v>0</v>
      </c>
      <c r="J56" s="398">
        <f>IF($A56&lt;=baseData, INDEX(Permutas!AC:AC, MATCH($A56, Permutas!N:N, 0)), 0)</f>
        <v>0</v>
      </c>
      <c r="L56" s="397">
        <f ca="1">IF(A56&lt;=baseData, N56-M56, -INDEX('Fluxo Projeto'!AQ:AQ, MATCH($A56, 'Fluxo Projeto'!A:A, 0))*(pctSCPequity+pctSCPpermuta))</f>
        <v>0</v>
      </c>
      <c r="M56" s="398">
        <f>IFERROR(INDEX(Permutas!AJ:AJ, MATCH('Fluxo Bandeira Co'!A56, Permutas!N:N, 0)), 0)</f>
        <v>0</v>
      </c>
      <c r="N56" s="393">
        <f ca="1">IF($A56&lt;=baseData,IFERROR(INDEX('LDI - Fluxo de Caixa'!$AP$161:$AP$374,MATCH($A56,'LDI - Fluxo de Caixa'!$C$161:$C$374,0)), 0),SUM(L56:M56))</f>
        <v>0</v>
      </c>
      <c r="P56" s="397">
        <f t="shared" ca="1" si="48"/>
        <v>0</v>
      </c>
      <c r="Q56" s="398">
        <f t="shared" ca="1" si="49"/>
        <v>0</v>
      </c>
      <c r="S56" s="430">
        <v>0</v>
      </c>
      <c r="T56" s="390">
        <f t="shared" si="38"/>
        <v>-5000</v>
      </c>
      <c r="U56" s="390">
        <f t="shared" si="39"/>
        <v>-10000</v>
      </c>
      <c r="V56" s="390">
        <f t="shared" si="40"/>
        <v>-1666.6666666666667</v>
      </c>
      <c r="W56" s="390">
        <f t="shared" si="41"/>
        <v>-38755.717930517523</v>
      </c>
      <c r="X56" s="431">
        <v>0</v>
      </c>
      <c r="Y56" s="415">
        <f t="shared" si="42"/>
        <v>-10000</v>
      </c>
      <c r="Z56" s="415">
        <f t="shared" si="43"/>
        <v>-10000</v>
      </c>
      <c r="AA56" s="432">
        <v>0</v>
      </c>
      <c r="AB56" s="393">
        <f t="shared" si="22"/>
        <v>-75422.384597184195</v>
      </c>
      <c r="AD56" s="393">
        <f t="shared" ca="1" si="23"/>
        <v>-75422.384597184195</v>
      </c>
      <c r="AF56" s="393">
        <f t="shared" ca="1" si="44"/>
        <v>-263.44197283561658</v>
      </c>
      <c r="AH56" s="393">
        <f t="shared" ca="1" si="24"/>
        <v>1121404.2330482546</v>
      </c>
      <c r="AJ56" s="397">
        <f t="shared" ca="1" si="25"/>
        <v>0</v>
      </c>
      <c r="AK56" s="390">
        <f>IF($A56&gt;baseData, INDEX(Permutas!AC:AC, MATCH('Fluxo Bandeira Co'!A56, Permutas!N:N, 0)), 0)</f>
        <v>0</v>
      </c>
      <c r="AL56" s="398">
        <f t="shared" si="37"/>
        <v>0</v>
      </c>
      <c r="AN56" s="393">
        <f t="shared" ca="1" si="26"/>
        <v>1121404.2330482546</v>
      </c>
      <c r="AP56" s="393">
        <f t="shared" ca="1" si="45"/>
        <v>1121404.2330482546</v>
      </c>
      <c r="AR56" s="397">
        <f t="shared" ca="1" si="27"/>
        <v>0</v>
      </c>
      <c r="AS56" s="398">
        <f t="shared" ca="1" si="33"/>
        <v>-28931352.132921223</v>
      </c>
      <c r="AU56" s="393">
        <f t="shared" ca="1" si="28"/>
        <v>0</v>
      </c>
      <c r="AW56" s="397">
        <f t="shared" ca="1" si="34"/>
        <v>-35372943.239098832</v>
      </c>
      <c r="AX56" s="390">
        <f t="shared" ca="1" si="35"/>
        <v>0</v>
      </c>
      <c r="AY56" s="390">
        <f t="shared" ca="1" si="29"/>
        <v>0</v>
      </c>
      <c r="AZ56" s="390">
        <f t="shared" ca="1" si="30"/>
        <v>0</v>
      </c>
      <c r="BA56" s="398">
        <f t="shared" ca="1" si="36"/>
        <v>-28931352.132921223</v>
      </c>
      <c r="BC56" s="393">
        <f t="shared" ca="1" si="31"/>
        <v>0</v>
      </c>
    </row>
    <row r="57" spans="1:55" x14ac:dyDescent="0.25">
      <c r="A57" s="197">
        <f t="shared" si="32"/>
        <v>44743</v>
      </c>
      <c r="B57" s="388">
        <f>IF($A57&lt;=baseData, INDEX(Indicadores!B:B, MATCH($A57,Indicadores!A:A, 0)), INDEX(Indicadores!B:B, MATCH(baseData,Indicadores!A:A, 0)))</f>
        <v>839.38199999999995</v>
      </c>
      <c r="C57" s="389">
        <f>IF($A57&lt;=baseData, INDEX(Indicadores!E:E, MATCH($A57, Indicadores!A:A, 0)), INDEX(Indicadores!E:E, MATCH(baseData, Indicadores!A:A, 0)))</f>
        <v>5486.52</v>
      </c>
      <c r="E57" s="397">
        <f t="shared" ca="1" si="46"/>
        <v>1121404.2330482546</v>
      </c>
      <c r="F57" s="390">
        <f>IF($A57&lt;=baseData, -SUMIF('Fluxo Investidores'!$L57:$X57, "&lt;0", 'Fluxo Investidores'!$L57:$X57), 0)</f>
        <v>0</v>
      </c>
      <c r="G57" s="390">
        <f>IF($A57&lt;=baseData, -SUMIF('Fluxo Investidores'!$L57:$X57, "&gt;0", 'Fluxo Investidores'!$L57:$X57), 0)</f>
        <v>0</v>
      </c>
      <c r="H57" s="429"/>
      <c r="I57" s="390">
        <f t="shared" si="47"/>
        <v>0</v>
      </c>
      <c r="J57" s="398">
        <f>IF($A57&lt;=baseData, INDEX(Permutas!AC:AC, MATCH($A57, Permutas!N:N, 0)), 0)</f>
        <v>0</v>
      </c>
      <c r="L57" s="397">
        <f ca="1">IF(A57&lt;=baseData, N57-M57, -INDEX('Fluxo Projeto'!AQ:AQ, MATCH($A57, 'Fluxo Projeto'!A:A, 0))*(pctSCPequity+pctSCPpermuta))</f>
        <v>0</v>
      </c>
      <c r="M57" s="398">
        <f>IFERROR(INDEX(Permutas!AJ:AJ, MATCH('Fluxo Bandeira Co'!A57, Permutas!N:N, 0)), 0)</f>
        <v>0</v>
      </c>
      <c r="N57" s="393">
        <f ca="1">IF($A57&lt;=baseData,IFERROR(INDEX('LDI - Fluxo de Caixa'!$AP$161:$AP$374,MATCH($A57,'LDI - Fluxo de Caixa'!$C$161:$C$374,0)), 0),SUM(L57:M57))</f>
        <v>0</v>
      </c>
      <c r="P57" s="397">
        <f t="shared" ca="1" si="48"/>
        <v>0</v>
      </c>
      <c r="Q57" s="398">
        <f t="shared" ca="1" si="49"/>
        <v>0</v>
      </c>
      <c r="S57" s="430">
        <v>0</v>
      </c>
      <c r="T57" s="390">
        <f t="shared" si="38"/>
        <v>-5000</v>
      </c>
      <c r="U57" s="390">
        <f t="shared" si="39"/>
        <v>-10000</v>
      </c>
      <c r="V57" s="390">
        <f t="shared" si="40"/>
        <v>-1666.6666666666667</v>
      </c>
      <c r="W57" s="390">
        <f t="shared" si="41"/>
        <v>-38755.717930517523</v>
      </c>
      <c r="X57" s="431">
        <v>0</v>
      </c>
      <c r="Y57" s="415">
        <f t="shared" si="42"/>
        <v>-10000</v>
      </c>
      <c r="Z57" s="415">
        <f t="shared" si="43"/>
        <v>-10000</v>
      </c>
      <c r="AA57" s="432">
        <v>0</v>
      </c>
      <c r="AB57" s="393">
        <f t="shared" si="22"/>
        <v>-75422.384597184195</v>
      </c>
      <c r="AD57" s="393">
        <f t="shared" ca="1" si="23"/>
        <v>-75422.384597184195</v>
      </c>
      <c r="AF57" s="393">
        <f t="shared" ca="1" si="44"/>
        <v>-246.78589645514907</v>
      </c>
      <c r="AH57" s="393">
        <f t="shared" ca="1" si="24"/>
        <v>1045735.0625546153</v>
      </c>
      <c r="AJ57" s="397">
        <f t="shared" ca="1" si="25"/>
        <v>0</v>
      </c>
      <c r="AK57" s="390">
        <f>IF($A57&gt;baseData, INDEX(Permutas!AC:AC, MATCH('Fluxo Bandeira Co'!A57, Permutas!N:N, 0)), 0)</f>
        <v>0</v>
      </c>
      <c r="AL57" s="398">
        <f t="shared" si="37"/>
        <v>0</v>
      </c>
      <c r="AN57" s="393">
        <f t="shared" ca="1" si="26"/>
        <v>1045735.0625546153</v>
      </c>
      <c r="AP57" s="393">
        <f t="shared" ca="1" si="45"/>
        <v>1045735.0625546153</v>
      </c>
      <c r="AR57" s="397">
        <f t="shared" ca="1" si="27"/>
        <v>0</v>
      </c>
      <c r="AS57" s="398">
        <f t="shared" ca="1" si="33"/>
        <v>-28931352.132921223</v>
      </c>
      <c r="AU57" s="393">
        <f t="shared" ca="1" si="28"/>
        <v>0</v>
      </c>
      <c r="AW57" s="397">
        <f t="shared" ca="1" si="34"/>
        <v>-35545122.828960158</v>
      </c>
      <c r="AX57" s="390">
        <f t="shared" ca="1" si="35"/>
        <v>0</v>
      </c>
      <c r="AY57" s="390">
        <f t="shared" ca="1" si="29"/>
        <v>0</v>
      </c>
      <c r="AZ57" s="390">
        <f t="shared" ca="1" si="30"/>
        <v>0</v>
      </c>
      <c r="BA57" s="398">
        <f t="shared" ca="1" si="36"/>
        <v>-28931352.132921223</v>
      </c>
      <c r="BC57" s="393">
        <f t="shared" ca="1" si="31"/>
        <v>0</v>
      </c>
    </row>
    <row r="58" spans="1:55" x14ac:dyDescent="0.25">
      <c r="A58" s="197">
        <f t="shared" si="32"/>
        <v>44774</v>
      </c>
      <c r="B58" s="388">
        <f>IF($A58&lt;=baseData, INDEX(Indicadores!B:B, MATCH($A58,Indicadores!A:A, 0)), INDEX(Indicadores!B:B, MATCH(baseData,Indicadores!A:A, 0)))</f>
        <v>839.38199999999995</v>
      </c>
      <c r="C58" s="389">
        <f>IF($A58&lt;=baseData, INDEX(Indicadores!E:E, MATCH($A58, Indicadores!A:A, 0)), INDEX(Indicadores!E:E, MATCH(baseData, Indicadores!A:A, 0)))</f>
        <v>5486.52</v>
      </c>
      <c r="E58" s="397">
        <f t="shared" ca="1" si="46"/>
        <v>1045735.0625546153</v>
      </c>
      <c r="F58" s="390">
        <f>IF($A58&lt;=baseData, -SUMIF('Fluxo Investidores'!$L58:$X58, "&lt;0", 'Fluxo Investidores'!$L58:$X58), 0)</f>
        <v>0</v>
      </c>
      <c r="G58" s="390">
        <f>IF($A58&lt;=baseData, -SUMIF('Fluxo Investidores'!$L58:$X58, "&gt;0", 'Fluxo Investidores'!$L58:$X58), 0)</f>
        <v>0</v>
      </c>
      <c r="H58" s="429"/>
      <c r="I58" s="390">
        <f t="shared" si="47"/>
        <v>0</v>
      </c>
      <c r="J58" s="398">
        <f>IF($A58&lt;=baseData, INDEX(Permutas!AC:AC, MATCH($A58, Permutas!N:N, 0)), 0)</f>
        <v>0</v>
      </c>
      <c r="L58" s="397">
        <f ca="1">IF(A58&lt;=baseData, N58-M58, -INDEX('Fluxo Projeto'!AQ:AQ, MATCH($A58, 'Fluxo Projeto'!A:A, 0))*(pctSCPequity+pctSCPpermuta))</f>
        <v>0</v>
      </c>
      <c r="M58" s="398">
        <f>IFERROR(INDEX(Permutas!AJ:AJ, MATCH('Fluxo Bandeira Co'!A58, Permutas!N:N, 0)), 0)</f>
        <v>0</v>
      </c>
      <c r="N58" s="393">
        <f ca="1">IF($A58&lt;=baseData,IFERROR(INDEX('LDI - Fluxo de Caixa'!$AP$161:$AP$374,MATCH($A58,'LDI - Fluxo de Caixa'!$C$161:$C$374,0)), 0),SUM(L58:M58))</f>
        <v>0</v>
      </c>
      <c r="P58" s="397">
        <f t="shared" ca="1" si="48"/>
        <v>0</v>
      </c>
      <c r="Q58" s="398">
        <f t="shared" ca="1" si="49"/>
        <v>0</v>
      </c>
      <c r="S58" s="430">
        <v>0</v>
      </c>
      <c r="T58" s="390">
        <f t="shared" si="38"/>
        <v>-5000</v>
      </c>
      <c r="U58" s="390">
        <f t="shared" si="39"/>
        <v>-10000</v>
      </c>
      <c r="V58" s="390">
        <f t="shared" si="40"/>
        <v>-1666.6666666666667</v>
      </c>
      <c r="W58" s="390">
        <f t="shared" si="41"/>
        <v>-38755.717930517523</v>
      </c>
      <c r="X58" s="431">
        <v>0</v>
      </c>
      <c r="Y58" s="415">
        <f t="shared" si="42"/>
        <v>-10000</v>
      </c>
      <c r="Z58" s="415">
        <f t="shared" si="43"/>
        <v>-10000</v>
      </c>
      <c r="AA58" s="432">
        <v>0</v>
      </c>
      <c r="AB58" s="393">
        <f t="shared" si="22"/>
        <v>-75422.384597184195</v>
      </c>
      <c r="AD58" s="393">
        <f t="shared" ca="1" si="23"/>
        <v>-75422.384597184195</v>
      </c>
      <c r="AF58" s="393">
        <f t="shared" ca="1" si="44"/>
        <v>-230.13348555463955</v>
      </c>
      <c r="AH58" s="393">
        <f t="shared" ca="1" si="24"/>
        <v>970082.54447187658</v>
      </c>
      <c r="AJ58" s="397">
        <f t="shared" ca="1" si="25"/>
        <v>0</v>
      </c>
      <c r="AK58" s="390">
        <f>IF($A58&gt;baseData, INDEX(Permutas!AC:AC, MATCH('Fluxo Bandeira Co'!A58, Permutas!N:N, 0)), 0)</f>
        <v>0</v>
      </c>
      <c r="AL58" s="398">
        <f t="shared" si="37"/>
        <v>0</v>
      </c>
      <c r="AN58" s="393">
        <f t="shared" ca="1" si="26"/>
        <v>970082.54447187658</v>
      </c>
      <c r="AP58" s="393">
        <f t="shared" ca="1" si="45"/>
        <v>970082.54447187658</v>
      </c>
      <c r="AR58" s="397">
        <f t="shared" ca="1" si="27"/>
        <v>0</v>
      </c>
      <c r="AS58" s="398">
        <f t="shared" ca="1" si="33"/>
        <v>-28931352.132921223</v>
      </c>
      <c r="AU58" s="393">
        <f t="shared" ca="1" si="28"/>
        <v>0</v>
      </c>
      <c r="AW58" s="397">
        <f t="shared" ca="1" si="34"/>
        <v>-35718140.511681452</v>
      </c>
      <c r="AX58" s="390">
        <f t="shared" ca="1" si="35"/>
        <v>0</v>
      </c>
      <c r="AY58" s="390">
        <f t="shared" ca="1" si="29"/>
        <v>0</v>
      </c>
      <c r="AZ58" s="390">
        <f t="shared" ca="1" si="30"/>
        <v>0</v>
      </c>
      <c r="BA58" s="398">
        <f t="shared" ca="1" si="36"/>
        <v>-28931352.132921223</v>
      </c>
      <c r="BC58" s="393">
        <f t="shared" ca="1" si="31"/>
        <v>0</v>
      </c>
    </row>
    <row r="59" spans="1:55" x14ac:dyDescent="0.25">
      <c r="A59" s="197">
        <f t="shared" si="32"/>
        <v>44805</v>
      </c>
      <c r="B59" s="388">
        <f>IF($A59&lt;=baseData, INDEX(Indicadores!B:B, MATCH($A59,Indicadores!A:A, 0)), INDEX(Indicadores!B:B, MATCH(baseData,Indicadores!A:A, 0)))</f>
        <v>839.38199999999995</v>
      </c>
      <c r="C59" s="389">
        <f>IF($A59&lt;=baseData, INDEX(Indicadores!E:E, MATCH($A59, Indicadores!A:A, 0)), INDEX(Indicadores!E:E, MATCH(baseData, Indicadores!A:A, 0)))</f>
        <v>5486.52</v>
      </c>
      <c r="E59" s="397">
        <f t="shared" ca="1" si="46"/>
        <v>970082.54447187658</v>
      </c>
      <c r="F59" s="390">
        <f>IF($A59&lt;=baseData, -SUMIF('Fluxo Investidores'!$L59:$X59, "&lt;0", 'Fluxo Investidores'!$L59:$X59), 0)</f>
        <v>0</v>
      </c>
      <c r="G59" s="390">
        <f>IF($A59&lt;=baseData, -SUMIF('Fluxo Investidores'!$L59:$X59, "&gt;0", 'Fluxo Investidores'!$L59:$X59), 0)</f>
        <v>0</v>
      </c>
      <c r="H59" s="429"/>
      <c r="I59" s="390">
        <f t="shared" si="47"/>
        <v>0</v>
      </c>
      <c r="J59" s="398">
        <f>IF($A59&lt;=baseData, INDEX(Permutas!AC:AC, MATCH($A59, Permutas!N:N, 0)), 0)</f>
        <v>0</v>
      </c>
      <c r="L59" s="397">
        <f ca="1">IF(A59&lt;=baseData, N59-M59, -INDEX('Fluxo Projeto'!AQ:AQ, MATCH($A59, 'Fluxo Projeto'!A:A, 0))*(pctSCPequity+pctSCPpermuta))</f>
        <v>0</v>
      </c>
      <c r="M59" s="398">
        <f>IFERROR(INDEX(Permutas!AJ:AJ, MATCH('Fluxo Bandeira Co'!A59, Permutas!N:N, 0)), 0)</f>
        <v>0</v>
      </c>
      <c r="N59" s="393">
        <f ca="1">IF($A59&lt;=baseData,IFERROR(INDEX('LDI - Fluxo de Caixa'!$AP$161:$AP$374,MATCH($A59,'LDI - Fluxo de Caixa'!$C$161:$C$374,0)), 0),SUM(L59:M59))</f>
        <v>0</v>
      </c>
      <c r="P59" s="397">
        <f t="shared" ca="1" si="48"/>
        <v>0</v>
      </c>
      <c r="Q59" s="398">
        <f t="shared" ca="1" si="49"/>
        <v>0</v>
      </c>
      <c r="S59" s="430">
        <v>0</v>
      </c>
      <c r="T59" s="390">
        <f t="shared" si="38"/>
        <v>-5000</v>
      </c>
      <c r="U59" s="390">
        <f t="shared" si="39"/>
        <v>-10000</v>
      </c>
      <c r="V59" s="390">
        <f t="shared" si="40"/>
        <v>-1666.6666666666667</v>
      </c>
      <c r="W59" s="390">
        <f t="shared" si="41"/>
        <v>-38755.717930517523</v>
      </c>
      <c r="X59" s="431">
        <v>0</v>
      </c>
      <c r="Y59" s="415">
        <f t="shared" si="42"/>
        <v>-10000</v>
      </c>
      <c r="Z59" s="415">
        <f t="shared" si="43"/>
        <v>-10000</v>
      </c>
      <c r="AA59" s="432">
        <v>0</v>
      </c>
      <c r="AB59" s="393">
        <f t="shared" si="22"/>
        <v>-75422.384597184195</v>
      </c>
      <c r="AD59" s="393">
        <f t="shared" ca="1" si="23"/>
        <v>-75422.384597184195</v>
      </c>
      <c r="AF59" s="393">
        <f t="shared" ca="1" si="44"/>
        <v>-213.48473932743079</v>
      </c>
      <c r="AH59" s="393">
        <f t="shared" ca="1" si="24"/>
        <v>894446.67513536487</v>
      </c>
      <c r="AJ59" s="397">
        <f t="shared" ca="1" si="25"/>
        <v>0</v>
      </c>
      <c r="AK59" s="390">
        <f>IF($A59&gt;baseData, INDEX(Permutas!AC:AC, MATCH('Fluxo Bandeira Co'!A59, Permutas!N:N, 0)), 0)</f>
        <v>0</v>
      </c>
      <c r="AL59" s="398">
        <f t="shared" si="37"/>
        <v>0</v>
      </c>
      <c r="AN59" s="393">
        <f t="shared" ca="1" si="26"/>
        <v>894446.67513536487</v>
      </c>
      <c r="AP59" s="393">
        <f t="shared" ca="1" si="45"/>
        <v>894446.67513536487</v>
      </c>
      <c r="AR59" s="397">
        <f t="shared" ca="1" si="27"/>
        <v>0</v>
      </c>
      <c r="AS59" s="398">
        <f t="shared" ca="1" si="33"/>
        <v>-28931352.132921223</v>
      </c>
      <c r="AU59" s="393">
        <f t="shared" ca="1" si="28"/>
        <v>0</v>
      </c>
      <c r="AW59" s="397">
        <f t="shared" ca="1" si="34"/>
        <v>-35892000.366722092</v>
      </c>
      <c r="AX59" s="390">
        <f t="shared" ca="1" si="35"/>
        <v>0</v>
      </c>
      <c r="AY59" s="390">
        <f t="shared" ca="1" si="29"/>
        <v>0</v>
      </c>
      <c r="AZ59" s="390">
        <f t="shared" ca="1" si="30"/>
        <v>0</v>
      </c>
      <c r="BA59" s="398">
        <f t="shared" ca="1" si="36"/>
        <v>-28931352.132921223</v>
      </c>
      <c r="BC59" s="393">
        <f t="shared" ca="1" si="31"/>
        <v>0</v>
      </c>
    </row>
    <row r="60" spans="1:55" x14ac:dyDescent="0.25">
      <c r="A60" s="197">
        <f t="shared" si="32"/>
        <v>44835</v>
      </c>
      <c r="B60" s="388">
        <f>IF($A60&lt;=baseData, INDEX(Indicadores!B:B, MATCH($A60,Indicadores!A:A, 0)), INDEX(Indicadores!B:B, MATCH(baseData,Indicadores!A:A, 0)))</f>
        <v>839.38199999999995</v>
      </c>
      <c r="C60" s="389">
        <f>IF($A60&lt;=baseData, INDEX(Indicadores!E:E, MATCH($A60, Indicadores!A:A, 0)), INDEX(Indicadores!E:E, MATCH(baseData, Indicadores!A:A, 0)))</f>
        <v>5486.52</v>
      </c>
      <c r="E60" s="397">
        <f t="shared" ca="1" si="46"/>
        <v>894446.67513536487</v>
      </c>
      <c r="F60" s="390">
        <f>IF($A60&lt;=baseData, -SUMIF('Fluxo Investidores'!$L60:$X60, "&lt;0", 'Fluxo Investidores'!$L60:$X60), 0)</f>
        <v>0</v>
      </c>
      <c r="G60" s="390">
        <f>IF($A60&lt;=baseData, -SUMIF('Fluxo Investidores'!$L60:$X60, "&gt;0", 'Fluxo Investidores'!$L60:$X60), 0)</f>
        <v>0</v>
      </c>
      <c r="H60" s="429"/>
      <c r="I60" s="390">
        <f t="shared" si="47"/>
        <v>0</v>
      </c>
      <c r="J60" s="398">
        <f>IF($A60&lt;=baseData, INDEX(Permutas!AC:AC, MATCH($A60, Permutas!N:N, 0)), 0)</f>
        <v>0</v>
      </c>
      <c r="L60" s="397">
        <f ca="1">IF(A60&lt;=baseData, N60-M60, -INDEX('Fluxo Projeto'!AQ:AQ, MATCH($A60, 'Fluxo Projeto'!A:A, 0))*(pctSCPequity+pctSCPpermuta))</f>
        <v>0</v>
      </c>
      <c r="M60" s="398">
        <f>IFERROR(INDEX(Permutas!AJ:AJ, MATCH('Fluxo Bandeira Co'!A60, Permutas!N:N, 0)), 0)</f>
        <v>0</v>
      </c>
      <c r="N60" s="393">
        <f ca="1">IF($A60&lt;=baseData,IFERROR(INDEX('LDI - Fluxo de Caixa'!$AP$161:$AP$374,MATCH($A60,'LDI - Fluxo de Caixa'!$C$161:$C$374,0)), 0),SUM(L60:M60))</f>
        <v>0</v>
      </c>
      <c r="P60" s="397">
        <f t="shared" ca="1" si="48"/>
        <v>0</v>
      </c>
      <c r="Q60" s="398">
        <f t="shared" ca="1" si="49"/>
        <v>0</v>
      </c>
      <c r="S60" s="430">
        <v>0</v>
      </c>
      <c r="T60" s="390">
        <f t="shared" si="38"/>
        <v>-5000</v>
      </c>
      <c r="U60" s="390">
        <f t="shared" si="39"/>
        <v>-10000</v>
      </c>
      <c r="V60" s="390">
        <f t="shared" si="40"/>
        <v>-1666.6666666666667</v>
      </c>
      <c r="W60" s="390">
        <f t="shared" si="41"/>
        <v>-38755.717930517523</v>
      </c>
      <c r="X60" s="431">
        <v>0</v>
      </c>
      <c r="Y60" s="415">
        <f t="shared" si="42"/>
        <v>-10000</v>
      </c>
      <c r="Z60" s="415">
        <f t="shared" si="43"/>
        <v>-10000</v>
      </c>
      <c r="AA60" s="432">
        <v>0</v>
      </c>
      <c r="AB60" s="393">
        <f t="shared" si="22"/>
        <v>-75422.384597184195</v>
      </c>
      <c r="AD60" s="393">
        <f t="shared" ca="1" si="23"/>
        <v>-75422.384597184195</v>
      </c>
      <c r="AF60" s="393">
        <f t="shared" ca="1" si="44"/>
        <v>-196.83965696704311</v>
      </c>
      <c r="AH60" s="393">
        <f t="shared" ca="1" si="24"/>
        <v>818827.45088121353</v>
      </c>
      <c r="AJ60" s="397">
        <f t="shared" ca="1" si="25"/>
        <v>0</v>
      </c>
      <c r="AK60" s="390">
        <f>IF($A60&gt;baseData, INDEX(Permutas!AC:AC, MATCH('Fluxo Bandeira Co'!A60, Permutas!N:N, 0)), 0)</f>
        <v>0</v>
      </c>
      <c r="AL60" s="398">
        <f t="shared" si="37"/>
        <v>0</v>
      </c>
      <c r="AN60" s="393">
        <f t="shared" ca="1" si="26"/>
        <v>818827.45088121353</v>
      </c>
      <c r="AP60" s="393">
        <f t="shared" ca="1" si="45"/>
        <v>818827.45088121353</v>
      </c>
      <c r="AR60" s="397">
        <f t="shared" ca="1" si="27"/>
        <v>0</v>
      </c>
      <c r="AS60" s="398">
        <f t="shared" ca="1" si="33"/>
        <v>-28931352.132921223</v>
      </c>
      <c r="AU60" s="393">
        <f t="shared" ca="1" si="28"/>
        <v>0</v>
      </c>
      <c r="AW60" s="397">
        <f t="shared" ca="1" si="34"/>
        <v>-36066706.493398421</v>
      </c>
      <c r="AX60" s="390">
        <f t="shared" ca="1" si="35"/>
        <v>0</v>
      </c>
      <c r="AY60" s="390">
        <f t="shared" ca="1" si="29"/>
        <v>0</v>
      </c>
      <c r="AZ60" s="390">
        <f t="shared" ca="1" si="30"/>
        <v>0</v>
      </c>
      <c r="BA60" s="398">
        <f t="shared" ca="1" si="36"/>
        <v>-28931352.132921223</v>
      </c>
      <c r="BC60" s="393">
        <f t="shared" ca="1" si="31"/>
        <v>0</v>
      </c>
    </row>
    <row r="61" spans="1:55" x14ac:dyDescent="0.25">
      <c r="A61" s="197">
        <f t="shared" si="32"/>
        <v>44866</v>
      </c>
      <c r="B61" s="388">
        <f>IF($A61&lt;=baseData, INDEX(Indicadores!B:B, MATCH($A61,Indicadores!A:A, 0)), INDEX(Indicadores!B:B, MATCH(baseData,Indicadores!A:A, 0)))</f>
        <v>839.38199999999995</v>
      </c>
      <c r="C61" s="389">
        <f>IF($A61&lt;=baseData, INDEX(Indicadores!E:E, MATCH($A61, Indicadores!A:A, 0)), INDEX(Indicadores!E:E, MATCH(baseData, Indicadores!A:A, 0)))</f>
        <v>5486.52</v>
      </c>
      <c r="E61" s="397">
        <f t="shared" ca="1" si="46"/>
        <v>818827.45088121353</v>
      </c>
      <c r="F61" s="390">
        <f>IF($A61&lt;=baseData, -SUMIF('Fluxo Investidores'!$L61:$X61, "&lt;0", 'Fluxo Investidores'!$L61:$X61), 0)</f>
        <v>0</v>
      </c>
      <c r="G61" s="390">
        <f>IF($A61&lt;=baseData, -SUMIF('Fluxo Investidores'!$L61:$X61, "&gt;0", 'Fluxo Investidores'!$L61:$X61), 0)</f>
        <v>0</v>
      </c>
      <c r="H61" s="429"/>
      <c r="I61" s="390">
        <f t="shared" si="47"/>
        <v>0</v>
      </c>
      <c r="J61" s="398">
        <f>IF($A61&lt;=baseData, INDEX(Permutas!AC:AC, MATCH($A61, Permutas!N:N, 0)), 0)</f>
        <v>0</v>
      </c>
      <c r="L61" s="397">
        <f ca="1">IF(A61&lt;=baseData, N61-M61, -INDEX('Fluxo Projeto'!AQ:AQ, MATCH($A61, 'Fluxo Projeto'!A:A, 0))*(pctSCPequity+pctSCPpermuta))</f>
        <v>0</v>
      </c>
      <c r="M61" s="398">
        <f>IFERROR(INDEX(Permutas!AJ:AJ, MATCH('Fluxo Bandeira Co'!A61, Permutas!N:N, 0)), 0)</f>
        <v>0</v>
      </c>
      <c r="N61" s="393">
        <f ca="1">IF($A61&lt;=baseData,IFERROR(INDEX('LDI - Fluxo de Caixa'!$AP$161:$AP$374,MATCH($A61,'LDI - Fluxo de Caixa'!$C$161:$C$374,0)), 0),SUM(L61:M61))</f>
        <v>0</v>
      </c>
      <c r="P61" s="397">
        <f t="shared" ca="1" si="48"/>
        <v>0</v>
      </c>
      <c r="Q61" s="398">
        <f t="shared" ca="1" si="49"/>
        <v>0</v>
      </c>
      <c r="S61" s="430">
        <v>0</v>
      </c>
      <c r="T61" s="390">
        <f t="shared" si="38"/>
        <v>-5000</v>
      </c>
      <c r="U61" s="390">
        <f t="shared" si="39"/>
        <v>-10000</v>
      </c>
      <c r="V61" s="390">
        <f t="shared" si="40"/>
        <v>-1666.6666666666667</v>
      </c>
      <c r="W61" s="390">
        <f t="shared" si="41"/>
        <v>-38755.717930517523</v>
      </c>
      <c r="X61" s="431">
        <v>0</v>
      </c>
      <c r="Y61" s="415">
        <f t="shared" si="42"/>
        <v>-10000</v>
      </c>
      <c r="Z61" s="415">
        <f t="shared" si="43"/>
        <v>-10000</v>
      </c>
      <c r="AA61" s="432">
        <v>0</v>
      </c>
      <c r="AB61" s="393">
        <f t="shared" si="22"/>
        <v>-75422.384597184195</v>
      </c>
      <c r="AD61" s="393">
        <f t="shared" ca="1" si="23"/>
        <v>-75422.384597184195</v>
      </c>
      <c r="AF61" s="393">
        <f t="shared" ca="1" si="44"/>
        <v>-180.19823766717442</v>
      </c>
      <c r="AH61" s="393">
        <f t="shared" ca="1" si="24"/>
        <v>743224.86804636207</v>
      </c>
      <c r="AJ61" s="397">
        <f t="shared" ca="1" si="25"/>
        <v>0</v>
      </c>
      <c r="AK61" s="390">
        <f>IF($A61&gt;baseData, INDEX(Permutas!AC:AC, MATCH('Fluxo Bandeira Co'!A61, Permutas!N:N, 0)), 0)</f>
        <v>0</v>
      </c>
      <c r="AL61" s="398">
        <f t="shared" si="37"/>
        <v>0</v>
      </c>
      <c r="AN61" s="393">
        <f t="shared" ca="1" si="26"/>
        <v>743224.86804636207</v>
      </c>
      <c r="AP61" s="393">
        <f t="shared" ca="1" si="45"/>
        <v>743224.86804636207</v>
      </c>
      <c r="AR61" s="397">
        <f t="shared" ca="1" si="27"/>
        <v>0</v>
      </c>
      <c r="AS61" s="398">
        <f t="shared" ca="1" si="33"/>
        <v>-28931352.132921223</v>
      </c>
      <c r="AU61" s="393">
        <f t="shared" ca="1" si="28"/>
        <v>0</v>
      </c>
      <c r="AW61" s="397">
        <f t="shared" ca="1" si="34"/>
        <v>-36242263.010980427</v>
      </c>
      <c r="AX61" s="390">
        <f t="shared" ca="1" si="35"/>
        <v>0</v>
      </c>
      <c r="AY61" s="390">
        <f t="shared" ca="1" si="29"/>
        <v>0</v>
      </c>
      <c r="AZ61" s="390">
        <f t="shared" ca="1" si="30"/>
        <v>0</v>
      </c>
      <c r="BA61" s="398">
        <f t="shared" ca="1" si="36"/>
        <v>-28931352.132921223</v>
      </c>
      <c r="BC61" s="393">
        <f t="shared" ca="1" si="31"/>
        <v>0</v>
      </c>
    </row>
    <row r="62" spans="1:55" x14ac:dyDescent="0.25">
      <c r="A62" s="197">
        <f t="shared" si="32"/>
        <v>44896</v>
      </c>
      <c r="B62" s="388">
        <f>IF($A62&lt;=baseData, INDEX(Indicadores!B:B, MATCH($A62,Indicadores!A:A, 0)), INDEX(Indicadores!B:B, MATCH(baseData,Indicadores!A:A, 0)))</f>
        <v>839.38199999999995</v>
      </c>
      <c r="C62" s="389">
        <f>IF($A62&lt;=baseData, INDEX(Indicadores!E:E, MATCH($A62, Indicadores!A:A, 0)), INDEX(Indicadores!E:E, MATCH(baseData, Indicadores!A:A, 0)))</f>
        <v>5486.52</v>
      </c>
      <c r="E62" s="397">
        <f t="shared" ca="1" si="46"/>
        <v>743224.86804636207</v>
      </c>
      <c r="F62" s="390">
        <f>IF($A62&lt;=baseData, -SUMIF('Fluxo Investidores'!$L62:$X62, "&lt;0", 'Fluxo Investidores'!$L62:$X62), 0)</f>
        <v>0</v>
      </c>
      <c r="G62" s="390">
        <f>IF($A62&lt;=baseData, -SUMIF('Fluxo Investidores'!$L62:$X62, "&gt;0", 'Fluxo Investidores'!$L62:$X62), 0)</f>
        <v>0</v>
      </c>
      <c r="H62" s="429"/>
      <c r="I62" s="390">
        <f t="shared" si="47"/>
        <v>0</v>
      </c>
      <c r="J62" s="398">
        <f>IF($A62&lt;=baseData, INDEX(Permutas!AC:AC, MATCH($A62, Permutas!N:N, 0)), 0)</f>
        <v>0</v>
      </c>
      <c r="L62" s="397">
        <f ca="1">IF(A62&lt;=baseData, N62-M62, -INDEX('Fluxo Projeto'!AQ:AQ, MATCH($A62, 'Fluxo Projeto'!A:A, 0))*(pctSCPequity+pctSCPpermuta))</f>
        <v>0</v>
      </c>
      <c r="M62" s="398">
        <f>IFERROR(INDEX(Permutas!AJ:AJ, MATCH('Fluxo Bandeira Co'!A62, Permutas!N:N, 0)), 0)</f>
        <v>0</v>
      </c>
      <c r="N62" s="393">
        <f ca="1">IF($A62&lt;=baseData,IFERROR(INDEX('LDI - Fluxo de Caixa'!$AP$161:$AP$374,MATCH($A62,'LDI - Fluxo de Caixa'!$C$161:$C$374,0)), 0),SUM(L62:M62))</f>
        <v>0</v>
      </c>
      <c r="P62" s="397">
        <f t="shared" ca="1" si="48"/>
        <v>0</v>
      </c>
      <c r="Q62" s="398">
        <f t="shared" ca="1" si="49"/>
        <v>0</v>
      </c>
      <c r="S62" s="430">
        <v>0</v>
      </c>
      <c r="T62" s="390">
        <f t="shared" si="38"/>
        <v>-5000</v>
      </c>
      <c r="U62" s="390">
        <f t="shared" si="39"/>
        <v>-10000</v>
      </c>
      <c r="V62" s="390">
        <f t="shared" si="40"/>
        <v>-1666.6666666666667</v>
      </c>
      <c r="W62" s="390">
        <f t="shared" si="41"/>
        <v>-38755.717930517523</v>
      </c>
      <c r="X62" s="431">
        <v>0</v>
      </c>
      <c r="Y62" s="415">
        <f t="shared" si="42"/>
        <v>-10000</v>
      </c>
      <c r="Z62" s="415">
        <f t="shared" si="43"/>
        <v>-10000</v>
      </c>
      <c r="AA62" s="432">
        <v>0</v>
      </c>
      <c r="AB62" s="393">
        <f t="shared" si="22"/>
        <v>-75422.384597184195</v>
      </c>
      <c r="AD62" s="393">
        <f t="shared" ca="1" si="23"/>
        <v>-75422.384597184195</v>
      </c>
      <c r="AF62" s="393">
        <f t="shared" ca="1" si="44"/>
        <v>-163.56048062169995</v>
      </c>
      <c r="AH62" s="393">
        <f t="shared" ca="1" si="24"/>
        <v>667638.92296855617</v>
      </c>
      <c r="AJ62" s="397">
        <f t="shared" ca="1" si="25"/>
        <v>0</v>
      </c>
      <c r="AK62" s="390">
        <f>IF($A62&gt;baseData, INDEX(Permutas!AC:AC, MATCH('Fluxo Bandeira Co'!A62, Permutas!N:N, 0)), 0)</f>
        <v>0</v>
      </c>
      <c r="AL62" s="398">
        <f t="shared" si="37"/>
        <v>0</v>
      </c>
      <c r="AN62" s="393">
        <f t="shared" ca="1" si="26"/>
        <v>667638.92296855617</v>
      </c>
      <c r="AP62" s="393">
        <f t="shared" ca="1" si="45"/>
        <v>667638.92296855617</v>
      </c>
      <c r="AR62" s="397">
        <f t="shared" ca="1" si="27"/>
        <v>0</v>
      </c>
      <c r="AS62" s="398">
        <f t="shared" ca="1" si="33"/>
        <v>-28931352.132921223</v>
      </c>
      <c r="AU62" s="393">
        <f t="shared" ca="1" si="28"/>
        <v>0</v>
      </c>
      <c r="AW62" s="397">
        <f t="shared" ca="1" si="34"/>
        <v>-36418674.058788836</v>
      </c>
      <c r="AX62" s="390">
        <f t="shared" ca="1" si="35"/>
        <v>0</v>
      </c>
      <c r="AY62" s="390">
        <f t="shared" ca="1" si="29"/>
        <v>0</v>
      </c>
      <c r="AZ62" s="390">
        <f t="shared" ca="1" si="30"/>
        <v>0</v>
      </c>
      <c r="BA62" s="398">
        <f t="shared" ca="1" si="36"/>
        <v>-28931352.132921223</v>
      </c>
      <c r="BC62" s="393">
        <f t="shared" ca="1" si="31"/>
        <v>0</v>
      </c>
    </row>
    <row r="63" spans="1:55" x14ac:dyDescent="0.25">
      <c r="A63" s="197">
        <f t="shared" si="32"/>
        <v>44927</v>
      </c>
      <c r="B63" s="388">
        <f>IF($A63&lt;=baseData, INDEX(Indicadores!B:B, MATCH($A63,Indicadores!A:A, 0)), INDEX(Indicadores!B:B, MATCH(baseData,Indicadores!A:A, 0)))</f>
        <v>839.38199999999995</v>
      </c>
      <c r="C63" s="389">
        <f>IF($A63&lt;=baseData, INDEX(Indicadores!E:E, MATCH($A63, Indicadores!A:A, 0)), INDEX(Indicadores!E:E, MATCH(baseData, Indicadores!A:A, 0)))</f>
        <v>5486.52</v>
      </c>
      <c r="E63" s="397">
        <f t="shared" ca="1" si="46"/>
        <v>667638.92296855617</v>
      </c>
      <c r="F63" s="390">
        <f>IF($A63&lt;=baseData, -SUMIF('Fluxo Investidores'!$L63:$X63, "&lt;0", 'Fluxo Investidores'!$L63:$X63), 0)</f>
        <v>0</v>
      </c>
      <c r="G63" s="390">
        <f>IF($A63&lt;=baseData, -SUMIF('Fluxo Investidores'!$L63:$X63, "&gt;0", 'Fluxo Investidores'!$L63:$X63), 0)</f>
        <v>0</v>
      </c>
      <c r="H63" s="429"/>
      <c r="I63" s="390">
        <f t="shared" si="47"/>
        <v>0</v>
      </c>
      <c r="J63" s="398">
        <f>IF($A63&lt;=baseData, INDEX(Permutas!AC:AC, MATCH($A63, Permutas!N:N, 0)), 0)</f>
        <v>0</v>
      </c>
      <c r="L63" s="397">
        <f ca="1">IF(A63&lt;=baseData, N63-M63, -INDEX('Fluxo Projeto'!AQ:AQ, MATCH($A63, 'Fluxo Projeto'!A:A, 0))*(pctSCPequity+pctSCPpermuta))</f>
        <v>0</v>
      </c>
      <c r="M63" s="398">
        <f>IFERROR(INDEX(Permutas!AJ:AJ, MATCH('Fluxo Bandeira Co'!A63, Permutas!N:N, 0)), 0)</f>
        <v>0</v>
      </c>
      <c r="N63" s="393">
        <f ca="1">IF($A63&lt;=baseData,IFERROR(INDEX('LDI - Fluxo de Caixa'!$AP$161:$AP$374,MATCH($A63,'LDI - Fluxo de Caixa'!$C$161:$C$374,0)), 0),SUM(L63:M63))</f>
        <v>0</v>
      </c>
      <c r="P63" s="397">
        <f t="shared" ca="1" si="48"/>
        <v>0</v>
      </c>
      <c r="Q63" s="398">
        <f t="shared" ca="1" si="49"/>
        <v>0</v>
      </c>
      <c r="S63" s="430">
        <v>0</v>
      </c>
      <c r="T63" s="390">
        <f t="shared" si="38"/>
        <v>-5000</v>
      </c>
      <c r="U63" s="390">
        <f t="shared" si="39"/>
        <v>-10000</v>
      </c>
      <c r="V63" s="390">
        <f t="shared" si="40"/>
        <v>-1666.6666666666667</v>
      </c>
      <c r="W63" s="390">
        <f t="shared" si="41"/>
        <v>-38755.717930517523</v>
      </c>
      <c r="X63" s="431">
        <v>0</v>
      </c>
      <c r="Y63" s="415">
        <f t="shared" si="42"/>
        <v>-10000</v>
      </c>
      <c r="Z63" s="415">
        <f t="shared" si="43"/>
        <v>-10000</v>
      </c>
      <c r="AA63" s="432">
        <v>0</v>
      </c>
      <c r="AB63" s="393">
        <f t="shared" si="22"/>
        <v>-75422.384597184195</v>
      </c>
      <c r="AD63" s="393">
        <f t="shared" ca="1" si="23"/>
        <v>-75422.384597184195</v>
      </c>
      <c r="AF63" s="393">
        <f t="shared" ca="1" si="44"/>
        <v>-146.92638502467244</v>
      </c>
      <c r="AH63" s="393">
        <f t="shared" ca="1" si="24"/>
        <v>592069.61198634736</v>
      </c>
      <c r="AJ63" s="397">
        <f t="shared" ca="1" si="25"/>
        <v>0</v>
      </c>
      <c r="AK63" s="390">
        <f>IF($A63&gt;baseData, INDEX(Permutas!AC:AC, MATCH('Fluxo Bandeira Co'!A63, Permutas!N:N, 0)), 0)</f>
        <v>0</v>
      </c>
      <c r="AL63" s="398">
        <f t="shared" si="37"/>
        <v>0</v>
      </c>
      <c r="AN63" s="393">
        <f t="shared" ca="1" si="26"/>
        <v>592069.61198634736</v>
      </c>
      <c r="AP63" s="393">
        <f t="shared" ca="1" si="45"/>
        <v>592069.61198634736</v>
      </c>
      <c r="AR63" s="397">
        <f t="shared" ca="1" si="27"/>
        <v>0</v>
      </c>
      <c r="AS63" s="398">
        <f t="shared" ca="1" si="33"/>
        <v>-28931352.132921223</v>
      </c>
      <c r="AU63" s="393">
        <f t="shared" ca="1" si="28"/>
        <v>0</v>
      </c>
      <c r="AW63" s="397">
        <f t="shared" ca="1" si="34"/>
        <v>-36595943.796292737</v>
      </c>
      <c r="AX63" s="390">
        <f t="shared" ca="1" si="35"/>
        <v>0</v>
      </c>
      <c r="AY63" s="390">
        <f t="shared" ca="1" si="29"/>
        <v>0</v>
      </c>
      <c r="AZ63" s="390">
        <f t="shared" ca="1" si="30"/>
        <v>0</v>
      </c>
      <c r="BA63" s="398">
        <f t="shared" ca="1" si="36"/>
        <v>-28931352.132921223</v>
      </c>
      <c r="BC63" s="393">
        <f t="shared" ca="1" si="31"/>
        <v>0</v>
      </c>
    </row>
    <row r="64" spans="1:55" x14ac:dyDescent="0.25">
      <c r="A64" s="197">
        <f t="shared" si="32"/>
        <v>44958</v>
      </c>
      <c r="B64" s="388">
        <f>IF($A64&lt;=baseData, INDEX(Indicadores!B:B, MATCH($A64,Indicadores!A:A, 0)), INDEX(Indicadores!B:B, MATCH(baseData,Indicadores!A:A, 0)))</f>
        <v>839.38199999999995</v>
      </c>
      <c r="C64" s="389">
        <f>IF($A64&lt;=baseData, INDEX(Indicadores!E:E, MATCH($A64, Indicadores!A:A, 0)), INDEX(Indicadores!E:E, MATCH(baseData, Indicadores!A:A, 0)))</f>
        <v>5486.52</v>
      </c>
      <c r="E64" s="397">
        <f t="shared" ca="1" si="46"/>
        <v>592069.61198634736</v>
      </c>
      <c r="F64" s="390">
        <f>IF($A64&lt;=baseData, -SUMIF('Fluxo Investidores'!$L64:$X64, "&lt;0", 'Fluxo Investidores'!$L64:$X64), 0)</f>
        <v>0</v>
      </c>
      <c r="G64" s="390">
        <f>IF($A64&lt;=baseData, -SUMIF('Fluxo Investidores'!$L64:$X64, "&gt;0", 'Fluxo Investidores'!$L64:$X64), 0)</f>
        <v>0</v>
      </c>
      <c r="H64" s="429"/>
      <c r="I64" s="390">
        <f t="shared" si="47"/>
        <v>0</v>
      </c>
      <c r="J64" s="398">
        <f>IF($A64&lt;=baseData, INDEX(Permutas!AC:AC, MATCH($A64, Permutas!N:N, 0)), 0)</f>
        <v>0</v>
      </c>
      <c r="L64" s="397">
        <f ca="1">IF(A64&lt;=baseData, N64-M64, -INDEX('Fluxo Projeto'!AQ:AQ, MATCH($A64, 'Fluxo Projeto'!A:A, 0))*(pctSCPequity+pctSCPpermuta))</f>
        <v>0</v>
      </c>
      <c r="M64" s="398">
        <f>IFERROR(INDEX(Permutas!AJ:AJ, MATCH('Fluxo Bandeira Co'!A64, Permutas!N:N, 0)), 0)</f>
        <v>0</v>
      </c>
      <c r="N64" s="393">
        <f ca="1">IF($A64&lt;=baseData,IFERROR(INDEX('LDI - Fluxo de Caixa'!$AP$161:$AP$374,MATCH($A64,'LDI - Fluxo de Caixa'!$C$161:$C$374,0)), 0),SUM(L64:M64))</f>
        <v>0</v>
      </c>
      <c r="P64" s="397">
        <f t="shared" ca="1" si="48"/>
        <v>0</v>
      </c>
      <c r="Q64" s="398">
        <f t="shared" ca="1" si="49"/>
        <v>0</v>
      </c>
      <c r="S64" s="430">
        <v>0</v>
      </c>
      <c r="T64" s="390">
        <f t="shared" si="38"/>
        <v>-5000</v>
      </c>
      <c r="U64" s="390">
        <f t="shared" si="39"/>
        <v>-10000</v>
      </c>
      <c r="V64" s="390">
        <f t="shared" si="40"/>
        <v>-1666.6666666666667</v>
      </c>
      <c r="W64" s="390">
        <f t="shared" si="41"/>
        <v>-38755.717930517523</v>
      </c>
      <c r="X64" s="431">
        <v>0</v>
      </c>
      <c r="Y64" s="415">
        <f t="shared" si="42"/>
        <v>-10000</v>
      </c>
      <c r="Z64" s="415">
        <f t="shared" si="43"/>
        <v>-10000</v>
      </c>
      <c r="AA64" s="432">
        <v>0</v>
      </c>
      <c r="AB64" s="393">
        <f t="shared" si="22"/>
        <v>-75422.384597184195</v>
      </c>
      <c r="AD64" s="393">
        <f t="shared" ca="1" si="23"/>
        <v>-75422.384597184195</v>
      </c>
      <c r="AF64" s="393">
        <f t="shared" ca="1" si="44"/>
        <v>-130.29595007032191</v>
      </c>
      <c r="AH64" s="393">
        <f t="shared" ca="1" si="24"/>
        <v>516516.93143909285</v>
      </c>
      <c r="AJ64" s="397">
        <f t="shared" ca="1" si="25"/>
        <v>0</v>
      </c>
      <c r="AK64" s="390">
        <f>IF($A64&gt;baseData, INDEX(Permutas!AC:AC, MATCH('Fluxo Bandeira Co'!A64, Permutas!N:N, 0)), 0)</f>
        <v>0</v>
      </c>
      <c r="AL64" s="398">
        <f t="shared" si="37"/>
        <v>0</v>
      </c>
      <c r="AN64" s="393">
        <f t="shared" ca="1" si="26"/>
        <v>516516.93143909285</v>
      </c>
      <c r="AP64" s="393">
        <f t="shared" ca="1" si="45"/>
        <v>516516.93143909285</v>
      </c>
      <c r="AR64" s="397">
        <f t="shared" ca="1" si="27"/>
        <v>0</v>
      </c>
      <c r="AS64" s="398">
        <f t="shared" ca="1" si="33"/>
        <v>-28931352.132921223</v>
      </c>
      <c r="AU64" s="393">
        <f t="shared" ca="1" si="28"/>
        <v>0</v>
      </c>
      <c r="AW64" s="397">
        <f t="shared" ca="1" si="34"/>
        <v>-36774076.403207645</v>
      </c>
      <c r="AX64" s="390">
        <f t="shared" ca="1" si="35"/>
        <v>0</v>
      </c>
      <c r="AY64" s="390">
        <f t="shared" ca="1" si="29"/>
        <v>0</v>
      </c>
      <c r="AZ64" s="390">
        <f t="shared" ca="1" si="30"/>
        <v>0</v>
      </c>
      <c r="BA64" s="398">
        <f t="shared" ca="1" si="36"/>
        <v>-28931352.132921223</v>
      </c>
      <c r="BC64" s="393">
        <f t="shared" ca="1" si="31"/>
        <v>0</v>
      </c>
    </row>
    <row r="65" spans="1:59" x14ac:dyDescent="0.25">
      <c r="A65" s="197">
        <f t="shared" si="32"/>
        <v>44986</v>
      </c>
      <c r="B65" s="388">
        <f>IF($A65&lt;=baseData, INDEX(Indicadores!B:B, MATCH($A65,Indicadores!A:A, 0)), INDEX(Indicadores!B:B, MATCH(baseData,Indicadores!A:A, 0)))</f>
        <v>839.38199999999995</v>
      </c>
      <c r="C65" s="389">
        <f>IF($A65&lt;=baseData, INDEX(Indicadores!E:E, MATCH($A65, Indicadores!A:A, 0)), INDEX(Indicadores!E:E, MATCH(baseData, Indicadores!A:A, 0)))</f>
        <v>5486.52</v>
      </c>
      <c r="E65" s="397">
        <f t="shared" ca="1" si="46"/>
        <v>516516.93143909285</v>
      </c>
      <c r="F65" s="390">
        <f>IF($A65&lt;=baseData, -SUMIF('Fluxo Investidores'!$L65:$X65, "&lt;0", 'Fluxo Investidores'!$L65:$X65), 0)</f>
        <v>0</v>
      </c>
      <c r="G65" s="390">
        <f>IF($A65&lt;=baseData, -SUMIF('Fluxo Investidores'!$L65:$X65, "&gt;0", 'Fluxo Investidores'!$L65:$X65), 0)</f>
        <v>0</v>
      </c>
      <c r="H65" s="429"/>
      <c r="I65" s="390">
        <f t="shared" si="47"/>
        <v>0</v>
      </c>
      <c r="J65" s="398">
        <f>IF($A65&lt;=baseData, INDEX(Permutas!AC:AC, MATCH($A65, Permutas!N:N, 0)), 0)</f>
        <v>0</v>
      </c>
      <c r="L65" s="397">
        <f ca="1">IF(A65&lt;=baseData, N65-M65, -INDEX('Fluxo Projeto'!AQ:AQ, MATCH($A65, 'Fluxo Projeto'!A:A, 0))*(pctSCPequity+pctSCPpermuta))</f>
        <v>0</v>
      </c>
      <c r="M65" s="398">
        <f>IFERROR(INDEX(Permutas!AJ:AJ, MATCH('Fluxo Bandeira Co'!A65, Permutas!N:N, 0)), 0)</f>
        <v>0</v>
      </c>
      <c r="N65" s="393">
        <f ca="1">IF($A65&lt;=baseData,IFERROR(INDEX('LDI - Fluxo de Caixa'!$AP$161:$AP$374,MATCH($A65,'LDI - Fluxo de Caixa'!$C$161:$C$374,0)), 0),SUM(L65:M65))</f>
        <v>0</v>
      </c>
      <c r="P65" s="397">
        <f t="shared" ca="1" si="48"/>
        <v>0</v>
      </c>
      <c r="Q65" s="398">
        <f t="shared" ca="1" si="49"/>
        <v>0</v>
      </c>
      <c r="S65" s="430">
        <v>0</v>
      </c>
      <c r="T65" s="390">
        <f t="shared" si="38"/>
        <v>-5000</v>
      </c>
      <c r="U65" s="390">
        <f t="shared" si="39"/>
        <v>-10000</v>
      </c>
      <c r="V65" s="390">
        <f t="shared" si="40"/>
        <v>-1666.6666666666667</v>
      </c>
      <c r="W65" s="390">
        <f t="shared" si="41"/>
        <v>-38755.717930517523</v>
      </c>
      <c r="X65" s="431">
        <v>0</v>
      </c>
      <c r="Y65" s="415">
        <f t="shared" si="42"/>
        <v>-10000</v>
      </c>
      <c r="Z65" s="415">
        <f t="shared" si="43"/>
        <v>-10000</v>
      </c>
      <c r="AA65" s="432">
        <v>0</v>
      </c>
      <c r="AB65" s="393">
        <f t="shared" si="22"/>
        <v>-75422.384597184195</v>
      </c>
      <c r="AD65" s="393">
        <f t="shared" ca="1" si="23"/>
        <v>-75422.384597184195</v>
      </c>
      <c r="AF65" s="393">
        <f t="shared" ca="1" si="44"/>
        <v>-113.6691749530557</v>
      </c>
      <c r="AH65" s="393">
        <f t="shared" ca="1" si="24"/>
        <v>440980.87766695558</v>
      </c>
      <c r="AJ65" s="397">
        <f t="shared" ca="1" si="25"/>
        <v>0</v>
      </c>
      <c r="AK65" s="390">
        <f>IF($A65&gt;baseData, INDEX(Permutas!AC:AC, MATCH('Fluxo Bandeira Co'!A65, Permutas!N:N, 0)), 0)</f>
        <v>0</v>
      </c>
      <c r="AL65" s="398">
        <f t="shared" si="37"/>
        <v>0</v>
      </c>
      <c r="AN65" s="393">
        <f t="shared" ca="1" si="26"/>
        <v>440980.87766695558</v>
      </c>
      <c r="AP65" s="393">
        <f t="shared" ca="1" si="45"/>
        <v>440980.87766695558</v>
      </c>
      <c r="AR65" s="397">
        <f t="shared" ca="1" si="27"/>
        <v>0</v>
      </c>
      <c r="AS65" s="398">
        <f t="shared" ca="1" si="33"/>
        <v>-28931352.132921223</v>
      </c>
      <c r="AU65" s="393">
        <f t="shared" ca="1" si="28"/>
        <v>0</v>
      </c>
      <c r="AW65" s="397">
        <f t="shared" ca="1" si="34"/>
        <v>-36953076.079594046</v>
      </c>
      <c r="AX65" s="390">
        <f t="shared" ca="1" si="35"/>
        <v>0</v>
      </c>
      <c r="AY65" s="390">
        <f t="shared" ca="1" si="29"/>
        <v>0</v>
      </c>
      <c r="AZ65" s="390">
        <f t="shared" ca="1" si="30"/>
        <v>0</v>
      </c>
      <c r="BA65" s="398">
        <f t="shared" ca="1" si="36"/>
        <v>-28931352.132921223</v>
      </c>
      <c r="BC65" s="393">
        <f t="shared" ca="1" si="31"/>
        <v>0</v>
      </c>
    </row>
    <row r="66" spans="1:59" x14ac:dyDescent="0.25">
      <c r="A66" s="197">
        <f t="shared" si="32"/>
        <v>45017</v>
      </c>
      <c r="B66" s="388">
        <f>IF($A66&lt;=baseData, INDEX(Indicadores!B:B, MATCH($A66,Indicadores!A:A, 0)), INDEX(Indicadores!B:B, MATCH(baseData,Indicadores!A:A, 0)))</f>
        <v>839.38199999999995</v>
      </c>
      <c r="C66" s="389">
        <f>IF($A66&lt;=baseData, INDEX(Indicadores!E:E, MATCH($A66, Indicadores!A:A, 0)), INDEX(Indicadores!E:E, MATCH(baseData, Indicadores!A:A, 0)))</f>
        <v>5486.52</v>
      </c>
      <c r="E66" s="397">
        <f t="shared" ca="1" si="46"/>
        <v>440980.87766695558</v>
      </c>
      <c r="F66" s="390">
        <f>IF($A66&lt;=baseData, -SUMIF('Fluxo Investidores'!$L66:$X66, "&lt;0", 'Fluxo Investidores'!$L66:$X66), 0)</f>
        <v>0</v>
      </c>
      <c r="G66" s="390">
        <f>IF($A66&lt;=baseData, -SUMIF('Fluxo Investidores'!$L66:$X66, "&gt;0", 'Fluxo Investidores'!$L66:$X66), 0)</f>
        <v>0</v>
      </c>
      <c r="H66" s="429"/>
      <c r="I66" s="390">
        <f t="shared" si="47"/>
        <v>0</v>
      </c>
      <c r="J66" s="398">
        <f>IF($A66&lt;=baseData, INDEX(Permutas!AC:AC, MATCH($A66, Permutas!N:N, 0)), 0)</f>
        <v>0</v>
      </c>
      <c r="L66" s="397">
        <f ca="1">IF(A66&lt;=baseData, N66-M66, -INDEX('Fluxo Projeto'!AQ:AQ, MATCH($A66, 'Fluxo Projeto'!A:A, 0))*(pctSCPequity+pctSCPpermuta))</f>
        <v>0</v>
      </c>
      <c r="M66" s="398">
        <f>IFERROR(INDEX(Permutas!AJ:AJ, MATCH('Fluxo Bandeira Co'!A66, Permutas!N:N, 0)), 0)</f>
        <v>0</v>
      </c>
      <c r="N66" s="393">
        <f ca="1">IF($A66&lt;=baseData,IFERROR(INDEX('LDI - Fluxo de Caixa'!$AP$161:$AP$374,MATCH($A66,'LDI - Fluxo de Caixa'!$C$161:$C$374,0)), 0),SUM(L66:M66))</f>
        <v>0</v>
      </c>
      <c r="P66" s="397">
        <f t="shared" ca="1" si="48"/>
        <v>0</v>
      </c>
      <c r="Q66" s="398">
        <f t="shared" ca="1" si="49"/>
        <v>0</v>
      </c>
      <c r="S66" s="430">
        <v>0</v>
      </c>
      <c r="T66" s="390">
        <f t="shared" si="38"/>
        <v>-5000</v>
      </c>
      <c r="U66" s="390">
        <f t="shared" si="39"/>
        <v>-10000</v>
      </c>
      <c r="V66" s="390">
        <f t="shared" si="40"/>
        <v>-1666.6666666666667</v>
      </c>
      <c r="W66" s="390">
        <f t="shared" si="41"/>
        <v>-38755.717930517523</v>
      </c>
      <c r="X66" s="431">
        <v>0</v>
      </c>
      <c r="Y66" s="415">
        <f t="shared" si="42"/>
        <v>-10000</v>
      </c>
      <c r="Z66" s="415">
        <f t="shared" si="43"/>
        <v>-10000</v>
      </c>
      <c r="AA66" s="432">
        <v>0</v>
      </c>
      <c r="AB66" s="393">
        <f t="shared" ref="AB66:AB97" si="50">SUM(S66:AA66)</f>
        <v>-75422.384597184195</v>
      </c>
      <c r="AD66" s="393">
        <f t="shared" ref="AD66:AD86" ca="1" si="51">P66+AB66</f>
        <v>-75422.384597184195</v>
      </c>
      <c r="AF66" s="393">
        <f t="shared" ca="1" si="44"/>
        <v>-97.046058867458498</v>
      </c>
      <c r="AH66" s="393">
        <f t="shared" ref="AH66:AH86" ca="1" si="52">E66+AD66+AF66</f>
        <v>365461.44701090391</v>
      </c>
      <c r="AJ66" s="397">
        <f t="shared" ref="AJ66:AJ97" ca="1" si="53">IF(AND($A66&gt;baseData, $A66&lt;inicioDistribuicoes), IF(IF($L66&lt;0, $L66+IF($A66&lt;=entrega, IF(AH66&lt;cxMinHoldingPreObra, cxMinHoldingPreObra-AH66-N66, 0), IF(AH66&lt;cxMinHoldingPosObra, cxMinHoldingPosObra-AH66-N66, 0)), 0)&lt;&gt;0, IF($L66&lt;0, $L66+IF($A66&lt;=entrega, IF(AH66&lt;cxMinHoldingPreObra, cxMinHoldingPreObra-AH66-N66, 0), IF(AH66&lt;cxMinHoldingPosObra, cxMinHoldingPosObra-AH66-N66, 0)), 0),IF(AND(AH66&lt;0, AK66=0), IF($A66&lt;=entrega, cxMinHoldingPreObra-AH66, cxMinHoldingPosObra-AH66), IF(AND(AK66&lt;&gt;0, AK66+AH66+SUM(AD67:AD78)+SUM(N67:N78)&lt;0), MAX(IF($A66&lt;=entrega, cxMinHoldingPreObra, cxMinHoldingPosObra)-(AK66+AH66), -(AK66+AH66+SUM(AD67:AD78)+SUM(N67:N78))), 0))), 0)</f>
        <v>0</v>
      </c>
      <c r="AK66" s="390">
        <f>IF($A66&gt;baseData, INDEX(Permutas!AC:AC, MATCH('Fluxo Bandeira Co'!A66, Permutas!N:N, 0)), 0)</f>
        <v>0</v>
      </c>
      <c r="AL66" s="398">
        <f t="shared" si="37"/>
        <v>0</v>
      </c>
      <c r="AN66" s="393">
        <f t="shared" ref="AN66:AN86" ca="1" si="54">AH66+AJ66+AK66+AL66</f>
        <v>365461.44701090391</v>
      </c>
      <c r="AP66" s="393">
        <f t="shared" ca="1" si="45"/>
        <v>365461.44701090391</v>
      </c>
      <c r="AR66" s="397">
        <f t="shared" ref="AR66:AR86" ca="1" si="55">-(I66+G66+AJ66+AL66)</f>
        <v>0</v>
      </c>
      <c r="AS66" s="398">
        <f t="shared" ca="1" si="33"/>
        <v>-28931352.132921223</v>
      </c>
      <c r="AU66" s="393">
        <f t="shared" ref="AU66:AU86" ca="1" si="56">AR66*IF(A66&gt;baseData,1,ipcaData/C66)</f>
        <v>0</v>
      </c>
      <c r="AW66" s="397">
        <f t="shared" ca="1" si="34"/>
        <v>-37132947.04595644</v>
      </c>
      <c r="AX66" s="390">
        <f t="shared" ca="1" si="35"/>
        <v>0</v>
      </c>
      <c r="AY66" s="390">
        <f t="shared" ref="AY66:AY97" ca="1" si="57">txPerformance*AX66</f>
        <v>0</v>
      </c>
      <c r="AZ66" s="390">
        <f t="shared" ref="AZ66:AZ97" ca="1" si="58">AR66-AY66</f>
        <v>0</v>
      </c>
      <c r="BA66" s="398">
        <f t="shared" ca="1" si="36"/>
        <v>-28931352.132921223</v>
      </c>
      <c r="BC66" s="393">
        <f t="shared" ref="BC66:BC86" ca="1" si="59">AU66-AY66</f>
        <v>0</v>
      </c>
    </row>
    <row r="67" spans="1:59" x14ac:dyDescent="0.25">
      <c r="A67" s="197">
        <f t="shared" ref="A67:A86" si="60">DATE(YEAR(A66),MONTH(A66)+1,1)</f>
        <v>45047</v>
      </c>
      <c r="B67" s="388">
        <f>IF($A67&lt;=baseData, INDEX(Indicadores!B:B, MATCH($A67,Indicadores!A:A, 0)), INDEX(Indicadores!B:B, MATCH(baseData,Indicadores!A:A, 0)))</f>
        <v>839.38199999999995</v>
      </c>
      <c r="C67" s="389">
        <f>IF($A67&lt;=baseData, INDEX(Indicadores!E:E, MATCH($A67, Indicadores!A:A, 0)), INDEX(Indicadores!E:E, MATCH(baseData, Indicadores!A:A, 0)))</f>
        <v>5486.52</v>
      </c>
      <c r="E67" s="397">
        <f t="shared" ca="1" si="46"/>
        <v>365461.44701090391</v>
      </c>
      <c r="F67" s="390">
        <f>IF($A67&lt;=baseData, -SUMIF('Fluxo Investidores'!$L67:$X67, "&lt;0", 'Fluxo Investidores'!$L67:$X67), 0)</f>
        <v>0</v>
      </c>
      <c r="G67" s="390">
        <f>IF($A67&lt;=baseData, -SUMIF('Fluxo Investidores'!$L67:$X67, "&gt;0", 'Fluxo Investidores'!$L67:$X67), 0)</f>
        <v>0</v>
      </c>
      <c r="H67" s="429"/>
      <c r="I67" s="390">
        <f t="shared" si="47"/>
        <v>0</v>
      </c>
      <c r="J67" s="398">
        <f>IF($A67&lt;=baseData, INDEX(Permutas!AC:AC, MATCH($A67, Permutas!N:N, 0)), 0)</f>
        <v>0</v>
      </c>
      <c r="L67" s="397">
        <f ca="1">IF(A67&lt;=baseData, N67-M67, -INDEX('Fluxo Projeto'!AQ:AQ, MATCH($A67, 'Fluxo Projeto'!A:A, 0))*(pctSCPequity+pctSCPpermuta))</f>
        <v>-26623051.275397703</v>
      </c>
      <c r="M67" s="398">
        <f>IFERROR(INDEX(Permutas!AJ:AJ, MATCH('Fluxo Bandeira Co'!A67, Permutas!N:N, 0)), 0)</f>
        <v>0</v>
      </c>
      <c r="N67" s="393">
        <f ca="1">IF($A67&lt;=baseData,IFERROR(INDEX('LDI - Fluxo de Caixa'!$AP$161:$AP$374,MATCH($A67,'LDI - Fluxo de Caixa'!$C$161:$C$374,0)), 0),SUM(L67:M67))</f>
        <v>-26623051.275397703</v>
      </c>
      <c r="P67" s="397">
        <f t="shared" ca="1" si="48"/>
        <v>26623051.275397703</v>
      </c>
      <c r="Q67" s="398">
        <f t="shared" ca="1" si="49"/>
        <v>26623051.275397703</v>
      </c>
      <c r="S67" s="430">
        <v>0</v>
      </c>
      <c r="T67" s="390">
        <f t="shared" si="38"/>
        <v>-5000</v>
      </c>
      <c r="U67" s="390">
        <f t="shared" si="39"/>
        <v>0</v>
      </c>
      <c r="V67" s="390">
        <f t="shared" si="40"/>
        <v>-1666.6666666666667</v>
      </c>
      <c r="W67" s="390">
        <f t="shared" si="41"/>
        <v>-38755.717930517523</v>
      </c>
      <c r="X67" s="431">
        <v>0</v>
      </c>
      <c r="Y67" s="415">
        <f t="shared" si="42"/>
        <v>-10000</v>
      </c>
      <c r="Z67" s="415">
        <f t="shared" si="43"/>
        <v>-10000</v>
      </c>
      <c r="AA67" s="432">
        <v>0</v>
      </c>
      <c r="AB67" s="393">
        <f t="shared" si="50"/>
        <v>-65422.384597184187</v>
      </c>
      <c r="AD67" s="393">
        <f t="shared" ca="1" si="51"/>
        <v>26557628.890800517</v>
      </c>
      <c r="AF67" s="393">
        <f t="shared" ca="1" si="44"/>
        <v>-80.426601008292195</v>
      </c>
      <c r="AH67" s="393">
        <f t="shared" ca="1" si="52"/>
        <v>26923009.911210414</v>
      </c>
      <c r="AJ67" s="397">
        <f t="shared" si="53"/>
        <v>0</v>
      </c>
      <c r="AK67" s="390">
        <f>IF($A67&gt;baseData, INDEX(Permutas!AC:AC, MATCH('Fluxo Bandeira Co'!A67, Permutas!N:N, 0)), 0)</f>
        <v>0</v>
      </c>
      <c r="AL67" s="398">
        <f t="shared" ca="1" si="37"/>
        <v>-26423009.911210414</v>
      </c>
      <c r="AN67" s="393">
        <f t="shared" ca="1" si="54"/>
        <v>500000</v>
      </c>
      <c r="AP67" s="393">
        <f t="shared" ca="1" si="45"/>
        <v>500000</v>
      </c>
      <c r="AR67" s="397">
        <f t="shared" ca="1" si="55"/>
        <v>26423009.911210414</v>
      </c>
      <c r="AS67" s="398">
        <f t="shared" ref="AS67:AS98" ca="1" si="61">+AS66+AR67</f>
        <v>-2508342.2217108086</v>
      </c>
      <c r="AU67" s="393">
        <f t="shared" ca="1" si="56"/>
        <v>26423009.911210414</v>
      </c>
      <c r="AW67" s="397">
        <f t="shared" ref="AW67:AW86" ca="1" si="62">IF(A67&lt;=terminoProjeto, (AW66*(1+hurdle)^(1/12))+AU67, 0)</f>
        <v>-10890683.632132422</v>
      </c>
      <c r="AX67" s="390">
        <f t="shared" ref="AX67:AX98" ca="1" si="63">IF(AW67&gt;0, IF(AW66&lt;0, AW67, AU67), 0)</f>
        <v>0</v>
      </c>
      <c r="AY67" s="390">
        <f t="shared" ca="1" si="57"/>
        <v>0</v>
      </c>
      <c r="AZ67" s="390">
        <f t="shared" ca="1" si="58"/>
        <v>26423009.911210414</v>
      </c>
      <c r="BA67" s="398">
        <f t="shared" ref="BA67:BA98" ca="1" si="64">+BA66+AZ67</f>
        <v>-2508342.2217108086</v>
      </c>
      <c r="BC67" s="393">
        <f t="shared" ca="1" si="59"/>
        <v>26423009.911210414</v>
      </c>
    </row>
    <row r="68" spans="1:59" x14ac:dyDescent="0.25">
      <c r="A68" s="197">
        <f t="shared" si="60"/>
        <v>45078</v>
      </c>
      <c r="B68" s="388">
        <f>IF($A68&lt;=baseData, INDEX(Indicadores!B:B, MATCH($A68,Indicadores!A:A, 0)), INDEX(Indicadores!B:B, MATCH(baseData,Indicadores!A:A, 0)))</f>
        <v>839.38199999999995</v>
      </c>
      <c r="C68" s="389">
        <f>IF($A68&lt;=baseData, INDEX(Indicadores!E:E, MATCH($A68, Indicadores!A:A, 0)), INDEX(Indicadores!E:E, MATCH(baseData, Indicadores!A:A, 0)))</f>
        <v>5486.52</v>
      </c>
      <c r="E68" s="397">
        <f t="shared" ca="1" si="46"/>
        <v>500000</v>
      </c>
      <c r="F68" s="390">
        <f>IF($A68&lt;=baseData, -SUMIF('Fluxo Investidores'!$L68:$X68, "&lt;0", 'Fluxo Investidores'!$L68:$X68), 0)</f>
        <v>0</v>
      </c>
      <c r="G68" s="390">
        <f>IF($A68&lt;=baseData, -SUMIF('Fluxo Investidores'!$L68:$X68, "&gt;0", 'Fluxo Investidores'!$L68:$X68), 0)</f>
        <v>0</v>
      </c>
      <c r="H68" s="429"/>
      <c r="I68" s="390">
        <f t="shared" si="47"/>
        <v>0</v>
      </c>
      <c r="J68" s="398">
        <f>IF($A68&lt;=baseData, INDEX(Permutas!AC:AC, MATCH($A68, Permutas!N:N, 0)), 0)</f>
        <v>0</v>
      </c>
      <c r="L68" s="397">
        <f ca="1">IF(A68&lt;=baseData, N68-M68, -INDEX('Fluxo Projeto'!AQ:AQ, MATCH($A68, 'Fluxo Projeto'!A:A, 0))*(pctSCPequity+pctSCPpermuta))</f>
        <v>-256094.77134194158</v>
      </c>
      <c r="M68" s="398">
        <f>IFERROR(INDEX(Permutas!AJ:AJ, MATCH('Fluxo Bandeira Co'!A68, Permutas!N:N, 0)), 0)</f>
        <v>0</v>
      </c>
      <c r="N68" s="393">
        <f ca="1">IF($A68&lt;=baseData,IFERROR(INDEX('LDI - Fluxo de Caixa'!$AP$161:$AP$374,MATCH($A68,'LDI - Fluxo de Caixa'!$C$161:$C$374,0)), 0),SUM(L68:M68))</f>
        <v>-256094.77134194158</v>
      </c>
      <c r="P68" s="397">
        <f t="shared" ca="1" si="48"/>
        <v>256094.77134194158</v>
      </c>
      <c r="Q68" s="398">
        <f t="shared" ca="1" si="49"/>
        <v>256094.77134194158</v>
      </c>
      <c r="S68" s="430">
        <v>0</v>
      </c>
      <c r="T68" s="390">
        <f t="shared" si="38"/>
        <v>-5000</v>
      </c>
      <c r="U68" s="390">
        <f t="shared" si="39"/>
        <v>0</v>
      </c>
      <c r="V68" s="390">
        <f t="shared" si="40"/>
        <v>-1666.6666666666667</v>
      </c>
      <c r="W68" s="390">
        <f t="shared" si="41"/>
        <v>-38755.717930517523</v>
      </c>
      <c r="X68" s="431">
        <v>0</v>
      </c>
      <c r="Y68" s="415">
        <f t="shared" si="42"/>
        <v>-10000</v>
      </c>
      <c r="Z68" s="415">
        <f t="shared" si="43"/>
        <v>-10000</v>
      </c>
      <c r="AA68" s="432">
        <v>0</v>
      </c>
      <c r="AB68" s="393">
        <f t="shared" si="50"/>
        <v>-65422.384597184187</v>
      </c>
      <c r="AD68" s="393">
        <f t="shared" ca="1" si="51"/>
        <v>190672.38674475739</v>
      </c>
      <c r="AF68" s="393">
        <f t="shared" ca="1" si="44"/>
        <v>-110.03431643214145</v>
      </c>
      <c r="AH68" s="393">
        <f t="shared" ca="1" si="52"/>
        <v>690562.35242832522</v>
      </c>
      <c r="AJ68" s="397">
        <f t="shared" si="53"/>
        <v>0</v>
      </c>
      <c r="AK68" s="390">
        <f>IF($A68&gt;baseData, INDEX(Permutas!AC:AC, MATCH('Fluxo Bandeira Co'!A68, Permutas!N:N, 0)), 0)</f>
        <v>0</v>
      </c>
      <c r="AL68" s="398">
        <f t="shared" ref="AL68:AL86" ca="1" si="65">IF(A68=terminoProjeto,-AH68,IF(A68&gt;=inicioDistribuicoes,IF(AH68&gt;cxMinHoldingPosObra,-AH68+cxMinHoldingPosObra,0),0))</f>
        <v>-190562.35242832522</v>
      </c>
      <c r="AN68" s="393">
        <f t="shared" ca="1" si="54"/>
        <v>500000</v>
      </c>
      <c r="AP68" s="393">
        <f t="shared" ca="1" si="45"/>
        <v>500000</v>
      </c>
      <c r="AR68" s="397">
        <f t="shared" ca="1" si="55"/>
        <v>190562.35242832522</v>
      </c>
      <c r="AS68" s="398">
        <f t="shared" ca="1" si="61"/>
        <v>-2317779.8692824831</v>
      </c>
      <c r="AU68" s="393">
        <f t="shared" ca="1" si="56"/>
        <v>190562.35242832522</v>
      </c>
      <c r="AW68" s="397">
        <f t="shared" ca="1" si="62"/>
        <v>-10753132.232974656</v>
      </c>
      <c r="AX68" s="390">
        <f t="shared" ca="1" si="63"/>
        <v>0</v>
      </c>
      <c r="AY68" s="390">
        <f t="shared" ca="1" si="57"/>
        <v>0</v>
      </c>
      <c r="AZ68" s="390">
        <f t="shared" ca="1" si="58"/>
        <v>190562.35242832522</v>
      </c>
      <c r="BA68" s="398">
        <f t="shared" ca="1" si="64"/>
        <v>-2317779.8692824831</v>
      </c>
      <c r="BC68" s="393">
        <f t="shared" ca="1" si="59"/>
        <v>190562.35242832522</v>
      </c>
    </row>
    <row r="69" spans="1:59" x14ac:dyDescent="0.25">
      <c r="A69" s="197">
        <f t="shared" si="60"/>
        <v>45108</v>
      </c>
      <c r="B69" s="388">
        <f>IF($A69&lt;=baseData, INDEX(Indicadores!B:B, MATCH($A69,Indicadores!A:A, 0)), INDEX(Indicadores!B:B, MATCH(baseData,Indicadores!A:A, 0)))</f>
        <v>839.38199999999995</v>
      </c>
      <c r="C69" s="389">
        <f>IF($A69&lt;=baseData, INDEX(Indicadores!E:E, MATCH($A69, Indicadores!A:A, 0)), INDEX(Indicadores!E:E, MATCH(baseData, Indicadores!A:A, 0)))</f>
        <v>5486.52</v>
      </c>
      <c r="E69" s="397">
        <f t="shared" ca="1" si="46"/>
        <v>500000</v>
      </c>
      <c r="F69" s="390">
        <f>IF($A69&lt;=baseData, -SUMIF('Fluxo Investidores'!$L69:$X69, "&lt;0", 'Fluxo Investidores'!$L69:$X69), 0)</f>
        <v>0</v>
      </c>
      <c r="G69" s="390">
        <f>IF($A69&lt;=baseData, -SUMIF('Fluxo Investidores'!$L69:$X69, "&gt;0", 'Fluxo Investidores'!$L69:$X69), 0)</f>
        <v>0</v>
      </c>
      <c r="H69" s="429"/>
      <c r="I69" s="390">
        <f t="shared" si="47"/>
        <v>0</v>
      </c>
      <c r="J69" s="398">
        <f>IF($A69&lt;=baseData, INDEX(Permutas!AC:AC, MATCH($A69, Permutas!N:N, 0)), 0)</f>
        <v>0</v>
      </c>
      <c r="L69" s="397">
        <f ca="1">IF(A69&lt;=baseData, N69-M69, -INDEX('Fluxo Projeto'!AQ:AQ, MATCH($A69, 'Fluxo Projeto'!A:A, 0))*(pctSCPequity+pctSCPpermuta))</f>
        <v>-4614789.8296057992</v>
      </c>
      <c r="M69" s="398">
        <f>IFERROR(INDEX(Permutas!AJ:AJ, MATCH('Fluxo Bandeira Co'!A69, Permutas!N:N, 0)), 0)</f>
        <v>0</v>
      </c>
      <c r="N69" s="393">
        <f ca="1">IF($A69&lt;=baseData,IFERROR(INDEX('LDI - Fluxo de Caixa'!$AP$161:$AP$374,MATCH($A69,'LDI - Fluxo de Caixa'!$C$161:$C$374,0)), 0),SUM(L69:M69))</f>
        <v>-4614789.8296057992</v>
      </c>
      <c r="P69" s="397">
        <f t="shared" ca="1" si="48"/>
        <v>4614789.8296057992</v>
      </c>
      <c r="Q69" s="398">
        <f t="shared" ca="1" si="49"/>
        <v>4614789.8296057992</v>
      </c>
      <c r="S69" s="430">
        <v>0</v>
      </c>
      <c r="T69" s="390">
        <f t="shared" si="38"/>
        <v>-5000</v>
      </c>
      <c r="U69" s="390">
        <f t="shared" si="39"/>
        <v>0</v>
      </c>
      <c r="V69" s="390">
        <f t="shared" si="40"/>
        <v>-1666.6666666666667</v>
      </c>
      <c r="W69" s="390">
        <f t="shared" si="41"/>
        <v>-38755.717930517523</v>
      </c>
      <c r="X69" s="431">
        <v>0</v>
      </c>
      <c r="Y69" s="415">
        <f t="shared" si="42"/>
        <v>-10000</v>
      </c>
      <c r="Z69" s="415">
        <f t="shared" si="43"/>
        <v>-10000</v>
      </c>
      <c r="AA69" s="432">
        <v>0</v>
      </c>
      <c r="AB69" s="393">
        <f t="shared" si="50"/>
        <v>-65422.384597184187</v>
      </c>
      <c r="AD69" s="393">
        <f t="shared" ca="1" si="51"/>
        <v>4549367.445008615</v>
      </c>
      <c r="AF69" s="393">
        <f t="shared" ca="1" si="44"/>
        <v>-110.03431643214145</v>
      </c>
      <c r="AH69" s="393">
        <f t="shared" ca="1" si="52"/>
        <v>5049257.4106921833</v>
      </c>
      <c r="AJ69" s="397">
        <f t="shared" si="53"/>
        <v>0</v>
      </c>
      <c r="AK69" s="390">
        <f>IF($A69&gt;baseData, INDEX(Permutas!AC:AC, MATCH('Fluxo Bandeira Co'!A69, Permutas!N:N, 0)), 0)</f>
        <v>0</v>
      </c>
      <c r="AL69" s="398">
        <f t="shared" ca="1" si="65"/>
        <v>-4549257.4106921833</v>
      </c>
      <c r="AN69" s="393">
        <f t="shared" ca="1" si="54"/>
        <v>500000</v>
      </c>
      <c r="AP69" s="393">
        <f t="shared" ca="1" si="45"/>
        <v>500000</v>
      </c>
      <c r="AR69" s="397">
        <f t="shared" ca="1" si="55"/>
        <v>4549257.4106921833</v>
      </c>
      <c r="AS69" s="398">
        <f t="shared" ca="1" si="61"/>
        <v>2231477.5414097002</v>
      </c>
      <c r="AU69" s="393">
        <f t="shared" ca="1" si="56"/>
        <v>4549257.4106921833</v>
      </c>
      <c r="AW69" s="397">
        <f t="shared" ca="1" si="62"/>
        <v>-6256216.2371622976</v>
      </c>
      <c r="AX69" s="390">
        <f t="shared" ca="1" si="63"/>
        <v>0</v>
      </c>
      <c r="AY69" s="390">
        <f t="shared" ca="1" si="57"/>
        <v>0</v>
      </c>
      <c r="AZ69" s="390">
        <f t="shared" ca="1" si="58"/>
        <v>4549257.4106921833</v>
      </c>
      <c r="BA69" s="398">
        <f t="shared" ca="1" si="64"/>
        <v>2231477.5414097002</v>
      </c>
      <c r="BC69" s="393">
        <f t="shared" ca="1" si="59"/>
        <v>4549257.4106921833</v>
      </c>
    </row>
    <row r="70" spans="1:59" x14ac:dyDescent="0.25">
      <c r="A70" s="197">
        <f t="shared" si="60"/>
        <v>45139</v>
      </c>
      <c r="B70" s="388">
        <f>IF($A70&lt;=baseData, INDEX(Indicadores!B:B, MATCH($A70,Indicadores!A:A, 0)), INDEX(Indicadores!B:B, MATCH(baseData,Indicadores!A:A, 0)))</f>
        <v>839.38199999999995</v>
      </c>
      <c r="C70" s="389">
        <f>IF($A70&lt;=baseData, INDEX(Indicadores!E:E, MATCH($A70, Indicadores!A:A, 0)), INDEX(Indicadores!E:E, MATCH(baseData, Indicadores!A:A, 0)))</f>
        <v>5486.52</v>
      </c>
      <c r="E70" s="397">
        <f t="shared" ca="1" si="46"/>
        <v>500000</v>
      </c>
      <c r="F70" s="390">
        <f>IF($A70&lt;=baseData, -SUMIF('Fluxo Investidores'!$L70:$X70, "&lt;0", 'Fluxo Investidores'!$L70:$X70), 0)</f>
        <v>0</v>
      </c>
      <c r="G70" s="390">
        <f>IF($A70&lt;=baseData, -SUMIF('Fluxo Investidores'!$L70:$X70, "&gt;0", 'Fluxo Investidores'!$L70:$X70), 0)</f>
        <v>0</v>
      </c>
      <c r="H70" s="429"/>
      <c r="I70" s="390">
        <f t="shared" si="47"/>
        <v>0</v>
      </c>
      <c r="J70" s="398">
        <f>IF($A70&lt;=baseData, INDEX(Permutas!AC:AC, MATCH($A70, Permutas!N:N, 0)), 0)</f>
        <v>0</v>
      </c>
      <c r="L70" s="397">
        <f ca="1">IF(A70&lt;=baseData, N70-M70, -INDEX('Fluxo Projeto'!AQ:AQ, MATCH($A70, 'Fluxo Projeto'!A:A, 0))*(pctSCPequity+pctSCPpermuta))</f>
        <v>-5314506.2090730025</v>
      </c>
      <c r="M70" s="398">
        <f>IFERROR(INDEX(Permutas!AJ:AJ, MATCH('Fluxo Bandeira Co'!A70, Permutas!N:N, 0)), 0)</f>
        <v>0</v>
      </c>
      <c r="N70" s="393">
        <f ca="1">IF($A70&lt;=baseData,IFERROR(INDEX('LDI - Fluxo de Caixa'!$AP$161:$AP$374,MATCH($A70,'LDI - Fluxo de Caixa'!$C$161:$C$374,0)), 0),SUM(L70:M70))</f>
        <v>-5314506.2090730025</v>
      </c>
      <c r="P70" s="397">
        <f t="shared" ca="1" si="48"/>
        <v>5314506.2090730025</v>
      </c>
      <c r="Q70" s="398">
        <f t="shared" ca="1" si="49"/>
        <v>5314506.2090730025</v>
      </c>
      <c r="S70" s="430">
        <v>0</v>
      </c>
      <c r="T70" s="390">
        <f t="shared" ref="T70:T86" si="66">-IF(A70&lt;=terminoProjeto, pctAuditoriaHolding/12, 0)</f>
        <v>-5000</v>
      </c>
      <c r="U70" s="390">
        <f t="shared" ref="U70:U86" si="67">-IF(AND(A70&gt;=inicioObra, A70&lt;=entrega), pctObraHolding, 0)</f>
        <v>0</v>
      </c>
      <c r="V70" s="390">
        <f t="shared" ref="V70:V86" si="68">-IF(A70&lt;=terminoProjeto, pctJurídicoHolding/12, 0)</f>
        <v>-1666.6666666666667</v>
      </c>
      <c r="W70" s="390">
        <f t="shared" ref="W70:W86" si="69">IF(A70&lt;=terminoProjeto, MIN(-((1+txAdmKinea)^(1/12)-1)*SUM($F$17:$F$35), -20000), 0)</f>
        <v>-38755.717930517523</v>
      </c>
      <c r="X70" s="431">
        <v>0</v>
      </c>
      <c r="Y70" s="415">
        <f t="shared" ref="Y70:Y86" si="70">-IF(A70&lt;=terminoProjeto, pctContHolding, 0)</f>
        <v>-10000</v>
      </c>
      <c r="Z70" s="415">
        <f t="shared" ref="Z70:Z86" si="71">-IF(A70&lt;=terminoProjeto, outrasDespesasHolding, 0)</f>
        <v>-10000</v>
      </c>
      <c r="AA70" s="432">
        <v>0</v>
      </c>
      <c r="AB70" s="393">
        <f t="shared" si="50"/>
        <v>-65422.384597184187</v>
      </c>
      <c r="AD70" s="393">
        <f t="shared" ca="1" si="51"/>
        <v>5249083.8244758183</v>
      </c>
      <c r="AF70" s="393">
        <f t="shared" ref="AF70:AF86" ca="1" si="72">E70*CDI</f>
        <v>-110.03431643214145</v>
      </c>
      <c r="AH70" s="393">
        <f t="shared" ca="1" si="52"/>
        <v>5748973.7901593866</v>
      </c>
      <c r="AJ70" s="397">
        <f t="shared" si="53"/>
        <v>0</v>
      </c>
      <c r="AK70" s="390">
        <f>IF($A70&gt;baseData, INDEX(Permutas!AC:AC, MATCH('Fluxo Bandeira Co'!A70, Permutas!N:N, 0)), 0)</f>
        <v>0</v>
      </c>
      <c r="AL70" s="398">
        <f t="shared" ca="1" si="65"/>
        <v>-5248973.7901593866</v>
      </c>
      <c r="AN70" s="393">
        <f t="shared" ca="1" si="54"/>
        <v>500000</v>
      </c>
      <c r="AP70" s="393">
        <f t="shared" ref="AP70:AP86" ca="1" si="73">AN70</f>
        <v>500000</v>
      </c>
      <c r="AR70" s="397">
        <f t="shared" ca="1" si="55"/>
        <v>5248973.7901593866</v>
      </c>
      <c r="AS70" s="398">
        <f t="shared" ca="1" si="61"/>
        <v>7480451.3315690868</v>
      </c>
      <c r="AU70" s="393">
        <f t="shared" ca="1" si="56"/>
        <v>5248973.7901593866</v>
      </c>
      <c r="AW70" s="397">
        <f t="shared" ca="1" si="62"/>
        <v>-1037694.8958850186</v>
      </c>
      <c r="AX70" s="390">
        <f t="shared" ca="1" si="63"/>
        <v>0</v>
      </c>
      <c r="AY70" s="390">
        <f t="shared" ca="1" si="57"/>
        <v>0</v>
      </c>
      <c r="AZ70" s="390">
        <f t="shared" ca="1" si="58"/>
        <v>5248973.7901593866</v>
      </c>
      <c r="BA70" s="398">
        <f t="shared" ca="1" si="64"/>
        <v>7480451.3315690868</v>
      </c>
      <c r="BC70" s="393">
        <f t="shared" ca="1" si="59"/>
        <v>5248973.7901593866</v>
      </c>
    </row>
    <row r="71" spans="1:59" x14ac:dyDescent="0.25">
      <c r="A71" s="197">
        <f t="shared" si="60"/>
        <v>45170</v>
      </c>
      <c r="B71" s="388">
        <f>IF($A71&lt;=baseData, INDEX(Indicadores!B:B, MATCH($A71,Indicadores!A:A, 0)), INDEX(Indicadores!B:B, MATCH(baseData,Indicadores!A:A, 0)))</f>
        <v>839.38199999999995</v>
      </c>
      <c r="C71" s="389">
        <f>IF($A71&lt;=baseData, INDEX(Indicadores!E:E, MATCH($A71, Indicadores!A:A, 0)), INDEX(Indicadores!E:E, MATCH(baseData, Indicadores!A:A, 0)))</f>
        <v>5486.52</v>
      </c>
      <c r="E71" s="397">
        <f t="shared" ca="1" si="46"/>
        <v>500000</v>
      </c>
      <c r="F71" s="390">
        <f>IF($A71&lt;=baseData, -SUMIF('Fluxo Investidores'!$L71:$X71, "&lt;0", 'Fluxo Investidores'!$L71:$X71), 0)</f>
        <v>0</v>
      </c>
      <c r="G71" s="390">
        <f>IF($A71&lt;=baseData, -SUMIF('Fluxo Investidores'!$L71:$X71, "&gt;0", 'Fluxo Investidores'!$L71:$X71), 0)</f>
        <v>0</v>
      </c>
      <c r="H71" s="429"/>
      <c r="I71" s="390">
        <f t="shared" si="47"/>
        <v>0</v>
      </c>
      <c r="J71" s="398">
        <f>IF($A71&lt;=baseData, INDEX(Permutas!AC:AC, MATCH($A71, Permutas!N:N, 0)), 0)</f>
        <v>0</v>
      </c>
      <c r="L71" s="397">
        <f ca="1">IF(A71&lt;=baseData, N71-M71, -INDEX('Fluxo Projeto'!AQ:AQ, MATCH($A71, 'Fluxo Projeto'!A:A, 0))*(pctSCPequity+pctSCPpermuta))</f>
        <v>-5253273.8665948333</v>
      </c>
      <c r="M71" s="398">
        <f>IFERROR(INDEX(Permutas!AJ:AJ, MATCH('Fluxo Bandeira Co'!A71, Permutas!N:N, 0)), 0)</f>
        <v>0</v>
      </c>
      <c r="N71" s="393">
        <f ca="1">IF($A71&lt;=baseData,IFERROR(INDEX('LDI - Fluxo de Caixa'!$AP$161:$AP$374,MATCH($A71,'LDI - Fluxo de Caixa'!$C$161:$C$374,0)), 0),SUM(L71:M71))</f>
        <v>-5253273.8665948333</v>
      </c>
      <c r="P71" s="397">
        <f t="shared" ca="1" si="48"/>
        <v>5253273.8665948333</v>
      </c>
      <c r="Q71" s="398">
        <f t="shared" ca="1" si="49"/>
        <v>5253273.8665948333</v>
      </c>
      <c r="S71" s="430">
        <v>0</v>
      </c>
      <c r="T71" s="390">
        <f t="shared" si="66"/>
        <v>-5000</v>
      </c>
      <c r="U71" s="390">
        <f t="shared" si="67"/>
        <v>0</v>
      </c>
      <c r="V71" s="390">
        <f t="shared" si="68"/>
        <v>-1666.6666666666667</v>
      </c>
      <c r="W71" s="390">
        <f t="shared" si="69"/>
        <v>-38755.717930517523</v>
      </c>
      <c r="X71" s="431">
        <v>0</v>
      </c>
      <c r="Y71" s="415">
        <f t="shared" si="70"/>
        <v>-10000</v>
      </c>
      <c r="Z71" s="415">
        <f t="shared" si="71"/>
        <v>-10000</v>
      </c>
      <c r="AA71" s="432">
        <v>0</v>
      </c>
      <c r="AB71" s="393">
        <f t="shared" si="50"/>
        <v>-65422.384597184187</v>
      </c>
      <c r="AD71" s="393">
        <f t="shared" ca="1" si="51"/>
        <v>5187851.4819976492</v>
      </c>
      <c r="AF71" s="393">
        <f t="shared" ca="1" si="72"/>
        <v>-110.03431643214145</v>
      </c>
      <c r="AH71" s="393">
        <f t="shared" ca="1" si="52"/>
        <v>5687741.4476812175</v>
      </c>
      <c r="AJ71" s="397">
        <f t="shared" si="53"/>
        <v>0</v>
      </c>
      <c r="AK71" s="390">
        <f>IF($A71&gt;baseData, INDEX(Permutas!AC:AC, MATCH('Fluxo Bandeira Co'!A71, Permutas!N:N, 0)), 0)</f>
        <v>0</v>
      </c>
      <c r="AL71" s="398">
        <f t="shared" ca="1" si="65"/>
        <v>-5187741.4476812175</v>
      </c>
      <c r="AN71" s="393">
        <f t="shared" ca="1" si="54"/>
        <v>500000</v>
      </c>
      <c r="AP71" s="393">
        <f t="shared" ca="1" si="73"/>
        <v>500000</v>
      </c>
      <c r="AR71" s="397">
        <f t="shared" ca="1" si="55"/>
        <v>5187741.4476812175</v>
      </c>
      <c r="AS71" s="398">
        <f t="shared" ca="1" si="61"/>
        <v>12668192.779250305</v>
      </c>
      <c r="AU71" s="393">
        <f t="shared" ca="1" si="56"/>
        <v>5187741.4476812175</v>
      </c>
      <c r="AW71" s="397">
        <f t="shared" ca="1" si="62"/>
        <v>4144995.5194190801</v>
      </c>
      <c r="AX71" s="390">
        <f t="shared" ca="1" si="63"/>
        <v>4144995.5194190801</v>
      </c>
      <c r="AY71" s="390">
        <f t="shared" ca="1" si="57"/>
        <v>828999.10388381605</v>
      </c>
      <c r="AZ71" s="390">
        <f t="shared" ca="1" si="58"/>
        <v>4358742.3437974015</v>
      </c>
      <c r="BA71" s="398">
        <f t="shared" ca="1" si="64"/>
        <v>11839193.675366487</v>
      </c>
      <c r="BC71" s="393">
        <f t="shared" ca="1" si="59"/>
        <v>4358742.3437974015</v>
      </c>
    </row>
    <row r="72" spans="1:59" x14ac:dyDescent="0.25">
      <c r="A72" s="197">
        <f t="shared" si="60"/>
        <v>45200</v>
      </c>
      <c r="B72" s="388">
        <f>IF($A72&lt;=baseData, INDEX(Indicadores!B:B, MATCH($A72,Indicadores!A:A, 0)), INDEX(Indicadores!B:B, MATCH(baseData,Indicadores!A:A, 0)))</f>
        <v>839.38199999999995</v>
      </c>
      <c r="C72" s="389">
        <f>IF($A72&lt;=baseData, INDEX(Indicadores!E:E, MATCH($A72, Indicadores!A:A, 0)), INDEX(Indicadores!E:E, MATCH(baseData, Indicadores!A:A, 0)))</f>
        <v>5486.52</v>
      </c>
      <c r="E72" s="397">
        <f t="shared" ca="1" si="46"/>
        <v>500000</v>
      </c>
      <c r="F72" s="390">
        <f>IF($A72&lt;=baseData, -SUMIF('Fluxo Investidores'!$L72:$X72, "&lt;0", 'Fluxo Investidores'!$L72:$X72), 0)</f>
        <v>0</v>
      </c>
      <c r="G72" s="390">
        <f>IF($A72&lt;=baseData, -SUMIF('Fluxo Investidores'!$L72:$X72, "&gt;0", 'Fluxo Investidores'!$L72:$X72), 0)</f>
        <v>0</v>
      </c>
      <c r="H72" s="429"/>
      <c r="I72" s="390">
        <f t="shared" si="47"/>
        <v>0</v>
      </c>
      <c r="J72" s="398">
        <f>IF($A72&lt;=baseData, INDEX(Permutas!AC:AC, MATCH($A72, Permutas!N:N, 0)), 0)</f>
        <v>0</v>
      </c>
      <c r="L72" s="397">
        <f ca="1">IF(A72&lt;=baseData, N72-M72, -INDEX('Fluxo Projeto'!AQ:AQ, MATCH($A72, 'Fluxo Projeto'!A:A, 0))*(pctSCPequity+pctSCPpermuta))</f>
        <v>-5267004.1531466274</v>
      </c>
      <c r="M72" s="398">
        <f>IFERROR(INDEX(Permutas!AJ:AJ, MATCH('Fluxo Bandeira Co'!A72, Permutas!N:N, 0)), 0)</f>
        <v>0</v>
      </c>
      <c r="N72" s="393">
        <f ca="1">IF($A72&lt;=baseData,IFERROR(INDEX('LDI - Fluxo de Caixa'!$AP$161:$AP$374,MATCH($A72,'LDI - Fluxo de Caixa'!$C$161:$C$374,0)), 0),SUM(L72:M72))</f>
        <v>-5267004.1531466274</v>
      </c>
      <c r="P72" s="397">
        <f t="shared" ca="1" si="48"/>
        <v>5267004.1531466274</v>
      </c>
      <c r="Q72" s="398">
        <f t="shared" ca="1" si="49"/>
        <v>5267004.1531466274</v>
      </c>
      <c r="S72" s="430">
        <v>0</v>
      </c>
      <c r="T72" s="390">
        <f t="shared" si="66"/>
        <v>-5000</v>
      </c>
      <c r="U72" s="390">
        <f t="shared" si="67"/>
        <v>0</v>
      </c>
      <c r="V72" s="390">
        <f t="shared" si="68"/>
        <v>-1666.6666666666667</v>
      </c>
      <c r="W72" s="390">
        <f t="shared" si="69"/>
        <v>-38755.717930517523</v>
      </c>
      <c r="X72" s="431">
        <v>0</v>
      </c>
      <c r="Y72" s="415">
        <f t="shared" si="70"/>
        <v>-10000</v>
      </c>
      <c r="Z72" s="415">
        <f t="shared" si="71"/>
        <v>-10000</v>
      </c>
      <c r="AA72" s="432">
        <v>0</v>
      </c>
      <c r="AB72" s="393">
        <f t="shared" si="50"/>
        <v>-65422.384597184187</v>
      </c>
      <c r="AD72" s="393">
        <f t="shared" ca="1" si="51"/>
        <v>5201581.7685494432</v>
      </c>
      <c r="AF72" s="393">
        <f t="shared" ca="1" si="72"/>
        <v>-110.03431643214145</v>
      </c>
      <c r="AH72" s="393">
        <f t="shared" ca="1" si="52"/>
        <v>5701471.7342330115</v>
      </c>
      <c r="AJ72" s="397">
        <f t="shared" si="53"/>
        <v>0</v>
      </c>
      <c r="AK72" s="390">
        <f>IF($A72&gt;baseData, INDEX(Permutas!AC:AC, MATCH('Fluxo Bandeira Co'!A72, Permutas!N:N, 0)), 0)</f>
        <v>0</v>
      </c>
      <c r="AL72" s="398">
        <f t="shared" ca="1" si="65"/>
        <v>-5201471.7342330115</v>
      </c>
      <c r="AN72" s="393">
        <f t="shared" ca="1" si="54"/>
        <v>500000</v>
      </c>
      <c r="AP72" s="393">
        <f t="shared" ca="1" si="73"/>
        <v>500000</v>
      </c>
      <c r="AR72" s="397">
        <f t="shared" ca="1" si="55"/>
        <v>5201471.7342330115</v>
      </c>
      <c r="AS72" s="398">
        <f t="shared" ca="1" si="61"/>
        <v>17869664.513483316</v>
      </c>
      <c r="AU72" s="393">
        <f t="shared" ca="1" si="56"/>
        <v>5201471.7342330115</v>
      </c>
      <c r="AW72" s="397">
        <f t="shared" ca="1" si="62"/>
        <v>9366643.2289359849</v>
      </c>
      <c r="AX72" s="390">
        <f t="shared" ca="1" si="63"/>
        <v>5201471.7342330115</v>
      </c>
      <c r="AY72" s="390">
        <f t="shared" ca="1" si="57"/>
        <v>1040294.3468466024</v>
      </c>
      <c r="AZ72" s="390">
        <f t="shared" ca="1" si="58"/>
        <v>4161177.3873864091</v>
      </c>
      <c r="BA72" s="398">
        <f t="shared" ca="1" si="64"/>
        <v>16000371.062752897</v>
      </c>
      <c r="BC72" s="393">
        <f t="shared" ca="1" si="59"/>
        <v>4161177.3873864091</v>
      </c>
    </row>
    <row r="73" spans="1:59" x14ac:dyDescent="0.25">
      <c r="A73" s="197">
        <f t="shared" si="60"/>
        <v>45231</v>
      </c>
      <c r="B73" s="388">
        <f>IF($A73&lt;=baseData, INDEX(Indicadores!B:B, MATCH($A73,Indicadores!A:A, 0)), INDEX(Indicadores!B:B, MATCH(baseData,Indicadores!A:A, 0)))</f>
        <v>839.38199999999995</v>
      </c>
      <c r="C73" s="389">
        <f>IF($A73&lt;=baseData, INDEX(Indicadores!E:E, MATCH($A73, Indicadores!A:A, 0)), INDEX(Indicadores!E:E, MATCH(baseData, Indicadores!A:A, 0)))</f>
        <v>5486.52</v>
      </c>
      <c r="E73" s="397">
        <f t="shared" ca="1" si="46"/>
        <v>500000</v>
      </c>
      <c r="F73" s="390">
        <f>IF($A73&lt;=baseData, -SUMIF('Fluxo Investidores'!$L73:$X73, "&lt;0", 'Fluxo Investidores'!$L73:$X73), 0)</f>
        <v>0</v>
      </c>
      <c r="G73" s="390">
        <f>IF($A73&lt;=baseData, -SUMIF('Fluxo Investidores'!$L73:$X73, "&gt;0", 'Fluxo Investidores'!$L73:$X73), 0)</f>
        <v>0</v>
      </c>
      <c r="H73" s="429"/>
      <c r="I73" s="390">
        <f t="shared" si="47"/>
        <v>0</v>
      </c>
      <c r="J73" s="398">
        <f>IF($A73&lt;=baseData, INDEX(Permutas!AC:AC, MATCH($A73, Permutas!N:N, 0)), 0)</f>
        <v>0</v>
      </c>
      <c r="L73" s="397">
        <f ca="1">IF(A73&lt;=baseData, N73-M73, -INDEX('Fluxo Projeto'!AQ:AQ, MATCH($A73, 'Fluxo Projeto'!A:A, 0))*(pctSCPequity+pctSCPpermuta))</f>
        <v>-1007621.1847022038</v>
      </c>
      <c r="M73" s="398">
        <f>IFERROR(INDEX(Permutas!AJ:AJ, MATCH('Fluxo Bandeira Co'!A73, Permutas!N:N, 0)), 0)</f>
        <v>0</v>
      </c>
      <c r="N73" s="393">
        <f ca="1">IF($A73&lt;=baseData,IFERROR(INDEX('LDI - Fluxo de Caixa'!$AP$161:$AP$374,MATCH($A73,'LDI - Fluxo de Caixa'!$C$161:$C$374,0)), 0),SUM(L73:M73))</f>
        <v>-1007621.1847022038</v>
      </c>
      <c r="P73" s="397">
        <f t="shared" ca="1" si="48"/>
        <v>1007621.1847022038</v>
      </c>
      <c r="Q73" s="398">
        <f t="shared" ca="1" si="49"/>
        <v>1007621.1847022038</v>
      </c>
      <c r="S73" s="430">
        <v>0</v>
      </c>
      <c r="T73" s="390">
        <f t="shared" si="66"/>
        <v>-5000</v>
      </c>
      <c r="U73" s="390">
        <f t="shared" si="67"/>
        <v>0</v>
      </c>
      <c r="V73" s="390">
        <f t="shared" si="68"/>
        <v>-1666.6666666666667</v>
      </c>
      <c r="W73" s="390">
        <f t="shared" si="69"/>
        <v>-38755.717930517523</v>
      </c>
      <c r="X73" s="431">
        <v>0</v>
      </c>
      <c r="Y73" s="415">
        <f t="shared" si="70"/>
        <v>-10000</v>
      </c>
      <c r="Z73" s="415">
        <f t="shared" si="71"/>
        <v>-10000</v>
      </c>
      <c r="AA73" s="432">
        <v>0</v>
      </c>
      <c r="AB73" s="393">
        <f t="shared" si="50"/>
        <v>-65422.384597184187</v>
      </c>
      <c r="AD73" s="393">
        <f t="shared" ca="1" si="51"/>
        <v>942198.80010501971</v>
      </c>
      <c r="AF73" s="393">
        <f t="shared" ca="1" si="72"/>
        <v>-110.03431643214145</v>
      </c>
      <c r="AH73" s="393">
        <f t="shared" ca="1" si="52"/>
        <v>1442088.7657885875</v>
      </c>
      <c r="AJ73" s="397">
        <f t="shared" si="53"/>
        <v>0</v>
      </c>
      <c r="AK73" s="390">
        <f>IF($A73&gt;baseData, INDEX(Permutas!AC:AC, MATCH('Fluxo Bandeira Co'!A73, Permutas!N:N, 0)), 0)</f>
        <v>0</v>
      </c>
      <c r="AL73" s="398">
        <f t="shared" ca="1" si="65"/>
        <v>-942088.76578858751</v>
      </c>
      <c r="AN73" s="393">
        <f t="shared" ca="1" si="54"/>
        <v>500000</v>
      </c>
      <c r="AP73" s="393">
        <f t="shared" ca="1" si="73"/>
        <v>500000</v>
      </c>
      <c r="AR73" s="397">
        <f t="shared" ca="1" si="55"/>
        <v>942088.76578858751</v>
      </c>
      <c r="AS73" s="398">
        <f t="shared" ca="1" si="61"/>
        <v>18811753.279271904</v>
      </c>
      <c r="AU73" s="393">
        <f t="shared" ca="1" si="56"/>
        <v>942088.76578858751</v>
      </c>
      <c r="AW73" s="397">
        <f t="shared" ca="1" si="62"/>
        <v>10354324.604268946</v>
      </c>
      <c r="AX73" s="390">
        <f t="shared" ca="1" si="63"/>
        <v>942088.76578858751</v>
      </c>
      <c r="AY73" s="390">
        <f t="shared" ca="1" si="57"/>
        <v>188417.75315771753</v>
      </c>
      <c r="AZ73" s="390">
        <f t="shared" ca="1" si="58"/>
        <v>753671.01263086998</v>
      </c>
      <c r="BA73" s="398">
        <f t="shared" ca="1" si="64"/>
        <v>16754042.075383767</v>
      </c>
      <c r="BC73" s="393">
        <f t="shared" ca="1" si="59"/>
        <v>753671.01263086998</v>
      </c>
    </row>
    <row r="74" spans="1:59" x14ac:dyDescent="0.25">
      <c r="A74" s="197">
        <f t="shared" si="60"/>
        <v>45261</v>
      </c>
      <c r="B74" s="388">
        <f>IF($A74&lt;=baseData, INDEX(Indicadores!B:B, MATCH($A74,Indicadores!A:A, 0)), INDEX(Indicadores!B:B, MATCH(baseData,Indicadores!A:A, 0)))</f>
        <v>839.38199999999995</v>
      </c>
      <c r="C74" s="389">
        <f>IF($A74&lt;=baseData, INDEX(Indicadores!E:E, MATCH($A74, Indicadores!A:A, 0)), INDEX(Indicadores!E:E, MATCH(baseData, Indicadores!A:A, 0)))</f>
        <v>5486.52</v>
      </c>
      <c r="E74" s="397">
        <f t="shared" ca="1" si="46"/>
        <v>500000</v>
      </c>
      <c r="F74" s="390">
        <f>IF($A74&lt;=baseData, -SUMIF('Fluxo Investidores'!$L74:$X74, "&lt;0", 'Fluxo Investidores'!$L74:$X74), 0)</f>
        <v>0</v>
      </c>
      <c r="G74" s="390">
        <f>IF($A74&lt;=baseData, -SUMIF('Fluxo Investidores'!$L74:$X74, "&gt;0", 'Fluxo Investidores'!$L74:$X74), 0)</f>
        <v>0</v>
      </c>
      <c r="H74" s="429"/>
      <c r="I74" s="390">
        <f t="shared" si="47"/>
        <v>0</v>
      </c>
      <c r="J74" s="398">
        <f>IF($A74&lt;=baseData, INDEX(Permutas!AC:AC, MATCH($A74, Permutas!N:N, 0)), 0)</f>
        <v>0</v>
      </c>
      <c r="L74" s="397">
        <f ca="1">IF(A74&lt;=baseData, N74-M74, -INDEX('Fluxo Projeto'!AQ:AQ, MATCH($A74, 'Fluxo Projeto'!A:A, 0))*(pctSCPequity+pctSCPpermuta))</f>
        <v>-1317520.1094233424</v>
      </c>
      <c r="M74" s="398">
        <f>IFERROR(INDEX(Permutas!AJ:AJ, MATCH('Fluxo Bandeira Co'!A74, Permutas!N:N, 0)), 0)</f>
        <v>0</v>
      </c>
      <c r="N74" s="393">
        <f ca="1">IF($A74&lt;=baseData,IFERROR(INDEX('LDI - Fluxo de Caixa'!$AP$161:$AP$374,MATCH($A74,'LDI - Fluxo de Caixa'!$C$161:$C$374,0)), 0),SUM(L74:M74))</f>
        <v>-1317520.1094233424</v>
      </c>
      <c r="P74" s="397">
        <f t="shared" ca="1" si="48"/>
        <v>1317520.1094233424</v>
      </c>
      <c r="Q74" s="398">
        <f t="shared" ca="1" si="49"/>
        <v>1317520.1094233424</v>
      </c>
      <c r="S74" s="430">
        <v>0</v>
      </c>
      <c r="T74" s="390">
        <f t="shared" si="66"/>
        <v>-5000</v>
      </c>
      <c r="U74" s="390">
        <f t="shared" si="67"/>
        <v>0</v>
      </c>
      <c r="V74" s="390">
        <f t="shared" si="68"/>
        <v>-1666.6666666666667</v>
      </c>
      <c r="W74" s="390">
        <f t="shared" si="69"/>
        <v>-38755.717930517523</v>
      </c>
      <c r="X74" s="431">
        <v>0</v>
      </c>
      <c r="Y74" s="415">
        <f t="shared" si="70"/>
        <v>-10000</v>
      </c>
      <c r="Z74" s="415">
        <f t="shared" si="71"/>
        <v>-10000</v>
      </c>
      <c r="AA74" s="432">
        <v>0</v>
      </c>
      <c r="AB74" s="393">
        <f t="shared" si="50"/>
        <v>-65422.384597184187</v>
      </c>
      <c r="AD74" s="393">
        <f t="shared" ca="1" si="51"/>
        <v>1252097.7248261583</v>
      </c>
      <c r="AF74" s="393">
        <f t="shared" ca="1" si="72"/>
        <v>-110.03431643214145</v>
      </c>
      <c r="AH74" s="393">
        <f t="shared" ca="1" si="52"/>
        <v>1751987.6905097261</v>
      </c>
      <c r="AJ74" s="397">
        <f t="shared" si="53"/>
        <v>0</v>
      </c>
      <c r="AK74" s="390">
        <f>IF($A74&gt;baseData, INDEX(Permutas!AC:AC, MATCH('Fluxo Bandeira Co'!A74, Permutas!N:N, 0)), 0)</f>
        <v>0</v>
      </c>
      <c r="AL74" s="398">
        <f t="shared" ca="1" si="65"/>
        <v>-1251987.6905097261</v>
      </c>
      <c r="AN74" s="393">
        <f t="shared" ca="1" si="54"/>
        <v>500000</v>
      </c>
      <c r="AP74" s="393">
        <f t="shared" ca="1" si="73"/>
        <v>500000</v>
      </c>
      <c r="AR74" s="397">
        <f t="shared" ca="1" si="55"/>
        <v>1251987.6905097261</v>
      </c>
      <c r="AS74" s="398">
        <f t="shared" ca="1" si="61"/>
        <v>20063740.96978163</v>
      </c>
      <c r="AU74" s="393">
        <f t="shared" ca="1" si="56"/>
        <v>1251987.6905097261</v>
      </c>
      <c r="AW74" s="397">
        <f t="shared" ca="1" si="62"/>
        <v>11656712.493359925</v>
      </c>
      <c r="AX74" s="390">
        <f t="shared" ca="1" si="63"/>
        <v>1251987.6905097261</v>
      </c>
      <c r="AY74" s="390">
        <f t="shared" ca="1" si="57"/>
        <v>250397.53810194522</v>
      </c>
      <c r="AZ74" s="390">
        <f t="shared" ca="1" si="58"/>
        <v>1001590.1524077809</v>
      </c>
      <c r="BA74" s="398">
        <f t="shared" ca="1" si="64"/>
        <v>17755632.227791548</v>
      </c>
      <c r="BC74" s="393">
        <f t="shared" ca="1" si="59"/>
        <v>1001590.1524077809</v>
      </c>
    </row>
    <row r="75" spans="1:59" x14ac:dyDescent="0.25">
      <c r="A75" s="197">
        <f t="shared" si="60"/>
        <v>45292</v>
      </c>
      <c r="B75" s="388">
        <f>IF($A75&lt;=baseData, INDEX(Indicadores!B:B, MATCH($A75,Indicadores!A:A, 0)), INDEX(Indicadores!B:B, MATCH(baseData,Indicadores!A:A, 0)))</f>
        <v>839.38199999999995</v>
      </c>
      <c r="C75" s="389">
        <f>IF($A75&lt;=baseData, INDEX(Indicadores!E:E, MATCH($A75, Indicadores!A:A, 0)), INDEX(Indicadores!E:E, MATCH(baseData, Indicadores!A:A, 0)))</f>
        <v>5486.52</v>
      </c>
      <c r="E75" s="397">
        <f t="shared" ca="1" si="46"/>
        <v>500000</v>
      </c>
      <c r="F75" s="390">
        <f>IF($A75&lt;=baseData, -SUMIF('Fluxo Investidores'!$L75:$X75, "&lt;0", 'Fluxo Investidores'!$L75:$X75), 0)</f>
        <v>0</v>
      </c>
      <c r="G75" s="390">
        <f>IF($A75&lt;=baseData, -SUMIF('Fluxo Investidores'!$L75:$X75, "&gt;0", 'Fluxo Investidores'!$L75:$X75), 0)</f>
        <v>0</v>
      </c>
      <c r="H75" s="429"/>
      <c r="I75" s="390">
        <f t="shared" si="47"/>
        <v>0</v>
      </c>
      <c r="J75" s="398">
        <f>IF($A75&lt;=baseData, INDEX(Permutas!AC:AC, MATCH($A75, Permutas!N:N, 0)), 0)</f>
        <v>0</v>
      </c>
      <c r="L75" s="397">
        <f ca="1">IF(A75&lt;=baseData, N75-M75, -INDEX('Fluxo Projeto'!AQ:AQ, MATCH($A75, 'Fluxo Projeto'!A:A, 0))*(pctSCPequity+pctSCPpermuta))</f>
        <v>-1104845.2713556485</v>
      </c>
      <c r="M75" s="398">
        <f>IFERROR(INDEX(Permutas!AJ:AJ, MATCH('Fluxo Bandeira Co'!A75, Permutas!N:N, 0)), 0)</f>
        <v>0</v>
      </c>
      <c r="N75" s="393">
        <f ca="1">IF($A75&lt;=baseData,IFERROR(INDEX('LDI - Fluxo de Caixa'!$AP$161:$AP$374,MATCH($A75,'LDI - Fluxo de Caixa'!$C$161:$C$374,0)), 0),SUM(L75:M75))</f>
        <v>-1104845.2713556485</v>
      </c>
      <c r="P75" s="397">
        <f t="shared" ca="1" si="48"/>
        <v>1104845.2713556485</v>
      </c>
      <c r="Q75" s="398">
        <f t="shared" ca="1" si="49"/>
        <v>1104845.2713556485</v>
      </c>
      <c r="S75" s="430">
        <v>0</v>
      </c>
      <c r="T75" s="390">
        <f t="shared" si="66"/>
        <v>-5000</v>
      </c>
      <c r="U75" s="390">
        <f t="shared" si="67"/>
        <v>0</v>
      </c>
      <c r="V75" s="390">
        <f t="shared" si="68"/>
        <v>-1666.6666666666667</v>
      </c>
      <c r="W75" s="390">
        <f t="shared" si="69"/>
        <v>-38755.717930517523</v>
      </c>
      <c r="X75" s="431">
        <v>0</v>
      </c>
      <c r="Y75" s="415">
        <f t="shared" si="70"/>
        <v>-10000</v>
      </c>
      <c r="Z75" s="415">
        <f t="shared" si="71"/>
        <v>-10000</v>
      </c>
      <c r="AA75" s="432">
        <v>0</v>
      </c>
      <c r="AB75" s="393">
        <f t="shared" si="50"/>
        <v>-65422.384597184187</v>
      </c>
      <c r="AD75" s="393">
        <f t="shared" ca="1" si="51"/>
        <v>1039422.8867584644</v>
      </c>
      <c r="AF75" s="393">
        <f t="shared" ca="1" si="72"/>
        <v>-110.03431643214145</v>
      </c>
      <c r="AH75" s="393">
        <f t="shared" ca="1" si="52"/>
        <v>1539312.8524420322</v>
      </c>
      <c r="AJ75" s="397">
        <f t="shared" si="53"/>
        <v>0</v>
      </c>
      <c r="AK75" s="390">
        <f>IF($A75&gt;baseData, INDEX(Permutas!AC:AC, MATCH('Fluxo Bandeira Co'!A75, Permutas!N:N, 0)), 0)</f>
        <v>0</v>
      </c>
      <c r="AL75" s="398">
        <f t="shared" ca="1" si="65"/>
        <v>-1039312.8524420322</v>
      </c>
      <c r="AN75" s="393">
        <f t="shared" ca="1" si="54"/>
        <v>500000</v>
      </c>
      <c r="AP75" s="393">
        <f t="shared" ca="1" si="73"/>
        <v>500000</v>
      </c>
      <c r="AR75" s="397">
        <f t="shared" ca="1" si="55"/>
        <v>1039312.8524420322</v>
      </c>
      <c r="AS75" s="398">
        <f t="shared" ca="1" si="61"/>
        <v>21103053.822223663</v>
      </c>
      <c r="AU75" s="393">
        <f t="shared" ca="1" si="56"/>
        <v>1039312.8524420322</v>
      </c>
      <c r="AW75" s="397">
        <f t="shared" ca="1" si="62"/>
        <v>12752764.983289052</v>
      </c>
      <c r="AX75" s="390">
        <f t="shared" ca="1" si="63"/>
        <v>1039312.8524420322</v>
      </c>
      <c r="AY75" s="390">
        <f t="shared" ca="1" si="57"/>
        <v>207862.57048840646</v>
      </c>
      <c r="AZ75" s="390">
        <f t="shared" ca="1" si="58"/>
        <v>831450.28195362573</v>
      </c>
      <c r="BA75" s="398">
        <f t="shared" ca="1" si="64"/>
        <v>18587082.509745173</v>
      </c>
      <c r="BC75" s="393">
        <f t="shared" ca="1" si="59"/>
        <v>831450.28195362573</v>
      </c>
    </row>
    <row r="76" spans="1:59" x14ac:dyDescent="0.25">
      <c r="A76" s="197">
        <f t="shared" si="60"/>
        <v>45323</v>
      </c>
      <c r="B76" s="388">
        <f>IF($A76&lt;=baseData, INDEX(Indicadores!B:B, MATCH($A76,Indicadores!A:A, 0)), INDEX(Indicadores!B:B, MATCH(baseData,Indicadores!A:A, 0)))</f>
        <v>839.38199999999995</v>
      </c>
      <c r="C76" s="389">
        <f>IF($A76&lt;=baseData, INDEX(Indicadores!E:E, MATCH($A76, Indicadores!A:A, 0)), INDEX(Indicadores!E:E, MATCH(baseData, Indicadores!A:A, 0)))</f>
        <v>5486.52</v>
      </c>
      <c r="E76" s="397">
        <f t="shared" ca="1" si="46"/>
        <v>500000</v>
      </c>
      <c r="F76" s="390">
        <f>IF($A76&lt;=baseData, -SUMIF('Fluxo Investidores'!$L76:$X76, "&lt;0", 'Fluxo Investidores'!$L76:$X76), 0)</f>
        <v>0</v>
      </c>
      <c r="G76" s="390">
        <f>IF($A76&lt;=baseData, -SUMIF('Fluxo Investidores'!$L76:$X76, "&gt;0", 'Fluxo Investidores'!$L76:$X76), 0)</f>
        <v>0</v>
      </c>
      <c r="H76" s="429"/>
      <c r="I76" s="390">
        <f t="shared" si="47"/>
        <v>0</v>
      </c>
      <c r="J76" s="398">
        <f>IF($A76&lt;=baseData, INDEX(Permutas!AC:AC, MATCH($A76, Permutas!N:N, 0)), 0)</f>
        <v>0</v>
      </c>
      <c r="L76" s="397">
        <f ca="1">IF(A76&lt;=baseData, N76-M76, -INDEX('Fluxo Projeto'!AQ:AQ, MATCH($A76, 'Fluxo Projeto'!A:A, 0))*(pctSCPequity+pctSCPpermuta))</f>
        <v>-1015190.2589082244</v>
      </c>
      <c r="M76" s="398">
        <f>IFERROR(INDEX(Permutas!AJ:AJ, MATCH('Fluxo Bandeira Co'!A76, Permutas!N:N, 0)), 0)</f>
        <v>0</v>
      </c>
      <c r="N76" s="393">
        <f ca="1">IF($A76&lt;=baseData,IFERROR(INDEX('LDI - Fluxo de Caixa'!$AP$161:$AP$374,MATCH($A76,'LDI - Fluxo de Caixa'!$C$161:$C$374,0)), 0),SUM(L76:M76))</f>
        <v>-1015190.2589082244</v>
      </c>
      <c r="P76" s="397">
        <f t="shared" ca="1" si="48"/>
        <v>1015190.2589082244</v>
      </c>
      <c r="Q76" s="398">
        <f t="shared" ca="1" si="49"/>
        <v>1015190.2589082244</v>
      </c>
      <c r="S76" s="430">
        <v>0</v>
      </c>
      <c r="T76" s="390">
        <f t="shared" si="66"/>
        <v>-5000</v>
      </c>
      <c r="U76" s="390">
        <f t="shared" si="67"/>
        <v>0</v>
      </c>
      <c r="V76" s="390">
        <f t="shared" si="68"/>
        <v>-1666.6666666666667</v>
      </c>
      <c r="W76" s="390">
        <f t="shared" si="69"/>
        <v>-38755.717930517523</v>
      </c>
      <c r="X76" s="431">
        <v>0</v>
      </c>
      <c r="Y76" s="415">
        <f t="shared" si="70"/>
        <v>-10000</v>
      </c>
      <c r="Z76" s="415">
        <f t="shared" si="71"/>
        <v>-10000</v>
      </c>
      <c r="AA76" s="432">
        <v>0</v>
      </c>
      <c r="AB76" s="393">
        <f t="shared" si="50"/>
        <v>-65422.384597184187</v>
      </c>
      <c r="AD76" s="393">
        <f t="shared" ca="1" si="51"/>
        <v>949767.87431104027</v>
      </c>
      <c r="AF76" s="393">
        <f t="shared" ca="1" si="72"/>
        <v>-110.03431643214145</v>
      </c>
      <c r="AH76" s="393">
        <f t="shared" ca="1" si="52"/>
        <v>1449657.839994608</v>
      </c>
      <c r="AJ76" s="397">
        <f t="shared" si="53"/>
        <v>0</v>
      </c>
      <c r="AK76" s="390">
        <f>IF($A76&gt;baseData, INDEX(Permutas!AC:AC, MATCH('Fluxo Bandeira Co'!A76, Permutas!N:N, 0)), 0)</f>
        <v>0</v>
      </c>
      <c r="AL76" s="398">
        <f t="shared" ca="1" si="65"/>
        <v>-949657.83999460796</v>
      </c>
      <c r="AN76" s="393">
        <f t="shared" ca="1" si="54"/>
        <v>500000</v>
      </c>
      <c r="AP76" s="393">
        <f t="shared" ca="1" si="73"/>
        <v>500000</v>
      </c>
      <c r="AR76" s="397">
        <f t="shared" ca="1" si="55"/>
        <v>949657.83999460796</v>
      </c>
      <c r="AS76" s="398">
        <f t="shared" ca="1" si="61"/>
        <v>22052711.662218273</v>
      </c>
      <c r="AU76" s="393">
        <f t="shared" ca="1" si="56"/>
        <v>949657.83999460796</v>
      </c>
      <c r="AW76" s="397">
        <f t="shared" ca="1" si="62"/>
        <v>13764497.551687755</v>
      </c>
      <c r="AX76" s="390">
        <f t="shared" ca="1" si="63"/>
        <v>949657.83999460796</v>
      </c>
      <c r="AY76" s="390">
        <f t="shared" ca="1" si="57"/>
        <v>189931.56799892162</v>
      </c>
      <c r="AZ76" s="390">
        <f t="shared" ca="1" si="58"/>
        <v>759726.27199568634</v>
      </c>
      <c r="BA76" s="398">
        <f t="shared" ca="1" si="64"/>
        <v>19346808.781740859</v>
      </c>
      <c r="BC76" s="393">
        <f t="shared" ca="1" si="59"/>
        <v>759726.27199568634</v>
      </c>
    </row>
    <row r="77" spans="1:59" x14ac:dyDescent="0.25">
      <c r="A77" s="197">
        <f t="shared" si="60"/>
        <v>45352</v>
      </c>
      <c r="B77" s="388">
        <f>IF($A77&lt;=baseData, INDEX(Indicadores!B:B, MATCH($A77,Indicadores!A:A, 0)), INDEX(Indicadores!B:B, MATCH(baseData,Indicadores!A:A, 0)))</f>
        <v>839.38199999999995</v>
      </c>
      <c r="C77" s="389">
        <f>IF($A77&lt;=baseData, INDEX(Indicadores!E:E, MATCH($A77, Indicadores!A:A, 0)), INDEX(Indicadores!E:E, MATCH(baseData, Indicadores!A:A, 0)))</f>
        <v>5486.52</v>
      </c>
      <c r="E77" s="397">
        <f t="shared" ca="1" si="46"/>
        <v>500000</v>
      </c>
      <c r="F77" s="390">
        <f>IF($A77&lt;=baseData, -SUMIF('Fluxo Investidores'!$L77:$X77, "&lt;0", 'Fluxo Investidores'!$L77:$X77), 0)</f>
        <v>0</v>
      </c>
      <c r="G77" s="390">
        <f>IF($A77&lt;=baseData, -SUMIF('Fluxo Investidores'!$L77:$X77, "&gt;0", 'Fluxo Investidores'!$L77:$X77), 0)</f>
        <v>0</v>
      </c>
      <c r="H77" s="429"/>
      <c r="I77" s="390">
        <f t="shared" si="47"/>
        <v>0</v>
      </c>
      <c r="J77" s="398">
        <f>IF($A77&lt;=baseData, INDEX(Permutas!AC:AC, MATCH($A77, Permutas!N:N, 0)), 0)</f>
        <v>0</v>
      </c>
      <c r="L77" s="397">
        <f ca="1">IF(A77&lt;=baseData, N77-M77, -INDEX('Fluxo Projeto'!AQ:AQ, MATCH($A77, 'Fluxo Projeto'!A:A, 0))*(pctSCPequity+pctSCPpermuta))</f>
        <v>-916022.6723795071</v>
      </c>
      <c r="M77" s="398">
        <f>IFERROR(INDEX(Permutas!AJ:AJ, MATCH('Fluxo Bandeira Co'!A77, Permutas!N:N, 0)), 0)</f>
        <v>0</v>
      </c>
      <c r="N77" s="393">
        <f ca="1">IF($A77&lt;=baseData,IFERROR(INDEX('LDI - Fluxo de Caixa'!$AP$161:$AP$374,MATCH($A77,'LDI - Fluxo de Caixa'!$C$161:$C$374,0)), 0),SUM(L77:M77))</f>
        <v>-916022.6723795071</v>
      </c>
      <c r="P77" s="397">
        <f t="shared" ca="1" si="48"/>
        <v>916022.6723795071</v>
      </c>
      <c r="Q77" s="398">
        <f t="shared" ca="1" si="49"/>
        <v>916022.6723795071</v>
      </c>
      <c r="S77" s="430">
        <v>0</v>
      </c>
      <c r="T77" s="390">
        <f t="shared" si="66"/>
        <v>-5000</v>
      </c>
      <c r="U77" s="390">
        <f t="shared" si="67"/>
        <v>0</v>
      </c>
      <c r="V77" s="390">
        <f t="shared" si="68"/>
        <v>-1666.6666666666667</v>
      </c>
      <c r="W77" s="390">
        <f t="shared" si="69"/>
        <v>-38755.717930517523</v>
      </c>
      <c r="X77" s="431">
        <v>0</v>
      </c>
      <c r="Y77" s="415">
        <f t="shared" si="70"/>
        <v>-10000</v>
      </c>
      <c r="Z77" s="415">
        <f t="shared" si="71"/>
        <v>-10000</v>
      </c>
      <c r="AA77" s="432">
        <v>0</v>
      </c>
      <c r="AB77" s="393">
        <f t="shared" si="50"/>
        <v>-65422.384597184187</v>
      </c>
      <c r="AD77" s="393">
        <f t="shared" ca="1" si="51"/>
        <v>850600.28778232296</v>
      </c>
      <c r="AF77" s="393">
        <f t="shared" ca="1" si="72"/>
        <v>-110.03431643214145</v>
      </c>
      <c r="AH77" s="393">
        <f t="shared" ca="1" si="52"/>
        <v>1350490.2534658909</v>
      </c>
      <c r="AJ77" s="397">
        <f t="shared" si="53"/>
        <v>0</v>
      </c>
      <c r="AK77" s="390">
        <f>IF($A77&gt;baseData, INDEX(Permutas!AC:AC, MATCH('Fluxo Bandeira Co'!A77, Permutas!N:N, 0)), 0)</f>
        <v>0</v>
      </c>
      <c r="AL77" s="398">
        <f t="shared" ca="1" si="65"/>
        <v>-850490.25346589088</v>
      </c>
      <c r="AN77" s="393">
        <f t="shared" ca="1" si="54"/>
        <v>500000</v>
      </c>
      <c r="AP77" s="393">
        <f t="shared" ca="1" si="73"/>
        <v>500000</v>
      </c>
      <c r="AR77" s="397">
        <f t="shared" ca="1" si="55"/>
        <v>850490.25346589088</v>
      </c>
      <c r="AS77" s="398">
        <f t="shared" ca="1" si="61"/>
        <v>22903201.915684164</v>
      </c>
      <c r="AU77" s="393">
        <f t="shared" ca="1" si="56"/>
        <v>850490.25346589088</v>
      </c>
      <c r="AW77" s="397">
        <f t="shared" ca="1" si="62"/>
        <v>14681987.192993026</v>
      </c>
      <c r="AX77" s="390">
        <f t="shared" ca="1" si="63"/>
        <v>850490.25346589088</v>
      </c>
      <c r="AY77" s="390">
        <f t="shared" ca="1" si="57"/>
        <v>170098.0506931782</v>
      </c>
      <c r="AZ77" s="390">
        <f t="shared" ca="1" si="58"/>
        <v>680392.20277271268</v>
      </c>
      <c r="BA77" s="398">
        <f t="shared" ca="1" si="64"/>
        <v>20027200.984513573</v>
      </c>
      <c r="BC77" s="393">
        <f t="shared" ca="1" si="59"/>
        <v>680392.20277271268</v>
      </c>
    </row>
    <row r="78" spans="1:59" x14ac:dyDescent="0.25">
      <c r="A78" s="197">
        <f t="shared" si="60"/>
        <v>45383</v>
      </c>
      <c r="B78" s="388">
        <f>IF($A78&lt;=baseData, INDEX(Indicadores!B:B, MATCH($A78,Indicadores!A:A, 0)), INDEX(Indicadores!B:B, MATCH(baseData,Indicadores!A:A, 0)))</f>
        <v>839.38199999999995</v>
      </c>
      <c r="C78" s="389">
        <f>IF($A78&lt;=baseData, INDEX(Indicadores!E:E, MATCH($A78, Indicadores!A:A, 0)), INDEX(Indicadores!E:E, MATCH(baseData, Indicadores!A:A, 0)))</f>
        <v>5486.52</v>
      </c>
      <c r="E78" s="397">
        <f t="shared" ca="1" si="46"/>
        <v>500000</v>
      </c>
      <c r="F78" s="390">
        <f>IF($A78&lt;=baseData, -SUMIF('Fluxo Investidores'!$L78:$X78, "&lt;0", 'Fluxo Investidores'!$L78:$X78), 0)</f>
        <v>0</v>
      </c>
      <c r="G78" s="390">
        <f>IF($A78&lt;=baseData, -SUMIF('Fluxo Investidores'!$L78:$X78, "&gt;0", 'Fluxo Investidores'!$L78:$X78), 0)</f>
        <v>0</v>
      </c>
      <c r="H78" s="429"/>
      <c r="I78" s="390">
        <f t="shared" si="47"/>
        <v>0</v>
      </c>
      <c r="J78" s="398">
        <f>IF($A78&lt;=baseData, INDEX(Permutas!AC:AC, MATCH($A78, Permutas!N:N, 0)), 0)</f>
        <v>0</v>
      </c>
      <c r="L78" s="397">
        <f ca="1">IF(A78&lt;=baseData, N78-M78, -INDEX('Fluxo Projeto'!AQ:AQ, MATCH($A78, 'Fluxo Projeto'!A:A, 0))*(pctSCPequity+pctSCPpermuta))</f>
        <v>-287306.1019610393</v>
      </c>
      <c r="M78" s="398">
        <f>IFERROR(INDEX(Permutas!AJ:AJ, MATCH('Fluxo Bandeira Co'!A78, Permutas!N:N, 0)), 0)</f>
        <v>0</v>
      </c>
      <c r="N78" s="393">
        <f ca="1">IF($A78&lt;=baseData,IFERROR(INDEX('LDI - Fluxo de Caixa'!$AP$161:$AP$374,MATCH($A78,'LDI - Fluxo de Caixa'!$C$161:$C$374,0)), 0),SUM(L78:M78))</f>
        <v>-287306.1019610393</v>
      </c>
      <c r="P78" s="397">
        <f t="shared" ca="1" si="48"/>
        <v>287306.1019610393</v>
      </c>
      <c r="Q78" s="398">
        <f t="shared" ca="1" si="49"/>
        <v>287306.1019610393</v>
      </c>
      <c r="S78" s="430">
        <v>0</v>
      </c>
      <c r="T78" s="390">
        <f t="shared" si="66"/>
        <v>-5000</v>
      </c>
      <c r="U78" s="390">
        <f t="shared" si="67"/>
        <v>0</v>
      </c>
      <c r="V78" s="390">
        <f t="shared" si="68"/>
        <v>-1666.6666666666667</v>
      </c>
      <c r="W78" s="390">
        <f t="shared" si="69"/>
        <v>-38755.717930517523</v>
      </c>
      <c r="X78" s="431">
        <v>0</v>
      </c>
      <c r="Y78" s="415">
        <f t="shared" si="70"/>
        <v>-10000</v>
      </c>
      <c r="Z78" s="415">
        <f t="shared" si="71"/>
        <v>-10000</v>
      </c>
      <c r="AA78" s="432">
        <v>0</v>
      </c>
      <c r="AB78" s="393">
        <f t="shared" si="50"/>
        <v>-65422.384597184187</v>
      </c>
      <c r="AD78" s="393">
        <f t="shared" ca="1" si="51"/>
        <v>221883.7173638551</v>
      </c>
      <c r="AF78" s="393">
        <f t="shared" ca="1" si="72"/>
        <v>-110.03431643214145</v>
      </c>
      <c r="AH78" s="393">
        <f t="shared" ca="1" si="52"/>
        <v>721773.68304742291</v>
      </c>
      <c r="AJ78" s="397">
        <f t="shared" si="53"/>
        <v>0</v>
      </c>
      <c r="AK78" s="390">
        <f>IF($A78&gt;baseData, INDEX(Permutas!AC:AC, MATCH('Fluxo Bandeira Co'!A78, Permutas!N:N, 0)), 0)</f>
        <v>0</v>
      </c>
      <c r="AL78" s="398">
        <f t="shared" ca="1" si="65"/>
        <v>-721773.68304742291</v>
      </c>
      <c r="AN78" s="393">
        <f t="shared" ca="1" si="54"/>
        <v>0</v>
      </c>
      <c r="AP78" s="393">
        <f t="shared" ca="1" si="73"/>
        <v>0</v>
      </c>
      <c r="AR78" s="397">
        <f t="shared" ca="1" si="55"/>
        <v>721773.68304742291</v>
      </c>
      <c r="AS78" s="398">
        <f t="shared" ca="1" si="61"/>
        <v>23624975.598731585</v>
      </c>
      <c r="AU78" s="393">
        <f t="shared" ca="1" si="56"/>
        <v>721773.68304742291</v>
      </c>
      <c r="AW78" s="397">
        <f t="shared" ca="1" si="62"/>
        <v>15475226.191102061</v>
      </c>
      <c r="AX78" s="390">
        <f t="shared" ca="1" si="63"/>
        <v>721773.68304742291</v>
      </c>
      <c r="AY78" s="390">
        <f t="shared" ca="1" si="57"/>
        <v>144354.73660948459</v>
      </c>
      <c r="AZ78" s="390">
        <f t="shared" ca="1" si="58"/>
        <v>577418.94643793837</v>
      </c>
      <c r="BA78" s="398">
        <f t="shared" ca="1" si="64"/>
        <v>20604619.930951513</v>
      </c>
      <c r="BC78" s="393">
        <f t="shared" ca="1" si="59"/>
        <v>577418.94643793837</v>
      </c>
    </row>
    <row r="79" spans="1:59" x14ac:dyDescent="0.25">
      <c r="A79" s="197">
        <f t="shared" si="60"/>
        <v>45413</v>
      </c>
      <c r="B79" s="388">
        <f>IF($A79&lt;=baseData, INDEX(Indicadores!B:B, MATCH($A79,Indicadores!A:A, 0)), INDEX(Indicadores!B:B, MATCH(baseData,Indicadores!A:A, 0)))</f>
        <v>839.38199999999995</v>
      </c>
      <c r="C79" s="389">
        <f>IF($A79&lt;=baseData, INDEX(Indicadores!E:E, MATCH($A79, Indicadores!A:A, 0)), INDEX(Indicadores!E:E, MATCH(baseData, Indicadores!A:A, 0)))</f>
        <v>5486.52</v>
      </c>
      <c r="E79" s="397">
        <f t="shared" ca="1" si="46"/>
        <v>0</v>
      </c>
      <c r="F79" s="390">
        <f>IF($A79&lt;=baseData, -SUMIF('Fluxo Investidores'!$L79:$X79, "&lt;0", 'Fluxo Investidores'!$L79:$X79), 0)</f>
        <v>0</v>
      </c>
      <c r="G79" s="390">
        <f>IF($A79&lt;=baseData, -SUMIF('Fluxo Investidores'!$L79:$X79, "&gt;0", 'Fluxo Investidores'!$L79:$X79), 0)</f>
        <v>0</v>
      </c>
      <c r="H79" s="429"/>
      <c r="I79" s="390">
        <f t="shared" si="47"/>
        <v>0</v>
      </c>
      <c r="J79" s="398">
        <f>IF($A79&lt;=baseData, INDEX(Permutas!AC:AC, MATCH($A79, Permutas!N:N, 0)), 0)</f>
        <v>0</v>
      </c>
      <c r="L79" s="397">
        <f>IF(A79&lt;=baseData, N79-M79, -INDEX('Fluxo Projeto'!AQ:AQ, MATCH($A79, 'Fluxo Projeto'!A:A, 0))*(pctSCPequity+pctSCPpermuta))</f>
        <v>0</v>
      </c>
      <c r="M79" s="398">
        <f>IFERROR(INDEX(Permutas!AJ:AJ, MATCH('Fluxo Bandeira Co'!A79, Permutas!N:N, 0)), 0)</f>
        <v>0</v>
      </c>
      <c r="N79" s="393">
        <f>IF($A79&lt;=baseData,IFERROR(INDEX('LDI - Fluxo de Caixa'!$AP$161:$AP$374,MATCH($A79,'LDI - Fluxo de Caixa'!$C$161:$C$374,0)), 0),SUM(L79:M79))</f>
        <v>0</v>
      </c>
      <c r="P79" s="397">
        <f t="shared" si="48"/>
        <v>0</v>
      </c>
      <c r="Q79" s="398">
        <f t="shared" si="49"/>
        <v>0</v>
      </c>
      <c r="S79" s="430">
        <v>0</v>
      </c>
      <c r="T79" s="390">
        <f t="shared" si="66"/>
        <v>0</v>
      </c>
      <c r="U79" s="390">
        <f t="shared" si="67"/>
        <v>0</v>
      </c>
      <c r="V79" s="390">
        <f t="shared" si="68"/>
        <v>0</v>
      </c>
      <c r="W79" s="390">
        <f t="shared" si="69"/>
        <v>0</v>
      </c>
      <c r="X79" s="431">
        <v>0</v>
      </c>
      <c r="Y79" s="415">
        <f t="shared" si="70"/>
        <v>0</v>
      </c>
      <c r="Z79" s="415">
        <f t="shared" si="71"/>
        <v>0</v>
      </c>
      <c r="AA79" s="432">
        <v>0</v>
      </c>
      <c r="AB79" s="393">
        <f t="shared" si="50"/>
        <v>0</v>
      </c>
      <c r="AD79" s="393">
        <f t="shared" si="51"/>
        <v>0</v>
      </c>
      <c r="AF79" s="393">
        <f t="shared" ca="1" si="72"/>
        <v>0</v>
      </c>
      <c r="AH79" s="393">
        <f t="shared" ca="1" si="52"/>
        <v>0</v>
      </c>
      <c r="AJ79" s="397">
        <f t="shared" si="53"/>
        <v>0</v>
      </c>
      <c r="AK79" s="390">
        <f>IF($A79&gt;baseData, INDEX(Permutas!AC:AC, MATCH('Fluxo Bandeira Co'!A79, Permutas!N:N, 0)), 0)</f>
        <v>0</v>
      </c>
      <c r="AL79" s="398">
        <f t="shared" ca="1" si="65"/>
        <v>0</v>
      </c>
      <c r="AN79" s="393">
        <f t="shared" ca="1" si="54"/>
        <v>0</v>
      </c>
      <c r="AP79" s="393">
        <f t="shared" ca="1" si="73"/>
        <v>0</v>
      </c>
      <c r="AR79" s="397">
        <f t="shared" ca="1" si="55"/>
        <v>0</v>
      </c>
      <c r="AS79" s="398">
        <f t="shared" ca="1" si="61"/>
        <v>23624975.598731585</v>
      </c>
      <c r="AU79" s="393">
        <f t="shared" ca="1" si="56"/>
        <v>0</v>
      </c>
      <c r="AW79" s="397">
        <f t="shared" si="62"/>
        <v>0</v>
      </c>
      <c r="AX79" s="390">
        <f t="shared" si="63"/>
        <v>0</v>
      </c>
      <c r="AY79" s="390">
        <f t="shared" si="57"/>
        <v>0</v>
      </c>
      <c r="AZ79" s="390">
        <f t="shared" ca="1" si="58"/>
        <v>0</v>
      </c>
      <c r="BA79" s="398">
        <f t="shared" ca="1" si="64"/>
        <v>20604619.930951513</v>
      </c>
      <c r="BC79" s="393">
        <f t="shared" ca="1" si="59"/>
        <v>0</v>
      </c>
      <c r="BG79" s="433"/>
    </row>
    <row r="80" spans="1:59" x14ac:dyDescent="0.25">
      <c r="A80" s="197">
        <f t="shared" si="60"/>
        <v>45444</v>
      </c>
      <c r="B80" s="388">
        <f>IF($A80&lt;=baseData, INDEX(Indicadores!B:B, MATCH($A80,Indicadores!A:A, 0)), INDEX(Indicadores!B:B, MATCH(baseData,Indicadores!A:A, 0)))</f>
        <v>839.38199999999995</v>
      </c>
      <c r="C80" s="389">
        <f>IF($A80&lt;=baseData, INDEX(Indicadores!E:E, MATCH($A80, Indicadores!A:A, 0)), INDEX(Indicadores!E:E, MATCH(baseData, Indicadores!A:A, 0)))</f>
        <v>5486.52</v>
      </c>
      <c r="E80" s="397">
        <f t="shared" ca="1" si="46"/>
        <v>0</v>
      </c>
      <c r="F80" s="390">
        <f>IF($A80&lt;=baseData, -SUMIF('Fluxo Investidores'!$L80:$X80, "&lt;0", 'Fluxo Investidores'!$L80:$X80), 0)</f>
        <v>0</v>
      </c>
      <c r="G80" s="390">
        <f>IF($A80&lt;=baseData, -SUMIF('Fluxo Investidores'!$L80:$X80, "&gt;0", 'Fluxo Investidores'!$L80:$X80), 0)</f>
        <v>0</v>
      </c>
      <c r="H80" s="429"/>
      <c r="I80" s="390">
        <f t="shared" si="47"/>
        <v>0</v>
      </c>
      <c r="J80" s="398">
        <f>IF($A80&lt;=baseData, INDEX(Permutas!AC:AC, MATCH($A80, Permutas!N:N, 0)), 0)</f>
        <v>0</v>
      </c>
      <c r="L80" s="397">
        <f>IF(A80&lt;=baseData, N80-M80, -INDEX('Fluxo Projeto'!AQ:AQ, MATCH($A80, 'Fluxo Projeto'!A:A, 0))*(pctSCPequity+pctSCPpermuta))</f>
        <v>0</v>
      </c>
      <c r="M80" s="398">
        <f>IFERROR(INDEX(Permutas!AJ:AJ, MATCH('Fluxo Bandeira Co'!A80, Permutas!N:N, 0)), 0)</f>
        <v>0</v>
      </c>
      <c r="N80" s="393">
        <f>IF($A80&lt;=baseData,IFERROR(INDEX('LDI - Fluxo de Caixa'!$AP$161:$AP$374,MATCH($A80,'LDI - Fluxo de Caixa'!$C$161:$C$374,0)), 0),SUM(L80:M80))</f>
        <v>0</v>
      </c>
      <c r="P80" s="397">
        <f t="shared" si="48"/>
        <v>0</v>
      </c>
      <c r="Q80" s="398">
        <f t="shared" si="49"/>
        <v>0</v>
      </c>
      <c r="S80" s="430">
        <v>0</v>
      </c>
      <c r="T80" s="390">
        <f t="shared" si="66"/>
        <v>0</v>
      </c>
      <c r="U80" s="390">
        <f t="shared" si="67"/>
        <v>0</v>
      </c>
      <c r="V80" s="390">
        <f t="shared" si="68"/>
        <v>0</v>
      </c>
      <c r="W80" s="390">
        <f t="shared" si="69"/>
        <v>0</v>
      </c>
      <c r="X80" s="431">
        <v>0</v>
      </c>
      <c r="Y80" s="415">
        <f t="shared" si="70"/>
        <v>0</v>
      </c>
      <c r="Z80" s="415">
        <f t="shared" si="71"/>
        <v>0</v>
      </c>
      <c r="AA80" s="432">
        <v>0</v>
      </c>
      <c r="AB80" s="393">
        <f t="shared" si="50"/>
        <v>0</v>
      </c>
      <c r="AD80" s="393">
        <f t="shared" si="51"/>
        <v>0</v>
      </c>
      <c r="AF80" s="393">
        <f t="shared" ca="1" si="72"/>
        <v>0</v>
      </c>
      <c r="AH80" s="393">
        <f t="shared" ca="1" si="52"/>
        <v>0</v>
      </c>
      <c r="AJ80" s="397">
        <f t="shared" si="53"/>
        <v>0</v>
      </c>
      <c r="AK80" s="390">
        <f>IF($A80&gt;baseData, INDEX(Permutas!AC:AC, MATCH('Fluxo Bandeira Co'!A80, Permutas!N:N, 0)), 0)</f>
        <v>0</v>
      </c>
      <c r="AL80" s="398">
        <f t="shared" ca="1" si="65"/>
        <v>0</v>
      </c>
      <c r="AN80" s="393">
        <f t="shared" ca="1" si="54"/>
        <v>0</v>
      </c>
      <c r="AP80" s="393">
        <f t="shared" ca="1" si="73"/>
        <v>0</v>
      </c>
      <c r="AR80" s="397">
        <f t="shared" ca="1" si="55"/>
        <v>0</v>
      </c>
      <c r="AS80" s="398">
        <f t="shared" ca="1" si="61"/>
        <v>23624975.598731585</v>
      </c>
      <c r="AU80" s="393">
        <f t="shared" ca="1" si="56"/>
        <v>0</v>
      </c>
      <c r="AW80" s="397">
        <f t="shared" si="62"/>
        <v>0</v>
      </c>
      <c r="AX80" s="390">
        <f t="shared" si="63"/>
        <v>0</v>
      </c>
      <c r="AY80" s="390">
        <f t="shared" si="57"/>
        <v>0</v>
      </c>
      <c r="AZ80" s="390">
        <f t="shared" ca="1" si="58"/>
        <v>0</v>
      </c>
      <c r="BA80" s="398">
        <f t="shared" ca="1" si="64"/>
        <v>20604619.930951513</v>
      </c>
      <c r="BC80" s="393">
        <f t="shared" ca="1" si="59"/>
        <v>0</v>
      </c>
    </row>
    <row r="81" spans="1:55" x14ac:dyDescent="0.25">
      <c r="A81" s="197">
        <f t="shared" si="60"/>
        <v>45474</v>
      </c>
      <c r="B81" s="388">
        <f>IF($A81&lt;=baseData, INDEX(Indicadores!B:B, MATCH($A81,Indicadores!A:A, 0)), INDEX(Indicadores!B:B, MATCH(baseData,Indicadores!A:A, 0)))</f>
        <v>839.38199999999995</v>
      </c>
      <c r="C81" s="389">
        <f>IF($A81&lt;=baseData, INDEX(Indicadores!E:E, MATCH($A81, Indicadores!A:A, 0)), INDEX(Indicadores!E:E, MATCH(baseData, Indicadores!A:A, 0)))</f>
        <v>5486.52</v>
      </c>
      <c r="E81" s="397">
        <f t="shared" ref="E81:E86" ca="1" si="74">AP80</f>
        <v>0</v>
      </c>
      <c r="F81" s="390">
        <f>IF($A81&lt;=baseData, -SUMIF('Fluxo Investidores'!$L81:$X81, "&lt;0", 'Fluxo Investidores'!$L81:$X81), 0)</f>
        <v>0</v>
      </c>
      <c r="G81" s="390">
        <f>IF($A81&lt;=baseData, -SUMIF('Fluxo Investidores'!$L81:$X81, "&gt;0", 'Fluxo Investidores'!$L81:$X81), 0)</f>
        <v>0</v>
      </c>
      <c r="H81" s="429"/>
      <c r="I81" s="390">
        <f t="shared" ref="I81:I112" si="75">F81-J81</f>
        <v>0</v>
      </c>
      <c r="J81" s="398">
        <f>IF($A81&lt;=baseData, INDEX(Permutas!AC:AC, MATCH($A81, Permutas!N:N, 0)), 0)</f>
        <v>0</v>
      </c>
      <c r="L81" s="397">
        <f>IF(A81&lt;=baseData, N81-M81, -INDEX('Fluxo Projeto'!AQ:AQ, MATCH($A81, 'Fluxo Projeto'!A:A, 0))*(pctSCPequity+pctSCPpermuta))</f>
        <v>0</v>
      </c>
      <c r="M81" s="398">
        <f>IFERROR(INDEX(Permutas!AJ:AJ, MATCH('Fluxo Bandeira Co'!A81, Permutas!N:N, 0)), 0)</f>
        <v>0</v>
      </c>
      <c r="N81" s="393">
        <f>IF($A81&lt;=baseData,IFERROR(INDEX('LDI - Fluxo de Caixa'!$AP$161:$AP$374,MATCH($A81,'LDI - Fluxo de Caixa'!$C$161:$C$374,0)), 0),SUM(L81:M81))</f>
        <v>0</v>
      </c>
      <c r="P81" s="397">
        <f t="shared" ref="P81:P86" si="76">F81+G81-N81</f>
        <v>0</v>
      </c>
      <c r="Q81" s="398">
        <f t="shared" ref="Q81:Q112" si="77">P81*IF(A81&gt;baseData, 1, ipcaData/C81)</f>
        <v>0</v>
      </c>
      <c r="S81" s="430">
        <v>0</v>
      </c>
      <c r="T81" s="390">
        <f t="shared" si="66"/>
        <v>0</v>
      </c>
      <c r="U81" s="390">
        <f t="shared" si="67"/>
        <v>0</v>
      </c>
      <c r="V81" s="390">
        <f t="shared" si="68"/>
        <v>0</v>
      </c>
      <c r="W81" s="390">
        <f t="shared" si="69"/>
        <v>0</v>
      </c>
      <c r="X81" s="431">
        <v>0</v>
      </c>
      <c r="Y81" s="415">
        <f t="shared" si="70"/>
        <v>0</v>
      </c>
      <c r="Z81" s="415">
        <f t="shared" si="71"/>
        <v>0</v>
      </c>
      <c r="AA81" s="432">
        <v>0</v>
      </c>
      <c r="AB81" s="393">
        <f t="shared" si="50"/>
        <v>0</v>
      </c>
      <c r="AD81" s="393">
        <f t="shared" si="51"/>
        <v>0</v>
      </c>
      <c r="AF81" s="393">
        <f t="shared" ca="1" si="72"/>
        <v>0</v>
      </c>
      <c r="AH81" s="393">
        <f t="shared" ca="1" si="52"/>
        <v>0</v>
      </c>
      <c r="AJ81" s="397">
        <f t="shared" si="53"/>
        <v>0</v>
      </c>
      <c r="AK81" s="390">
        <f>IF($A81&gt;baseData, INDEX(Permutas!AC:AC, MATCH('Fluxo Bandeira Co'!A81, Permutas!N:N, 0)), 0)</f>
        <v>0</v>
      </c>
      <c r="AL81" s="398">
        <f t="shared" ca="1" si="65"/>
        <v>0</v>
      </c>
      <c r="AN81" s="393">
        <f t="shared" ca="1" si="54"/>
        <v>0</v>
      </c>
      <c r="AP81" s="393">
        <f t="shared" ca="1" si="73"/>
        <v>0</v>
      </c>
      <c r="AR81" s="397">
        <f t="shared" ca="1" si="55"/>
        <v>0</v>
      </c>
      <c r="AS81" s="398">
        <f t="shared" ca="1" si="61"/>
        <v>23624975.598731585</v>
      </c>
      <c r="AU81" s="393">
        <f t="shared" ca="1" si="56"/>
        <v>0</v>
      </c>
      <c r="AW81" s="397">
        <f t="shared" si="62"/>
        <v>0</v>
      </c>
      <c r="AX81" s="390">
        <f t="shared" si="63"/>
        <v>0</v>
      </c>
      <c r="AY81" s="390">
        <f t="shared" si="57"/>
        <v>0</v>
      </c>
      <c r="AZ81" s="390">
        <f t="shared" ca="1" si="58"/>
        <v>0</v>
      </c>
      <c r="BA81" s="398">
        <f t="shared" ca="1" si="64"/>
        <v>20604619.930951513</v>
      </c>
      <c r="BC81" s="393">
        <f t="shared" ca="1" si="59"/>
        <v>0</v>
      </c>
    </row>
    <row r="82" spans="1:55" x14ac:dyDescent="0.25">
      <c r="A82" s="197">
        <f t="shared" si="60"/>
        <v>45505</v>
      </c>
      <c r="B82" s="388">
        <f>IF($A82&lt;=baseData, INDEX(Indicadores!B:B, MATCH($A82,Indicadores!A:A, 0)), INDEX(Indicadores!B:B, MATCH(baseData,Indicadores!A:A, 0)))</f>
        <v>839.38199999999995</v>
      </c>
      <c r="C82" s="389">
        <f>IF($A82&lt;=baseData, INDEX(Indicadores!E:E, MATCH($A82, Indicadores!A:A, 0)), INDEX(Indicadores!E:E, MATCH(baseData, Indicadores!A:A, 0)))</f>
        <v>5486.52</v>
      </c>
      <c r="E82" s="397">
        <f t="shared" ca="1" si="74"/>
        <v>0</v>
      </c>
      <c r="F82" s="390">
        <f>IF($A82&lt;=baseData, -SUMIF('Fluxo Investidores'!$L82:$X82, "&lt;0", 'Fluxo Investidores'!$L82:$X82), 0)</f>
        <v>0</v>
      </c>
      <c r="G82" s="390">
        <f>IF($A82&lt;=baseData, -SUMIF('Fluxo Investidores'!$L82:$X82, "&gt;0", 'Fluxo Investidores'!$L82:$X82), 0)</f>
        <v>0</v>
      </c>
      <c r="H82" s="429"/>
      <c r="I82" s="390">
        <f t="shared" si="75"/>
        <v>0</v>
      </c>
      <c r="J82" s="398">
        <f>IF($A82&lt;=baseData, INDEX(Permutas!AC:AC, MATCH($A82, Permutas!N:N, 0)), 0)</f>
        <v>0</v>
      </c>
      <c r="L82" s="397">
        <f>IF(A82&lt;=baseData, N82-M82, -INDEX('Fluxo Projeto'!AQ:AQ, MATCH($A82, 'Fluxo Projeto'!A:A, 0))*(pctSCPequity+pctSCPpermuta))</f>
        <v>0</v>
      </c>
      <c r="M82" s="398">
        <f>IFERROR(INDEX(Permutas!AJ:AJ, MATCH('Fluxo Bandeira Co'!A82, Permutas!N:N, 0)), 0)</f>
        <v>0</v>
      </c>
      <c r="N82" s="393">
        <f>IF($A82&lt;=baseData,IFERROR(INDEX('LDI - Fluxo de Caixa'!$AP$161:$AP$374,MATCH($A82,'LDI - Fluxo de Caixa'!$C$161:$C$374,0)), 0),SUM(L82:M82))</f>
        <v>0</v>
      </c>
      <c r="P82" s="397">
        <f t="shared" si="76"/>
        <v>0</v>
      </c>
      <c r="Q82" s="398">
        <f t="shared" si="77"/>
        <v>0</v>
      </c>
      <c r="S82" s="430">
        <v>0</v>
      </c>
      <c r="T82" s="390">
        <f t="shared" si="66"/>
        <v>0</v>
      </c>
      <c r="U82" s="390">
        <f t="shared" si="67"/>
        <v>0</v>
      </c>
      <c r="V82" s="390">
        <f t="shared" si="68"/>
        <v>0</v>
      </c>
      <c r="W82" s="390">
        <f t="shared" si="69"/>
        <v>0</v>
      </c>
      <c r="X82" s="431">
        <v>0</v>
      </c>
      <c r="Y82" s="415">
        <f t="shared" si="70"/>
        <v>0</v>
      </c>
      <c r="Z82" s="415">
        <f t="shared" si="71"/>
        <v>0</v>
      </c>
      <c r="AA82" s="432">
        <v>0</v>
      </c>
      <c r="AB82" s="393">
        <f t="shared" si="50"/>
        <v>0</v>
      </c>
      <c r="AD82" s="393">
        <f t="shared" si="51"/>
        <v>0</v>
      </c>
      <c r="AF82" s="393">
        <f t="shared" ca="1" si="72"/>
        <v>0</v>
      </c>
      <c r="AH82" s="393">
        <f t="shared" ca="1" si="52"/>
        <v>0</v>
      </c>
      <c r="AJ82" s="397">
        <f t="shared" si="53"/>
        <v>0</v>
      </c>
      <c r="AK82" s="390">
        <f>IF($A82&gt;baseData, INDEX(Permutas!AC:AC, MATCH('Fluxo Bandeira Co'!A82, Permutas!N:N, 0)), 0)</f>
        <v>0</v>
      </c>
      <c r="AL82" s="398">
        <f t="shared" ca="1" si="65"/>
        <v>0</v>
      </c>
      <c r="AN82" s="393">
        <f t="shared" ca="1" si="54"/>
        <v>0</v>
      </c>
      <c r="AP82" s="393">
        <f t="shared" ca="1" si="73"/>
        <v>0</v>
      </c>
      <c r="AR82" s="397">
        <f t="shared" ca="1" si="55"/>
        <v>0</v>
      </c>
      <c r="AS82" s="398">
        <f t="shared" ca="1" si="61"/>
        <v>23624975.598731585</v>
      </c>
      <c r="AU82" s="393">
        <f t="shared" ca="1" si="56"/>
        <v>0</v>
      </c>
      <c r="AW82" s="397">
        <f t="shared" si="62"/>
        <v>0</v>
      </c>
      <c r="AX82" s="390">
        <f t="shared" si="63"/>
        <v>0</v>
      </c>
      <c r="AY82" s="390">
        <f t="shared" si="57"/>
        <v>0</v>
      </c>
      <c r="AZ82" s="390">
        <f t="shared" ca="1" si="58"/>
        <v>0</v>
      </c>
      <c r="BA82" s="398">
        <f t="shared" ca="1" si="64"/>
        <v>20604619.930951513</v>
      </c>
      <c r="BC82" s="393">
        <f t="shared" ca="1" si="59"/>
        <v>0</v>
      </c>
    </row>
    <row r="83" spans="1:55" x14ac:dyDescent="0.25">
      <c r="A83" s="197">
        <f t="shared" si="60"/>
        <v>45536</v>
      </c>
      <c r="B83" s="388">
        <f>IF($A83&lt;=baseData, INDEX(Indicadores!B:B, MATCH($A83,Indicadores!A:A, 0)), INDEX(Indicadores!B:B, MATCH(baseData,Indicadores!A:A, 0)))</f>
        <v>839.38199999999995</v>
      </c>
      <c r="C83" s="389">
        <f>IF($A83&lt;=baseData, INDEX(Indicadores!E:E, MATCH($A83, Indicadores!A:A, 0)), INDEX(Indicadores!E:E, MATCH(baseData, Indicadores!A:A, 0)))</f>
        <v>5486.52</v>
      </c>
      <c r="E83" s="397">
        <f t="shared" ca="1" si="74"/>
        <v>0</v>
      </c>
      <c r="F83" s="390">
        <f>IF($A83&lt;=baseData, -SUMIF('Fluxo Investidores'!$L83:$X83, "&lt;0", 'Fluxo Investidores'!$L83:$X83), 0)</f>
        <v>0</v>
      </c>
      <c r="G83" s="390">
        <f>IF($A83&lt;=baseData, -SUMIF('Fluxo Investidores'!$L83:$X83, "&gt;0", 'Fluxo Investidores'!$L83:$X83), 0)</f>
        <v>0</v>
      </c>
      <c r="H83" s="429"/>
      <c r="I83" s="390">
        <f t="shared" si="75"/>
        <v>0</v>
      </c>
      <c r="J83" s="398">
        <f>IF($A83&lt;=baseData, INDEX(Permutas!AC:AC, MATCH($A83, Permutas!N:N, 0)), 0)</f>
        <v>0</v>
      </c>
      <c r="L83" s="397">
        <f>IF(A83&lt;=baseData, N83-M83, -INDEX('Fluxo Projeto'!AQ:AQ, MATCH($A83, 'Fluxo Projeto'!A:A, 0))*(pctSCPequity+pctSCPpermuta))</f>
        <v>0</v>
      </c>
      <c r="M83" s="398">
        <f>IFERROR(INDEX(Permutas!AJ:AJ, MATCH('Fluxo Bandeira Co'!A83, Permutas!N:N, 0)), 0)</f>
        <v>0</v>
      </c>
      <c r="N83" s="393">
        <f>IF($A83&lt;=baseData,IFERROR(INDEX('LDI - Fluxo de Caixa'!$AP$161:$AP$374,MATCH($A83,'LDI - Fluxo de Caixa'!$C$161:$C$374,0)), 0),SUM(L83:M83))</f>
        <v>0</v>
      </c>
      <c r="P83" s="397">
        <f t="shared" si="76"/>
        <v>0</v>
      </c>
      <c r="Q83" s="398">
        <f t="shared" si="77"/>
        <v>0</v>
      </c>
      <c r="S83" s="430">
        <v>0</v>
      </c>
      <c r="T83" s="390">
        <f t="shared" si="66"/>
        <v>0</v>
      </c>
      <c r="U83" s="390">
        <f t="shared" si="67"/>
        <v>0</v>
      </c>
      <c r="V83" s="390">
        <f t="shared" si="68"/>
        <v>0</v>
      </c>
      <c r="W83" s="390">
        <f t="shared" si="69"/>
        <v>0</v>
      </c>
      <c r="X83" s="431">
        <v>0</v>
      </c>
      <c r="Y83" s="415">
        <f t="shared" si="70"/>
        <v>0</v>
      </c>
      <c r="Z83" s="415">
        <f t="shared" si="71"/>
        <v>0</v>
      </c>
      <c r="AA83" s="432">
        <v>0</v>
      </c>
      <c r="AB83" s="393">
        <f t="shared" si="50"/>
        <v>0</v>
      </c>
      <c r="AD83" s="393">
        <f t="shared" si="51"/>
        <v>0</v>
      </c>
      <c r="AF83" s="393">
        <f t="shared" ca="1" si="72"/>
        <v>0</v>
      </c>
      <c r="AH83" s="393">
        <f t="shared" ca="1" si="52"/>
        <v>0</v>
      </c>
      <c r="AJ83" s="397">
        <f t="shared" si="53"/>
        <v>0</v>
      </c>
      <c r="AK83" s="390">
        <f>IF($A83&gt;baseData, INDEX(Permutas!AC:AC, MATCH('Fluxo Bandeira Co'!A83, Permutas!N:N, 0)), 0)</f>
        <v>0</v>
      </c>
      <c r="AL83" s="398">
        <f t="shared" ca="1" si="65"/>
        <v>0</v>
      </c>
      <c r="AN83" s="393">
        <f t="shared" ca="1" si="54"/>
        <v>0</v>
      </c>
      <c r="AP83" s="393">
        <f t="shared" ca="1" si="73"/>
        <v>0</v>
      </c>
      <c r="AR83" s="397">
        <f t="shared" ca="1" si="55"/>
        <v>0</v>
      </c>
      <c r="AS83" s="398">
        <f t="shared" ca="1" si="61"/>
        <v>23624975.598731585</v>
      </c>
      <c r="AU83" s="393">
        <f t="shared" ca="1" si="56"/>
        <v>0</v>
      </c>
      <c r="AW83" s="397">
        <f t="shared" si="62"/>
        <v>0</v>
      </c>
      <c r="AX83" s="390">
        <f t="shared" si="63"/>
        <v>0</v>
      </c>
      <c r="AY83" s="390">
        <f t="shared" si="57"/>
        <v>0</v>
      </c>
      <c r="AZ83" s="390">
        <f t="shared" ca="1" si="58"/>
        <v>0</v>
      </c>
      <c r="BA83" s="398">
        <f t="shared" ca="1" si="64"/>
        <v>20604619.930951513</v>
      </c>
      <c r="BC83" s="393">
        <f t="shared" ca="1" si="59"/>
        <v>0</v>
      </c>
    </row>
    <row r="84" spans="1:55" x14ac:dyDescent="0.25">
      <c r="A84" s="197">
        <f t="shared" si="60"/>
        <v>45566</v>
      </c>
      <c r="B84" s="388">
        <f>IF($A84&lt;=baseData, INDEX(Indicadores!B:B, MATCH($A84,Indicadores!A:A, 0)), INDEX(Indicadores!B:B, MATCH(baseData,Indicadores!A:A, 0)))</f>
        <v>839.38199999999995</v>
      </c>
      <c r="C84" s="389">
        <f>IF($A84&lt;=baseData, INDEX(Indicadores!E:E, MATCH($A84, Indicadores!A:A, 0)), INDEX(Indicadores!E:E, MATCH(baseData, Indicadores!A:A, 0)))</f>
        <v>5486.52</v>
      </c>
      <c r="E84" s="397">
        <f t="shared" ca="1" si="74"/>
        <v>0</v>
      </c>
      <c r="F84" s="390">
        <f>IF($A84&lt;=baseData, -SUMIF('Fluxo Investidores'!$L84:$X84, "&lt;0", 'Fluxo Investidores'!$L84:$X84), 0)</f>
        <v>0</v>
      </c>
      <c r="G84" s="390">
        <f>IF($A84&lt;=baseData, -SUMIF('Fluxo Investidores'!$L84:$X84, "&gt;0", 'Fluxo Investidores'!$L84:$X84), 0)</f>
        <v>0</v>
      </c>
      <c r="H84" s="429"/>
      <c r="I84" s="390">
        <f t="shared" si="75"/>
        <v>0</v>
      </c>
      <c r="J84" s="398">
        <f>IF($A84&lt;=baseData, INDEX(Permutas!AC:AC, MATCH($A84, Permutas!N:N, 0)), 0)</f>
        <v>0</v>
      </c>
      <c r="L84" s="397">
        <f>IF(A84&lt;=baseData, N84-M84, -INDEX('Fluxo Projeto'!AQ:AQ, MATCH($A84, 'Fluxo Projeto'!A:A, 0))*(pctSCPequity+pctSCPpermuta))</f>
        <v>0</v>
      </c>
      <c r="M84" s="398">
        <f>IFERROR(INDEX(Permutas!AJ:AJ, MATCH('Fluxo Bandeira Co'!A84, Permutas!N:N, 0)), 0)</f>
        <v>0</v>
      </c>
      <c r="N84" s="393">
        <f>IF($A84&lt;=baseData,IFERROR(INDEX('LDI - Fluxo de Caixa'!$AP$161:$AP$374,MATCH($A84,'LDI - Fluxo de Caixa'!$C$161:$C$374,0)), 0),SUM(L84:M84))</f>
        <v>0</v>
      </c>
      <c r="P84" s="397">
        <f t="shared" si="76"/>
        <v>0</v>
      </c>
      <c r="Q84" s="398">
        <f t="shared" si="77"/>
        <v>0</v>
      </c>
      <c r="S84" s="430">
        <v>0</v>
      </c>
      <c r="T84" s="390">
        <f t="shared" si="66"/>
        <v>0</v>
      </c>
      <c r="U84" s="390">
        <f t="shared" si="67"/>
        <v>0</v>
      </c>
      <c r="V84" s="390">
        <f t="shared" si="68"/>
        <v>0</v>
      </c>
      <c r="W84" s="390">
        <f t="shared" si="69"/>
        <v>0</v>
      </c>
      <c r="X84" s="431">
        <v>0</v>
      </c>
      <c r="Y84" s="415">
        <f t="shared" si="70"/>
        <v>0</v>
      </c>
      <c r="Z84" s="415">
        <f t="shared" si="71"/>
        <v>0</v>
      </c>
      <c r="AA84" s="432">
        <v>0</v>
      </c>
      <c r="AB84" s="393">
        <f t="shared" si="50"/>
        <v>0</v>
      </c>
      <c r="AD84" s="393">
        <f t="shared" si="51"/>
        <v>0</v>
      </c>
      <c r="AF84" s="393">
        <f t="shared" ca="1" si="72"/>
        <v>0</v>
      </c>
      <c r="AH84" s="393">
        <f t="shared" ca="1" si="52"/>
        <v>0</v>
      </c>
      <c r="AJ84" s="397">
        <f t="shared" si="53"/>
        <v>0</v>
      </c>
      <c r="AK84" s="390">
        <f>IF($A84&gt;baseData, INDEX(Permutas!AC:AC, MATCH('Fluxo Bandeira Co'!A84, Permutas!N:N, 0)), 0)</f>
        <v>0</v>
      </c>
      <c r="AL84" s="398">
        <f t="shared" ca="1" si="65"/>
        <v>0</v>
      </c>
      <c r="AN84" s="393">
        <f t="shared" ca="1" si="54"/>
        <v>0</v>
      </c>
      <c r="AP84" s="393">
        <f t="shared" ca="1" si="73"/>
        <v>0</v>
      </c>
      <c r="AR84" s="397">
        <f t="shared" ca="1" si="55"/>
        <v>0</v>
      </c>
      <c r="AS84" s="398">
        <f t="shared" ca="1" si="61"/>
        <v>23624975.598731585</v>
      </c>
      <c r="AU84" s="393">
        <f t="shared" ca="1" si="56"/>
        <v>0</v>
      </c>
      <c r="AW84" s="397">
        <f t="shared" si="62"/>
        <v>0</v>
      </c>
      <c r="AX84" s="390">
        <f t="shared" si="63"/>
        <v>0</v>
      </c>
      <c r="AY84" s="390">
        <f t="shared" si="57"/>
        <v>0</v>
      </c>
      <c r="AZ84" s="390">
        <f t="shared" ca="1" si="58"/>
        <v>0</v>
      </c>
      <c r="BA84" s="398">
        <f t="shared" ca="1" si="64"/>
        <v>20604619.930951513</v>
      </c>
      <c r="BC84" s="393">
        <f t="shared" ca="1" si="59"/>
        <v>0</v>
      </c>
    </row>
    <row r="85" spans="1:55" x14ac:dyDescent="0.25">
      <c r="A85" s="197">
        <f t="shared" si="60"/>
        <v>45597</v>
      </c>
      <c r="B85" s="388">
        <f>IF($A85&lt;=baseData, INDEX(Indicadores!B:B, MATCH($A85,Indicadores!A:A, 0)), INDEX(Indicadores!B:B, MATCH(baseData,Indicadores!A:A, 0)))</f>
        <v>839.38199999999995</v>
      </c>
      <c r="C85" s="389">
        <f>IF($A85&lt;=baseData, INDEX(Indicadores!E:E, MATCH($A85, Indicadores!A:A, 0)), INDEX(Indicadores!E:E, MATCH(baseData, Indicadores!A:A, 0)))</f>
        <v>5486.52</v>
      </c>
      <c r="E85" s="397">
        <f t="shared" ca="1" si="74"/>
        <v>0</v>
      </c>
      <c r="F85" s="390">
        <f>IF($A85&lt;=baseData, -SUMIF('Fluxo Investidores'!$L85:$X85, "&lt;0", 'Fluxo Investidores'!$L85:$X85), 0)</f>
        <v>0</v>
      </c>
      <c r="G85" s="390">
        <f>IF($A85&lt;=baseData, -SUMIF('Fluxo Investidores'!$L85:$X85, "&gt;0", 'Fluxo Investidores'!$L85:$X85), 0)</f>
        <v>0</v>
      </c>
      <c r="H85" s="429"/>
      <c r="I85" s="390">
        <f t="shared" si="75"/>
        <v>0</v>
      </c>
      <c r="J85" s="398">
        <f>IF($A85&lt;=baseData, INDEX(Permutas!AC:AC, MATCH($A85, Permutas!N:N, 0)), 0)</f>
        <v>0</v>
      </c>
      <c r="L85" s="397">
        <f>IF(A85&lt;=baseData, N85-M85, -INDEX('Fluxo Projeto'!AQ:AQ, MATCH($A85, 'Fluxo Projeto'!A:A, 0))*(pctSCPequity+pctSCPpermuta))</f>
        <v>0</v>
      </c>
      <c r="M85" s="398">
        <f>IFERROR(INDEX(Permutas!AJ:AJ, MATCH('Fluxo Bandeira Co'!A85, Permutas!N:N, 0)), 0)</f>
        <v>0</v>
      </c>
      <c r="N85" s="393">
        <f>IF($A85&lt;=baseData,IFERROR(INDEX('LDI - Fluxo de Caixa'!$AP$161:$AP$374,MATCH($A85,'LDI - Fluxo de Caixa'!$C$161:$C$374,0)), 0),SUM(L85:M85))</f>
        <v>0</v>
      </c>
      <c r="P85" s="397">
        <f t="shared" si="76"/>
        <v>0</v>
      </c>
      <c r="Q85" s="398">
        <f t="shared" si="77"/>
        <v>0</v>
      </c>
      <c r="S85" s="430">
        <v>0</v>
      </c>
      <c r="T85" s="390">
        <f t="shared" si="66"/>
        <v>0</v>
      </c>
      <c r="U85" s="390">
        <f t="shared" si="67"/>
        <v>0</v>
      </c>
      <c r="V85" s="390">
        <f t="shared" si="68"/>
        <v>0</v>
      </c>
      <c r="W85" s="390">
        <f t="shared" si="69"/>
        <v>0</v>
      </c>
      <c r="X85" s="431">
        <v>0</v>
      </c>
      <c r="Y85" s="415">
        <f t="shared" si="70"/>
        <v>0</v>
      </c>
      <c r="Z85" s="415">
        <f t="shared" si="71"/>
        <v>0</v>
      </c>
      <c r="AA85" s="432">
        <v>0</v>
      </c>
      <c r="AB85" s="393">
        <f t="shared" si="50"/>
        <v>0</v>
      </c>
      <c r="AD85" s="393">
        <f t="shared" si="51"/>
        <v>0</v>
      </c>
      <c r="AF85" s="393">
        <f t="shared" ca="1" si="72"/>
        <v>0</v>
      </c>
      <c r="AH85" s="393">
        <f t="shared" ca="1" si="52"/>
        <v>0</v>
      </c>
      <c r="AJ85" s="397">
        <f t="shared" si="53"/>
        <v>0</v>
      </c>
      <c r="AK85" s="390">
        <f>IF($A85&gt;baseData, INDEX(Permutas!AC:AC, MATCH('Fluxo Bandeira Co'!A85, Permutas!N:N, 0)), 0)</f>
        <v>0</v>
      </c>
      <c r="AL85" s="398">
        <f t="shared" ca="1" si="65"/>
        <v>0</v>
      </c>
      <c r="AN85" s="393">
        <f t="shared" ca="1" si="54"/>
        <v>0</v>
      </c>
      <c r="AP85" s="393">
        <f t="shared" ca="1" si="73"/>
        <v>0</v>
      </c>
      <c r="AR85" s="397">
        <f t="shared" ca="1" si="55"/>
        <v>0</v>
      </c>
      <c r="AS85" s="398">
        <f t="shared" ca="1" si="61"/>
        <v>23624975.598731585</v>
      </c>
      <c r="AU85" s="393">
        <f t="shared" ca="1" si="56"/>
        <v>0</v>
      </c>
      <c r="AW85" s="397">
        <f t="shared" si="62"/>
        <v>0</v>
      </c>
      <c r="AX85" s="390">
        <f t="shared" si="63"/>
        <v>0</v>
      </c>
      <c r="AY85" s="390">
        <f t="shared" si="57"/>
        <v>0</v>
      </c>
      <c r="AZ85" s="390">
        <f t="shared" ca="1" si="58"/>
        <v>0</v>
      </c>
      <c r="BA85" s="398">
        <f t="shared" ca="1" si="64"/>
        <v>20604619.930951513</v>
      </c>
      <c r="BC85" s="393">
        <f t="shared" ca="1" si="59"/>
        <v>0</v>
      </c>
    </row>
    <row r="86" spans="1:55" x14ac:dyDescent="0.25">
      <c r="A86" s="197">
        <f t="shared" si="60"/>
        <v>45627</v>
      </c>
      <c r="B86" s="388">
        <f>IF($A86&lt;=baseData, INDEX(Indicadores!B:B, MATCH($A86,Indicadores!A:A, 0)), INDEX(Indicadores!B:B, MATCH(baseData,Indicadores!A:A, 0)))</f>
        <v>839.38199999999995</v>
      </c>
      <c r="C86" s="389">
        <f>IF($A86&lt;=baseData, INDEX(Indicadores!E:E, MATCH($A86, Indicadores!A:A, 0)), INDEX(Indicadores!E:E, MATCH(baseData, Indicadores!A:A, 0)))</f>
        <v>5486.52</v>
      </c>
      <c r="E86" s="397">
        <f t="shared" ca="1" si="74"/>
        <v>0</v>
      </c>
      <c r="F86" s="390">
        <f>IF($A86&lt;=baseData, -SUMIF('Fluxo Investidores'!$L86:$X86, "&lt;0", 'Fluxo Investidores'!$L86:$X86), 0)</f>
        <v>0</v>
      </c>
      <c r="G86" s="390">
        <f>IF($A86&lt;=baseData, -SUMIF('Fluxo Investidores'!$L86:$X86, "&gt;0", 'Fluxo Investidores'!$L86:$X86), 0)</f>
        <v>0</v>
      </c>
      <c r="H86" s="429"/>
      <c r="I86" s="390">
        <f t="shared" si="75"/>
        <v>0</v>
      </c>
      <c r="J86" s="398">
        <f>IF($A86&lt;=baseData, INDEX(Permutas!AC:AC, MATCH($A86, Permutas!N:N, 0)), 0)</f>
        <v>0</v>
      </c>
      <c r="L86" s="397">
        <f>IF(A86&lt;=baseData, N86-M86, -INDEX('Fluxo Projeto'!AQ:AQ, MATCH($A86, 'Fluxo Projeto'!A:A, 0))*(pctSCPequity+pctSCPpermuta))</f>
        <v>0</v>
      </c>
      <c r="M86" s="398">
        <f>IFERROR(INDEX(Permutas!AJ:AJ, MATCH('Fluxo Bandeira Co'!A86, Permutas!N:N, 0)), 0)</f>
        <v>0</v>
      </c>
      <c r="N86" s="393">
        <f>IF($A86&lt;=baseData,IFERROR(INDEX('LDI - Fluxo de Caixa'!$AP$161:$AP$374,MATCH($A86,'LDI - Fluxo de Caixa'!$C$161:$C$374,0)), 0),SUM(L86:M86))</f>
        <v>0</v>
      </c>
      <c r="P86" s="397">
        <f t="shared" si="76"/>
        <v>0</v>
      </c>
      <c r="Q86" s="398">
        <f t="shared" si="77"/>
        <v>0</v>
      </c>
      <c r="S86" s="430">
        <v>0</v>
      </c>
      <c r="T86" s="390">
        <f t="shared" si="66"/>
        <v>0</v>
      </c>
      <c r="U86" s="390">
        <f t="shared" si="67"/>
        <v>0</v>
      </c>
      <c r="V86" s="390">
        <f t="shared" si="68"/>
        <v>0</v>
      </c>
      <c r="W86" s="390">
        <f t="shared" si="69"/>
        <v>0</v>
      </c>
      <c r="X86" s="431">
        <v>0</v>
      </c>
      <c r="Y86" s="415">
        <f t="shared" si="70"/>
        <v>0</v>
      </c>
      <c r="Z86" s="415">
        <f t="shared" si="71"/>
        <v>0</v>
      </c>
      <c r="AA86" s="432">
        <v>0</v>
      </c>
      <c r="AB86" s="393">
        <f t="shared" si="50"/>
        <v>0</v>
      </c>
      <c r="AD86" s="393">
        <f t="shared" si="51"/>
        <v>0</v>
      </c>
      <c r="AF86" s="393">
        <f t="shared" ca="1" si="72"/>
        <v>0</v>
      </c>
      <c r="AH86" s="393">
        <f t="shared" ca="1" si="52"/>
        <v>0</v>
      </c>
      <c r="AJ86" s="397">
        <f t="shared" si="53"/>
        <v>0</v>
      </c>
      <c r="AK86" s="390">
        <f>IF($A86&gt;baseData, INDEX(Permutas!AC:AC, MATCH('Fluxo Bandeira Co'!A86, Permutas!N:N, 0)), 0)</f>
        <v>0</v>
      </c>
      <c r="AL86" s="398">
        <f t="shared" ca="1" si="65"/>
        <v>0</v>
      </c>
      <c r="AN86" s="393">
        <f t="shared" ca="1" si="54"/>
        <v>0</v>
      </c>
      <c r="AP86" s="393">
        <f t="shared" ca="1" si="73"/>
        <v>0</v>
      </c>
      <c r="AR86" s="397">
        <f t="shared" ca="1" si="55"/>
        <v>0</v>
      </c>
      <c r="AS86" s="398">
        <f t="shared" ca="1" si="61"/>
        <v>23624975.598731585</v>
      </c>
      <c r="AU86" s="393">
        <f t="shared" ca="1" si="56"/>
        <v>0</v>
      </c>
      <c r="AW86" s="397">
        <f t="shared" si="62"/>
        <v>0</v>
      </c>
      <c r="AX86" s="390">
        <f t="shared" si="63"/>
        <v>0</v>
      </c>
      <c r="AY86" s="390">
        <f t="shared" si="57"/>
        <v>0</v>
      </c>
      <c r="AZ86" s="390">
        <f t="shared" ca="1" si="58"/>
        <v>0</v>
      </c>
      <c r="BA86" s="398">
        <f t="shared" ca="1" si="64"/>
        <v>20604619.930951513</v>
      </c>
      <c r="BC86" s="393">
        <f t="shared" ca="1" si="59"/>
        <v>0</v>
      </c>
    </row>
    <row r="89" spans="1:55" x14ac:dyDescent="0.25">
      <c r="AR89" s="84"/>
      <c r="AS89" s="231"/>
      <c r="AW89" s="84"/>
      <c r="AX89" s="84"/>
      <c r="AZ89" s="84"/>
      <c r="BC89" s="84"/>
    </row>
    <row r="91" spans="1:55" x14ac:dyDescent="0.25">
      <c r="AW91" s="336"/>
      <c r="AX91" s="336"/>
    </row>
    <row r="92" spans="1:55" x14ac:dyDescent="0.25">
      <c r="AW92" s="336"/>
      <c r="AX92" s="336"/>
    </row>
    <row r="93" spans="1:55" x14ac:dyDescent="0.25">
      <c r="AW93" s="336"/>
      <c r="AX93" s="336"/>
    </row>
    <row r="94" spans="1:55" x14ac:dyDescent="0.25">
      <c r="AW94" s="336"/>
      <c r="AX94" s="336"/>
    </row>
    <row r="95" spans="1:55" x14ac:dyDescent="0.25">
      <c r="AW95" s="336"/>
      <c r="AX95" s="336"/>
    </row>
    <row r="96" spans="1:55" x14ac:dyDescent="0.25">
      <c r="AW96" s="336"/>
      <c r="AX96" s="336"/>
    </row>
    <row r="97" spans="36:50" x14ac:dyDescent="0.25">
      <c r="AW97" s="336"/>
      <c r="AX97" s="336"/>
    </row>
    <row r="98" spans="36:50" x14ac:dyDescent="0.25">
      <c r="AW98" s="336"/>
      <c r="AX98" s="336"/>
    </row>
    <row r="99" spans="36:50" x14ac:dyDescent="0.25">
      <c r="AJ99" s="371"/>
      <c r="AW99" s="336"/>
      <c r="AX99" s="336"/>
    </row>
    <row r="100" spans="36:50" x14ac:dyDescent="0.25">
      <c r="AW100" s="336"/>
      <c r="AX100" s="336"/>
    </row>
    <row r="101" spans="36:50" x14ac:dyDescent="0.25">
      <c r="AW101" s="336"/>
      <c r="AX101" s="336"/>
    </row>
    <row r="102" spans="36:50" x14ac:dyDescent="0.25">
      <c r="AW102" s="336"/>
      <c r="AX102" s="336"/>
    </row>
    <row r="103" spans="36:50" x14ac:dyDescent="0.25">
      <c r="AW103" s="336"/>
      <c r="AX103" s="336"/>
    </row>
    <row r="104" spans="36:50" x14ac:dyDescent="0.25">
      <c r="AW104" s="336"/>
      <c r="AX104" s="336"/>
    </row>
    <row r="105" spans="36:50" x14ac:dyDescent="0.25">
      <c r="AW105" s="336"/>
      <c r="AX105" s="336"/>
    </row>
    <row r="106" spans="36:50" x14ac:dyDescent="0.25">
      <c r="AW106" s="336"/>
      <c r="AX106" s="336"/>
    </row>
    <row r="107" spans="36:50" x14ac:dyDescent="0.25">
      <c r="AW107" s="336"/>
      <c r="AX107" s="336"/>
    </row>
    <row r="108" spans="36:50" x14ac:dyDescent="0.25">
      <c r="AJ108" s="371"/>
      <c r="AW108" s="336"/>
      <c r="AX108" s="336"/>
    </row>
    <row r="109" spans="36:50" x14ac:dyDescent="0.25">
      <c r="AW109" s="336"/>
      <c r="AX109" s="336"/>
    </row>
    <row r="110" spans="36:50" x14ac:dyDescent="0.25">
      <c r="AW110" s="336"/>
      <c r="AX110" s="336"/>
    </row>
    <row r="111" spans="36:50" x14ac:dyDescent="0.25">
      <c r="AW111" s="336"/>
      <c r="AX111" s="336"/>
    </row>
    <row r="112" spans="36:50" x14ac:dyDescent="0.25">
      <c r="AW112" s="336"/>
      <c r="AX112" s="336"/>
    </row>
    <row r="113" spans="49:50" x14ac:dyDescent="0.25">
      <c r="AW113" s="336"/>
      <c r="AX113" s="336"/>
    </row>
    <row r="114" spans="49:50" x14ac:dyDescent="0.25">
      <c r="AW114" s="336"/>
      <c r="AX114" s="336"/>
    </row>
    <row r="115" spans="49:50" x14ac:dyDescent="0.25">
      <c r="AW115" s="336"/>
      <c r="AX115" s="336"/>
    </row>
    <row r="116" spans="49:50" x14ac:dyDescent="0.25">
      <c r="AW116" s="336"/>
      <c r="AX116" s="336"/>
    </row>
    <row r="117" spans="49:50" x14ac:dyDescent="0.25">
      <c r="AW117" s="336"/>
      <c r="AX117" s="336"/>
    </row>
    <row r="118" spans="49:50" x14ac:dyDescent="0.25">
      <c r="AW118" s="336"/>
      <c r="AX118" s="336"/>
    </row>
    <row r="119" spans="49:50" x14ac:dyDescent="0.25">
      <c r="AW119" s="336"/>
      <c r="AX119" s="336"/>
    </row>
    <row r="120" spans="49:50" x14ac:dyDescent="0.25">
      <c r="AW120" s="336"/>
      <c r="AX120" s="336"/>
    </row>
    <row r="121" spans="49:50" x14ac:dyDescent="0.25">
      <c r="AW121" s="336"/>
      <c r="AX121" s="336"/>
    </row>
    <row r="122" spans="49:50" x14ac:dyDescent="0.25">
      <c r="AW122" s="336"/>
      <c r="AX122" s="336"/>
    </row>
    <row r="123" spans="49:50" x14ac:dyDescent="0.25">
      <c r="AW123" s="336"/>
      <c r="AX123" s="336"/>
    </row>
    <row r="124" spans="49:50" x14ac:dyDescent="0.25">
      <c r="AW124" s="336"/>
      <c r="AX124" s="336"/>
    </row>
    <row r="125" spans="49:50" x14ac:dyDescent="0.25">
      <c r="AW125" s="336"/>
      <c r="AX125" s="336"/>
    </row>
    <row r="126" spans="49:50" x14ac:dyDescent="0.25">
      <c r="AW126" s="336"/>
      <c r="AX126" s="336"/>
    </row>
    <row r="127" spans="49:50" x14ac:dyDescent="0.25">
      <c r="AW127" s="336"/>
      <c r="AX127" s="336"/>
    </row>
    <row r="128" spans="49:50" x14ac:dyDescent="0.25">
      <c r="AW128" s="336"/>
      <c r="AX128" s="336"/>
    </row>
    <row r="129" spans="49:50" x14ac:dyDescent="0.25">
      <c r="AW129" s="336"/>
      <c r="AX129" s="336"/>
    </row>
    <row r="130" spans="49:50" x14ac:dyDescent="0.25">
      <c r="AW130" s="336"/>
      <c r="AX130" s="336"/>
    </row>
    <row r="131" spans="49:50" x14ac:dyDescent="0.25">
      <c r="AW131" s="336"/>
      <c r="AX131" s="336"/>
    </row>
    <row r="132" spans="49:50" x14ac:dyDescent="0.25">
      <c r="AW132" s="336"/>
      <c r="AX132" s="336"/>
    </row>
    <row r="133" spans="49:50" x14ac:dyDescent="0.25">
      <c r="AW133" s="336"/>
      <c r="AX133" s="336"/>
    </row>
    <row r="134" spans="49:50" x14ac:dyDescent="0.25">
      <c r="AW134" s="336"/>
      <c r="AX134" s="336"/>
    </row>
    <row r="135" spans="49:50" x14ac:dyDescent="0.25">
      <c r="AW135" s="336"/>
      <c r="AX135" s="336"/>
    </row>
    <row r="136" spans="49:50" x14ac:dyDescent="0.25">
      <c r="AW136" s="336"/>
      <c r="AX136" s="336"/>
    </row>
    <row r="137" spans="49:50" x14ac:dyDescent="0.25">
      <c r="AW137" s="336"/>
      <c r="AX137" s="336"/>
    </row>
    <row r="138" spans="49:50" x14ac:dyDescent="0.25">
      <c r="AW138" s="336"/>
      <c r="AX138" s="336"/>
    </row>
    <row r="139" spans="49:50" x14ac:dyDescent="0.25">
      <c r="AW139" s="336"/>
      <c r="AX139" s="336"/>
    </row>
    <row r="140" spans="49:50" x14ac:dyDescent="0.25">
      <c r="AW140" s="336"/>
      <c r="AX140" s="336"/>
    </row>
    <row r="141" spans="49:50" x14ac:dyDescent="0.25">
      <c r="AW141" s="336"/>
      <c r="AX141" s="336"/>
    </row>
    <row r="142" spans="49:50" x14ac:dyDescent="0.25">
      <c r="AW142" s="336"/>
      <c r="AX142" s="336"/>
    </row>
    <row r="143" spans="49:50" x14ac:dyDescent="0.25">
      <c r="AW143" s="336"/>
      <c r="AX143" s="336"/>
    </row>
    <row r="144" spans="49:50" x14ac:dyDescent="0.25">
      <c r="AW144" s="336"/>
      <c r="AX144" s="336"/>
    </row>
    <row r="145" spans="49:50" x14ac:dyDescent="0.25">
      <c r="AW145" s="336"/>
      <c r="AX145" s="336"/>
    </row>
    <row r="146" spans="49:50" x14ac:dyDescent="0.25">
      <c r="AW146" s="336"/>
      <c r="AX146" s="336"/>
    </row>
    <row r="147" spans="49:50" x14ac:dyDescent="0.25">
      <c r="AW147" s="336"/>
      <c r="AX147" s="336"/>
    </row>
    <row r="148" spans="49:50" x14ac:dyDescent="0.25">
      <c r="AW148" s="336"/>
      <c r="AX148" s="336"/>
    </row>
    <row r="149" spans="49:50" x14ac:dyDescent="0.25">
      <c r="AW149" s="336"/>
      <c r="AX149" s="336"/>
    </row>
    <row r="150" spans="49:50" x14ac:dyDescent="0.25">
      <c r="AW150" s="336"/>
      <c r="AX150" s="336"/>
    </row>
    <row r="151" spans="49:50" x14ac:dyDescent="0.25">
      <c r="AW151" s="336"/>
      <c r="AX151" s="336"/>
    </row>
    <row r="152" spans="49:50" x14ac:dyDescent="0.25">
      <c r="AW152" s="336"/>
      <c r="AX152" s="336"/>
    </row>
    <row r="153" spans="49:50" x14ac:dyDescent="0.25">
      <c r="AW153" s="336"/>
      <c r="AX153" s="336"/>
    </row>
    <row r="154" spans="49:50" x14ac:dyDescent="0.25">
      <c r="AW154" s="336"/>
      <c r="AX154" s="336"/>
    </row>
    <row r="155" spans="49:50" x14ac:dyDescent="0.25">
      <c r="AW155" s="336"/>
      <c r="AX155" s="336"/>
    </row>
    <row r="157" spans="49:50" x14ac:dyDescent="0.25">
      <c r="AW157" t="e">
        <f>(1+IRR(AW91:AW155))^12-1</f>
        <v>#NUM!</v>
      </c>
    </row>
  </sheetData>
  <conditionalFormatting sqref="Y9:Y29 V28:X29 W27:X27 V25:X26 T2:Y8 AM2:AM22 AI2:AO4 AC2:AC22 Z2:AA4 A2:F4 K2:K22 R2:R22 K2:L4 AS2:BA4 O2:S4 AG2:AG22 AC2:AE4 AQ2:AQ4">
    <cfRule type="expression" dxfId="14692" priority="8605">
      <formula>#REF!="TO"</formula>
    </cfRule>
    <cfRule type="expression" dxfId="14691" priority="8606">
      <formula>#REF!="IO"</formula>
    </cfRule>
    <cfRule type="expression" dxfId="14690" priority="8607">
      <formula>#REF!="L"</formula>
    </cfRule>
  </conditionalFormatting>
  <conditionalFormatting sqref="A9:A12 A38:A41 A23:A29 AV2:AV4 AW2:AZ29 D2:D22 BA2:BC4 J2:J4 G2:G8 I2:I8 H2:H4 N2:N8">
    <cfRule type="expression" dxfId="14689" priority="8770">
      <formula>#REF!="TO"</formula>
    </cfRule>
    <cfRule type="expression" dxfId="14688" priority="8771">
      <formula>#REF!="IO"</formula>
    </cfRule>
    <cfRule type="expression" dxfId="14687" priority="8772">
      <formula>#REF!="L"</formula>
    </cfRule>
  </conditionalFormatting>
  <conditionalFormatting sqref="B38:B41 B23:B29">
    <cfRule type="expression" dxfId="14686" priority="8764">
      <formula>#REF!="TO"</formula>
    </cfRule>
    <cfRule type="expression" dxfId="14685" priority="8765">
      <formula>#REF!="IO"</formula>
    </cfRule>
    <cfRule type="expression" dxfId="14684" priority="8766">
      <formula>#REF!="L"</formula>
    </cfRule>
  </conditionalFormatting>
  <conditionalFormatting sqref="E38:F41 E23:F29">
    <cfRule type="expression" dxfId="14683" priority="8734">
      <formula>#REF!="TO"</formula>
    </cfRule>
    <cfRule type="expression" dxfId="14682" priority="8735">
      <formula>#REF!="IO"</formula>
    </cfRule>
    <cfRule type="expression" dxfId="14681" priority="8736">
      <formula>#REF!="L"</formula>
    </cfRule>
  </conditionalFormatting>
  <conditionalFormatting sqref="S38:S41">
    <cfRule type="expression" dxfId="14680" priority="8722">
      <formula>#REF!="TO"</formula>
    </cfRule>
    <cfRule type="expression" dxfId="14679" priority="8723">
      <formula>#REF!="IO"</formula>
    </cfRule>
    <cfRule type="expression" dxfId="14678" priority="8724">
      <formula>#REF!="L"</formula>
    </cfRule>
  </conditionalFormatting>
  <conditionalFormatting sqref="T38:X41">
    <cfRule type="expression" dxfId="14677" priority="8713">
      <formula>#REF!="TO"</formula>
    </cfRule>
    <cfRule type="expression" dxfId="14676" priority="8714">
      <formula>#REF!="IO"</formula>
    </cfRule>
    <cfRule type="expression" dxfId="14675" priority="8715">
      <formula>#REF!="L"</formula>
    </cfRule>
  </conditionalFormatting>
  <conditionalFormatting sqref="AB38:AD41 AB23:AD29">
    <cfRule type="expression" dxfId="14674" priority="8707">
      <formula>#REF!="TO"</formula>
    </cfRule>
    <cfRule type="expression" dxfId="14673" priority="8708">
      <formula>#REF!="IO"</formula>
    </cfRule>
    <cfRule type="expression" dxfId="14672" priority="8709">
      <formula>#REF!="L"</formula>
    </cfRule>
  </conditionalFormatting>
  <conditionalFormatting sqref="AO2:AO22">
    <cfRule type="expression" dxfId="14671" priority="8683">
      <formula>Z2="TO"</formula>
    </cfRule>
    <cfRule type="expression" dxfId="14670" priority="8684">
      <formula>Z2="IO"</formula>
    </cfRule>
    <cfRule type="expression" dxfId="14669" priority="8685">
      <formula>Z2="L"</formula>
    </cfRule>
  </conditionalFormatting>
  <conditionalFormatting sqref="AR2:AR29 AF2:AF4 M2:M4 AP2:AP4">
    <cfRule type="expression" dxfId="14668" priority="8674">
      <formula>#REF!="TO"</formula>
    </cfRule>
    <cfRule type="expression" dxfId="14667" priority="8675">
      <formula>#REF!="IO"</formula>
    </cfRule>
    <cfRule type="expression" dxfId="14666" priority="8676">
      <formula>#REF!="L"</formula>
    </cfRule>
  </conditionalFormatting>
  <conditionalFormatting sqref="AH38:AH41 AH23:AH29">
    <cfRule type="expression" dxfId="14665" priority="8671">
      <formula>#REF!="TO"</formula>
    </cfRule>
    <cfRule type="expression" dxfId="14664" priority="8672">
      <formula>#REF!="IO"</formula>
    </cfRule>
    <cfRule type="expression" dxfId="14663" priority="8673">
      <formula>#REF!="L"</formula>
    </cfRule>
  </conditionalFormatting>
  <conditionalFormatting sqref="AJ38:AK41 AJ23:AK29">
    <cfRule type="expression" dxfId="14662" priority="8656">
      <formula>#REF!="TO"</formula>
    </cfRule>
    <cfRule type="expression" dxfId="14661" priority="8657">
      <formula>#REF!="IO"</formula>
    </cfRule>
    <cfRule type="expression" dxfId="14660" priority="8658">
      <formula>#REF!="L"</formula>
    </cfRule>
  </conditionalFormatting>
  <conditionalFormatting sqref="AL38:AL41 AL23:AL29">
    <cfRule type="expression" dxfId="14659" priority="8650">
      <formula>#REF!="TO"</formula>
    </cfRule>
    <cfRule type="expression" dxfId="14658" priority="8651">
      <formula>#REF!="IO"</formula>
    </cfRule>
    <cfRule type="expression" dxfId="14657" priority="8652">
      <formula>#REF!="L"</formula>
    </cfRule>
  </conditionalFormatting>
  <conditionalFormatting sqref="AN38:AN41 AN23:AN29">
    <cfRule type="expression" dxfId="14656" priority="8635">
      <formula>#REF!="TO"</formula>
    </cfRule>
    <cfRule type="expression" dxfId="14655" priority="8636">
      <formula>#REF!="IO"</formula>
    </cfRule>
    <cfRule type="expression" dxfId="14654" priority="8637">
      <formula>#REF!="L"</formula>
    </cfRule>
  </conditionalFormatting>
  <conditionalFormatting sqref="AR38:AR41 AR23:AR29">
    <cfRule type="expression" dxfId="14653" priority="8620">
      <formula>#REF!="TO"</formula>
    </cfRule>
    <cfRule type="expression" dxfId="14652" priority="8621">
      <formula>#REF!="IO"</formula>
    </cfRule>
    <cfRule type="expression" dxfId="14651" priority="8622">
      <formula>#REF!="L"</formula>
    </cfRule>
  </conditionalFormatting>
  <conditionalFormatting sqref="AS38:AS41 AS23:AS29">
    <cfRule type="expression" dxfId="14650" priority="8614">
      <formula>#REF!="TO"</formula>
    </cfRule>
    <cfRule type="expression" dxfId="14649" priority="8615">
      <formula>#REF!="IO"</formula>
    </cfRule>
    <cfRule type="expression" dxfId="14648" priority="8616">
      <formula>#REF!="L"</formula>
    </cfRule>
  </conditionalFormatting>
  <conditionalFormatting sqref="Y23:Y29">
    <cfRule type="expression" dxfId="14647" priority="8587">
      <formula>#REF!="TO"</formula>
    </cfRule>
    <cfRule type="expression" dxfId="14646" priority="8588">
      <formula>#REF!="IO"</formula>
    </cfRule>
    <cfRule type="expression" dxfId="14645" priority="8589">
      <formula>#REF!="L"</formula>
    </cfRule>
  </conditionalFormatting>
  <conditionalFormatting sqref="AU38:BA41 AU23:BA29">
    <cfRule type="expression" dxfId="14644" priority="8581">
      <formula>#REF!="TO"</formula>
    </cfRule>
    <cfRule type="expression" dxfId="14643" priority="8582">
      <formula>#REF!="IO"</formula>
    </cfRule>
    <cfRule type="expression" dxfId="14642" priority="8583">
      <formula>#REF!="L"</formula>
    </cfRule>
  </conditionalFormatting>
  <conditionalFormatting sqref="AE2:AE4">
    <cfRule type="expression" dxfId="14641" priority="8578">
      <formula>E2="TO"</formula>
    </cfRule>
    <cfRule type="expression" dxfId="14640" priority="8579">
      <formula>E2="IO"</formula>
    </cfRule>
    <cfRule type="expression" dxfId="14639" priority="8580">
      <formula>E2="L"</formula>
    </cfRule>
  </conditionalFormatting>
  <conditionalFormatting sqref="AF38:AF41 AF23:AF29">
    <cfRule type="expression" dxfId="14638" priority="8566">
      <formula>#REF!="TO"</formula>
    </cfRule>
    <cfRule type="expression" dxfId="14637" priority="8567">
      <formula>#REF!="IO"</formula>
    </cfRule>
    <cfRule type="expression" dxfId="14636" priority="8568">
      <formula>#REF!="L"</formula>
    </cfRule>
  </conditionalFormatting>
  <conditionalFormatting sqref="AT5">
    <cfRule type="expression" dxfId="14635" priority="8482">
      <formula>#REF!="TO"</formula>
    </cfRule>
    <cfRule type="expression" dxfId="14634" priority="8483">
      <formula>#REF!="IO"</formula>
    </cfRule>
    <cfRule type="expression" dxfId="14633" priority="8484">
      <formula>#REF!="L"</formula>
    </cfRule>
    <cfRule type="expression" dxfId="14632" priority="8485">
      <formula>#REF!="TO"</formula>
    </cfRule>
    <cfRule type="expression" dxfId="14631" priority="8486">
      <formula>#REF!="IO"</formula>
    </cfRule>
    <cfRule type="expression" dxfId="14630" priority="8487">
      <formula>#REF!="L"</formula>
    </cfRule>
  </conditionalFormatting>
  <conditionalFormatting sqref="A5">
    <cfRule type="expression" dxfId="14629" priority="8560">
      <formula>#REF!="TO"</formula>
    </cfRule>
    <cfRule type="expression" dxfId="14628" priority="8561">
      <formula>#REF!="IO"</formula>
    </cfRule>
    <cfRule type="expression" dxfId="14627" priority="8562">
      <formula>#REF!="L"</formula>
    </cfRule>
  </conditionalFormatting>
  <conditionalFormatting sqref="B5">
    <cfRule type="expression" dxfId="14626" priority="8557">
      <formula>#REF!="TO"</formula>
    </cfRule>
    <cfRule type="expression" dxfId="14625" priority="8558">
      <formula>#REF!="IO"</formula>
    </cfRule>
    <cfRule type="expression" dxfId="14624" priority="8559">
      <formula>#REF!="L"</formula>
    </cfRule>
  </conditionalFormatting>
  <conditionalFormatting sqref="AO5 AQ5">
    <cfRule type="expression" dxfId="14623" priority="8494">
      <formula>#REF!="TO"</formula>
    </cfRule>
    <cfRule type="expression" dxfId="14622" priority="8495">
      <formula>#REF!="IO"</formula>
    </cfRule>
    <cfRule type="expression" dxfId="14621" priority="8496">
      <formula>#REF!="L"</formula>
    </cfRule>
  </conditionalFormatting>
  <conditionalFormatting sqref="D5">
    <cfRule type="expression" dxfId="14620" priority="8554">
      <formula>#REF!="TO"</formula>
    </cfRule>
    <cfRule type="expression" dxfId="14619" priority="8555">
      <formula>#REF!="IO"</formula>
    </cfRule>
    <cfRule type="expression" dxfId="14618" priority="8556">
      <formula>#REF!="L"</formula>
    </cfRule>
  </conditionalFormatting>
  <conditionalFormatting sqref="K5 R5">
    <cfRule type="expression" dxfId="14617" priority="8551">
      <formula>#REF!="TO"</formula>
    </cfRule>
    <cfRule type="expression" dxfId="14616" priority="8552">
      <formula>#REF!="IO"</formula>
    </cfRule>
    <cfRule type="expression" dxfId="14615" priority="8553">
      <formula>#REF!="L"</formula>
    </cfRule>
  </conditionalFormatting>
  <conditionalFormatting sqref="E5:F5">
    <cfRule type="expression" dxfId="14614" priority="8542">
      <formula>#REF!="TO"</formula>
    </cfRule>
    <cfRule type="expression" dxfId="14613" priority="8543">
      <formula>#REF!="IO"</formula>
    </cfRule>
    <cfRule type="expression" dxfId="14612" priority="8544">
      <formula>#REF!="L"</formula>
    </cfRule>
  </conditionalFormatting>
  <conditionalFormatting sqref="S5">
    <cfRule type="expression" dxfId="14611" priority="8536">
      <formula>#REF!="TO"</formula>
    </cfRule>
    <cfRule type="expression" dxfId="14610" priority="8537">
      <formula>#REF!="IO"</formula>
    </cfRule>
    <cfRule type="expression" dxfId="14609" priority="8538">
      <formula>#REF!="L"</formula>
    </cfRule>
  </conditionalFormatting>
  <conditionalFormatting sqref="D6">
    <cfRule type="expression" dxfId="14608" priority="8452">
      <formula>#REF!="TO"</formula>
    </cfRule>
    <cfRule type="expression" dxfId="14607" priority="8453">
      <formula>#REF!="IO"</formula>
    </cfRule>
    <cfRule type="expression" dxfId="14606" priority="8454">
      <formula>#REF!="L"</formula>
    </cfRule>
  </conditionalFormatting>
  <conditionalFormatting sqref="O5">
    <cfRule type="expression" dxfId="14605" priority="8527">
      <formula>#REF!="TO"</formula>
    </cfRule>
    <cfRule type="expression" dxfId="14604" priority="8528">
      <formula>#REF!="IO"</formula>
    </cfRule>
    <cfRule type="expression" dxfId="14603" priority="8529">
      <formula>#REF!="L"</formula>
    </cfRule>
    <cfRule type="expression" dxfId="14602" priority="8530">
      <formula>#REF!="TO"</formula>
    </cfRule>
    <cfRule type="expression" dxfId="14601" priority="8531">
      <formula>#REF!="IO"</formula>
    </cfRule>
    <cfRule type="expression" dxfId="14600" priority="8532">
      <formula>#REF!="L"</formula>
    </cfRule>
  </conditionalFormatting>
  <conditionalFormatting sqref="AC5 AG5">
    <cfRule type="expression" dxfId="14599" priority="8515">
      <formula>#REF!="TO"</formula>
    </cfRule>
    <cfRule type="expression" dxfId="14598" priority="8516">
      <formula>#REF!="IO"</formula>
    </cfRule>
    <cfRule type="expression" dxfId="14597" priority="8517">
      <formula>#REF!="L"</formula>
    </cfRule>
  </conditionalFormatting>
  <conditionalFormatting sqref="AI5">
    <cfRule type="expression" dxfId="14596" priority="8518">
      <formula>#REF!="TO"</formula>
    </cfRule>
    <cfRule type="expression" dxfId="14595" priority="8519">
      <formula>#REF!="IO"</formula>
    </cfRule>
    <cfRule type="expression" dxfId="14594" priority="8520">
      <formula>#REF!="L"</formula>
    </cfRule>
    <cfRule type="expression" dxfId="14593" priority="8512">
      <formula>#REF!="TO"</formula>
    </cfRule>
    <cfRule type="expression" dxfId="14592" priority="8513">
      <formula>#REF!="IO"</formula>
    </cfRule>
    <cfRule type="expression" dxfId="14591" priority="8514">
      <formula>#REF!="L"</formula>
    </cfRule>
  </conditionalFormatting>
  <conditionalFormatting sqref="AJ5:AK5">
    <cfRule type="expression" dxfId="14590" priority="8509">
      <formula>#REF!="TO"</formula>
    </cfRule>
    <cfRule type="expression" dxfId="14589" priority="8510">
      <formula>#REF!="IO"</formula>
    </cfRule>
    <cfRule type="expression" dxfId="14588" priority="8511">
      <formula>#REF!="L"</formula>
    </cfRule>
  </conditionalFormatting>
  <conditionalFormatting sqref="AL5">
    <cfRule type="expression" dxfId="14587" priority="8506">
      <formula>#REF!="TO"</formula>
    </cfRule>
    <cfRule type="expression" dxfId="14586" priority="8507">
      <formula>#REF!="IO"</formula>
    </cfRule>
    <cfRule type="expression" dxfId="14585" priority="8508">
      <formula>#REF!="L"</formula>
    </cfRule>
  </conditionalFormatting>
  <conditionalFormatting sqref="AM5">
    <cfRule type="expression" dxfId="14584" priority="8503">
      <formula>#REF!="TO"</formula>
    </cfRule>
    <cfRule type="expression" dxfId="14583" priority="8504">
      <formula>#REF!="IO"</formula>
    </cfRule>
    <cfRule type="expression" dxfId="14582" priority="8505">
      <formula>#REF!="L"</formula>
    </cfRule>
  </conditionalFormatting>
  <conditionalFormatting sqref="AN5">
    <cfRule type="expression" dxfId="14581" priority="8500">
      <formula>#REF!="TO"</formula>
    </cfRule>
    <cfRule type="expression" dxfId="14580" priority="8501">
      <formula>#REF!="IO"</formula>
    </cfRule>
    <cfRule type="expression" dxfId="14579" priority="8502">
      <formula>#REF!="L"</formula>
    </cfRule>
  </conditionalFormatting>
  <conditionalFormatting sqref="AR5">
    <cfRule type="expression" dxfId="14578" priority="8491">
      <formula>#REF!="TO"</formula>
    </cfRule>
    <cfRule type="expression" dxfId="14577" priority="8492">
      <formula>#REF!="IO"</formula>
    </cfRule>
    <cfRule type="expression" dxfId="14576" priority="8493">
      <formula>#REF!="L"</formula>
    </cfRule>
  </conditionalFormatting>
  <conditionalFormatting sqref="AS5">
    <cfRule type="expression" dxfId="14575" priority="8488">
      <formula>#REF!="TO"</formula>
    </cfRule>
    <cfRule type="expression" dxfId="14574" priority="8489">
      <formula>#REF!="IO"</formula>
    </cfRule>
    <cfRule type="expression" dxfId="14573" priority="8490">
      <formula>#REF!="L"</formula>
    </cfRule>
  </conditionalFormatting>
  <conditionalFormatting sqref="AU5:BA5">
    <cfRule type="expression" dxfId="14572" priority="8473">
      <formula>#REF!="TO"</formula>
    </cfRule>
    <cfRule type="expression" dxfId="14571" priority="8474">
      <formula>#REF!="IO"</formula>
    </cfRule>
    <cfRule type="expression" dxfId="14570" priority="8475">
      <formula>#REF!="L"</formula>
    </cfRule>
  </conditionalFormatting>
  <conditionalFormatting sqref="AE5">
    <cfRule type="expression" dxfId="14569" priority="8467">
      <formula>#REF!="TO"</formula>
    </cfRule>
    <cfRule type="expression" dxfId="14568" priority="8468">
      <formula>#REF!="IO"</formula>
    </cfRule>
    <cfRule type="expression" dxfId="14567" priority="8469">
      <formula>#REF!="L"</formula>
    </cfRule>
    <cfRule type="expression" dxfId="14566" priority="8470">
      <formula>E5="TO"</formula>
    </cfRule>
    <cfRule type="expression" dxfId="14565" priority="8471">
      <formula>E5="IO"</formula>
    </cfRule>
    <cfRule type="expression" dxfId="14564" priority="8472">
      <formula>E5="L"</formula>
    </cfRule>
  </conditionalFormatting>
  <conditionalFormatting sqref="AF5">
    <cfRule type="expression" dxfId="14563" priority="8464">
      <formula>#REF!="TO"</formula>
    </cfRule>
    <cfRule type="expression" dxfId="14562" priority="8465">
      <formula>#REF!="IO"</formula>
    </cfRule>
    <cfRule type="expression" dxfId="14561" priority="8466">
      <formula>#REF!="L"</formula>
    </cfRule>
  </conditionalFormatting>
  <conditionalFormatting sqref="AT6">
    <cfRule type="expression" dxfId="14560" priority="8380">
      <formula>#REF!="TO"</formula>
    </cfRule>
    <cfRule type="expression" dxfId="14559" priority="8381">
      <formula>#REF!="IO"</formula>
    </cfRule>
    <cfRule type="expression" dxfId="14558" priority="8382">
      <formula>#REF!="L"</formula>
    </cfRule>
    <cfRule type="expression" dxfId="14557" priority="8383">
      <formula>#REF!="TO"</formula>
    </cfRule>
    <cfRule type="expression" dxfId="14556" priority="8384">
      <formula>#REF!="IO"</formula>
    </cfRule>
    <cfRule type="expression" dxfId="14555" priority="8385">
      <formula>#REF!="L"</formula>
    </cfRule>
  </conditionalFormatting>
  <conditionalFormatting sqref="A6">
    <cfRule type="expression" dxfId="14554" priority="8458">
      <formula>#REF!="TO"</formula>
    </cfRule>
    <cfRule type="expression" dxfId="14553" priority="8459">
      <formula>#REF!="IO"</formula>
    </cfRule>
    <cfRule type="expression" dxfId="14552" priority="8460">
      <formula>#REF!="L"</formula>
    </cfRule>
  </conditionalFormatting>
  <conditionalFormatting sqref="B6">
    <cfRule type="expression" dxfId="14551" priority="8455">
      <formula>#REF!="TO"</formula>
    </cfRule>
    <cfRule type="expression" dxfId="14550" priority="8456">
      <formula>#REF!="IO"</formula>
    </cfRule>
    <cfRule type="expression" dxfId="14549" priority="8457">
      <formula>#REF!="L"</formula>
    </cfRule>
  </conditionalFormatting>
  <conditionalFormatting sqref="AO6 AQ6">
    <cfRule type="expression" dxfId="14548" priority="8392">
      <formula>#REF!="TO"</formula>
    </cfRule>
    <cfRule type="expression" dxfId="14547" priority="8393">
      <formula>#REF!="IO"</formula>
    </cfRule>
    <cfRule type="expression" dxfId="14546" priority="8394">
      <formula>#REF!="L"</formula>
    </cfRule>
  </conditionalFormatting>
  <conditionalFormatting sqref="K6 R6">
    <cfRule type="expression" dxfId="14545" priority="8449">
      <formula>#REF!="TO"</formula>
    </cfRule>
    <cfRule type="expression" dxfId="14544" priority="8450">
      <formula>#REF!="IO"</formula>
    </cfRule>
    <cfRule type="expression" dxfId="14543" priority="8451">
      <formula>#REF!="L"</formula>
    </cfRule>
  </conditionalFormatting>
  <conditionalFormatting sqref="E6:F6">
    <cfRule type="expression" dxfId="14542" priority="8440">
      <formula>#REF!="TO"</formula>
    </cfRule>
    <cfRule type="expression" dxfId="14541" priority="8441">
      <formula>#REF!="IO"</formula>
    </cfRule>
    <cfRule type="expression" dxfId="14540" priority="8442">
      <formula>#REF!="L"</formula>
    </cfRule>
  </conditionalFormatting>
  <conditionalFormatting sqref="S6">
    <cfRule type="expression" dxfId="14539" priority="8434">
      <formula>#REF!="TO"</formula>
    </cfRule>
    <cfRule type="expression" dxfId="14538" priority="8435">
      <formula>#REF!="IO"</formula>
    </cfRule>
    <cfRule type="expression" dxfId="14537" priority="8436">
      <formula>#REF!="L"</formula>
    </cfRule>
  </conditionalFormatting>
  <conditionalFormatting sqref="D7">
    <cfRule type="expression" dxfId="14536" priority="8353">
      <formula>#REF!="TO"</formula>
    </cfRule>
    <cfRule type="expression" dxfId="14535" priority="8354">
      <formula>#REF!="IO"</formula>
    </cfRule>
    <cfRule type="expression" dxfId="14534" priority="8355">
      <formula>#REF!="L"</formula>
    </cfRule>
  </conditionalFormatting>
  <conditionalFormatting sqref="O6">
    <cfRule type="expression" dxfId="14533" priority="8425">
      <formula>#REF!="TO"</formula>
    </cfRule>
    <cfRule type="expression" dxfId="14532" priority="8426">
      <formula>#REF!="IO"</formula>
    </cfRule>
    <cfRule type="expression" dxfId="14531" priority="8427">
      <formula>#REF!="L"</formula>
    </cfRule>
    <cfRule type="expression" dxfId="14530" priority="8428">
      <formula>#REF!="TO"</formula>
    </cfRule>
    <cfRule type="expression" dxfId="14529" priority="8429">
      <formula>#REF!="IO"</formula>
    </cfRule>
    <cfRule type="expression" dxfId="14528" priority="8430">
      <formula>#REF!="L"</formula>
    </cfRule>
  </conditionalFormatting>
  <conditionalFormatting sqref="AC6 AG6">
    <cfRule type="expression" dxfId="14527" priority="8413">
      <formula>#REF!="TO"</formula>
    </cfRule>
    <cfRule type="expression" dxfId="14526" priority="8414">
      <formula>#REF!="IO"</formula>
    </cfRule>
    <cfRule type="expression" dxfId="14525" priority="8415">
      <formula>#REF!="L"</formula>
    </cfRule>
  </conditionalFormatting>
  <conditionalFormatting sqref="AI6">
    <cfRule type="expression" dxfId="14524" priority="8416">
      <formula>#REF!="TO"</formula>
    </cfRule>
    <cfRule type="expression" dxfId="14523" priority="8417">
      <formula>#REF!="IO"</formula>
    </cfRule>
    <cfRule type="expression" dxfId="14522" priority="8418">
      <formula>#REF!="L"</formula>
    </cfRule>
    <cfRule type="expression" dxfId="14521" priority="8410">
      <formula>#REF!="TO"</formula>
    </cfRule>
    <cfRule type="expression" dxfId="14520" priority="8411">
      <formula>#REF!="IO"</formula>
    </cfRule>
    <cfRule type="expression" dxfId="14519" priority="8412">
      <formula>#REF!="L"</formula>
    </cfRule>
  </conditionalFormatting>
  <conditionalFormatting sqref="AJ6:AK6">
    <cfRule type="expression" dxfId="14518" priority="8407">
      <formula>#REF!="TO"</formula>
    </cfRule>
    <cfRule type="expression" dxfId="14517" priority="8408">
      <formula>#REF!="IO"</formula>
    </cfRule>
    <cfRule type="expression" dxfId="14516" priority="8409">
      <formula>#REF!="L"</formula>
    </cfRule>
  </conditionalFormatting>
  <conditionalFormatting sqref="AL6">
    <cfRule type="expression" dxfId="14515" priority="8404">
      <formula>#REF!="TO"</formula>
    </cfRule>
    <cfRule type="expression" dxfId="14514" priority="8405">
      <formula>#REF!="IO"</formula>
    </cfRule>
    <cfRule type="expression" dxfId="14513" priority="8406">
      <formula>#REF!="L"</formula>
    </cfRule>
  </conditionalFormatting>
  <conditionalFormatting sqref="AM6">
    <cfRule type="expression" dxfId="14512" priority="8401">
      <formula>#REF!="TO"</formula>
    </cfRule>
    <cfRule type="expression" dxfId="14511" priority="8402">
      <formula>#REF!="IO"</formula>
    </cfRule>
    <cfRule type="expression" dxfId="14510" priority="8403">
      <formula>#REF!="L"</formula>
    </cfRule>
  </conditionalFormatting>
  <conditionalFormatting sqref="AN6">
    <cfRule type="expression" dxfId="14509" priority="8398">
      <formula>#REF!="TO"</formula>
    </cfRule>
    <cfRule type="expression" dxfId="14508" priority="8399">
      <formula>#REF!="IO"</formula>
    </cfRule>
    <cfRule type="expression" dxfId="14507" priority="8400">
      <formula>#REF!="L"</formula>
    </cfRule>
  </conditionalFormatting>
  <conditionalFormatting sqref="AR6">
    <cfRule type="expression" dxfId="14506" priority="8389">
      <formula>#REF!="TO"</formula>
    </cfRule>
    <cfRule type="expression" dxfId="14505" priority="8390">
      <formula>#REF!="IO"</formula>
    </cfRule>
    <cfRule type="expression" dxfId="14504" priority="8391">
      <formula>#REF!="L"</formula>
    </cfRule>
  </conditionalFormatting>
  <conditionalFormatting sqref="AS6">
    <cfRule type="expression" dxfId="14503" priority="8386">
      <formula>#REF!="TO"</formula>
    </cfRule>
    <cfRule type="expression" dxfId="14502" priority="8387">
      <formula>#REF!="IO"</formula>
    </cfRule>
    <cfRule type="expression" dxfId="14501" priority="8388">
      <formula>#REF!="L"</formula>
    </cfRule>
  </conditionalFormatting>
  <conditionalFormatting sqref="AE6">
    <cfRule type="expression" dxfId="14500" priority="8368">
      <formula>#REF!="TO"</formula>
    </cfRule>
    <cfRule type="expression" dxfId="14499" priority="8369">
      <formula>#REF!="IO"</formula>
    </cfRule>
    <cfRule type="expression" dxfId="14498" priority="8370">
      <formula>#REF!="L"</formula>
    </cfRule>
    <cfRule type="expression" dxfId="14497" priority="8371">
      <formula>E6="TO"</formula>
    </cfRule>
    <cfRule type="expression" dxfId="14496" priority="8372">
      <formula>E6="IO"</formula>
    </cfRule>
    <cfRule type="expression" dxfId="14495" priority="8373">
      <formula>E6="L"</formula>
    </cfRule>
  </conditionalFormatting>
  <conditionalFormatting sqref="AF6">
    <cfRule type="expression" dxfId="14494" priority="8365">
      <formula>#REF!="TO"</formula>
    </cfRule>
    <cfRule type="expression" dxfId="14493" priority="8366">
      <formula>#REF!="IO"</formula>
    </cfRule>
    <cfRule type="expression" dxfId="14492" priority="8367">
      <formula>#REF!="L"</formula>
    </cfRule>
  </conditionalFormatting>
  <conditionalFormatting sqref="AT7">
    <cfRule type="expression" dxfId="14491" priority="8281">
      <formula>#REF!="TO"</formula>
    </cfRule>
    <cfRule type="expression" dxfId="14490" priority="8282">
      <formula>#REF!="IO"</formula>
    </cfRule>
    <cfRule type="expression" dxfId="14489" priority="8283">
      <formula>#REF!="L"</formula>
    </cfRule>
    <cfRule type="expression" dxfId="14488" priority="8284">
      <formula>#REF!="TO"</formula>
    </cfRule>
    <cfRule type="expression" dxfId="14487" priority="8285">
      <formula>#REF!="IO"</formula>
    </cfRule>
    <cfRule type="expression" dxfId="14486" priority="8286">
      <formula>#REF!="L"</formula>
    </cfRule>
  </conditionalFormatting>
  <conditionalFormatting sqref="A7">
    <cfRule type="expression" dxfId="14485" priority="8359">
      <formula>#REF!="TO"</formula>
    </cfRule>
    <cfRule type="expression" dxfId="14484" priority="8360">
      <formula>#REF!="IO"</formula>
    </cfRule>
    <cfRule type="expression" dxfId="14483" priority="8361">
      <formula>#REF!="L"</formula>
    </cfRule>
  </conditionalFormatting>
  <conditionalFormatting sqref="B7">
    <cfRule type="expression" dxfId="14482" priority="8356">
      <formula>#REF!="TO"</formula>
    </cfRule>
    <cfRule type="expression" dxfId="14481" priority="8357">
      <formula>#REF!="IO"</formula>
    </cfRule>
    <cfRule type="expression" dxfId="14480" priority="8358">
      <formula>#REF!="L"</formula>
    </cfRule>
  </conditionalFormatting>
  <conditionalFormatting sqref="AO7 AQ7">
    <cfRule type="expression" dxfId="14479" priority="8293">
      <formula>#REF!="TO"</formula>
    </cfRule>
    <cfRule type="expression" dxfId="14478" priority="8294">
      <formula>#REF!="IO"</formula>
    </cfRule>
    <cfRule type="expression" dxfId="14477" priority="8295">
      <formula>#REF!="L"</formula>
    </cfRule>
  </conditionalFormatting>
  <conditionalFormatting sqref="K7 R7">
    <cfRule type="expression" dxfId="14476" priority="8350">
      <formula>#REF!="TO"</formula>
    </cfRule>
    <cfRule type="expression" dxfId="14475" priority="8351">
      <formula>#REF!="IO"</formula>
    </cfRule>
    <cfRule type="expression" dxfId="14474" priority="8352">
      <formula>#REF!="L"</formula>
    </cfRule>
  </conditionalFormatting>
  <conditionalFormatting sqref="E7:F7">
    <cfRule type="expression" dxfId="14473" priority="8341">
      <formula>#REF!="TO"</formula>
    </cfRule>
    <cfRule type="expression" dxfId="14472" priority="8342">
      <formula>#REF!="IO"</formula>
    </cfRule>
    <cfRule type="expression" dxfId="14471" priority="8343">
      <formula>#REF!="L"</formula>
    </cfRule>
  </conditionalFormatting>
  <conditionalFormatting sqref="S7">
    <cfRule type="expression" dxfId="14470" priority="8335">
      <formula>#REF!="TO"</formula>
    </cfRule>
    <cfRule type="expression" dxfId="14469" priority="8336">
      <formula>#REF!="IO"</formula>
    </cfRule>
    <cfRule type="expression" dxfId="14468" priority="8337">
      <formula>#REF!="L"</formula>
    </cfRule>
  </conditionalFormatting>
  <conditionalFormatting sqref="D8">
    <cfRule type="expression" dxfId="14467" priority="8254">
      <formula>#REF!="TO"</formula>
    </cfRule>
    <cfRule type="expression" dxfId="14466" priority="8255">
      <formula>#REF!="IO"</formula>
    </cfRule>
    <cfRule type="expression" dxfId="14465" priority="8256">
      <formula>#REF!="L"</formula>
    </cfRule>
  </conditionalFormatting>
  <conditionalFormatting sqref="O7">
    <cfRule type="expression" dxfId="14464" priority="8326">
      <formula>#REF!="TO"</formula>
    </cfRule>
    <cfRule type="expression" dxfId="14463" priority="8327">
      <formula>#REF!="IO"</formula>
    </cfRule>
    <cfRule type="expression" dxfId="14462" priority="8328">
      <formula>#REF!="L"</formula>
    </cfRule>
    <cfRule type="expression" dxfId="14461" priority="8329">
      <formula>#REF!="TO"</formula>
    </cfRule>
    <cfRule type="expression" dxfId="14460" priority="8330">
      <formula>#REF!="IO"</formula>
    </cfRule>
    <cfRule type="expression" dxfId="14459" priority="8331">
      <formula>#REF!="L"</formula>
    </cfRule>
  </conditionalFormatting>
  <conditionalFormatting sqref="AC7 AG7">
    <cfRule type="expression" dxfId="14458" priority="8314">
      <formula>#REF!="TO"</formula>
    </cfRule>
    <cfRule type="expression" dxfId="14457" priority="8315">
      <formula>#REF!="IO"</formula>
    </cfRule>
    <cfRule type="expression" dxfId="14456" priority="8316">
      <formula>#REF!="L"</formula>
    </cfRule>
  </conditionalFormatting>
  <conditionalFormatting sqref="AI7">
    <cfRule type="expression" dxfId="14455" priority="8317">
      <formula>#REF!="TO"</formula>
    </cfRule>
    <cfRule type="expression" dxfId="14454" priority="8318">
      <formula>#REF!="IO"</formula>
    </cfRule>
    <cfRule type="expression" dxfId="14453" priority="8319">
      <formula>#REF!="L"</formula>
    </cfRule>
    <cfRule type="expression" dxfId="14452" priority="8311">
      <formula>#REF!="TO"</formula>
    </cfRule>
    <cfRule type="expression" dxfId="14451" priority="8312">
      <formula>#REF!="IO"</formula>
    </cfRule>
    <cfRule type="expression" dxfId="14450" priority="8313">
      <formula>#REF!="L"</formula>
    </cfRule>
  </conditionalFormatting>
  <conditionalFormatting sqref="AJ7:AK7">
    <cfRule type="expression" dxfId="14449" priority="8308">
      <formula>#REF!="TO"</formula>
    </cfRule>
    <cfRule type="expression" dxfId="14448" priority="8309">
      <formula>#REF!="IO"</formula>
    </cfRule>
    <cfRule type="expression" dxfId="14447" priority="8310">
      <formula>#REF!="L"</formula>
    </cfRule>
  </conditionalFormatting>
  <conditionalFormatting sqref="AL7">
    <cfRule type="expression" dxfId="14446" priority="8305">
      <formula>#REF!="TO"</formula>
    </cfRule>
    <cfRule type="expression" dxfId="14445" priority="8306">
      <formula>#REF!="IO"</formula>
    </cfRule>
    <cfRule type="expression" dxfId="14444" priority="8307">
      <formula>#REF!="L"</formula>
    </cfRule>
  </conditionalFormatting>
  <conditionalFormatting sqref="AM7">
    <cfRule type="expression" dxfId="14443" priority="8302">
      <formula>#REF!="TO"</formula>
    </cfRule>
    <cfRule type="expression" dxfId="14442" priority="8303">
      <formula>#REF!="IO"</formula>
    </cfRule>
    <cfRule type="expression" dxfId="14441" priority="8304">
      <formula>#REF!="L"</formula>
    </cfRule>
  </conditionalFormatting>
  <conditionalFormatting sqref="AN7">
    <cfRule type="expression" dxfId="14440" priority="8299">
      <formula>#REF!="TO"</formula>
    </cfRule>
    <cfRule type="expression" dxfId="14439" priority="8300">
      <formula>#REF!="IO"</formula>
    </cfRule>
    <cfRule type="expression" dxfId="14438" priority="8301">
      <formula>#REF!="L"</formula>
    </cfRule>
  </conditionalFormatting>
  <conditionalFormatting sqref="AR7">
    <cfRule type="expression" dxfId="14437" priority="8290">
      <formula>#REF!="TO"</formula>
    </cfRule>
    <cfRule type="expression" dxfId="14436" priority="8291">
      <formula>#REF!="IO"</formula>
    </cfRule>
    <cfRule type="expression" dxfId="14435" priority="8292">
      <formula>#REF!="L"</formula>
    </cfRule>
  </conditionalFormatting>
  <conditionalFormatting sqref="AS7">
    <cfRule type="expression" dxfId="14434" priority="8287">
      <formula>#REF!="TO"</formula>
    </cfRule>
    <cfRule type="expression" dxfId="14433" priority="8288">
      <formula>#REF!="IO"</formula>
    </cfRule>
    <cfRule type="expression" dxfId="14432" priority="8289">
      <formula>#REF!="L"</formula>
    </cfRule>
  </conditionalFormatting>
  <conditionalFormatting sqref="AE7">
    <cfRule type="expression" dxfId="14431" priority="8269">
      <formula>#REF!="TO"</formula>
    </cfRule>
    <cfRule type="expression" dxfId="14430" priority="8270">
      <formula>#REF!="IO"</formula>
    </cfRule>
    <cfRule type="expression" dxfId="14429" priority="8271">
      <formula>#REF!="L"</formula>
    </cfRule>
    <cfRule type="expression" dxfId="14428" priority="8272">
      <formula>E7="TO"</formula>
    </cfRule>
    <cfRule type="expression" dxfId="14427" priority="8273">
      <formula>E7="IO"</formula>
    </cfRule>
    <cfRule type="expression" dxfId="14426" priority="8274">
      <formula>E7="L"</formula>
    </cfRule>
  </conditionalFormatting>
  <conditionalFormatting sqref="AF7">
    <cfRule type="expression" dxfId="14425" priority="8266">
      <formula>#REF!="TO"</formula>
    </cfRule>
    <cfRule type="expression" dxfId="14424" priority="8267">
      <formula>#REF!="IO"</formula>
    </cfRule>
    <cfRule type="expression" dxfId="14423" priority="8268">
      <formula>#REF!="L"</formula>
    </cfRule>
  </conditionalFormatting>
  <conditionalFormatting sqref="AT8">
    <cfRule type="expression" dxfId="14422" priority="8182">
      <formula>#REF!="TO"</formula>
    </cfRule>
    <cfRule type="expression" dxfId="14421" priority="8183">
      <formula>#REF!="IO"</formula>
    </cfRule>
    <cfRule type="expression" dxfId="14420" priority="8184">
      <formula>#REF!="L"</formula>
    </cfRule>
    <cfRule type="expression" dxfId="14419" priority="8185">
      <formula>#REF!="TO"</formula>
    </cfRule>
    <cfRule type="expression" dxfId="14418" priority="8186">
      <formula>#REF!="IO"</formula>
    </cfRule>
    <cfRule type="expression" dxfId="14417" priority="8187">
      <formula>#REF!="L"</formula>
    </cfRule>
  </conditionalFormatting>
  <conditionalFormatting sqref="A8">
    <cfRule type="expression" dxfId="14416" priority="8260">
      <formula>#REF!="TO"</formula>
    </cfRule>
    <cfRule type="expression" dxfId="14415" priority="8261">
      <formula>#REF!="IO"</formula>
    </cfRule>
    <cfRule type="expression" dxfId="14414" priority="8262">
      <formula>#REF!="L"</formula>
    </cfRule>
  </conditionalFormatting>
  <conditionalFormatting sqref="B8">
    <cfRule type="expression" dxfId="14413" priority="8257">
      <formula>#REF!="TO"</formula>
    </cfRule>
    <cfRule type="expression" dxfId="14412" priority="8258">
      <formula>#REF!="IO"</formula>
    </cfRule>
    <cfRule type="expression" dxfId="14411" priority="8259">
      <formula>#REF!="L"</formula>
    </cfRule>
  </conditionalFormatting>
  <conditionalFormatting sqref="AO8 AQ8">
    <cfRule type="expression" dxfId="14410" priority="8194">
      <formula>#REF!="TO"</formula>
    </cfRule>
    <cfRule type="expression" dxfId="14409" priority="8195">
      <formula>#REF!="IO"</formula>
    </cfRule>
    <cfRule type="expression" dxfId="14408" priority="8196">
      <formula>#REF!="L"</formula>
    </cfRule>
  </conditionalFormatting>
  <conditionalFormatting sqref="AJ9:AK12">
    <cfRule type="expression" dxfId="14407" priority="8107">
      <formula>#REF!="TO"</formula>
    </cfRule>
    <cfRule type="expression" dxfId="14406" priority="8108">
      <formula>#REF!="IO"</formula>
    </cfRule>
    <cfRule type="expression" dxfId="14405" priority="8109">
      <formula>#REF!="L"</formula>
    </cfRule>
  </conditionalFormatting>
  <conditionalFormatting sqref="K8 R8">
    <cfRule type="expression" dxfId="14404" priority="8251">
      <formula>#REF!="TO"</formula>
    </cfRule>
    <cfRule type="expression" dxfId="14403" priority="8252">
      <formula>#REF!="IO"</formula>
    </cfRule>
    <cfRule type="expression" dxfId="14402" priority="8253">
      <formula>#REF!="L"</formula>
    </cfRule>
  </conditionalFormatting>
  <conditionalFormatting sqref="E8:F8">
    <cfRule type="expression" dxfId="14401" priority="8242">
      <formula>#REF!="TO"</formula>
    </cfRule>
    <cfRule type="expression" dxfId="14400" priority="8243">
      <formula>#REF!="IO"</formula>
    </cfRule>
    <cfRule type="expression" dxfId="14399" priority="8244">
      <formula>#REF!="L"</formula>
    </cfRule>
  </conditionalFormatting>
  <conditionalFormatting sqref="S8">
    <cfRule type="expression" dxfId="14398" priority="8236">
      <formula>#REF!="TO"</formula>
    </cfRule>
    <cfRule type="expression" dxfId="14397" priority="8237">
      <formula>#REF!="IO"</formula>
    </cfRule>
    <cfRule type="expression" dxfId="14396" priority="8238">
      <formula>#REF!="L"</formula>
    </cfRule>
  </conditionalFormatting>
  <conditionalFormatting sqref="O8">
    <cfRule type="expression" dxfId="14395" priority="8227">
      <formula>#REF!="TO"</formula>
    </cfRule>
    <cfRule type="expression" dxfId="14394" priority="8228">
      <formula>#REF!="IO"</formula>
    </cfRule>
    <cfRule type="expression" dxfId="14393" priority="8229">
      <formula>#REF!="L"</formula>
    </cfRule>
    <cfRule type="expression" dxfId="14392" priority="8230">
      <formula>#REF!="TO"</formula>
    </cfRule>
    <cfRule type="expression" dxfId="14391" priority="8231">
      <formula>#REF!="IO"</formula>
    </cfRule>
    <cfRule type="expression" dxfId="14390" priority="8232">
      <formula>#REF!="L"</formula>
    </cfRule>
  </conditionalFormatting>
  <conditionalFormatting sqref="AC8 AG8">
    <cfRule type="expression" dxfId="14389" priority="8215">
      <formula>#REF!="TO"</formula>
    </cfRule>
    <cfRule type="expression" dxfId="14388" priority="8216">
      <formula>#REF!="IO"</formula>
    </cfRule>
    <cfRule type="expression" dxfId="14387" priority="8217">
      <formula>#REF!="L"</formula>
    </cfRule>
  </conditionalFormatting>
  <conditionalFormatting sqref="AI8">
    <cfRule type="expression" dxfId="14386" priority="8218">
      <formula>#REF!="TO"</formula>
    </cfRule>
    <cfRule type="expression" dxfId="14385" priority="8219">
      <formula>#REF!="IO"</formula>
    </cfRule>
    <cfRule type="expression" dxfId="14384" priority="8220">
      <formula>#REF!="L"</formula>
    </cfRule>
    <cfRule type="expression" dxfId="14383" priority="8212">
      <formula>#REF!="TO"</formula>
    </cfRule>
    <cfRule type="expression" dxfId="14382" priority="8213">
      <formula>#REF!="IO"</formula>
    </cfRule>
    <cfRule type="expression" dxfId="14381" priority="8214">
      <formula>#REF!="L"</formula>
    </cfRule>
  </conditionalFormatting>
  <conditionalFormatting sqref="AJ8:AK8">
    <cfRule type="expression" dxfId="14380" priority="8209">
      <formula>#REF!="TO"</formula>
    </cfRule>
    <cfRule type="expression" dxfId="14379" priority="8210">
      <formula>#REF!="IO"</formula>
    </cfRule>
    <cfRule type="expression" dxfId="14378" priority="8211">
      <formula>#REF!="L"</formula>
    </cfRule>
  </conditionalFormatting>
  <conditionalFormatting sqref="AL8">
    <cfRule type="expression" dxfId="14377" priority="8206">
      <formula>#REF!="TO"</formula>
    </cfRule>
    <cfRule type="expression" dxfId="14376" priority="8207">
      <formula>#REF!="IO"</formula>
    </cfRule>
    <cfRule type="expression" dxfId="14375" priority="8208">
      <formula>#REF!="L"</formula>
    </cfRule>
  </conditionalFormatting>
  <conditionalFormatting sqref="AM8">
    <cfRule type="expression" dxfId="14374" priority="8203">
      <formula>#REF!="TO"</formula>
    </cfRule>
    <cfRule type="expression" dxfId="14373" priority="8204">
      <formula>#REF!="IO"</formula>
    </cfRule>
    <cfRule type="expression" dxfId="14372" priority="8205">
      <formula>#REF!="L"</formula>
    </cfRule>
  </conditionalFormatting>
  <conditionalFormatting sqref="AN8">
    <cfRule type="expression" dxfId="14371" priority="8200">
      <formula>#REF!="TO"</formula>
    </cfRule>
    <cfRule type="expression" dxfId="14370" priority="8201">
      <formula>#REF!="IO"</formula>
    </cfRule>
    <cfRule type="expression" dxfId="14369" priority="8202">
      <formula>#REF!="L"</formula>
    </cfRule>
  </conditionalFormatting>
  <conditionalFormatting sqref="AR8">
    <cfRule type="expression" dxfId="14368" priority="8191">
      <formula>#REF!="TO"</formula>
    </cfRule>
    <cfRule type="expression" dxfId="14367" priority="8192">
      <formula>#REF!="IO"</formula>
    </cfRule>
    <cfRule type="expression" dxfId="14366" priority="8193">
      <formula>#REF!="L"</formula>
    </cfRule>
  </conditionalFormatting>
  <conditionalFormatting sqref="AS8">
    <cfRule type="expression" dxfId="14365" priority="8188">
      <formula>#REF!="TO"</formula>
    </cfRule>
    <cfRule type="expression" dxfId="14364" priority="8189">
      <formula>#REF!="IO"</formula>
    </cfRule>
    <cfRule type="expression" dxfId="14363" priority="8190">
      <formula>#REF!="L"</formula>
    </cfRule>
  </conditionalFormatting>
  <conditionalFormatting sqref="AU8:BA8">
    <cfRule type="expression" dxfId="14362" priority="8173">
      <formula>#REF!="TO"</formula>
    </cfRule>
    <cfRule type="expression" dxfId="14361" priority="8174">
      <formula>#REF!="IO"</formula>
    </cfRule>
    <cfRule type="expression" dxfId="14360" priority="8175">
      <formula>#REF!="L"</formula>
    </cfRule>
  </conditionalFormatting>
  <conditionalFormatting sqref="AE8">
    <cfRule type="expression" dxfId="14359" priority="8167">
      <formula>#REF!="TO"</formula>
    </cfRule>
    <cfRule type="expression" dxfId="14358" priority="8168">
      <formula>#REF!="IO"</formula>
    </cfRule>
    <cfRule type="expression" dxfId="14357" priority="8169">
      <formula>#REF!="L"</formula>
    </cfRule>
    <cfRule type="expression" dxfId="14356" priority="8170">
      <formula>E8="TO"</formula>
    </cfRule>
    <cfRule type="expression" dxfId="14355" priority="8171">
      <formula>E8="IO"</formula>
    </cfRule>
    <cfRule type="expression" dxfId="14354" priority="8172">
      <formula>E8="L"</formula>
    </cfRule>
  </conditionalFormatting>
  <conditionalFormatting sqref="AF8">
    <cfRule type="expression" dxfId="14353" priority="8164">
      <formula>#REF!="TO"</formula>
    </cfRule>
    <cfRule type="expression" dxfId="14352" priority="8165">
      <formula>#REF!="IO"</formula>
    </cfRule>
    <cfRule type="expression" dxfId="14351" priority="8166">
      <formula>#REF!="L"</formula>
    </cfRule>
  </conditionalFormatting>
  <conditionalFormatting sqref="AT9:AT12">
    <cfRule type="expression" dxfId="14350" priority="8080">
      <formula>#REF!="TO"</formula>
    </cfRule>
    <cfRule type="expression" dxfId="14349" priority="8081">
      <formula>#REF!="IO"</formula>
    </cfRule>
    <cfRule type="expression" dxfId="14348" priority="8082">
      <formula>#REF!="L"</formula>
    </cfRule>
    <cfRule type="expression" dxfId="14347" priority="8083">
      <formula>#REF!="TO"</formula>
    </cfRule>
    <cfRule type="expression" dxfId="14346" priority="8084">
      <formula>#REF!="IO"</formula>
    </cfRule>
    <cfRule type="expression" dxfId="14345" priority="8085">
      <formula>#REF!="L"</formula>
    </cfRule>
  </conditionalFormatting>
  <conditionalFormatting sqref="B9:B12">
    <cfRule type="expression" dxfId="14344" priority="8158">
      <formula>#REF!="TO"</formula>
    </cfRule>
    <cfRule type="expression" dxfId="14343" priority="8159">
      <formula>#REF!="IO"</formula>
    </cfRule>
    <cfRule type="expression" dxfId="14342" priority="8160">
      <formula>#REF!="L"</formula>
    </cfRule>
  </conditionalFormatting>
  <conditionalFormatting sqref="AO9:AO12 AQ9:AQ12">
    <cfRule type="expression" dxfId="14341" priority="8092">
      <formula>#REF!="TO"</formula>
    </cfRule>
    <cfRule type="expression" dxfId="14340" priority="8093">
      <formula>#REF!="IO"</formula>
    </cfRule>
    <cfRule type="expression" dxfId="14339" priority="8094">
      <formula>#REF!="L"</formula>
    </cfRule>
  </conditionalFormatting>
  <conditionalFormatting sqref="D9:D12">
    <cfRule type="expression" dxfId="14338" priority="8155">
      <formula>#REF!="TO"</formula>
    </cfRule>
    <cfRule type="expression" dxfId="14337" priority="8156">
      <formula>#REF!="IO"</formula>
    </cfRule>
    <cfRule type="expression" dxfId="14336" priority="8157">
      <formula>#REF!="L"</formula>
    </cfRule>
  </conditionalFormatting>
  <conditionalFormatting sqref="K9:K12 R9:R12">
    <cfRule type="expression" dxfId="14335" priority="8152">
      <formula>#REF!="TO"</formula>
    </cfRule>
    <cfRule type="expression" dxfId="14334" priority="8153">
      <formula>#REF!="IO"</formula>
    </cfRule>
    <cfRule type="expression" dxfId="14333" priority="8154">
      <formula>#REF!="L"</formula>
    </cfRule>
  </conditionalFormatting>
  <conditionalFormatting sqref="E9:F12">
    <cfRule type="expression" dxfId="14332" priority="8143">
      <formula>#REF!="TO"</formula>
    </cfRule>
    <cfRule type="expression" dxfId="14331" priority="8144">
      <formula>#REF!="IO"</formula>
    </cfRule>
    <cfRule type="expression" dxfId="14330" priority="8145">
      <formula>#REF!="L"</formula>
    </cfRule>
  </conditionalFormatting>
  <conditionalFormatting sqref="S9:S12">
    <cfRule type="expression" dxfId="14329" priority="8137">
      <formula>#REF!="TO"</formula>
    </cfRule>
    <cfRule type="expression" dxfId="14328" priority="8138">
      <formula>#REF!="IO"</formula>
    </cfRule>
    <cfRule type="expression" dxfId="14327" priority="8139">
      <formula>#REF!="L"</formula>
    </cfRule>
  </conditionalFormatting>
  <conditionalFormatting sqref="T9:U12">
    <cfRule type="expression" dxfId="14326" priority="8131">
      <formula>#REF!="TO"</formula>
    </cfRule>
    <cfRule type="expression" dxfId="14325" priority="8132">
      <formula>#REF!="IO"</formula>
    </cfRule>
    <cfRule type="expression" dxfId="14324" priority="8133">
      <formula>#REF!="L"</formula>
    </cfRule>
  </conditionalFormatting>
  <conditionalFormatting sqref="O9:O12">
    <cfRule type="expression" dxfId="14323" priority="8125">
      <formula>#REF!="TO"</formula>
    </cfRule>
    <cfRule type="expression" dxfId="14322" priority="8126">
      <formula>#REF!="IO"</formula>
    </cfRule>
    <cfRule type="expression" dxfId="14321" priority="8127">
      <formula>#REF!="L"</formula>
    </cfRule>
    <cfRule type="expression" dxfId="14320" priority="8128">
      <formula>#REF!="TO"</formula>
    </cfRule>
    <cfRule type="expression" dxfId="14319" priority="8129">
      <formula>#REF!="IO"</formula>
    </cfRule>
    <cfRule type="expression" dxfId="14318" priority="8130">
      <formula>#REF!="L"</formula>
    </cfRule>
  </conditionalFormatting>
  <conditionalFormatting sqref="AC9:AC12 AG9:AG12">
    <cfRule type="expression" dxfId="14317" priority="8113">
      <formula>#REF!="TO"</formula>
    </cfRule>
    <cfRule type="expression" dxfId="14316" priority="8114">
      <formula>#REF!="IO"</formula>
    </cfRule>
    <cfRule type="expression" dxfId="14315" priority="8115">
      <formula>#REF!="L"</formula>
    </cfRule>
  </conditionalFormatting>
  <conditionalFormatting sqref="AI9:AI12">
    <cfRule type="expression" dxfId="14314" priority="8116">
      <formula>#REF!="TO"</formula>
    </cfRule>
    <cfRule type="expression" dxfId="14313" priority="8117">
      <formula>#REF!="IO"</formula>
    </cfRule>
    <cfRule type="expression" dxfId="14312" priority="8118">
      <formula>#REF!="L"</formula>
    </cfRule>
    <cfRule type="expression" dxfId="14311" priority="8110">
      <formula>#REF!="TO"</formula>
    </cfRule>
    <cfRule type="expression" dxfId="14310" priority="8111">
      <formula>#REF!="IO"</formula>
    </cfRule>
    <cfRule type="expression" dxfId="14309" priority="8112">
      <formula>#REF!="L"</formula>
    </cfRule>
  </conditionalFormatting>
  <conditionalFormatting sqref="AL9:AL12">
    <cfRule type="expression" dxfId="14308" priority="8104">
      <formula>#REF!="TO"</formula>
    </cfRule>
    <cfRule type="expression" dxfId="14307" priority="8105">
      <formula>#REF!="IO"</formula>
    </cfRule>
    <cfRule type="expression" dxfId="14306" priority="8106">
      <formula>#REF!="L"</formula>
    </cfRule>
  </conditionalFormatting>
  <conditionalFormatting sqref="AM9:AM12">
    <cfRule type="expression" dxfId="14305" priority="8101">
      <formula>#REF!="TO"</formula>
    </cfRule>
    <cfRule type="expression" dxfId="14304" priority="8102">
      <formula>#REF!="IO"</formula>
    </cfRule>
    <cfRule type="expression" dxfId="14303" priority="8103">
      <formula>#REF!="L"</formula>
    </cfRule>
  </conditionalFormatting>
  <conditionalFormatting sqref="AN9:AN12">
    <cfRule type="expression" dxfId="14302" priority="8098">
      <formula>#REF!="TO"</formula>
    </cfRule>
    <cfRule type="expression" dxfId="14301" priority="8099">
      <formula>#REF!="IO"</formula>
    </cfRule>
    <cfRule type="expression" dxfId="14300" priority="8100">
      <formula>#REF!="L"</formula>
    </cfRule>
  </conditionalFormatting>
  <conditionalFormatting sqref="AR9:AR12">
    <cfRule type="expression" dxfId="14299" priority="8089">
      <formula>#REF!="TO"</formula>
    </cfRule>
    <cfRule type="expression" dxfId="14298" priority="8090">
      <formula>#REF!="IO"</formula>
    </cfRule>
    <cfRule type="expression" dxfId="14297" priority="8091">
      <formula>#REF!="L"</formula>
    </cfRule>
  </conditionalFormatting>
  <conditionalFormatting sqref="AS9:AS12">
    <cfRule type="expression" dxfId="14296" priority="8086">
      <formula>#REF!="TO"</formula>
    </cfRule>
    <cfRule type="expression" dxfId="14295" priority="8087">
      <formula>#REF!="IO"</formula>
    </cfRule>
    <cfRule type="expression" dxfId="14294" priority="8088">
      <formula>#REF!="L"</formula>
    </cfRule>
  </conditionalFormatting>
  <conditionalFormatting sqref="AU9:BA12">
    <cfRule type="expression" dxfId="14293" priority="8071">
      <formula>#REF!="TO"</formula>
    </cfRule>
    <cfRule type="expression" dxfId="14292" priority="8072">
      <formula>#REF!="IO"</formula>
    </cfRule>
    <cfRule type="expression" dxfId="14291" priority="8073">
      <formula>#REF!="L"</formula>
    </cfRule>
  </conditionalFormatting>
  <conditionalFormatting sqref="AE9:AE12">
    <cfRule type="expression" dxfId="14290" priority="8065">
      <formula>#REF!="TO"</formula>
    </cfRule>
    <cfRule type="expression" dxfId="14289" priority="8066">
      <formula>#REF!="IO"</formula>
    </cfRule>
    <cfRule type="expression" dxfId="14288" priority="8067">
      <formula>#REF!="L"</formula>
    </cfRule>
    <cfRule type="expression" dxfId="14287" priority="8068">
      <formula>E9="TO"</formula>
    </cfRule>
    <cfRule type="expression" dxfId="14286" priority="8069">
      <formula>E9="IO"</formula>
    </cfRule>
    <cfRule type="expression" dxfId="14285" priority="8070">
      <formula>E9="L"</formula>
    </cfRule>
  </conditionalFormatting>
  <conditionalFormatting sqref="AF9:AF12">
    <cfRule type="expression" dxfId="14284" priority="8062">
      <formula>#REF!="TO"</formula>
    </cfRule>
    <cfRule type="expression" dxfId="14283" priority="8063">
      <formula>#REF!="IO"</formula>
    </cfRule>
    <cfRule type="expression" dxfId="14282" priority="8064">
      <formula>#REF!="L"</formula>
    </cfRule>
  </conditionalFormatting>
  <conditionalFormatting sqref="AB2:AD12">
    <cfRule type="expression" dxfId="14281" priority="8059">
      <formula>#REF!="TO"</formula>
    </cfRule>
    <cfRule type="expression" dxfId="14280" priority="8060">
      <formula>#REF!="IO"</formula>
    </cfRule>
    <cfRule type="expression" dxfId="14279" priority="8061">
      <formula>#REF!="L"</formula>
    </cfRule>
  </conditionalFormatting>
  <conditionalFormatting sqref="AH2:AH12">
    <cfRule type="expression" dxfId="14278" priority="8056">
      <formula>#REF!="TO"</formula>
    </cfRule>
    <cfRule type="expression" dxfId="14277" priority="8057">
      <formula>#REF!="IO"</formula>
    </cfRule>
    <cfRule type="expression" dxfId="14276" priority="8058">
      <formula>#REF!="L"</formula>
    </cfRule>
  </conditionalFormatting>
  <conditionalFormatting sqref="AB13:AD13">
    <cfRule type="expression" dxfId="14275" priority="7951">
      <formula>#REF!="TO"</formula>
    </cfRule>
    <cfRule type="expression" dxfId="14274" priority="7952">
      <formula>#REF!="IO"</formula>
    </cfRule>
    <cfRule type="expression" dxfId="14273" priority="7953">
      <formula>#REF!="L"</formula>
    </cfRule>
  </conditionalFormatting>
  <conditionalFormatting sqref="AH13">
    <cfRule type="expression" dxfId="14272" priority="7948">
      <formula>#REF!="TO"</formula>
    </cfRule>
    <cfRule type="expression" dxfId="14271" priority="7949">
      <formula>#REF!="IO"</formula>
    </cfRule>
    <cfRule type="expression" dxfId="14270" priority="7950">
      <formula>#REF!="L"</formula>
    </cfRule>
  </conditionalFormatting>
  <conditionalFormatting sqref="D14">
    <cfRule type="expression" dxfId="14269" priority="7936">
      <formula>#REF!="TO"</formula>
    </cfRule>
    <cfRule type="expression" dxfId="14268" priority="7937">
      <formula>#REF!="IO"</formula>
    </cfRule>
    <cfRule type="expression" dxfId="14267" priority="7938">
      <formula>#REF!="L"</formula>
    </cfRule>
  </conditionalFormatting>
  <conditionalFormatting sqref="E14:F14">
    <cfRule type="expression" dxfId="14266" priority="7924">
      <formula>#REF!="TO"</formula>
    </cfRule>
    <cfRule type="expression" dxfId="14265" priority="7925">
      <formula>#REF!="IO"</formula>
    </cfRule>
    <cfRule type="expression" dxfId="14264" priority="7926">
      <formula>#REF!="L"</formula>
    </cfRule>
  </conditionalFormatting>
  <conditionalFormatting sqref="S14">
    <cfRule type="expression" dxfId="14263" priority="7918">
      <formula>#REF!="TO"</formula>
    </cfRule>
    <cfRule type="expression" dxfId="14262" priority="7919">
      <formula>#REF!="IO"</formula>
    </cfRule>
    <cfRule type="expression" dxfId="14261" priority="7920">
      <formula>#REF!="L"</formula>
    </cfRule>
  </conditionalFormatting>
  <conditionalFormatting sqref="O14">
    <cfRule type="expression" dxfId="14260" priority="7909">
      <formula>#REF!="TO"</formula>
    </cfRule>
    <cfRule type="expression" dxfId="14259" priority="7910">
      <formula>#REF!="IO"</formula>
    </cfRule>
    <cfRule type="expression" dxfId="14258" priority="7911">
      <formula>#REF!="L"</formula>
    </cfRule>
    <cfRule type="expression" dxfId="14257" priority="7912">
      <formula>#REF!="TO"</formula>
    </cfRule>
    <cfRule type="expression" dxfId="14256" priority="7913">
      <formula>#REF!="IO"</formula>
    </cfRule>
    <cfRule type="expression" dxfId="14255" priority="7914">
      <formula>#REF!="L"</formula>
    </cfRule>
  </conditionalFormatting>
  <conditionalFormatting sqref="AC14 AG14">
    <cfRule type="expression" dxfId="14254" priority="7897">
      <formula>#REF!="TO"</formula>
    </cfRule>
    <cfRule type="expression" dxfId="14253" priority="7898">
      <formula>#REF!="IO"</formula>
    </cfRule>
    <cfRule type="expression" dxfId="14252" priority="7899">
      <formula>#REF!="L"</formula>
    </cfRule>
  </conditionalFormatting>
  <conditionalFormatting sqref="AJ14:AK14">
    <cfRule type="expression" dxfId="14251" priority="7891">
      <formula>#REF!="TO"</formula>
    </cfRule>
    <cfRule type="expression" dxfId="14250" priority="7892">
      <formula>#REF!="IO"</formula>
    </cfRule>
    <cfRule type="expression" dxfId="14249" priority="7893">
      <formula>#REF!="L"</formula>
    </cfRule>
  </conditionalFormatting>
  <conditionalFormatting sqref="AL14">
    <cfRule type="expression" dxfId="14248" priority="7888">
      <formula>#REF!="TO"</formula>
    </cfRule>
    <cfRule type="expression" dxfId="14247" priority="7889">
      <formula>#REF!="IO"</formula>
    </cfRule>
    <cfRule type="expression" dxfId="14246" priority="7890">
      <formula>#REF!="L"</formula>
    </cfRule>
  </conditionalFormatting>
  <conditionalFormatting sqref="AM14">
    <cfRule type="expression" dxfId="14245" priority="7885">
      <formula>#REF!="TO"</formula>
    </cfRule>
    <cfRule type="expression" dxfId="14244" priority="7886">
      <formula>#REF!="IO"</formula>
    </cfRule>
    <cfRule type="expression" dxfId="14243" priority="7887">
      <formula>#REF!="L"</formula>
    </cfRule>
  </conditionalFormatting>
  <conditionalFormatting sqref="AU14:BA14">
    <cfRule type="expression" dxfId="14242" priority="7855">
      <formula>#REF!="TO"</formula>
    </cfRule>
    <cfRule type="expression" dxfId="14241" priority="7856">
      <formula>#REF!="IO"</formula>
    </cfRule>
    <cfRule type="expression" dxfId="14240" priority="7857">
      <formula>#REF!="L"</formula>
    </cfRule>
  </conditionalFormatting>
  <conditionalFormatting sqref="AE14">
    <cfRule type="expression" dxfId="14239" priority="7849">
      <formula>#REF!="TO"</formula>
    </cfRule>
    <cfRule type="expression" dxfId="14238" priority="7850">
      <formula>#REF!="IO"</formula>
    </cfRule>
    <cfRule type="expression" dxfId="14237" priority="7851">
      <formula>#REF!="L"</formula>
    </cfRule>
    <cfRule type="expression" dxfId="14236" priority="7852">
      <formula>E14="TO"</formula>
    </cfRule>
    <cfRule type="expression" dxfId="14235" priority="7853">
      <formula>E14="IO"</formula>
    </cfRule>
    <cfRule type="expression" dxfId="14234" priority="7854">
      <formula>E14="L"</formula>
    </cfRule>
  </conditionalFormatting>
  <conditionalFormatting sqref="AB14:AD14">
    <cfRule type="expression" dxfId="14233" priority="7843">
      <formula>#REF!="TO"</formula>
    </cfRule>
    <cfRule type="expression" dxfId="14232" priority="7844">
      <formula>#REF!="IO"</formula>
    </cfRule>
    <cfRule type="expression" dxfId="14231" priority="7845">
      <formula>#REF!="L"</formula>
    </cfRule>
  </conditionalFormatting>
  <conditionalFormatting sqref="A13">
    <cfRule type="expression" dxfId="14230" priority="8053">
      <formula>#REF!="TO"</formula>
    </cfRule>
    <cfRule type="expression" dxfId="14229" priority="8054">
      <formula>#REF!="IO"</formula>
    </cfRule>
    <cfRule type="expression" dxfId="14228" priority="8055">
      <formula>#REF!="L"</formula>
    </cfRule>
  </conditionalFormatting>
  <conditionalFormatting sqref="AT13">
    <cfRule type="expression" dxfId="14227" priority="7972">
      <formula>#REF!="TO"</formula>
    </cfRule>
    <cfRule type="expression" dxfId="14226" priority="7973">
      <formula>#REF!="IO"</formula>
    </cfRule>
    <cfRule type="expression" dxfId="14225" priority="7974">
      <formula>#REF!="L"</formula>
    </cfRule>
    <cfRule type="expression" dxfId="14224" priority="7975">
      <formula>#REF!="TO"</formula>
    </cfRule>
    <cfRule type="expression" dxfId="14223" priority="7976">
      <formula>#REF!="IO"</formula>
    </cfRule>
    <cfRule type="expression" dxfId="14222" priority="7977">
      <formula>#REF!="L"</formula>
    </cfRule>
  </conditionalFormatting>
  <conditionalFormatting sqref="B13">
    <cfRule type="expression" dxfId="14221" priority="8047">
      <formula>#REF!="TO"</formula>
    </cfRule>
    <cfRule type="expression" dxfId="14220" priority="8048">
      <formula>#REF!="IO"</formula>
    </cfRule>
    <cfRule type="expression" dxfId="14219" priority="8049">
      <formula>#REF!="L"</formula>
    </cfRule>
  </conditionalFormatting>
  <conditionalFormatting sqref="AO13 AQ13">
    <cfRule type="expression" dxfId="14218" priority="7984">
      <formula>#REF!="TO"</formula>
    </cfRule>
    <cfRule type="expression" dxfId="14217" priority="7985">
      <formula>#REF!="IO"</formula>
    </cfRule>
    <cfRule type="expression" dxfId="14216" priority="7986">
      <formula>#REF!="L"</formula>
    </cfRule>
  </conditionalFormatting>
  <conditionalFormatting sqref="D13">
    <cfRule type="expression" dxfId="14215" priority="8044">
      <formula>#REF!="TO"</formula>
    </cfRule>
    <cfRule type="expression" dxfId="14214" priority="8045">
      <formula>#REF!="IO"</formula>
    </cfRule>
    <cfRule type="expression" dxfId="14213" priority="8046">
      <formula>#REF!="L"</formula>
    </cfRule>
  </conditionalFormatting>
  <conditionalFormatting sqref="K13 R13">
    <cfRule type="expression" dxfId="14212" priority="8041">
      <formula>#REF!="TO"</formula>
    </cfRule>
    <cfRule type="expression" dxfId="14211" priority="8042">
      <formula>#REF!="IO"</formula>
    </cfRule>
    <cfRule type="expression" dxfId="14210" priority="8043">
      <formula>#REF!="L"</formula>
    </cfRule>
  </conditionalFormatting>
  <conditionalFormatting sqref="E13:F13">
    <cfRule type="expression" dxfId="14209" priority="8032">
      <formula>#REF!="TO"</formula>
    </cfRule>
    <cfRule type="expression" dxfId="14208" priority="8033">
      <formula>#REF!="IO"</formula>
    </cfRule>
    <cfRule type="expression" dxfId="14207" priority="8034">
      <formula>#REF!="L"</formula>
    </cfRule>
  </conditionalFormatting>
  <conditionalFormatting sqref="S13">
    <cfRule type="expression" dxfId="14206" priority="8026">
      <formula>#REF!="TO"</formula>
    </cfRule>
    <cfRule type="expression" dxfId="14205" priority="8027">
      <formula>#REF!="IO"</formula>
    </cfRule>
    <cfRule type="expression" dxfId="14204" priority="8028">
      <formula>#REF!="L"</formula>
    </cfRule>
  </conditionalFormatting>
  <conditionalFormatting sqref="O13">
    <cfRule type="expression" dxfId="14203" priority="8017">
      <formula>#REF!="TO"</formula>
    </cfRule>
    <cfRule type="expression" dxfId="14202" priority="8018">
      <formula>#REF!="IO"</formula>
    </cfRule>
    <cfRule type="expression" dxfId="14201" priority="8019">
      <formula>#REF!="L"</formula>
    </cfRule>
    <cfRule type="expression" dxfId="14200" priority="8020">
      <formula>#REF!="TO"</formula>
    </cfRule>
    <cfRule type="expression" dxfId="14199" priority="8021">
      <formula>#REF!="IO"</formula>
    </cfRule>
    <cfRule type="expression" dxfId="14198" priority="8022">
      <formula>#REF!="L"</formula>
    </cfRule>
  </conditionalFormatting>
  <conditionalFormatting sqref="AC13 AG13">
    <cfRule type="expression" dxfId="14197" priority="8005">
      <formula>#REF!="TO"</formula>
    </cfRule>
    <cfRule type="expression" dxfId="14196" priority="8006">
      <formula>#REF!="IO"</formula>
    </cfRule>
    <cfRule type="expression" dxfId="14195" priority="8007">
      <formula>#REF!="L"</formula>
    </cfRule>
  </conditionalFormatting>
  <conditionalFormatting sqref="AI13">
    <cfRule type="expression" dxfId="14194" priority="8008">
      <formula>#REF!="TO"</formula>
    </cfRule>
    <cfRule type="expression" dxfId="14193" priority="8009">
      <formula>#REF!="IO"</formula>
    </cfRule>
    <cfRule type="expression" dxfId="14192" priority="8010">
      <formula>#REF!="L"</formula>
    </cfRule>
    <cfRule type="expression" dxfId="14191" priority="8002">
      <formula>#REF!="TO"</formula>
    </cfRule>
    <cfRule type="expression" dxfId="14190" priority="8003">
      <formula>#REF!="IO"</formula>
    </cfRule>
    <cfRule type="expression" dxfId="14189" priority="8004">
      <formula>#REF!="L"</formula>
    </cfRule>
  </conditionalFormatting>
  <conditionalFormatting sqref="AJ13:AK13">
    <cfRule type="expression" dxfId="14188" priority="7999">
      <formula>#REF!="TO"</formula>
    </cfRule>
    <cfRule type="expression" dxfId="14187" priority="8000">
      <formula>#REF!="IO"</formula>
    </cfRule>
    <cfRule type="expression" dxfId="14186" priority="8001">
      <formula>#REF!="L"</formula>
    </cfRule>
  </conditionalFormatting>
  <conditionalFormatting sqref="AL13">
    <cfRule type="expression" dxfId="14185" priority="7996">
      <formula>#REF!="TO"</formula>
    </cfRule>
    <cfRule type="expression" dxfId="14184" priority="7997">
      <formula>#REF!="IO"</formula>
    </cfRule>
    <cfRule type="expression" dxfId="14183" priority="7998">
      <formula>#REF!="L"</formula>
    </cfRule>
  </conditionalFormatting>
  <conditionalFormatting sqref="AM13">
    <cfRule type="expression" dxfId="14182" priority="7993">
      <formula>#REF!="TO"</formula>
    </cfRule>
    <cfRule type="expression" dxfId="14181" priority="7994">
      <formula>#REF!="IO"</formula>
    </cfRule>
    <cfRule type="expression" dxfId="14180" priority="7995">
      <formula>#REF!="L"</formula>
    </cfRule>
  </conditionalFormatting>
  <conditionalFormatting sqref="AN13">
    <cfRule type="expression" dxfId="14179" priority="7990">
      <formula>#REF!="TO"</formula>
    </cfRule>
    <cfRule type="expression" dxfId="14178" priority="7991">
      <formula>#REF!="IO"</formula>
    </cfRule>
    <cfRule type="expression" dxfId="14177" priority="7992">
      <formula>#REF!="L"</formula>
    </cfRule>
  </conditionalFormatting>
  <conditionalFormatting sqref="AR13">
    <cfRule type="expression" dxfId="14176" priority="7981">
      <formula>#REF!="TO"</formula>
    </cfRule>
    <cfRule type="expression" dxfId="14175" priority="7982">
      <formula>#REF!="IO"</formula>
    </cfRule>
    <cfRule type="expression" dxfId="14174" priority="7983">
      <formula>#REF!="L"</formula>
    </cfRule>
  </conditionalFormatting>
  <conditionalFormatting sqref="AS13">
    <cfRule type="expression" dxfId="14173" priority="7978">
      <formula>#REF!="TO"</formula>
    </cfRule>
    <cfRule type="expression" dxfId="14172" priority="7979">
      <formula>#REF!="IO"</formula>
    </cfRule>
    <cfRule type="expression" dxfId="14171" priority="7980">
      <formula>#REF!="L"</formula>
    </cfRule>
  </conditionalFormatting>
  <conditionalFormatting sqref="AU13:BA13">
    <cfRule type="expression" dxfId="14170" priority="7963">
      <formula>#REF!="TO"</formula>
    </cfRule>
    <cfRule type="expression" dxfId="14169" priority="7964">
      <formula>#REF!="IO"</formula>
    </cfRule>
    <cfRule type="expression" dxfId="14168" priority="7965">
      <formula>#REF!="L"</formula>
    </cfRule>
  </conditionalFormatting>
  <conditionalFormatting sqref="AE13">
    <cfRule type="expression" dxfId="14167" priority="7957">
      <formula>#REF!="TO"</formula>
    </cfRule>
    <cfRule type="expression" dxfId="14166" priority="7958">
      <formula>#REF!="IO"</formula>
    </cfRule>
    <cfRule type="expression" dxfId="14165" priority="7959">
      <formula>#REF!="L"</formula>
    </cfRule>
    <cfRule type="expression" dxfId="14164" priority="7960">
      <formula>E13="TO"</formula>
    </cfRule>
    <cfRule type="expression" dxfId="14163" priority="7961">
      <formula>E13="IO"</formula>
    </cfRule>
    <cfRule type="expression" dxfId="14162" priority="7962">
      <formula>E13="L"</formula>
    </cfRule>
  </conditionalFormatting>
  <conditionalFormatting sqref="AF13">
    <cfRule type="expression" dxfId="14161" priority="7954">
      <formula>#REF!="TO"</formula>
    </cfRule>
    <cfRule type="expression" dxfId="14160" priority="7955">
      <formula>#REF!="IO"</formula>
    </cfRule>
    <cfRule type="expression" dxfId="14159" priority="7956">
      <formula>#REF!="L"</formula>
    </cfRule>
  </conditionalFormatting>
  <conditionalFormatting sqref="A14">
    <cfRule type="expression" dxfId="14158" priority="7945">
      <formula>#REF!="TO"</formula>
    </cfRule>
    <cfRule type="expression" dxfId="14157" priority="7946">
      <formula>#REF!="IO"</formula>
    </cfRule>
    <cfRule type="expression" dxfId="14156" priority="7947">
      <formula>#REF!="L"</formula>
    </cfRule>
  </conditionalFormatting>
  <conditionalFormatting sqref="AT14">
    <cfRule type="expression" dxfId="14155" priority="7864">
      <formula>#REF!="TO"</formula>
    </cfRule>
    <cfRule type="expression" dxfId="14154" priority="7865">
      <formula>#REF!="IO"</formula>
    </cfRule>
    <cfRule type="expression" dxfId="14153" priority="7866">
      <formula>#REF!="L"</formula>
    </cfRule>
    <cfRule type="expression" dxfId="14152" priority="7867">
      <formula>#REF!="TO"</formula>
    </cfRule>
    <cfRule type="expression" dxfId="14151" priority="7868">
      <formula>#REF!="IO"</formula>
    </cfRule>
    <cfRule type="expression" dxfId="14150" priority="7869">
      <formula>#REF!="L"</formula>
    </cfRule>
  </conditionalFormatting>
  <conditionalFormatting sqref="B14">
    <cfRule type="expression" dxfId="14149" priority="7939">
      <formula>#REF!="TO"</formula>
    </cfRule>
    <cfRule type="expression" dxfId="14148" priority="7940">
      <formula>#REF!="IO"</formula>
    </cfRule>
    <cfRule type="expression" dxfId="14147" priority="7941">
      <formula>#REF!="L"</formula>
    </cfRule>
  </conditionalFormatting>
  <conditionalFormatting sqref="AO14 AQ14">
    <cfRule type="expression" dxfId="14146" priority="7876">
      <formula>#REF!="TO"</formula>
    </cfRule>
    <cfRule type="expression" dxfId="14145" priority="7877">
      <formula>#REF!="IO"</formula>
    </cfRule>
    <cfRule type="expression" dxfId="14144" priority="7878">
      <formula>#REF!="L"</formula>
    </cfRule>
  </conditionalFormatting>
  <conditionalFormatting sqref="K14 R14">
    <cfRule type="expression" dxfId="14143" priority="7933">
      <formula>#REF!="TO"</formula>
    </cfRule>
    <cfRule type="expression" dxfId="14142" priority="7934">
      <formula>#REF!="IO"</formula>
    </cfRule>
    <cfRule type="expression" dxfId="14141" priority="7935">
      <formula>#REF!="L"</formula>
    </cfRule>
  </conditionalFormatting>
  <conditionalFormatting sqref="AI14">
    <cfRule type="expression" dxfId="14140" priority="7900">
      <formula>#REF!="TO"</formula>
    </cfRule>
    <cfRule type="expression" dxfId="14139" priority="7901">
      <formula>#REF!="IO"</formula>
    </cfRule>
    <cfRule type="expression" dxfId="14138" priority="7902">
      <formula>#REF!="L"</formula>
    </cfRule>
    <cfRule type="expression" dxfId="14137" priority="7894">
      <formula>#REF!="TO"</formula>
    </cfRule>
    <cfRule type="expression" dxfId="14136" priority="7895">
      <formula>#REF!="IO"</formula>
    </cfRule>
    <cfRule type="expression" dxfId="14135" priority="7896">
      <formula>#REF!="L"</formula>
    </cfRule>
  </conditionalFormatting>
  <conditionalFormatting sqref="AN14">
    <cfRule type="expression" dxfId="14134" priority="7882">
      <formula>#REF!="TO"</formula>
    </cfRule>
    <cfRule type="expression" dxfId="14133" priority="7883">
      <formula>#REF!="IO"</formula>
    </cfRule>
    <cfRule type="expression" dxfId="14132" priority="7884">
      <formula>#REF!="L"</formula>
    </cfRule>
  </conditionalFormatting>
  <conditionalFormatting sqref="AR14">
    <cfRule type="expression" dxfId="14131" priority="7873">
      <formula>#REF!="TO"</formula>
    </cfRule>
    <cfRule type="expression" dxfId="14130" priority="7874">
      <formula>#REF!="IO"</formula>
    </cfRule>
    <cfRule type="expression" dxfId="14129" priority="7875">
      <formula>#REF!="L"</formula>
    </cfRule>
  </conditionalFormatting>
  <conditionalFormatting sqref="AS14">
    <cfRule type="expression" dxfId="14128" priority="7870">
      <formula>#REF!="TO"</formula>
    </cfRule>
    <cfRule type="expression" dxfId="14127" priority="7871">
      <formula>#REF!="IO"</formula>
    </cfRule>
    <cfRule type="expression" dxfId="14126" priority="7872">
      <formula>#REF!="L"</formula>
    </cfRule>
  </conditionalFormatting>
  <conditionalFormatting sqref="AF14">
    <cfRule type="expression" dxfId="14125" priority="7846">
      <formula>#REF!="TO"</formula>
    </cfRule>
    <cfRule type="expression" dxfId="14124" priority="7847">
      <formula>#REF!="IO"</formula>
    </cfRule>
    <cfRule type="expression" dxfId="14123" priority="7848">
      <formula>#REF!="L"</formula>
    </cfRule>
  </conditionalFormatting>
  <conditionalFormatting sqref="AH14">
    <cfRule type="expression" dxfId="14122" priority="7840">
      <formula>#REF!="TO"</formula>
    </cfRule>
    <cfRule type="expression" dxfId="14121" priority="7841">
      <formula>#REF!="IO"</formula>
    </cfRule>
    <cfRule type="expression" dxfId="14120" priority="7842">
      <formula>#REF!="L"</formula>
    </cfRule>
  </conditionalFormatting>
  <conditionalFormatting sqref="A15">
    <cfRule type="expression" dxfId="14119" priority="7837">
      <formula>#REF!="TO"</formula>
    </cfRule>
    <cfRule type="expression" dxfId="14118" priority="7838">
      <formula>#REF!="IO"</formula>
    </cfRule>
    <cfRule type="expression" dxfId="14117" priority="7839">
      <formula>#REF!="L"</formula>
    </cfRule>
  </conditionalFormatting>
  <conditionalFormatting sqref="AT15">
    <cfRule type="expression" dxfId="14116" priority="7756">
      <formula>#REF!="TO"</formula>
    </cfRule>
    <cfRule type="expression" dxfId="14115" priority="7757">
      <formula>#REF!="IO"</formula>
    </cfRule>
    <cfRule type="expression" dxfId="14114" priority="7758">
      <formula>#REF!="L"</formula>
    </cfRule>
    <cfRule type="expression" dxfId="14113" priority="7759">
      <formula>#REF!="TO"</formula>
    </cfRule>
    <cfRule type="expression" dxfId="14112" priority="7760">
      <formula>#REF!="IO"</formula>
    </cfRule>
    <cfRule type="expression" dxfId="14111" priority="7761">
      <formula>#REF!="L"</formula>
    </cfRule>
  </conditionalFormatting>
  <conditionalFormatting sqref="B15">
    <cfRule type="expression" dxfId="14110" priority="7831">
      <formula>#REF!="TO"</formula>
    </cfRule>
    <cfRule type="expression" dxfId="14109" priority="7832">
      <formula>#REF!="IO"</formula>
    </cfRule>
    <cfRule type="expression" dxfId="14108" priority="7833">
      <formula>#REF!="L"</formula>
    </cfRule>
  </conditionalFormatting>
  <conditionalFormatting sqref="AO15 AQ15">
    <cfRule type="expression" dxfId="14107" priority="7768">
      <formula>#REF!="TO"</formula>
    </cfRule>
    <cfRule type="expression" dxfId="14106" priority="7769">
      <formula>#REF!="IO"</formula>
    </cfRule>
    <cfRule type="expression" dxfId="14105" priority="7770">
      <formula>#REF!="L"</formula>
    </cfRule>
  </conditionalFormatting>
  <conditionalFormatting sqref="D15">
    <cfRule type="expression" dxfId="14104" priority="7828">
      <formula>#REF!="TO"</formula>
    </cfRule>
    <cfRule type="expression" dxfId="14103" priority="7829">
      <formula>#REF!="IO"</formula>
    </cfRule>
    <cfRule type="expression" dxfId="14102" priority="7830">
      <formula>#REF!="L"</formula>
    </cfRule>
  </conditionalFormatting>
  <conditionalFormatting sqref="K15 R15">
    <cfRule type="expression" dxfId="14101" priority="7825">
      <formula>#REF!="TO"</formula>
    </cfRule>
    <cfRule type="expression" dxfId="14100" priority="7826">
      <formula>#REF!="IO"</formula>
    </cfRule>
    <cfRule type="expression" dxfId="14099" priority="7827">
      <formula>#REF!="L"</formula>
    </cfRule>
  </conditionalFormatting>
  <conditionalFormatting sqref="E15:F15">
    <cfRule type="expression" dxfId="14098" priority="7816">
      <formula>#REF!="TO"</formula>
    </cfRule>
    <cfRule type="expression" dxfId="14097" priority="7817">
      <formula>#REF!="IO"</formula>
    </cfRule>
    <cfRule type="expression" dxfId="14096" priority="7818">
      <formula>#REF!="L"</formula>
    </cfRule>
  </conditionalFormatting>
  <conditionalFormatting sqref="S15">
    <cfRule type="expression" dxfId="14095" priority="7810">
      <formula>#REF!="TO"</formula>
    </cfRule>
    <cfRule type="expression" dxfId="14094" priority="7811">
      <formula>#REF!="IO"</formula>
    </cfRule>
    <cfRule type="expression" dxfId="14093" priority="7812">
      <formula>#REF!="L"</formula>
    </cfRule>
  </conditionalFormatting>
  <conditionalFormatting sqref="O15">
    <cfRule type="expression" dxfId="14092" priority="7801">
      <formula>#REF!="TO"</formula>
    </cfRule>
    <cfRule type="expression" dxfId="14091" priority="7802">
      <formula>#REF!="IO"</formula>
    </cfRule>
    <cfRule type="expression" dxfId="14090" priority="7803">
      <formula>#REF!="L"</formula>
    </cfRule>
    <cfRule type="expression" dxfId="14089" priority="7804">
      <formula>#REF!="TO"</formula>
    </cfRule>
    <cfRule type="expression" dxfId="14088" priority="7805">
      <formula>#REF!="IO"</formula>
    </cfRule>
    <cfRule type="expression" dxfId="14087" priority="7806">
      <formula>#REF!="L"</formula>
    </cfRule>
  </conditionalFormatting>
  <conditionalFormatting sqref="AC15 AG15">
    <cfRule type="expression" dxfId="14086" priority="7789">
      <formula>#REF!="TO"</formula>
    </cfRule>
    <cfRule type="expression" dxfId="14085" priority="7790">
      <formula>#REF!="IO"</formula>
    </cfRule>
    <cfRule type="expression" dxfId="14084" priority="7791">
      <formula>#REF!="L"</formula>
    </cfRule>
  </conditionalFormatting>
  <conditionalFormatting sqref="AI15">
    <cfRule type="expression" dxfId="14083" priority="7792">
      <formula>#REF!="TO"</formula>
    </cfRule>
    <cfRule type="expression" dxfId="14082" priority="7793">
      <formula>#REF!="IO"</formula>
    </cfRule>
    <cfRule type="expression" dxfId="14081" priority="7794">
      <formula>#REF!="L"</formula>
    </cfRule>
    <cfRule type="expression" dxfId="14080" priority="7786">
      <formula>#REF!="TO"</formula>
    </cfRule>
    <cfRule type="expression" dxfId="14079" priority="7787">
      <formula>#REF!="IO"</formula>
    </cfRule>
    <cfRule type="expression" dxfId="14078" priority="7788">
      <formula>#REF!="L"</formula>
    </cfRule>
  </conditionalFormatting>
  <conditionalFormatting sqref="AJ15:AK15">
    <cfRule type="expression" dxfId="14077" priority="7783">
      <formula>#REF!="TO"</formula>
    </cfRule>
    <cfRule type="expression" dxfId="14076" priority="7784">
      <formula>#REF!="IO"</formula>
    </cfRule>
    <cfRule type="expression" dxfId="14075" priority="7785">
      <formula>#REF!="L"</formula>
    </cfRule>
  </conditionalFormatting>
  <conditionalFormatting sqref="AL15">
    <cfRule type="expression" dxfId="14074" priority="7780">
      <formula>#REF!="TO"</formula>
    </cfRule>
    <cfRule type="expression" dxfId="14073" priority="7781">
      <formula>#REF!="IO"</formula>
    </cfRule>
    <cfRule type="expression" dxfId="14072" priority="7782">
      <formula>#REF!="L"</formula>
    </cfRule>
  </conditionalFormatting>
  <conditionalFormatting sqref="AM15">
    <cfRule type="expression" dxfId="14071" priority="7777">
      <formula>#REF!="TO"</formula>
    </cfRule>
    <cfRule type="expression" dxfId="14070" priority="7778">
      <formula>#REF!="IO"</formula>
    </cfRule>
    <cfRule type="expression" dxfId="14069" priority="7779">
      <formula>#REF!="L"</formula>
    </cfRule>
  </conditionalFormatting>
  <conditionalFormatting sqref="AN15">
    <cfRule type="expression" dxfId="14068" priority="7774">
      <formula>#REF!="TO"</formula>
    </cfRule>
    <cfRule type="expression" dxfId="14067" priority="7775">
      <formula>#REF!="IO"</formula>
    </cfRule>
    <cfRule type="expression" dxfId="14066" priority="7776">
      <formula>#REF!="L"</formula>
    </cfRule>
  </conditionalFormatting>
  <conditionalFormatting sqref="AR15">
    <cfRule type="expression" dxfId="14065" priority="7765">
      <formula>#REF!="TO"</formula>
    </cfRule>
    <cfRule type="expression" dxfId="14064" priority="7766">
      <formula>#REF!="IO"</formula>
    </cfRule>
    <cfRule type="expression" dxfId="14063" priority="7767">
      <formula>#REF!="L"</formula>
    </cfRule>
  </conditionalFormatting>
  <conditionalFormatting sqref="AS15">
    <cfRule type="expression" dxfId="14062" priority="7762">
      <formula>#REF!="TO"</formula>
    </cfRule>
    <cfRule type="expression" dxfId="14061" priority="7763">
      <formula>#REF!="IO"</formula>
    </cfRule>
    <cfRule type="expression" dxfId="14060" priority="7764">
      <formula>#REF!="L"</formula>
    </cfRule>
  </conditionalFormatting>
  <conditionalFormatting sqref="AU15:BA15">
    <cfRule type="expression" dxfId="14059" priority="7747">
      <formula>#REF!="TO"</formula>
    </cfRule>
    <cfRule type="expression" dxfId="14058" priority="7748">
      <formula>#REF!="IO"</formula>
    </cfRule>
    <cfRule type="expression" dxfId="14057" priority="7749">
      <formula>#REF!="L"</formula>
    </cfRule>
  </conditionalFormatting>
  <conditionalFormatting sqref="AE15">
    <cfRule type="expression" dxfId="14056" priority="7741">
      <formula>#REF!="TO"</formula>
    </cfRule>
    <cfRule type="expression" dxfId="14055" priority="7742">
      <formula>#REF!="IO"</formula>
    </cfRule>
    <cfRule type="expression" dxfId="14054" priority="7743">
      <formula>#REF!="L"</formula>
    </cfRule>
    <cfRule type="expression" dxfId="14053" priority="7744">
      <formula>E15="TO"</formula>
    </cfRule>
    <cfRule type="expression" dxfId="14052" priority="7745">
      <formula>E15="IO"</formula>
    </cfRule>
    <cfRule type="expression" dxfId="14051" priority="7746">
      <formula>E15="L"</formula>
    </cfRule>
  </conditionalFormatting>
  <conditionalFormatting sqref="AF15">
    <cfRule type="expression" dxfId="14050" priority="7738">
      <formula>#REF!="TO"</formula>
    </cfRule>
    <cfRule type="expression" dxfId="14049" priority="7739">
      <formula>#REF!="IO"</formula>
    </cfRule>
    <cfRule type="expression" dxfId="14048" priority="7740">
      <formula>#REF!="L"</formula>
    </cfRule>
  </conditionalFormatting>
  <conditionalFormatting sqref="AB15:AD15">
    <cfRule type="expression" dxfId="14047" priority="7735">
      <formula>#REF!="TO"</formula>
    </cfRule>
    <cfRule type="expression" dxfId="14046" priority="7736">
      <formula>#REF!="IO"</formula>
    </cfRule>
    <cfRule type="expression" dxfId="14045" priority="7737">
      <formula>#REF!="L"</formula>
    </cfRule>
  </conditionalFormatting>
  <conditionalFormatting sqref="AH15">
    <cfRule type="expression" dxfId="14044" priority="7732">
      <formula>#REF!="TO"</formula>
    </cfRule>
    <cfRule type="expression" dxfId="14043" priority="7733">
      <formula>#REF!="IO"</formula>
    </cfRule>
    <cfRule type="expression" dxfId="14042" priority="7734">
      <formula>#REF!="L"</formula>
    </cfRule>
  </conditionalFormatting>
  <conditionalFormatting sqref="A16">
    <cfRule type="expression" dxfId="14041" priority="7729">
      <formula>#REF!="TO"</formula>
    </cfRule>
    <cfRule type="expression" dxfId="14040" priority="7730">
      <formula>#REF!="IO"</formula>
    </cfRule>
    <cfRule type="expression" dxfId="14039" priority="7731">
      <formula>#REF!="L"</formula>
    </cfRule>
  </conditionalFormatting>
  <conditionalFormatting sqref="AT16">
    <cfRule type="expression" dxfId="14038" priority="7645">
      <formula>#REF!="TO"</formula>
    </cfRule>
    <cfRule type="expression" dxfId="14037" priority="7646">
      <formula>#REF!="IO"</formula>
    </cfRule>
    <cfRule type="expression" dxfId="14036" priority="7647">
      <formula>#REF!="L"</formula>
    </cfRule>
    <cfRule type="expression" dxfId="14035" priority="7648">
      <formula>#REF!="TO"</formula>
    </cfRule>
    <cfRule type="expression" dxfId="14034" priority="7649">
      <formula>#REF!="IO"</formula>
    </cfRule>
    <cfRule type="expression" dxfId="14033" priority="7650">
      <formula>#REF!="L"</formula>
    </cfRule>
  </conditionalFormatting>
  <conditionalFormatting sqref="B16">
    <cfRule type="expression" dxfId="14032" priority="7723">
      <formula>#REF!="TO"</formula>
    </cfRule>
    <cfRule type="expression" dxfId="14031" priority="7724">
      <formula>#REF!="IO"</formula>
    </cfRule>
    <cfRule type="expression" dxfId="14030" priority="7725">
      <formula>#REF!="L"</formula>
    </cfRule>
  </conditionalFormatting>
  <conditionalFormatting sqref="AO16 AQ16">
    <cfRule type="expression" dxfId="14029" priority="7657">
      <formula>#REF!="TO"</formula>
    </cfRule>
    <cfRule type="expression" dxfId="14028" priority="7658">
      <formula>#REF!="IO"</formula>
    </cfRule>
    <cfRule type="expression" dxfId="14027" priority="7659">
      <formula>#REF!="L"</formula>
    </cfRule>
  </conditionalFormatting>
  <conditionalFormatting sqref="D16">
    <cfRule type="expression" dxfId="14026" priority="7720">
      <formula>#REF!="TO"</formula>
    </cfRule>
    <cfRule type="expression" dxfId="14025" priority="7721">
      <formula>#REF!="IO"</formula>
    </cfRule>
    <cfRule type="expression" dxfId="14024" priority="7722">
      <formula>#REF!="L"</formula>
    </cfRule>
  </conditionalFormatting>
  <conditionalFormatting sqref="K16 R16">
    <cfRule type="expression" dxfId="14023" priority="7717">
      <formula>#REF!="TO"</formula>
    </cfRule>
    <cfRule type="expression" dxfId="14022" priority="7718">
      <formula>#REF!="IO"</formula>
    </cfRule>
    <cfRule type="expression" dxfId="14021" priority="7719">
      <formula>#REF!="L"</formula>
    </cfRule>
  </conditionalFormatting>
  <conditionalFormatting sqref="E16:F16">
    <cfRule type="expression" dxfId="14020" priority="7708">
      <formula>#REF!="TO"</formula>
    </cfRule>
    <cfRule type="expression" dxfId="14019" priority="7709">
      <formula>#REF!="IO"</formula>
    </cfRule>
    <cfRule type="expression" dxfId="14018" priority="7710">
      <formula>#REF!="L"</formula>
    </cfRule>
  </conditionalFormatting>
  <conditionalFormatting sqref="S16">
    <cfRule type="expression" dxfId="14017" priority="7702">
      <formula>#REF!="TO"</formula>
    </cfRule>
    <cfRule type="expression" dxfId="14016" priority="7703">
      <formula>#REF!="IO"</formula>
    </cfRule>
    <cfRule type="expression" dxfId="14015" priority="7704">
      <formula>#REF!="L"</formula>
    </cfRule>
  </conditionalFormatting>
  <conditionalFormatting sqref="T16:U16">
    <cfRule type="expression" dxfId="14014" priority="7696">
      <formula>#REF!="TO"</formula>
    </cfRule>
    <cfRule type="expression" dxfId="14013" priority="7697">
      <formula>#REF!="IO"</formula>
    </cfRule>
    <cfRule type="expression" dxfId="14012" priority="7698">
      <formula>#REF!="L"</formula>
    </cfRule>
  </conditionalFormatting>
  <conditionalFormatting sqref="O16">
    <cfRule type="expression" dxfId="14011" priority="7690">
      <formula>#REF!="TO"</formula>
    </cfRule>
    <cfRule type="expression" dxfId="14010" priority="7691">
      <formula>#REF!="IO"</formula>
    </cfRule>
    <cfRule type="expression" dxfId="14009" priority="7692">
      <formula>#REF!="L"</formula>
    </cfRule>
    <cfRule type="expression" dxfId="14008" priority="7693">
      <formula>#REF!="TO"</formula>
    </cfRule>
    <cfRule type="expression" dxfId="14007" priority="7694">
      <formula>#REF!="IO"</formula>
    </cfRule>
    <cfRule type="expression" dxfId="14006" priority="7695">
      <formula>#REF!="L"</formula>
    </cfRule>
  </conditionalFormatting>
  <conditionalFormatting sqref="AC16 AG16">
    <cfRule type="expression" dxfId="14005" priority="7678">
      <formula>#REF!="TO"</formula>
    </cfRule>
    <cfRule type="expression" dxfId="14004" priority="7679">
      <formula>#REF!="IO"</formula>
    </cfRule>
    <cfRule type="expression" dxfId="14003" priority="7680">
      <formula>#REF!="L"</formula>
    </cfRule>
  </conditionalFormatting>
  <conditionalFormatting sqref="AI16">
    <cfRule type="expression" dxfId="14002" priority="7681">
      <formula>#REF!="TO"</formula>
    </cfRule>
    <cfRule type="expression" dxfId="14001" priority="7682">
      <formula>#REF!="IO"</formula>
    </cfRule>
    <cfRule type="expression" dxfId="14000" priority="7683">
      <formula>#REF!="L"</formula>
    </cfRule>
    <cfRule type="expression" dxfId="13999" priority="7675">
      <formula>#REF!="TO"</formula>
    </cfRule>
    <cfRule type="expression" dxfId="13998" priority="7676">
      <formula>#REF!="IO"</formula>
    </cfRule>
    <cfRule type="expression" dxfId="13997" priority="7677">
      <formula>#REF!="L"</formula>
    </cfRule>
  </conditionalFormatting>
  <conditionalFormatting sqref="AJ16:AK16">
    <cfRule type="expression" dxfId="13996" priority="7672">
      <formula>#REF!="TO"</formula>
    </cfRule>
    <cfRule type="expression" dxfId="13995" priority="7673">
      <formula>#REF!="IO"</formula>
    </cfRule>
    <cfRule type="expression" dxfId="13994" priority="7674">
      <formula>#REF!="L"</formula>
    </cfRule>
  </conditionalFormatting>
  <conditionalFormatting sqref="AL16">
    <cfRule type="expression" dxfId="13993" priority="7669">
      <formula>#REF!="TO"</formula>
    </cfRule>
    <cfRule type="expression" dxfId="13992" priority="7670">
      <formula>#REF!="IO"</formula>
    </cfRule>
    <cfRule type="expression" dxfId="13991" priority="7671">
      <formula>#REF!="L"</formula>
    </cfRule>
  </conditionalFormatting>
  <conditionalFormatting sqref="AM16">
    <cfRule type="expression" dxfId="13990" priority="7666">
      <formula>#REF!="TO"</formula>
    </cfRule>
    <cfRule type="expression" dxfId="13989" priority="7667">
      <formula>#REF!="IO"</formula>
    </cfRule>
    <cfRule type="expression" dxfId="13988" priority="7668">
      <formula>#REF!="L"</formula>
    </cfRule>
  </conditionalFormatting>
  <conditionalFormatting sqref="AN16">
    <cfRule type="expression" dxfId="13987" priority="7663">
      <formula>#REF!="TO"</formula>
    </cfRule>
    <cfRule type="expression" dxfId="13986" priority="7664">
      <formula>#REF!="IO"</formula>
    </cfRule>
    <cfRule type="expression" dxfId="13985" priority="7665">
      <formula>#REF!="L"</formula>
    </cfRule>
  </conditionalFormatting>
  <conditionalFormatting sqref="AR16">
    <cfRule type="expression" dxfId="13984" priority="7654">
      <formula>#REF!="TO"</formula>
    </cfRule>
    <cfRule type="expression" dxfId="13983" priority="7655">
      <formula>#REF!="IO"</formula>
    </cfRule>
    <cfRule type="expression" dxfId="13982" priority="7656">
      <formula>#REF!="L"</formula>
    </cfRule>
  </conditionalFormatting>
  <conditionalFormatting sqref="AS16">
    <cfRule type="expression" dxfId="13981" priority="7651">
      <formula>#REF!="TO"</formula>
    </cfRule>
    <cfRule type="expression" dxfId="13980" priority="7652">
      <formula>#REF!="IO"</formula>
    </cfRule>
    <cfRule type="expression" dxfId="13979" priority="7653">
      <formula>#REF!="L"</formula>
    </cfRule>
  </conditionalFormatting>
  <conditionalFormatting sqref="AU16:BA16">
    <cfRule type="expression" dxfId="13978" priority="7636">
      <formula>#REF!="TO"</formula>
    </cfRule>
    <cfRule type="expression" dxfId="13977" priority="7637">
      <formula>#REF!="IO"</formula>
    </cfRule>
    <cfRule type="expression" dxfId="13976" priority="7638">
      <formula>#REF!="L"</formula>
    </cfRule>
  </conditionalFormatting>
  <conditionalFormatting sqref="AE16">
    <cfRule type="expression" dxfId="13975" priority="7630">
      <formula>#REF!="TO"</formula>
    </cfRule>
    <cfRule type="expression" dxfId="13974" priority="7631">
      <formula>#REF!="IO"</formula>
    </cfRule>
    <cfRule type="expression" dxfId="13973" priority="7632">
      <formula>#REF!="L"</formula>
    </cfRule>
    <cfRule type="expression" dxfId="13972" priority="7633">
      <formula>E16="TO"</formula>
    </cfRule>
    <cfRule type="expression" dxfId="13971" priority="7634">
      <formula>E16="IO"</formula>
    </cfRule>
    <cfRule type="expression" dxfId="13970" priority="7635">
      <formula>E16="L"</formula>
    </cfRule>
  </conditionalFormatting>
  <conditionalFormatting sqref="AF16">
    <cfRule type="expression" dxfId="13969" priority="7627">
      <formula>#REF!="TO"</formula>
    </cfRule>
    <cfRule type="expression" dxfId="13968" priority="7628">
      <formula>#REF!="IO"</formula>
    </cfRule>
    <cfRule type="expression" dxfId="13967" priority="7629">
      <formula>#REF!="L"</formula>
    </cfRule>
  </conditionalFormatting>
  <conditionalFormatting sqref="AB16:AD16">
    <cfRule type="expression" dxfId="13966" priority="7624">
      <formula>#REF!="TO"</formula>
    </cfRule>
    <cfRule type="expression" dxfId="13965" priority="7625">
      <formula>#REF!="IO"</formula>
    </cfRule>
    <cfRule type="expression" dxfId="13964" priority="7626">
      <formula>#REF!="L"</formula>
    </cfRule>
  </conditionalFormatting>
  <conditionalFormatting sqref="AH16">
    <cfRule type="expression" dxfId="13963" priority="7621">
      <formula>#REF!="TO"</formula>
    </cfRule>
    <cfRule type="expression" dxfId="13962" priority="7622">
      <formula>#REF!="IO"</formula>
    </cfRule>
    <cfRule type="expression" dxfId="13961" priority="7623">
      <formula>#REF!="L"</formula>
    </cfRule>
  </conditionalFormatting>
  <conditionalFormatting sqref="AU19:BA19">
    <cfRule type="expression" dxfId="13960" priority="7306">
      <formula>#REF!="TO"</formula>
    </cfRule>
    <cfRule type="expression" dxfId="13959" priority="7307">
      <formula>#REF!="IO"</formula>
    </cfRule>
    <cfRule type="expression" dxfId="13958" priority="7308">
      <formula>#REF!="L"</formula>
    </cfRule>
  </conditionalFormatting>
  <conditionalFormatting sqref="AN20">
    <cfRule type="expression" dxfId="13957" priority="7222">
      <formula>#REF!="TO"</formula>
    </cfRule>
    <cfRule type="expression" dxfId="13956" priority="7223">
      <formula>#REF!="IO"</formula>
    </cfRule>
    <cfRule type="expression" dxfId="13955" priority="7224">
      <formula>#REF!="L"</formula>
    </cfRule>
  </conditionalFormatting>
  <conditionalFormatting sqref="AE19">
    <cfRule type="expression" dxfId="13954" priority="7300">
      <formula>#REF!="TO"</formula>
    </cfRule>
    <cfRule type="expression" dxfId="13953" priority="7301">
      <formula>#REF!="IO"</formula>
    </cfRule>
    <cfRule type="expression" dxfId="13952" priority="7302">
      <formula>#REF!="L"</formula>
    </cfRule>
    <cfRule type="expression" dxfId="13951" priority="7303">
      <formula>E19="TO"</formula>
    </cfRule>
    <cfRule type="expression" dxfId="13950" priority="7304">
      <formula>E19="IO"</formula>
    </cfRule>
    <cfRule type="expression" dxfId="13949" priority="7305">
      <formula>E19="L"</formula>
    </cfRule>
  </conditionalFormatting>
  <conditionalFormatting sqref="AB19:AD19">
    <cfRule type="expression" dxfId="13948" priority="7294">
      <formula>#REF!="TO"</formula>
    </cfRule>
    <cfRule type="expression" dxfId="13947" priority="7295">
      <formula>#REF!="IO"</formula>
    </cfRule>
    <cfRule type="expression" dxfId="13946" priority="7296">
      <formula>#REF!="L"</formula>
    </cfRule>
  </conditionalFormatting>
  <conditionalFormatting sqref="A20">
    <cfRule type="expression" dxfId="13945" priority="7288">
      <formula>#REF!="TO"</formula>
    </cfRule>
    <cfRule type="expression" dxfId="13944" priority="7289">
      <formula>#REF!="IO"</formula>
    </cfRule>
    <cfRule type="expression" dxfId="13943" priority="7290">
      <formula>#REF!="L"</formula>
    </cfRule>
  </conditionalFormatting>
  <conditionalFormatting sqref="B20">
    <cfRule type="expression" dxfId="13942" priority="7282">
      <formula>#REF!="TO"</formula>
    </cfRule>
    <cfRule type="expression" dxfId="13941" priority="7283">
      <formula>#REF!="IO"</formula>
    </cfRule>
    <cfRule type="expression" dxfId="13940" priority="7284">
      <formula>#REF!="L"</formula>
    </cfRule>
  </conditionalFormatting>
  <conditionalFormatting sqref="D20">
    <cfRule type="expression" dxfId="13939" priority="7279">
      <formula>#REF!="TO"</formula>
    </cfRule>
    <cfRule type="expression" dxfId="13938" priority="7280">
      <formula>#REF!="IO"</formula>
    </cfRule>
    <cfRule type="expression" dxfId="13937" priority="7281">
      <formula>#REF!="L"</formula>
    </cfRule>
  </conditionalFormatting>
  <conditionalFormatting sqref="O20">
    <cfRule type="expression" dxfId="13936" priority="7249">
      <formula>#REF!="TO"</formula>
    </cfRule>
    <cfRule type="expression" dxfId="13935" priority="7250">
      <formula>#REF!="IO"</formula>
    </cfRule>
    <cfRule type="expression" dxfId="13934" priority="7251">
      <formula>#REF!="L"</formula>
    </cfRule>
    <cfRule type="expression" dxfId="13933" priority="7252">
      <formula>#REF!="TO"</formula>
    </cfRule>
    <cfRule type="expression" dxfId="13932" priority="7253">
      <formula>#REF!="IO"</formula>
    </cfRule>
    <cfRule type="expression" dxfId="13931" priority="7254">
      <formula>#REF!="L"</formula>
    </cfRule>
  </conditionalFormatting>
  <conditionalFormatting sqref="AL20">
    <cfRule type="expression" dxfId="13930" priority="7228">
      <formula>#REF!="TO"</formula>
    </cfRule>
    <cfRule type="expression" dxfId="13929" priority="7229">
      <formula>#REF!="IO"</formula>
    </cfRule>
    <cfRule type="expression" dxfId="13928" priority="7230">
      <formula>#REF!="L"</formula>
    </cfRule>
  </conditionalFormatting>
  <conditionalFormatting sqref="AR20">
    <cfRule type="expression" dxfId="13927" priority="7213">
      <formula>#REF!="TO"</formula>
    </cfRule>
    <cfRule type="expression" dxfId="13926" priority="7214">
      <formula>#REF!="IO"</formula>
    </cfRule>
    <cfRule type="expression" dxfId="13925" priority="7215">
      <formula>#REF!="L"</formula>
    </cfRule>
  </conditionalFormatting>
  <conditionalFormatting sqref="AS20">
    <cfRule type="expression" dxfId="13924" priority="7210">
      <formula>#REF!="TO"</formula>
    </cfRule>
    <cfRule type="expression" dxfId="13923" priority="7211">
      <formula>#REF!="IO"</formula>
    </cfRule>
    <cfRule type="expression" dxfId="13922" priority="7212">
      <formula>#REF!="L"</formula>
    </cfRule>
  </conditionalFormatting>
  <conditionalFormatting sqref="AT20">
    <cfRule type="expression" dxfId="13921" priority="7204">
      <formula>#REF!="TO"</formula>
    </cfRule>
    <cfRule type="expression" dxfId="13920" priority="7205">
      <formula>#REF!="IO"</formula>
    </cfRule>
    <cfRule type="expression" dxfId="13919" priority="7206">
      <formula>#REF!="L"</formula>
    </cfRule>
    <cfRule type="expression" dxfId="13918" priority="7207">
      <formula>#REF!="TO"</formula>
    </cfRule>
    <cfRule type="expression" dxfId="13917" priority="7208">
      <formula>#REF!="IO"</formula>
    </cfRule>
    <cfRule type="expression" dxfId="13916" priority="7209">
      <formula>#REF!="L"</formula>
    </cfRule>
  </conditionalFormatting>
  <conditionalFormatting sqref="AS17">
    <cfRule type="expression" dxfId="13915" priority="7540">
      <formula>#REF!="TO"</formula>
    </cfRule>
    <cfRule type="expression" dxfId="13914" priority="7541">
      <formula>#REF!="IO"</formula>
    </cfRule>
    <cfRule type="expression" dxfId="13913" priority="7542">
      <formula>#REF!="L"</formula>
    </cfRule>
  </conditionalFormatting>
  <conditionalFormatting sqref="AN17">
    <cfRule type="expression" dxfId="13912" priority="7552">
      <formula>#REF!="TO"</formula>
    </cfRule>
    <cfRule type="expression" dxfId="13911" priority="7553">
      <formula>#REF!="IO"</formula>
    </cfRule>
    <cfRule type="expression" dxfId="13910" priority="7554">
      <formula>#REF!="L"</formula>
    </cfRule>
  </conditionalFormatting>
  <conditionalFormatting sqref="A17">
    <cfRule type="expression" dxfId="13909" priority="7618">
      <formula>#REF!="TO"</formula>
    </cfRule>
    <cfRule type="expression" dxfId="13908" priority="7619">
      <formula>#REF!="IO"</formula>
    </cfRule>
    <cfRule type="expression" dxfId="13907" priority="7620">
      <formula>#REF!="L"</formula>
    </cfRule>
  </conditionalFormatting>
  <conditionalFormatting sqref="B17">
    <cfRule type="expression" dxfId="13906" priority="7612">
      <formula>#REF!="TO"</formula>
    </cfRule>
    <cfRule type="expression" dxfId="13905" priority="7613">
      <formula>#REF!="IO"</formula>
    </cfRule>
    <cfRule type="expression" dxfId="13904" priority="7614">
      <formula>#REF!="L"</formula>
    </cfRule>
  </conditionalFormatting>
  <conditionalFormatting sqref="D17">
    <cfRule type="expression" dxfId="13903" priority="7609">
      <formula>#REF!="TO"</formula>
    </cfRule>
    <cfRule type="expression" dxfId="13902" priority="7610">
      <formula>#REF!="IO"</formula>
    </cfRule>
    <cfRule type="expression" dxfId="13901" priority="7611">
      <formula>#REF!="L"</formula>
    </cfRule>
  </conditionalFormatting>
  <conditionalFormatting sqref="E17:F17">
    <cfRule type="expression" dxfId="13900" priority="7597">
      <formula>#REF!="TO"</formula>
    </cfRule>
    <cfRule type="expression" dxfId="13899" priority="7598">
      <formula>#REF!="IO"</formula>
    </cfRule>
    <cfRule type="expression" dxfId="13898" priority="7599">
      <formula>#REF!="L"</formula>
    </cfRule>
  </conditionalFormatting>
  <conditionalFormatting sqref="S17">
    <cfRule type="expression" dxfId="13897" priority="7591">
      <formula>#REF!="TO"</formula>
    </cfRule>
    <cfRule type="expression" dxfId="13896" priority="7592">
      <formula>#REF!="IO"</formula>
    </cfRule>
    <cfRule type="expression" dxfId="13895" priority="7593">
      <formula>#REF!="L"</formula>
    </cfRule>
  </conditionalFormatting>
  <conditionalFormatting sqref="T17:U17">
    <cfRule type="expression" dxfId="13894" priority="7585">
      <formula>#REF!="TO"</formula>
    </cfRule>
    <cfRule type="expression" dxfId="13893" priority="7586">
      <formula>#REF!="IO"</formula>
    </cfRule>
    <cfRule type="expression" dxfId="13892" priority="7587">
      <formula>#REF!="L"</formula>
    </cfRule>
  </conditionalFormatting>
  <conditionalFormatting sqref="AC17 AG17">
    <cfRule type="expression" dxfId="13891" priority="7567">
      <formula>#REF!="TO"</formula>
    </cfRule>
    <cfRule type="expression" dxfId="13890" priority="7568">
      <formula>#REF!="IO"</formula>
    </cfRule>
    <cfRule type="expression" dxfId="13889" priority="7569">
      <formula>#REF!="L"</formula>
    </cfRule>
  </conditionalFormatting>
  <conditionalFormatting sqref="AJ17:AK17">
    <cfRule type="expression" dxfId="13888" priority="7561">
      <formula>#REF!="TO"</formula>
    </cfRule>
    <cfRule type="expression" dxfId="13887" priority="7562">
      <formula>#REF!="IO"</formula>
    </cfRule>
    <cfRule type="expression" dxfId="13886" priority="7563">
      <formula>#REF!="L"</formula>
    </cfRule>
  </conditionalFormatting>
  <conditionalFormatting sqref="AL17">
    <cfRule type="expression" dxfId="13885" priority="7558">
      <formula>#REF!="TO"</formula>
    </cfRule>
    <cfRule type="expression" dxfId="13884" priority="7559">
      <formula>#REF!="IO"</formula>
    </cfRule>
    <cfRule type="expression" dxfId="13883" priority="7560">
      <formula>#REF!="L"</formula>
    </cfRule>
  </conditionalFormatting>
  <conditionalFormatting sqref="AO17 AQ17">
    <cfRule type="expression" dxfId="13882" priority="7546">
      <formula>#REF!="TO"</formula>
    </cfRule>
    <cfRule type="expression" dxfId="13881" priority="7547">
      <formula>#REF!="IO"</formula>
    </cfRule>
    <cfRule type="expression" dxfId="13880" priority="7548">
      <formula>#REF!="L"</formula>
    </cfRule>
  </conditionalFormatting>
  <conditionalFormatting sqref="AT17">
    <cfRule type="expression" dxfId="13879" priority="7537">
      <formula>#REF!="TO"</formula>
    </cfRule>
    <cfRule type="expression" dxfId="13878" priority="7538">
      <formula>#REF!="IO"</formula>
    </cfRule>
    <cfRule type="expression" dxfId="13877" priority="7539">
      <formula>#REF!="L"</formula>
    </cfRule>
    <cfRule type="expression" dxfId="13876" priority="7534">
      <formula>#REF!="TO"</formula>
    </cfRule>
    <cfRule type="expression" dxfId="13875" priority="7535">
      <formula>#REF!="IO"</formula>
    </cfRule>
    <cfRule type="expression" dxfId="13874" priority="7536">
      <formula>#REF!="L"</formula>
    </cfRule>
  </conditionalFormatting>
  <conditionalFormatting sqref="AU17:BA17">
    <cfRule type="expression" dxfId="13873" priority="7525">
      <formula>#REF!="TO"</formula>
    </cfRule>
    <cfRule type="expression" dxfId="13872" priority="7526">
      <formula>#REF!="IO"</formula>
    </cfRule>
    <cfRule type="expression" dxfId="13871" priority="7527">
      <formula>#REF!="L"</formula>
    </cfRule>
  </conditionalFormatting>
  <conditionalFormatting sqref="AH17">
    <cfRule type="expression" dxfId="13870" priority="7510">
      <formula>#REF!="TO"</formula>
    </cfRule>
    <cfRule type="expression" dxfId="13869" priority="7511">
      <formula>#REF!="IO"</formula>
    </cfRule>
    <cfRule type="expression" dxfId="13868" priority="7512">
      <formula>#REF!="L"</formula>
    </cfRule>
  </conditionalFormatting>
  <conditionalFormatting sqref="K17 R17">
    <cfRule type="expression" dxfId="13867" priority="7606">
      <formula>#REF!="TO"</formula>
    </cfRule>
    <cfRule type="expression" dxfId="13866" priority="7607">
      <formula>#REF!="IO"</formula>
    </cfRule>
    <cfRule type="expression" dxfId="13865" priority="7608">
      <formula>#REF!="L"</formula>
    </cfRule>
  </conditionalFormatting>
  <conditionalFormatting sqref="O17">
    <cfRule type="expression" dxfId="13864" priority="7579">
      <formula>#REF!="TO"</formula>
    </cfRule>
    <cfRule type="expression" dxfId="13863" priority="7580">
      <formula>#REF!="IO"</formula>
    </cfRule>
    <cfRule type="expression" dxfId="13862" priority="7581">
      <formula>#REF!="L"</formula>
    </cfRule>
    <cfRule type="expression" dxfId="13861" priority="7582">
      <formula>#REF!="TO"</formula>
    </cfRule>
    <cfRule type="expression" dxfId="13860" priority="7583">
      <formula>#REF!="IO"</formula>
    </cfRule>
    <cfRule type="expression" dxfId="13859" priority="7584">
      <formula>#REF!="L"</formula>
    </cfRule>
  </conditionalFormatting>
  <conditionalFormatting sqref="AI17">
    <cfRule type="expression" dxfId="13858" priority="7570">
      <formula>#REF!="TO"</formula>
    </cfRule>
    <cfRule type="expression" dxfId="13857" priority="7571">
      <formula>#REF!="IO"</formula>
    </cfRule>
    <cfRule type="expression" dxfId="13856" priority="7572">
      <formula>#REF!="L"</formula>
    </cfRule>
    <cfRule type="expression" dxfId="13855" priority="7564">
      <formula>#REF!="TO"</formula>
    </cfRule>
    <cfRule type="expression" dxfId="13854" priority="7565">
      <formula>#REF!="IO"</formula>
    </cfRule>
    <cfRule type="expression" dxfId="13853" priority="7566">
      <formula>#REF!="L"</formula>
    </cfRule>
  </conditionalFormatting>
  <conditionalFormatting sqref="AM17">
    <cfRule type="expression" dxfId="13852" priority="7555">
      <formula>#REF!="TO"</formula>
    </cfRule>
    <cfRule type="expression" dxfId="13851" priority="7556">
      <formula>#REF!="IO"</formula>
    </cfRule>
    <cfRule type="expression" dxfId="13850" priority="7557">
      <formula>#REF!="L"</formula>
    </cfRule>
  </conditionalFormatting>
  <conditionalFormatting sqref="AR17">
    <cfRule type="expression" dxfId="13849" priority="7543">
      <formula>#REF!="TO"</formula>
    </cfRule>
    <cfRule type="expression" dxfId="13848" priority="7544">
      <formula>#REF!="IO"</formula>
    </cfRule>
    <cfRule type="expression" dxfId="13847" priority="7545">
      <formula>#REF!="L"</formula>
    </cfRule>
  </conditionalFormatting>
  <conditionalFormatting sqref="AE17">
    <cfRule type="expression" dxfId="13846" priority="7519">
      <formula>#REF!="TO"</formula>
    </cfRule>
    <cfRule type="expression" dxfId="13845" priority="7520">
      <formula>#REF!="IO"</formula>
    </cfRule>
    <cfRule type="expression" dxfId="13844" priority="7521">
      <formula>#REF!="L"</formula>
    </cfRule>
    <cfRule type="expression" dxfId="13843" priority="7522">
      <formula>E17="TO"</formula>
    </cfRule>
    <cfRule type="expression" dxfId="13842" priority="7523">
      <formula>E17="IO"</formula>
    </cfRule>
    <cfRule type="expression" dxfId="13841" priority="7524">
      <formula>E17="L"</formula>
    </cfRule>
  </conditionalFormatting>
  <conditionalFormatting sqref="AF17">
    <cfRule type="expression" dxfId="13840" priority="7516">
      <formula>#REF!="TO"</formula>
    </cfRule>
    <cfRule type="expression" dxfId="13839" priority="7517">
      <formula>#REF!="IO"</formula>
    </cfRule>
    <cfRule type="expression" dxfId="13838" priority="7518">
      <formula>#REF!="L"</formula>
    </cfRule>
  </conditionalFormatting>
  <conditionalFormatting sqref="AB17:AD17">
    <cfRule type="expression" dxfId="13837" priority="7513">
      <formula>#REF!="TO"</formula>
    </cfRule>
    <cfRule type="expression" dxfId="13836" priority="7514">
      <formula>#REF!="IO"</formula>
    </cfRule>
    <cfRule type="expression" dxfId="13835" priority="7515">
      <formula>#REF!="L"</formula>
    </cfRule>
  </conditionalFormatting>
  <conditionalFormatting sqref="A18">
    <cfRule type="expression" dxfId="13834" priority="7507">
      <formula>#REF!="TO"</formula>
    </cfRule>
    <cfRule type="expression" dxfId="13833" priority="7508">
      <formula>#REF!="IO"</formula>
    </cfRule>
    <cfRule type="expression" dxfId="13832" priority="7509">
      <formula>#REF!="L"</formula>
    </cfRule>
  </conditionalFormatting>
  <conditionalFormatting sqref="AT18">
    <cfRule type="expression" dxfId="13831" priority="7426">
      <formula>#REF!="TO"</formula>
    </cfRule>
    <cfRule type="expression" dxfId="13830" priority="7427">
      <formula>#REF!="IO"</formula>
    </cfRule>
    <cfRule type="expression" dxfId="13829" priority="7428">
      <formula>#REF!="L"</formula>
    </cfRule>
    <cfRule type="expression" dxfId="13828" priority="7429">
      <formula>#REF!="TO"</formula>
    </cfRule>
    <cfRule type="expression" dxfId="13827" priority="7430">
      <formula>#REF!="IO"</formula>
    </cfRule>
    <cfRule type="expression" dxfId="13826" priority="7431">
      <formula>#REF!="L"</formula>
    </cfRule>
  </conditionalFormatting>
  <conditionalFormatting sqref="B18">
    <cfRule type="expression" dxfId="13825" priority="7501">
      <formula>#REF!="TO"</formula>
    </cfRule>
    <cfRule type="expression" dxfId="13824" priority="7502">
      <formula>#REF!="IO"</formula>
    </cfRule>
    <cfRule type="expression" dxfId="13823" priority="7503">
      <formula>#REF!="L"</formula>
    </cfRule>
  </conditionalFormatting>
  <conditionalFormatting sqref="AO18 AQ18">
    <cfRule type="expression" dxfId="13822" priority="7438">
      <formula>#REF!="TO"</formula>
    </cfRule>
    <cfRule type="expression" dxfId="13821" priority="7439">
      <formula>#REF!="IO"</formula>
    </cfRule>
    <cfRule type="expression" dxfId="13820" priority="7440">
      <formula>#REF!="L"</formula>
    </cfRule>
  </conditionalFormatting>
  <conditionalFormatting sqref="D18">
    <cfRule type="expression" dxfId="13819" priority="7498">
      <formula>#REF!="TO"</formula>
    </cfRule>
    <cfRule type="expression" dxfId="13818" priority="7499">
      <formula>#REF!="IO"</formula>
    </cfRule>
    <cfRule type="expression" dxfId="13817" priority="7500">
      <formula>#REF!="L"</formula>
    </cfRule>
  </conditionalFormatting>
  <conditionalFormatting sqref="K18 R18">
    <cfRule type="expression" dxfId="13816" priority="7495">
      <formula>#REF!="TO"</formula>
    </cfRule>
    <cfRule type="expression" dxfId="13815" priority="7496">
      <formula>#REF!="IO"</formula>
    </cfRule>
    <cfRule type="expression" dxfId="13814" priority="7497">
      <formula>#REF!="L"</formula>
    </cfRule>
  </conditionalFormatting>
  <conditionalFormatting sqref="E18:F18">
    <cfRule type="expression" dxfId="13813" priority="7486">
      <formula>#REF!="TO"</formula>
    </cfRule>
    <cfRule type="expression" dxfId="13812" priority="7487">
      <formula>#REF!="IO"</formula>
    </cfRule>
    <cfRule type="expression" dxfId="13811" priority="7488">
      <formula>#REF!="L"</formula>
    </cfRule>
  </conditionalFormatting>
  <conditionalFormatting sqref="S18">
    <cfRule type="expression" dxfId="13810" priority="7480">
      <formula>#REF!="TO"</formula>
    </cfRule>
    <cfRule type="expression" dxfId="13809" priority="7481">
      <formula>#REF!="IO"</formula>
    </cfRule>
    <cfRule type="expression" dxfId="13808" priority="7482">
      <formula>#REF!="L"</formula>
    </cfRule>
  </conditionalFormatting>
  <conditionalFormatting sqref="O18">
    <cfRule type="expression" dxfId="13807" priority="7471">
      <formula>#REF!="TO"</formula>
    </cfRule>
    <cfRule type="expression" dxfId="13806" priority="7472">
      <formula>#REF!="IO"</formula>
    </cfRule>
    <cfRule type="expression" dxfId="13805" priority="7473">
      <formula>#REF!="L"</formula>
    </cfRule>
    <cfRule type="expression" dxfId="13804" priority="7474">
      <formula>#REF!="TO"</formula>
    </cfRule>
    <cfRule type="expression" dxfId="13803" priority="7475">
      <formula>#REF!="IO"</formula>
    </cfRule>
    <cfRule type="expression" dxfId="13802" priority="7476">
      <formula>#REF!="L"</formula>
    </cfRule>
  </conditionalFormatting>
  <conditionalFormatting sqref="AC18 AG18">
    <cfRule type="expression" dxfId="13801" priority="7459">
      <formula>#REF!="TO"</formula>
    </cfRule>
    <cfRule type="expression" dxfId="13800" priority="7460">
      <formula>#REF!="IO"</formula>
    </cfRule>
    <cfRule type="expression" dxfId="13799" priority="7461">
      <formula>#REF!="L"</formula>
    </cfRule>
  </conditionalFormatting>
  <conditionalFormatting sqref="AI18">
    <cfRule type="expression" dxfId="13798" priority="7462">
      <formula>#REF!="TO"</formula>
    </cfRule>
    <cfRule type="expression" dxfId="13797" priority="7463">
      <formula>#REF!="IO"</formula>
    </cfRule>
    <cfRule type="expression" dxfId="13796" priority="7464">
      <formula>#REF!="L"</formula>
    </cfRule>
    <cfRule type="expression" dxfId="13795" priority="7456">
      <formula>#REF!="TO"</formula>
    </cfRule>
    <cfRule type="expression" dxfId="13794" priority="7457">
      <formula>#REF!="IO"</formula>
    </cfRule>
    <cfRule type="expression" dxfId="13793" priority="7458">
      <formula>#REF!="L"</formula>
    </cfRule>
  </conditionalFormatting>
  <conditionalFormatting sqref="AJ18:AK18">
    <cfRule type="expression" dxfId="13792" priority="7453">
      <formula>#REF!="TO"</formula>
    </cfRule>
    <cfRule type="expression" dxfId="13791" priority="7454">
      <formula>#REF!="IO"</formula>
    </cfRule>
    <cfRule type="expression" dxfId="13790" priority="7455">
      <formula>#REF!="L"</formula>
    </cfRule>
  </conditionalFormatting>
  <conditionalFormatting sqref="AL18">
    <cfRule type="expression" dxfId="13789" priority="7450">
      <formula>#REF!="TO"</formula>
    </cfRule>
    <cfRule type="expression" dxfId="13788" priority="7451">
      <formula>#REF!="IO"</formula>
    </cfRule>
    <cfRule type="expression" dxfId="13787" priority="7452">
      <formula>#REF!="L"</formula>
    </cfRule>
  </conditionalFormatting>
  <conditionalFormatting sqref="AM18">
    <cfRule type="expression" dxfId="13786" priority="7447">
      <formula>#REF!="TO"</formula>
    </cfRule>
    <cfRule type="expression" dxfId="13785" priority="7448">
      <formula>#REF!="IO"</formula>
    </cfRule>
    <cfRule type="expression" dxfId="13784" priority="7449">
      <formula>#REF!="L"</formula>
    </cfRule>
  </conditionalFormatting>
  <conditionalFormatting sqref="AN18">
    <cfRule type="expression" dxfId="13783" priority="7444">
      <formula>#REF!="TO"</formula>
    </cfRule>
    <cfRule type="expression" dxfId="13782" priority="7445">
      <formula>#REF!="IO"</formula>
    </cfRule>
    <cfRule type="expression" dxfId="13781" priority="7446">
      <formula>#REF!="L"</formula>
    </cfRule>
  </conditionalFormatting>
  <conditionalFormatting sqref="AR18">
    <cfRule type="expression" dxfId="13780" priority="7435">
      <formula>#REF!="TO"</formula>
    </cfRule>
    <cfRule type="expression" dxfId="13779" priority="7436">
      <formula>#REF!="IO"</formula>
    </cfRule>
    <cfRule type="expression" dxfId="13778" priority="7437">
      <formula>#REF!="L"</formula>
    </cfRule>
  </conditionalFormatting>
  <conditionalFormatting sqref="AS18">
    <cfRule type="expression" dxfId="13777" priority="7432">
      <formula>#REF!="TO"</formula>
    </cfRule>
    <cfRule type="expression" dxfId="13776" priority="7433">
      <formula>#REF!="IO"</formula>
    </cfRule>
    <cfRule type="expression" dxfId="13775" priority="7434">
      <formula>#REF!="L"</formula>
    </cfRule>
  </conditionalFormatting>
  <conditionalFormatting sqref="AU18:BA18">
    <cfRule type="expression" dxfId="13774" priority="7417">
      <formula>#REF!="TO"</formula>
    </cfRule>
    <cfRule type="expression" dxfId="13773" priority="7418">
      <formula>#REF!="IO"</formula>
    </cfRule>
    <cfRule type="expression" dxfId="13772" priority="7419">
      <formula>#REF!="L"</formula>
    </cfRule>
  </conditionalFormatting>
  <conditionalFormatting sqref="AE18">
    <cfRule type="expression" dxfId="13771" priority="7411">
      <formula>#REF!="TO"</formula>
    </cfRule>
    <cfRule type="expression" dxfId="13770" priority="7412">
      <formula>#REF!="IO"</formula>
    </cfRule>
    <cfRule type="expression" dxfId="13769" priority="7413">
      <formula>#REF!="L"</formula>
    </cfRule>
    <cfRule type="expression" dxfId="13768" priority="7414">
      <formula>E18="TO"</formula>
    </cfRule>
    <cfRule type="expression" dxfId="13767" priority="7415">
      <formula>E18="IO"</formula>
    </cfRule>
    <cfRule type="expression" dxfId="13766" priority="7416">
      <formula>E18="L"</formula>
    </cfRule>
  </conditionalFormatting>
  <conditionalFormatting sqref="AF18">
    <cfRule type="expression" dxfId="13765" priority="7408">
      <formula>#REF!="TO"</formula>
    </cfRule>
    <cfRule type="expression" dxfId="13764" priority="7409">
      <formula>#REF!="IO"</formula>
    </cfRule>
    <cfRule type="expression" dxfId="13763" priority="7410">
      <formula>#REF!="L"</formula>
    </cfRule>
  </conditionalFormatting>
  <conditionalFormatting sqref="AB18:AD18">
    <cfRule type="expression" dxfId="13762" priority="7405">
      <formula>#REF!="TO"</formula>
    </cfRule>
    <cfRule type="expression" dxfId="13761" priority="7406">
      <formula>#REF!="IO"</formula>
    </cfRule>
    <cfRule type="expression" dxfId="13760" priority="7407">
      <formula>#REF!="L"</formula>
    </cfRule>
  </conditionalFormatting>
  <conditionalFormatting sqref="AH18">
    <cfRule type="expression" dxfId="13759" priority="7402">
      <formula>#REF!="TO"</formula>
    </cfRule>
    <cfRule type="expression" dxfId="13758" priority="7403">
      <formula>#REF!="IO"</formula>
    </cfRule>
    <cfRule type="expression" dxfId="13757" priority="7404">
      <formula>#REF!="L"</formula>
    </cfRule>
  </conditionalFormatting>
  <conditionalFormatting sqref="A19">
    <cfRule type="expression" dxfId="13756" priority="7399">
      <formula>#REF!="TO"</formula>
    </cfRule>
    <cfRule type="expression" dxfId="13755" priority="7400">
      <formula>#REF!="IO"</formula>
    </cfRule>
    <cfRule type="expression" dxfId="13754" priority="7401">
      <formula>#REF!="L"</formula>
    </cfRule>
  </conditionalFormatting>
  <conditionalFormatting sqref="AT19">
    <cfRule type="expression" dxfId="13753" priority="7315">
      <formula>#REF!="TO"</formula>
    </cfRule>
    <cfRule type="expression" dxfId="13752" priority="7316">
      <formula>#REF!="IO"</formula>
    </cfRule>
    <cfRule type="expression" dxfId="13751" priority="7317">
      <formula>#REF!="L"</formula>
    </cfRule>
    <cfRule type="expression" dxfId="13750" priority="7318">
      <formula>#REF!="TO"</formula>
    </cfRule>
    <cfRule type="expression" dxfId="13749" priority="7319">
      <formula>#REF!="IO"</formula>
    </cfRule>
    <cfRule type="expression" dxfId="13748" priority="7320">
      <formula>#REF!="L"</formula>
    </cfRule>
  </conditionalFormatting>
  <conditionalFormatting sqref="B19">
    <cfRule type="expression" dxfId="13747" priority="7393">
      <formula>#REF!="TO"</formula>
    </cfRule>
    <cfRule type="expression" dxfId="13746" priority="7394">
      <formula>#REF!="IO"</formula>
    </cfRule>
    <cfRule type="expression" dxfId="13745" priority="7395">
      <formula>#REF!="L"</formula>
    </cfRule>
  </conditionalFormatting>
  <conditionalFormatting sqref="AO19 AQ19">
    <cfRule type="expression" dxfId="13744" priority="7327">
      <formula>#REF!="TO"</formula>
    </cfRule>
    <cfRule type="expression" dxfId="13743" priority="7328">
      <formula>#REF!="IO"</formula>
    </cfRule>
    <cfRule type="expression" dxfId="13742" priority="7329">
      <formula>#REF!="L"</formula>
    </cfRule>
  </conditionalFormatting>
  <conditionalFormatting sqref="D19">
    <cfRule type="expression" dxfId="13741" priority="7390">
      <formula>#REF!="TO"</formula>
    </cfRule>
    <cfRule type="expression" dxfId="13740" priority="7391">
      <formula>#REF!="IO"</formula>
    </cfRule>
    <cfRule type="expression" dxfId="13739" priority="7392">
      <formula>#REF!="L"</formula>
    </cfRule>
  </conditionalFormatting>
  <conditionalFormatting sqref="K19 R19">
    <cfRule type="expression" dxfId="13738" priority="7387">
      <formula>#REF!="TO"</formula>
    </cfRule>
    <cfRule type="expression" dxfId="13737" priority="7388">
      <formula>#REF!="IO"</formula>
    </cfRule>
    <cfRule type="expression" dxfId="13736" priority="7389">
      <formula>#REF!="L"</formula>
    </cfRule>
  </conditionalFormatting>
  <conditionalFormatting sqref="E19:F19">
    <cfRule type="expression" dxfId="13735" priority="7378">
      <formula>#REF!="TO"</formula>
    </cfRule>
    <cfRule type="expression" dxfId="13734" priority="7379">
      <formula>#REF!="IO"</formula>
    </cfRule>
    <cfRule type="expression" dxfId="13733" priority="7380">
      <formula>#REF!="L"</formula>
    </cfRule>
  </conditionalFormatting>
  <conditionalFormatting sqref="S19">
    <cfRule type="expression" dxfId="13732" priority="7372">
      <formula>#REF!="TO"</formula>
    </cfRule>
    <cfRule type="expression" dxfId="13731" priority="7373">
      <formula>#REF!="IO"</formula>
    </cfRule>
    <cfRule type="expression" dxfId="13730" priority="7374">
      <formula>#REF!="L"</formula>
    </cfRule>
  </conditionalFormatting>
  <conditionalFormatting sqref="T19:U19">
    <cfRule type="expression" dxfId="13729" priority="7366">
      <formula>#REF!="TO"</formula>
    </cfRule>
    <cfRule type="expression" dxfId="13728" priority="7367">
      <formula>#REF!="IO"</formula>
    </cfRule>
    <cfRule type="expression" dxfId="13727" priority="7368">
      <formula>#REF!="L"</formula>
    </cfRule>
  </conditionalFormatting>
  <conditionalFormatting sqref="O19">
    <cfRule type="expression" dxfId="13726" priority="7360">
      <formula>#REF!="TO"</formula>
    </cfRule>
    <cfRule type="expression" dxfId="13725" priority="7361">
      <formula>#REF!="IO"</formula>
    </cfRule>
    <cfRule type="expression" dxfId="13724" priority="7362">
      <formula>#REF!="L"</formula>
    </cfRule>
    <cfRule type="expression" dxfId="13723" priority="7363">
      <formula>#REF!="TO"</formula>
    </cfRule>
    <cfRule type="expression" dxfId="13722" priority="7364">
      <formula>#REF!="IO"</formula>
    </cfRule>
    <cfRule type="expression" dxfId="13721" priority="7365">
      <formula>#REF!="L"</formula>
    </cfRule>
  </conditionalFormatting>
  <conditionalFormatting sqref="AC19 AG19">
    <cfRule type="expression" dxfId="13720" priority="7348">
      <formula>#REF!="TO"</formula>
    </cfRule>
    <cfRule type="expression" dxfId="13719" priority="7349">
      <formula>#REF!="IO"</formula>
    </cfRule>
    <cfRule type="expression" dxfId="13718" priority="7350">
      <formula>#REF!="L"</formula>
    </cfRule>
  </conditionalFormatting>
  <conditionalFormatting sqref="AI19">
    <cfRule type="expression" dxfId="13717" priority="7351">
      <formula>#REF!="TO"</formula>
    </cfRule>
    <cfRule type="expression" dxfId="13716" priority="7352">
      <formula>#REF!="IO"</formula>
    </cfRule>
    <cfRule type="expression" dxfId="13715" priority="7353">
      <formula>#REF!="L"</formula>
    </cfRule>
    <cfRule type="expression" dxfId="13714" priority="7345">
      <formula>#REF!="TO"</formula>
    </cfRule>
    <cfRule type="expression" dxfId="13713" priority="7346">
      <formula>#REF!="IO"</formula>
    </cfRule>
    <cfRule type="expression" dxfId="13712" priority="7347">
      <formula>#REF!="L"</formula>
    </cfRule>
  </conditionalFormatting>
  <conditionalFormatting sqref="AJ19:AK19">
    <cfRule type="expression" dxfId="13711" priority="7342">
      <formula>#REF!="TO"</formula>
    </cfRule>
    <cfRule type="expression" dxfId="13710" priority="7343">
      <formula>#REF!="IO"</formula>
    </cfRule>
    <cfRule type="expression" dxfId="13709" priority="7344">
      <formula>#REF!="L"</formula>
    </cfRule>
  </conditionalFormatting>
  <conditionalFormatting sqref="AL19">
    <cfRule type="expression" dxfId="13708" priority="7339">
      <formula>#REF!="TO"</formula>
    </cfRule>
    <cfRule type="expression" dxfId="13707" priority="7340">
      <formula>#REF!="IO"</formula>
    </cfRule>
    <cfRule type="expression" dxfId="13706" priority="7341">
      <formula>#REF!="L"</formula>
    </cfRule>
  </conditionalFormatting>
  <conditionalFormatting sqref="AM19">
    <cfRule type="expression" dxfId="13705" priority="7336">
      <formula>#REF!="TO"</formula>
    </cfRule>
    <cfRule type="expression" dxfId="13704" priority="7337">
      <formula>#REF!="IO"</formula>
    </cfRule>
    <cfRule type="expression" dxfId="13703" priority="7338">
      <formula>#REF!="L"</formula>
    </cfRule>
  </conditionalFormatting>
  <conditionalFormatting sqref="AN19">
    <cfRule type="expression" dxfId="13702" priority="7333">
      <formula>#REF!="TO"</formula>
    </cfRule>
    <cfRule type="expression" dxfId="13701" priority="7334">
      <formula>#REF!="IO"</formula>
    </cfRule>
    <cfRule type="expression" dxfId="13700" priority="7335">
      <formula>#REF!="L"</formula>
    </cfRule>
  </conditionalFormatting>
  <conditionalFormatting sqref="AR19">
    <cfRule type="expression" dxfId="13699" priority="7324">
      <formula>#REF!="TO"</formula>
    </cfRule>
    <cfRule type="expression" dxfId="13698" priority="7325">
      <formula>#REF!="IO"</formula>
    </cfRule>
    <cfRule type="expression" dxfId="13697" priority="7326">
      <formula>#REF!="L"</formula>
    </cfRule>
  </conditionalFormatting>
  <conditionalFormatting sqref="AS19">
    <cfRule type="expression" dxfId="13696" priority="7321">
      <formula>#REF!="TO"</formula>
    </cfRule>
    <cfRule type="expression" dxfId="13695" priority="7322">
      <formula>#REF!="IO"</formula>
    </cfRule>
    <cfRule type="expression" dxfId="13694" priority="7323">
      <formula>#REF!="L"</formula>
    </cfRule>
  </conditionalFormatting>
  <conditionalFormatting sqref="AF19">
    <cfRule type="expression" dxfId="13693" priority="7297">
      <formula>#REF!="TO"</formula>
    </cfRule>
    <cfRule type="expression" dxfId="13692" priority="7298">
      <formula>#REF!="IO"</formula>
    </cfRule>
    <cfRule type="expression" dxfId="13691" priority="7299">
      <formula>#REF!="L"</formula>
    </cfRule>
  </conditionalFormatting>
  <conditionalFormatting sqref="AH19">
    <cfRule type="expression" dxfId="13690" priority="7291">
      <formula>#REF!="TO"</formula>
    </cfRule>
    <cfRule type="expression" dxfId="13689" priority="7292">
      <formula>#REF!="IO"</formula>
    </cfRule>
    <cfRule type="expression" dxfId="13688" priority="7293">
      <formula>#REF!="L"</formula>
    </cfRule>
  </conditionalFormatting>
  <conditionalFormatting sqref="AO20 AQ20">
    <cfRule type="expression" dxfId="13687" priority="7216">
      <formula>#REF!="TO"</formula>
    </cfRule>
    <cfRule type="expression" dxfId="13686" priority="7217">
      <formula>#REF!="IO"</formula>
    </cfRule>
    <cfRule type="expression" dxfId="13685" priority="7218">
      <formula>#REF!="L"</formula>
    </cfRule>
  </conditionalFormatting>
  <conditionalFormatting sqref="K20 R20">
    <cfRule type="expression" dxfId="13684" priority="7276">
      <formula>#REF!="TO"</formula>
    </cfRule>
    <cfRule type="expression" dxfId="13683" priority="7277">
      <formula>#REF!="IO"</formula>
    </cfRule>
    <cfRule type="expression" dxfId="13682" priority="7278">
      <formula>#REF!="L"</formula>
    </cfRule>
  </conditionalFormatting>
  <conditionalFormatting sqref="E20:F20">
    <cfRule type="expression" dxfId="13681" priority="7267">
      <formula>#REF!="TO"</formula>
    </cfRule>
    <cfRule type="expression" dxfId="13680" priority="7268">
      <formula>#REF!="IO"</formula>
    </cfRule>
    <cfRule type="expression" dxfId="13679" priority="7269">
      <formula>#REF!="L"</formula>
    </cfRule>
  </conditionalFormatting>
  <conditionalFormatting sqref="S20">
    <cfRule type="expression" dxfId="13678" priority="7261">
      <formula>#REF!="TO"</formula>
    </cfRule>
    <cfRule type="expression" dxfId="13677" priority="7262">
      <formula>#REF!="IO"</formula>
    </cfRule>
    <cfRule type="expression" dxfId="13676" priority="7263">
      <formula>#REF!="L"</formula>
    </cfRule>
  </conditionalFormatting>
  <conditionalFormatting sqref="T20:U20">
    <cfRule type="expression" dxfId="13675" priority="7255">
      <formula>#REF!="TO"</formula>
    </cfRule>
    <cfRule type="expression" dxfId="13674" priority="7256">
      <formula>#REF!="IO"</formula>
    </cfRule>
    <cfRule type="expression" dxfId="13673" priority="7257">
      <formula>#REF!="L"</formula>
    </cfRule>
  </conditionalFormatting>
  <conditionalFormatting sqref="AC20 AG20">
    <cfRule type="expression" dxfId="13672" priority="7237">
      <formula>#REF!="TO"</formula>
    </cfRule>
    <cfRule type="expression" dxfId="13671" priority="7238">
      <formula>#REF!="IO"</formula>
    </cfRule>
    <cfRule type="expression" dxfId="13670" priority="7239">
      <formula>#REF!="L"</formula>
    </cfRule>
  </conditionalFormatting>
  <conditionalFormatting sqref="AI20">
    <cfRule type="expression" dxfId="13669" priority="7240">
      <formula>#REF!="TO"</formula>
    </cfRule>
    <cfRule type="expression" dxfId="13668" priority="7241">
      <formula>#REF!="IO"</formula>
    </cfRule>
    <cfRule type="expression" dxfId="13667" priority="7242">
      <formula>#REF!="L"</formula>
    </cfRule>
    <cfRule type="expression" dxfId="13666" priority="7234">
      <formula>#REF!="TO"</formula>
    </cfRule>
    <cfRule type="expression" dxfId="13665" priority="7235">
      <formula>#REF!="IO"</formula>
    </cfRule>
    <cfRule type="expression" dxfId="13664" priority="7236">
      <formula>#REF!="L"</formula>
    </cfRule>
  </conditionalFormatting>
  <conditionalFormatting sqref="AJ20:AK20">
    <cfRule type="expression" dxfId="13663" priority="7231">
      <formula>#REF!="TO"</formula>
    </cfRule>
    <cfRule type="expression" dxfId="13662" priority="7232">
      <formula>#REF!="IO"</formula>
    </cfRule>
    <cfRule type="expression" dxfId="13661" priority="7233">
      <formula>#REF!="L"</formula>
    </cfRule>
  </conditionalFormatting>
  <conditionalFormatting sqref="AM20">
    <cfRule type="expression" dxfId="13660" priority="7225">
      <formula>#REF!="TO"</formula>
    </cfRule>
    <cfRule type="expression" dxfId="13659" priority="7226">
      <formula>#REF!="IO"</formula>
    </cfRule>
    <cfRule type="expression" dxfId="13658" priority="7227">
      <formula>#REF!="L"</formula>
    </cfRule>
  </conditionalFormatting>
  <conditionalFormatting sqref="AU20:BA20">
    <cfRule type="expression" dxfId="13657" priority="7195">
      <formula>#REF!="TO"</formula>
    </cfRule>
    <cfRule type="expression" dxfId="13656" priority="7196">
      <formula>#REF!="IO"</formula>
    </cfRule>
    <cfRule type="expression" dxfId="13655" priority="7197">
      <formula>#REF!="L"</formula>
    </cfRule>
  </conditionalFormatting>
  <conditionalFormatting sqref="AE20">
    <cfRule type="expression" dxfId="13654" priority="7189">
      <formula>#REF!="TO"</formula>
    </cfRule>
    <cfRule type="expression" dxfId="13653" priority="7190">
      <formula>#REF!="IO"</formula>
    </cfRule>
    <cfRule type="expression" dxfId="13652" priority="7191">
      <formula>#REF!="L"</formula>
    </cfRule>
    <cfRule type="expression" dxfId="13651" priority="7192">
      <formula>E20="TO"</formula>
    </cfRule>
    <cfRule type="expression" dxfId="13650" priority="7193">
      <formula>E20="IO"</formula>
    </cfRule>
    <cfRule type="expression" dxfId="13649" priority="7194">
      <formula>E20="L"</formula>
    </cfRule>
  </conditionalFormatting>
  <conditionalFormatting sqref="AF20">
    <cfRule type="expression" dxfId="13648" priority="7186">
      <formula>#REF!="TO"</formula>
    </cfRule>
    <cfRule type="expression" dxfId="13647" priority="7187">
      <formula>#REF!="IO"</formula>
    </cfRule>
    <cfRule type="expression" dxfId="13646" priority="7188">
      <formula>#REF!="L"</formula>
    </cfRule>
  </conditionalFormatting>
  <conditionalFormatting sqref="AB20:AD20">
    <cfRule type="expression" dxfId="13645" priority="7183">
      <formula>#REF!="TO"</formula>
    </cfRule>
    <cfRule type="expression" dxfId="13644" priority="7184">
      <formula>#REF!="IO"</formula>
    </cfRule>
    <cfRule type="expression" dxfId="13643" priority="7185">
      <formula>#REF!="L"</formula>
    </cfRule>
  </conditionalFormatting>
  <conditionalFormatting sqref="AH20">
    <cfRule type="expression" dxfId="13642" priority="7180">
      <formula>#REF!="TO"</formula>
    </cfRule>
    <cfRule type="expression" dxfId="13641" priority="7181">
      <formula>#REF!="IO"</formula>
    </cfRule>
    <cfRule type="expression" dxfId="13640" priority="7182">
      <formula>#REF!="L"</formula>
    </cfRule>
  </conditionalFormatting>
  <conditionalFormatting sqref="A21">
    <cfRule type="expression" dxfId="13639" priority="7177">
      <formula>#REF!="TO"</formula>
    </cfRule>
    <cfRule type="expression" dxfId="13638" priority="7178">
      <formula>#REF!="IO"</formula>
    </cfRule>
    <cfRule type="expression" dxfId="13637" priority="7179">
      <formula>#REF!="L"</formula>
    </cfRule>
  </conditionalFormatting>
  <conditionalFormatting sqref="AT21">
    <cfRule type="expression" dxfId="13636" priority="7096">
      <formula>#REF!="TO"</formula>
    </cfRule>
    <cfRule type="expression" dxfId="13635" priority="7097">
      <formula>#REF!="IO"</formula>
    </cfRule>
    <cfRule type="expression" dxfId="13634" priority="7098">
      <formula>#REF!="L"</formula>
    </cfRule>
    <cfRule type="expression" dxfId="13633" priority="7099">
      <formula>#REF!="TO"</formula>
    </cfRule>
    <cfRule type="expression" dxfId="13632" priority="7100">
      <formula>#REF!="IO"</formula>
    </cfRule>
    <cfRule type="expression" dxfId="13631" priority="7101">
      <formula>#REF!="L"</formula>
    </cfRule>
  </conditionalFormatting>
  <conditionalFormatting sqref="B21">
    <cfRule type="expression" dxfId="13630" priority="7171">
      <formula>#REF!="TO"</formula>
    </cfRule>
    <cfRule type="expression" dxfId="13629" priority="7172">
      <formula>#REF!="IO"</formula>
    </cfRule>
    <cfRule type="expression" dxfId="13628" priority="7173">
      <formula>#REF!="L"</formula>
    </cfRule>
  </conditionalFormatting>
  <conditionalFormatting sqref="AO21 AQ21">
    <cfRule type="expression" dxfId="13627" priority="7108">
      <formula>#REF!="TO"</formula>
    </cfRule>
    <cfRule type="expression" dxfId="13626" priority="7109">
      <formula>#REF!="IO"</formula>
    </cfRule>
    <cfRule type="expression" dxfId="13625" priority="7110">
      <formula>#REF!="L"</formula>
    </cfRule>
  </conditionalFormatting>
  <conditionalFormatting sqref="D21">
    <cfRule type="expression" dxfId="13624" priority="7168">
      <formula>#REF!="TO"</formula>
    </cfRule>
    <cfRule type="expression" dxfId="13623" priority="7169">
      <formula>#REF!="IO"</formula>
    </cfRule>
    <cfRule type="expression" dxfId="13622" priority="7170">
      <formula>#REF!="L"</formula>
    </cfRule>
  </conditionalFormatting>
  <conditionalFormatting sqref="K21 R21">
    <cfRule type="expression" dxfId="13621" priority="7165">
      <formula>#REF!="TO"</formula>
    </cfRule>
    <cfRule type="expression" dxfId="13620" priority="7166">
      <formula>#REF!="IO"</formula>
    </cfRule>
    <cfRule type="expression" dxfId="13619" priority="7167">
      <formula>#REF!="L"</formula>
    </cfRule>
  </conditionalFormatting>
  <conditionalFormatting sqref="E21:F21">
    <cfRule type="expression" dxfId="13618" priority="7156">
      <formula>#REF!="TO"</formula>
    </cfRule>
    <cfRule type="expression" dxfId="13617" priority="7157">
      <formula>#REF!="IO"</formula>
    </cfRule>
    <cfRule type="expression" dxfId="13616" priority="7158">
      <formula>#REF!="L"</formula>
    </cfRule>
  </conditionalFormatting>
  <conditionalFormatting sqref="S21">
    <cfRule type="expression" dxfId="13615" priority="7150">
      <formula>#REF!="TO"</formula>
    </cfRule>
    <cfRule type="expression" dxfId="13614" priority="7151">
      <formula>#REF!="IO"</formula>
    </cfRule>
    <cfRule type="expression" dxfId="13613" priority="7152">
      <formula>#REF!="L"</formula>
    </cfRule>
  </conditionalFormatting>
  <conditionalFormatting sqref="O21">
    <cfRule type="expression" dxfId="13612" priority="7141">
      <formula>#REF!="TO"</formula>
    </cfRule>
    <cfRule type="expression" dxfId="13611" priority="7142">
      <formula>#REF!="IO"</formula>
    </cfRule>
    <cfRule type="expression" dxfId="13610" priority="7143">
      <formula>#REF!="L"</formula>
    </cfRule>
    <cfRule type="expression" dxfId="13609" priority="7144">
      <formula>#REF!="TO"</formula>
    </cfRule>
    <cfRule type="expression" dxfId="13608" priority="7145">
      <formula>#REF!="IO"</formula>
    </cfRule>
    <cfRule type="expression" dxfId="13607" priority="7146">
      <formula>#REF!="L"</formula>
    </cfRule>
  </conditionalFormatting>
  <conditionalFormatting sqref="AC21 AG21">
    <cfRule type="expression" dxfId="13606" priority="7129">
      <formula>#REF!="TO"</formula>
    </cfRule>
    <cfRule type="expression" dxfId="13605" priority="7130">
      <formula>#REF!="IO"</formula>
    </cfRule>
    <cfRule type="expression" dxfId="13604" priority="7131">
      <formula>#REF!="L"</formula>
    </cfRule>
  </conditionalFormatting>
  <conditionalFormatting sqref="AI21">
    <cfRule type="expression" dxfId="13603" priority="7132">
      <formula>#REF!="TO"</formula>
    </cfRule>
    <cfRule type="expression" dxfId="13602" priority="7133">
      <formula>#REF!="IO"</formula>
    </cfRule>
    <cfRule type="expression" dxfId="13601" priority="7134">
      <formula>#REF!="L"</formula>
    </cfRule>
    <cfRule type="expression" dxfId="13600" priority="7126">
      <formula>#REF!="TO"</formula>
    </cfRule>
    <cfRule type="expression" dxfId="13599" priority="7127">
      <formula>#REF!="IO"</formula>
    </cfRule>
    <cfRule type="expression" dxfId="13598" priority="7128">
      <formula>#REF!="L"</formula>
    </cfRule>
  </conditionalFormatting>
  <conditionalFormatting sqref="AJ21:AK21">
    <cfRule type="expression" dxfId="13597" priority="7123">
      <formula>#REF!="TO"</formula>
    </cfRule>
    <cfRule type="expression" dxfId="13596" priority="7124">
      <formula>#REF!="IO"</formula>
    </cfRule>
    <cfRule type="expression" dxfId="13595" priority="7125">
      <formula>#REF!="L"</formula>
    </cfRule>
  </conditionalFormatting>
  <conditionalFormatting sqref="AL21">
    <cfRule type="expression" dxfId="13594" priority="7120">
      <formula>#REF!="TO"</formula>
    </cfRule>
    <cfRule type="expression" dxfId="13593" priority="7121">
      <formula>#REF!="IO"</formula>
    </cfRule>
    <cfRule type="expression" dxfId="13592" priority="7122">
      <formula>#REF!="L"</formula>
    </cfRule>
  </conditionalFormatting>
  <conditionalFormatting sqref="AM21">
    <cfRule type="expression" dxfId="13591" priority="7117">
      <formula>#REF!="TO"</formula>
    </cfRule>
    <cfRule type="expression" dxfId="13590" priority="7118">
      <formula>#REF!="IO"</formula>
    </cfRule>
    <cfRule type="expression" dxfId="13589" priority="7119">
      <formula>#REF!="L"</formula>
    </cfRule>
  </conditionalFormatting>
  <conditionalFormatting sqref="AN21">
    <cfRule type="expression" dxfId="13588" priority="7114">
      <formula>#REF!="TO"</formula>
    </cfRule>
    <cfRule type="expression" dxfId="13587" priority="7115">
      <formula>#REF!="IO"</formula>
    </cfRule>
    <cfRule type="expression" dxfId="13586" priority="7116">
      <formula>#REF!="L"</formula>
    </cfRule>
  </conditionalFormatting>
  <conditionalFormatting sqref="AR21">
    <cfRule type="expression" dxfId="13585" priority="7105">
      <formula>#REF!="TO"</formula>
    </cfRule>
    <cfRule type="expression" dxfId="13584" priority="7106">
      <formula>#REF!="IO"</formula>
    </cfRule>
    <cfRule type="expression" dxfId="13583" priority="7107">
      <formula>#REF!="L"</formula>
    </cfRule>
  </conditionalFormatting>
  <conditionalFormatting sqref="AS21">
    <cfRule type="expression" dxfId="13582" priority="7102">
      <formula>#REF!="TO"</formula>
    </cfRule>
    <cfRule type="expression" dxfId="13581" priority="7103">
      <formula>#REF!="IO"</formula>
    </cfRule>
    <cfRule type="expression" dxfId="13580" priority="7104">
      <formula>#REF!="L"</formula>
    </cfRule>
  </conditionalFormatting>
  <conditionalFormatting sqref="AU21:BA21">
    <cfRule type="expression" dxfId="13579" priority="7087">
      <formula>#REF!="TO"</formula>
    </cfRule>
    <cfRule type="expression" dxfId="13578" priority="7088">
      <formula>#REF!="IO"</formula>
    </cfRule>
    <cfRule type="expression" dxfId="13577" priority="7089">
      <formula>#REF!="L"</formula>
    </cfRule>
  </conditionalFormatting>
  <conditionalFormatting sqref="AE21">
    <cfRule type="expression" dxfId="13576" priority="7081">
      <formula>#REF!="TO"</formula>
    </cfRule>
    <cfRule type="expression" dxfId="13575" priority="7082">
      <formula>#REF!="IO"</formula>
    </cfRule>
    <cfRule type="expression" dxfId="13574" priority="7083">
      <formula>#REF!="L"</formula>
    </cfRule>
    <cfRule type="expression" dxfId="13573" priority="7084">
      <formula>E21="TO"</formula>
    </cfRule>
    <cfRule type="expression" dxfId="13572" priority="7085">
      <formula>E21="IO"</formula>
    </cfRule>
    <cfRule type="expression" dxfId="13571" priority="7086">
      <formula>E21="L"</formula>
    </cfRule>
  </conditionalFormatting>
  <conditionalFormatting sqref="AF21">
    <cfRule type="expression" dxfId="13570" priority="7078">
      <formula>#REF!="TO"</formula>
    </cfRule>
    <cfRule type="expression" dxfId="13569" priority="7079">
      <formula>#REF!="IO"</formula>
    </cfRule>
    <cfRule type="expression" dxfId="13568" priority="7080">
      <formula>#REF!="L"</formula>
    </cfRule>
  </conditionalFormatting>
  <conditionalFormatting sqref="AB21:AD21">
    <cfRule type="expression" dxfId="13567" priority="7075">
      <formula>#REF!="TO"</formula>
    </cfRule>
    <cfRule type="expression" dxfId="13566" priority="7076">
      <formula>#REF!="IO"</formula>
    </cfRule>
    <cfRule type="expression" dxfId="13565" priority="7077">
      <formula>#REF!="L"</formula>
    </cfRule>
  </conditionalFormatting>
  <conditionalFormatting sqref="AH21">
    <cfRule type="expression" dxfId="13564" priority="7072">
      <formula>#REF!="TO"</formula>
    </cfRule>
    <cfRule type="expression" dxfId="13563" priority="7073">
      <formula>#REF!="IO"</formula>
    </cfRule>
    <cfRule type="expression" dxfId="13562" priority="7074">
      <formula>#REF!="L"</formula>
    </cfRule>
  </conditionalFormatting>
  <conditionalFormatting sqref="B22:B29">
    <cfRule type="expression" dxfId="13561" priority="7063">
      <formula>#REF!="TO"</formula>
    </cfRule>
    <cfRule type="expression" dxfId="13560" priority="7064">
      <formula>#REF!="IO"</formula>
    </cfRule>
    <cfRule type="expression" dxfId="13559" priority="7065">
      <formula>#REF!="L"</formula>
    </cfRule>
  </conditionalFormatting>
  <conditionalFormatting sqref="AS22">
    <cfRule type="expression" dxfId="13558" priority="6994">
      <formula>#REF!="TO"</formula>
    </cfRule>
    <cfRule type="expression" dxfId="13557" priority="6995">
      <formula>#REF!="IO"</formula>
    </cfRule>
    <cfRule type="expression" dxfId="13556" priority="6996">
      <formula>#REF!="L"</formula>
    </cfRule>
  </conditionalFormatting>
  <conditionalFormatting sqref="D22">
    <cfRule type="expression" dxfId="13555" priority="7060">
      <formula>#REF!="TO"</formula>
    </cfRule>
    <cfRule type="expression" dxfId="13554" priority="7061">
      <formula>#REF!="IO"</formula>
    </cfRule>
    <cfRule type="expression" dxfId="13553" priority="7062">
      <formula>#REF!="L"</formula>
    </cfRule>
  </conditionalFormatting>
  <conditionalFormatting sqref="K22 R22">
    <cfRule type="expression" dxfId="13552" priority="7057">
      <formula>#REF!="TO"</formula>
    </cfRule>
    <cfRule type="expression" dxfId="13551" priority="7058">
      <formula>#REF!="IO"</formula>
    </cfRule>
    <cfRule type="expression" dxfId="13550" priority="7059">
      <formula>#REF!="L"</formula>
    </cfRule>
  </conditionalFormatting>
  <conditionalFormatting sqref="E22:F29">
    <cfRule type="expression" dxfId="13549" priority="7048">
      <formula>#REF!="TO"</formula>
    </cfRule>
    <cfRule type="expression" dxfId="13548" priority="7049">
      <formula>#REF!="IO"</formula>
    </cfRule>
    <cfRule type="expression" dxfId="13547" priority="7050">
      <formula>#REF!="L"</formula>
    </cfRule>
  </conditionalFormatting>
  <conditionalFormatting sqref="S22">
    <cfRule type="expression" dxfId="13546" priority="7042">
      <formula>#REF!="TO"</formula>
    </cfRule>
    <cfRule type="expression" dxfId="13545" priority="7043">
      <formula>#REF!="IO"</formula>
    </cfRule>
    <cfRule type="expression" dxfId="13544" priority="7044">
      <formula>#REF!="L"</formula>
    </cfRule>
  </conditionalFormatting>
  <conditionalFormatting sqref="AL22:AL29">
    <cfRule type="expression" dxfId="13543" priority="7012">
      <formula>#REF!="TO"</formula>
    </cfRule>
    <cfRule type="expression" dxfId="13542" priority="7013">
      <formula>#REF!="IO"</formula>
    </cfRule>
    <cfRule type="expression" dxfId="13541" priority="7014">
      <formula>#REF!="L"</formula>
    </cfRule>
  </conditionalFormatting>
  <conditionalFormatting sqref="AM22">
    <cfRule type="expression" dxfId="13540" priority="7009">
      <formula>#REF!="TO"</formula>
    </cfRule>
    <cfRule type="expression" dxfId="13539" priority="7010">
      <formula>#REF!="IO"</formula>
    </cfRule>
    <cfRule type="expression" dxfId="13538" priority="7011">
      <formula>#REF!="L"</formula>
    </cfRule>
  </conditionalFormatting>
  <conditionalFormatting sqref="AN22">
    <cfRule type="expression" dxfId="13537" priority="7006">
      <formula>#REF!="TO"</formula>
    </cfRule>
    <cfRule type="expression" dxfId="13536" priority="7007">
      <formula>#REF!="IO"</formula>
    </cfRule>
    <cfRule type="expression" dxfId="13535" priority="7008">
      <formula>#REF!="L"</formula>
    </cfRule>
  </conditionalFormatting>
  <conditionalFormatting sqref="AO22 AQ22">
    <cfRule type="expression" dxfId="13534" priority="7000">
      <formula>#REF!="TO"</formula>
    </cfRule>
    <cfRule type="expression" dxfId="13533" priority="7001">
      <formula>#REF!="IO"</formula>
    </cfRule>
    <cfRule type="expression" dxfId="13532" priority="7002">
      <formula>#REF!="L"</formula>
    </cfRule>
  </conditionalFormatting>
  <conditionalFormatting sqref="AT22">
    <cfRule type="expression" dxfId="13531" priority="6988">
      <formula>#REF!="TO"</formula>
    </cfRule>
    <cfRule type="expression" dxfId="13530" priority="6989">
      <formula>#REF!="IO"</formula>
    </cfRule>
    <cfRule type="expression" dxfId="13529" priority="6990">
      <formula>#REF!="L"</formula>
    </cfRule>
    <cfRule type="expression" dxfId="13528" priority="6991">
      <formula>#REF!="TO"</formula>
    </cfRule>
    <cfRule type="expression" dxfId="13527" priority="6992">
      <formula>#REF!="IO"</formula>
    </cfRule>
    <cfRule type="expression" dxfId="13526" priority="6993">
      <formula>#REF!="L"</formula>
    </cfRule>
  </conditionalFormatting>
  <conditionalFormatting sqref="AU22:BA22">
    <cfRule type="expression" dxfId="13525" priority="6979">
      <formula>#REF!="TO"</formula>
    </cfRule>
    <cfRule type="expression" dxfId="13524" priority="6980">
      <formula>#REF!="IO"</formula>
    </cfRule>
    <cfRule type="expression" dxfId="13523" priority="6981">
      <formula>#REF!="L"</formula>
    </cfRule>
  </conditionalFormatting>
  <conditionalFormatting sqref="A22">
    <cfRule type="expression" dxfId="13522" priority="7069">
      <formula>#REF!="TO"</formula>
    </cfRule>
    <cfRule type="expression" dxfId="13521" priority="7070">
      <formula>#REF!="IO"</formula>
    </cfRule>
    <cfRule type="expression" dxfId="13520" priority="7071">
      <formula>#REF!="L"</formula>
    </cfRule>
  </conditionalFormatting>
  <conditionalFormatting sqref="O22">
    <cfRule type="expression" dxfId="13519" priority="7033">
      <formula>#REF!="TO"</formula>
    </cfRule>
    <cfRule type="expression" dxfId="13518" priority="7034">
      <formula>#REF!="IO"</formula>
    </cfRule>
    <cfRule type="expression" dxfId="13517" priority="7035">
      <formula>#REF!="L"</formula>
    </cfRule>
    <cfRule type="expression" dxfId="13516" priority="7036">
      <formula>#REF!="TO"</formula>
    </cfRule>
    <cfRule type="expression" dxfId="13515" priority="7037">
      <formula>#REF!="IO"</formula>
    </cfRule>
    <cfRule type="expression" dxfId="13514" priority="7038">
      <formula>#REF!="L"</formula>
    </cfRule>
  </conditionalFormatting>
  <conditionalFormatting sqref="AR22">
    <cfRule type="expression" dxfId="13513" priority="6997">
      <formula>#REF!="TO"</formula>
    </cfRule>
    <cfRule type="expression" dxfId="13512" priority="6998">
      <formula>#REF!="IO"</formula>
    </cfRule>
    <cfRule type="expression" dxfId="13511" priority="6999">
      <formula>#REF!="L"</formula>
    </cfRule>
  </conditionalFormatting>
  <conditionalFormatting sqref="AC22 AG22">
    <cfRule type="expression" dxfId="13510" priority="7021">
      <formula>#REF!="TO"</formula>
    </cfRule>
    <cfRule type="expression" dxfId="13509" priority="7022">
      <formula>#REF!="IO"</formula>
    </cfRule>
    <cfRule type="expression" dxfId="13508" priority="7023">
      <formula>#REF!="L"</formula>
    </cfRule>
  </conditionalFormatting>
  <conditionalFormatting sqref="AI22">
    <cfRule type="expression" dxfId="13507" priority="7024">
      <formula>#REF!="TO"</formula>
    </cfRule>
    <cfRule type="expression" dxfId="13506" priority="7025">
      <formula>#REF!="IO"</formula>
    </cfRule>
    <cfRule type="expression" dxfId="13505" priority="7026">
      <formula>#REF!="L"</formula>
    </cfRule>
    <cfRule type="expression" dxfId="13504" priority="7018">
      <formula>#REF!="TO"</formula>
    </cfRule>
    <cfRule type="expression" dxfId="13503" priority="7019">
      <formula>#REF!="IO"</formula>
    </cfRule>
    <cfRule type="expression" dxfId="13502" priority="7020">
      <formula>#REF!="L"</formula>
    </cfRule>
  </conditionalFormatting>
  <conditionalFormatting sqref="AJ22:AK29">
    <cfRule type="expression" dxfId="13501" priority="7015">
      <formula>#REF!="TO"</formula>
    </cfRule>
    <cfRule type="expression" dxfId="13500" priority="7016">
      <formula>#REF!="IO"</formula>
    </cfRule>
    <cfRule type="expression" dxfId="13499" priority="7017">
      <formula>#REF!="L"</formula>
    </cfRule>
  </conditionalFormatting>
  <conditionalFormatting sqref="AE22:AE29">
    <cfRule type="expression" dxfId="13498" priority="6973">
      <formula>#REF!="TO"</formula>
    </cfRule>
    <cfRule type="expression" dxfId="13497" priority="6974">
      <formula>#REF!="IO"</formula>
    </cfRule>
    <cfRule type="expression" dxfId="13496" priority="6975">
      <formula>#REF!="L"</formula>
    </cfRule>
    <cfRule type="expression" dxfId="13495" priority="6976">
      <formula>E22="TO"</formula>
    </cfRule>
    <cfRule type="expression" dxfId="13494" priority="6977">
      <formula>E22="IO"</formula>
    </cfRule>
    <cfRule type="expression" dxfId="13493" priority="6978">
      <formula>E22="L"</formula>
    </cfRule>
  </conditionalFormatting>
  <conditionalFormatting sqref="AF22:AF29">
    <cfRule type="expression" dxfId="13492" priority="6970">
      <formula>#REF!="TO"</formula>
    </cfRule>
    <cfRule type="expression" dxfId="13491" priority="6971">
      <formula>#REF!="IO"</formula>
    </cfRule>
    <cfRule type="expression" dxfId="13490" priority="6972">
      <formula>#REF!="L"</formula>
    </cfRule>
  </conditionalFormatting>
  <conditionalFormatting sqref="AB22:AD22">
    <cfRule type="expression" dxfId="13489" priority="6967">
      <formula>#REF!="TO"</formula>
    </cfRule>
    <cfRule type="expression" dxfId="13488" priority="6968">
      <formula>#REF!="IO"</formula>
    </cfRule>
    <cfRule type="expression" dxfId="13487" priority="6969">
      <formula>#REF!="L"</formula>
    </cfRule>
  </conditionalFormatting>
  <conditionalFormatting sqref="AH22">
    <cfRule type="expression" dxfId="13486" priority="6964">
      <formula>#REF!="TO"</formula>
    </cfRule>
    <cfRule type="expression" dxfId="13485" priority="6965">
      <formula>#REF!="IO"</formula>
    </cfRule>
    <cfRule type="expression" dxfId="13484" priority="6966">
      <formula>#REF!="L"</formula>
    </cfRule>
  </conditionalFormatting>
  <conditionalFormatting sqref="S23:S29">
    <cfRule type="expression" dxfId="13483" priority="6961">
      <formula>#REF!="TO"</formula>
    </cfRule>
    <cfRule type="expression" dxfId="13482" priority="6962">
      <formula>#REF!="IO"</formula>
    </cfRule>
    <cfRule type="expression" dxfId="13481" priority="6963">
      <formula>#REF!="L"</formula>
    </cfRule>
  </conditionalFormatting>
  <conditionalFormatting sqref="A42">
    <cfRule type="expression" dxfId="13480" priority="6958">
      <formula>#REF!="TO"</formula>
    </cfRule>
    <cfRule type="expression" dxfId="13479" priority="6959">
      <formula>#REF!="IO"</formula>
    </cfRule>
    <cfRule type="expression" dxfId="13478" priority="6960">
      <formula>#REF!="L"</formula>
    </cfRule>
  </conditionalFormatting>
  <conditionalFormatting sqref="B42">
    <cfRule type="expression" dxfId="13477" priority="6955">
      <formula>#REF!="TO"</formula>
    </cfRule>
    <cfRule type="expression" dxfId="13476" priority="6956">
      <formula>#REF!="IO"</formula>
    </cfRule>
    <cfRule type="expression" dxfId="13475" priority="6957">
      <formula>#REF!="L"</formula>
    </cfRule>
  </conditionalFormatting>
  <conditionalFormatting sqref="E42:F42">
    <cfRule type="expression" dxfId="13474" priority="6952">
      <formula>#REF!="TO"</formula>
    </cfRule>
    <cfRule type="expression" dxfId="13473" priority="6953">
      <formula>#REF!="IO"</formula>
    </cfRule>
    <cfRule type="expression" dxfId="13472" priority="6954">
      <formula>#REF!="L"</formula>
    </cfRule>
  </conditionalFormatting>
  <conditionalFormatting sqref="S42">
    <cfRule type="expression" dxfId="13471" priority="6943">
      <formula>#REF!="TO"</formula>
    </cfRule>
    <cfRule type="expression" dxfId="13470" priority="6944">
      <formula>#REF!="IO"</formula>
    </cfRule>
    <cfRule type="expression" dxfId="13469" priority="6945">
      <formula>#REF!="L"</formula>
    </cfRule>
  </conditionalFormatting>
  <conditionalFormatting sqref="T42:X42">
    <cfRule type="expression" dxfId="13468" priority="6937">
      <formula>#REF!="TO"</formula>
    </cfRule>
    <cfRule type="expression" dxfId="13467" priority="6938">
      <formula>#REF!="IO"</formula>
    </cfRule>
    <cfRule type="expression" dxfId="13466" priority="6939">
      <formula>#REF!="L"</formula>
    </cfRule>
  </conditionalFormatting>
  <conditionalFormatting sqref="AL43">
    <cfRule type="expression" dxfId="13465" priority="6859">
      <formula>#REF!="TO"</formula>
    </cfRule>
    <cfRule type="expression" dxfId="13464" priority="6860">
      <formula>#REF!="IO"</formula>
    </cfRule>
    <cfRule type="expression" dxfId="13463" priority="6861">
      <formula>#REF!="L"</formula>
    </cfRule>
  </conditionalFormatting>
  <conditionalFormatting sqref="AB42:AD42">
    <cfRule type="expression" dxfId="13462" priority="6934">
      <formula>#REF!="TO"</formula>
    </cfRule>
    <cfRule type="expression" dxfId="13461" priority="6935">
      <formula>#REF!="IO"</formula>
    </cfRule>
    <cfRule type="expression" dxfId="13460" priority="6936">
      <formula>#REF!="L"</formula>
    </cfRule>
  </conditionalFormatting>
  <conditionalFormatting sqref="AH42">
    <cfRule type="expression" dxfId="13459" priority="6925">
      <formula>#REF!="TO"</formula>
    </cfRule>
    <cfRule type="expression" dxfId="13458" priority="6926">
      <formula>#REF!="IO"</formula>
    </cfRule>
    <cfRule type="expression" dxfId="13457" priority="6927">
      <formula>#REF!="L"</formula>
    </cfRule>
  </conditionalFormatting>
  <conditionalFormatting sqref="AJ42:AK42">
    <cfRule type="expression" dxfId="13456" priority="6922">
      <formula>#REF!="TO"</formula>
    </cfRule>
    <cfRule type="expression" dxfId="13455" priority="6923">
      <formula>#REF!="IO"</formula>
    </cfRule>
    <cfRule type="expression" dxfId="13454" priority="6924">
      <formula>#REF!="L"</formula>
    </cfRule>
  </conditionalFormatting>
  <conditionalFormatting sqref="AL42">
    <cfRule type="expression" dxfId="13453" priority="6919">
      <formula>#REF!="TO"</formula>
    </cfRule>
    <cfRule type="expression" dxfId="13452" priority="6920">
      <formula>#REF!="IO"</formula>
    </cfRule>
    <cfRule type="expression" dxfId="13451" priority="6921">
      <formula>#REF!="L"</formula>
    </cfRule>
  </conditionalFormatting>
  <conditionalFormatting sqref="AN42">
    <cfRule type="expression" dxfId="13450" priority="6916">
      <formula>#REF!="TO"</formula>
    </cfRule>
    <cfRule type="expression" dxfId="13449" priority="6917">
      <formula>#REF!="IO"</formula>
    </cfRule>
    <cfRule type="expression" dxfId="13448" priority="6918">
      <formula>#REF!="L"</formula>
    </cfRule>
  </conditionalFormatting>
  <conditionalFormatting sqref="AR42">
    <cfRule type="expression" dxfId="13447" priority="6913">
      <formula>#REF!="TO"</formula>
    </cfRule>
    <cfRule type="expression" dxfId="13446" priority="6914">
      <formula>#REF!="IO"</formula>
    </cfRule>
    <cfRule type="expression" dxfId="13445" priority="6915">
      <formula>#REF!="L"</formula>
    </cfRule>
  </conditionalFormatting>
  <conditionalFormatting sqref="AS42">
    <cfRule type="expression" dxfId="13444" priority="6910">
      <formula>#REF!="TO"</formula>
    </cfRule>
    <cfRule type="expression" dxfId="13443" priority="6911">
      <formula>#REF!="IO"</formula>
    </cfRule>
    <cfRule type="expression" dxfId="13442" priority="6912">
      <formula>#REF!="L"</formula>
    </cfRule>
  </conditionalFormatting>
  <conditionalFormatting sqref="T13:U13">
    <cfRule type="expression" dxfId="13441" priority="6778">
      <formula>#REF!="TO"</formula>
    </cfRule>
    <cfRule type="expression" dxfId="13440" priority="6779">
      <formula>#REF!="IO"</formula>
    </cfRule>
    <cfRule type="expression" dxfId="13439" priority="6780">
      <formula>#REF!="L"</formula>
    </cfRule>
  </conditionalFormatting>
  <conditionalFormatting sqref="AU42:BA42">
    <cfRule type="expression" dxfId="13438" priority="6904">
      <formula>#REF!="TO"</formula>
    </cfRule>
    <cfRule type="expression" dxfId="13437" priority="6905">
      <formula>#REF!="IO"</formula>
    </cfRule>
    <cfRule type="expression" dxfId="13436" priority="6906">
      <formula>#REF!="L"</formula>
    </cfRule>
  </conditionalFormatting>
  <conditionalFormatting sqref="AF42">
    <cfRule type="expression" dxfId="13435" priority="6901">
      <formula>#REF!="TO"</formula>
    </cfRule>
    <cfRule type="expression" dxfId="13434" priority="6902">
      <formula>#REF!="IO"</formula>
    </cfRule>
    <cfRule type="expression" dxfId="13433" priority="6903">
      <formula>#REF!="L"</formula>
    </cfRule>
  </conditionalFormatting>
  <conditionalFormatting sqref="A43">
    <cfRule type="expression" dxfId="13432" priority="6898">
      <formula>#REF!="TO"</formula>
    </cfRule>
    <cfRule type="expression" dxfId="13431" priority="6899">
      <formula>#REF!="IO"</formula>
    </cfRule>
    <cfRule type="expression" dxfId="13430" priority="6900">
      <formula>#REF!="L"</formula>
    </cfRule>
  </conditionalFormatting>
  <conditionalFormatting sqref="B43">
    <cfRule type="expression" dxfId="13429" priority="6895">
      <formula>#REF!="TO"</formula>
    </cfRule>
    <cfRule type="expression" dxfId="13428" priority="6896">
      <formula>#REF!="IO"</formula>
    </cfRule>
    <cfRule type="expression" dxfId="13427" priority="6897">
      <formula>#REF!="L"</formula>
    </cfRule>
  </conditionalFormatting>
  <conditionalFormatting sqref="E43:F43">
    <cfRule type="expression" dxfId="13426" priority="6892">
      <formula>#REF!="TO"</formula>
    </cfRule>
    <cfRule type="expression" dxfId="13425" priority="6893">
      <formula>#REF!="IO"</formula>
    </cfRule>
    <cfRule type="expression" dxfId="13424" priority="6894">
      <formula>#REF!="L"</formula>
    </cfRule>
  </conditionalFormatting>
  <conditionalFormatting sqref="S43">
    <cfRule type="expression" dxfId="13423" priority="6883">
      <formula>#REF!="TO"</formula>
    </cfRule>
    <cfRule type="expression" dxfId="13422" priority="6884">
      <formula>#REF!="IO"</formula>
    </cfRule>
    <cfRule type="expression" dxfId="13421" priority="6885">
      <formula>#REF!="L"</formula>
    </cfRule>
  </conditionalFormatting>
  <conditionalFormatting sqref="T43:X43">
    <cfRule type="expression" dxfId="13420" priority="6877">
      <formula>#REF!="TO"</formula>
    </cfRule>
    <cfRule type="expression" dxfId="13419" priority="6878">
      <formula>#REF!="IO"</formula>
    </cfRule>
    <cfRule type="expression" dxfId="13418" priority="6879">
      <formula>#REF!="L"</formula>
    </cfRule>
  </conditionalFormatting>
  <conditionalFormatting sqref="AL44">
    <cfRule type="expression" dxfId="13417" priority="6799">
      <formula>#REF!="TO"</formula>
    </cfRule>
    <cfRule type="expression" dxfId="13416" priority="6800">
      <formula>#REF!="IO"</formula>
    </cfRule>
    <cfRule type="expression" dxfId="13415" priority="6801">
      <formula>#REF!="L"</formula>
    </cfRule>
  </conditionalFormatting>
  <conditionalFormatting sqref="AB43:AD43">
    <cfRule type="expression" dxfId="13414" priority="6874">
      <formula>#REF!="TO"</formula>
    </cfRule>
    <cfRule type="expression" dxfId="13413" priority="6875">
      <formula>#REF!="IO"</formula>
    </cfRule>
    <cfRule type="expression" dxfId="13412" priority="6876">
      <formula>#REF!="L"</formula>
    </cfRule>
  </conditionalFormatting>
  <conditionalFormatting sqref="AH43">
    <cfRule type="expression" dxfId="13411" priority="6865">
      <formula>#REF!="TO"</formula>
    </cfRule>
    <cfRule type="expression" dxfId="13410" priority="6866">
      <formula>#REF!="IO"</formula>
    </cfRule>
    <cfRule type="expression" dxfId="13409" priority="6867">
      <formula>#REF!="L"</formula>
    </cfRule>
  </conditionalFormatting>
  <conditionalFormatting sqref="AJ43:AK43">
    <cfRule type="expression" dxfId="13408" priority="6862">
      <formula>#REF!="TO"</formula>
    </cfRule>
    <cfRule type="expression" dxfId="13407" priority="6863">
      <formula>#REF!="IO"</formula>
    </cfRule>
    <cfRule type="expression" dxfId="13406" priority="6864">
      <formula>#REF!="L"</formula>
    </cfRule>
  </conditionalFormatting>
  <conditionalFormatting sqref="S45">
    <cfRule type="expression" dxfId="13405" priority="6715">
      <formula>#REF!="TO"</formula>
    </cfRule>
    <cfRule type="expression" dxfId="13404" priority="6716">
      <formula>#REF!="IO"</formula>
    </cfRule>
    <cfRule type="expression" dxfId="13403" priority="6717">
      <formula>#REF!="L"</formula>
    </cfRule>
  </conditionalFormatting>
  <conditionalFormatting sqref="AN43">
    <cfRule type="expression" dxfId="13402" priority="6856">
      <formula>#REF!="TO"</formula>
    </cfRule>
    <cfRule type="expression" dxfId="13401" priority="6857">
      <formula>#REF!="IO"</formula>
    </cfRule>
    <cfRule type="expression" dxfId="13400" priority="6858">
      <formula>#REF!="L"</formula>
    </cfRule>
  </conditionalFormatting>
  <conditionalFormatting sqref="AR43">
    <cfRule type="expression" dxfId="13399" priority="6853">
      <formula>#REF!="TO"</formula>
    </cfRule>
    <cfRule type="expression" dxfId="13398" priority="6854">
      <formula>#REF!="IO"</formula>
    </cfRule>
    <cfRule type="expression" dxfId="13397" priority="6855">
      <formula>#REF!="L"</formula>
    </cfRule>
  </conditionalFormatting>
  <conditionalFormatting sqref="AS43">
    <cfRule type="expression" dxfId="13396" priority="6850">
      <formula>#REF!="TO"</formula>
    </cfRule>
    <cfRule type="expression" dxfId="13395" priority="6851">
      <formula>#REF!="IO"</formula>
    </cfRule>
    <cfRule type="expression" dxfId="13394" priority="6852">
      <formula>#REF!="L"</formula>
    </cfRule>
  </conditionalFormatting>
  <conditionalFormatting sqref="AU43:BA43">
    <cfRule type="expression" dxfId="13393" priority="6844">
      <formula>#REF!="TO"</formula>
    </cfRule>
    <cfRule type="expression" dxfId="13392" priority="6845">
      <formula>#REF!="IO"</formula>
    </cfRule>
    <cfRule type="expression" dxfId="13391" priority="6846">
      <formula>#REF!="L"</formula>
    </cfRule>
  </conditionalFormatting>
  <conditionalFormatting sqref="AF43">
    <cfRule type="expression" dxfId="13390" priority="6841">
      <formula>#REF!="TO"</formula>
    </cfRule>
    <cfRule type="expression" dxfId="13389" priority="6842">
      <formula>#REF!="IO"</formula>
    </cfRule>
    <cfRule type="expression" dxfId="13388" priority="6843">
      <formula>#REF!="L"</formula>
    </cfRule>
  </conditionalFormatting>
  <conditionalFormatting sqref="A44">
    <cfRule type="expression" dxfId="13387" priority="6838">
      <formula>#REF!="TO"</formula>
    </cfRule>
    <cfRule type="expression" dxfId="13386" priority="6839">
      <formula>#REF!="IO"</formula>
    </cfRule>
    <cfRule type="expression" dxfId="13385" priority="6840">
      <formula>#REF!="L"</formula>
    </cfRule>
  </conditionalFormatting>
  <conditionalFormatting sqref="B44">
    <cfRule type="expression" dxfId="13384" priority="6835">
      <formula>#REF!="TO"</formula>
    </cfRule>
    <cfRule type="expression" dxfId="13383" priority="6836">
      <formula>#REF!="IO"</formula>
    </cfRule>
    <cfRule type="expression" dxfId="13382" priority="6837">
      <formula>#REF!="L"</formula>
    </cfRule>
  </conditionalFormatting>
  <conditionalFormatting sqref="E44:F44">
    <cfRule type="expression" dxfId="13381" priority="6832">
      <formula>#REF!="TO"</formula>
    </cfRule>
    <cfRule type="expression" dxfId="13380" priority="6833">
      <formula>#REF!="IO"</formula>
    </cfRule>
    <cfRule type="expression" dxfId="13379" priority="6834">
      <formula>#REF!="L"</formula>
    </cfRule>
  </conditionalFormatting>
  <conditionalFormatting sqref="S44">
    <cfRule type="expression" dxfId="13378" priority="6823">
      <formula>#REF!="TO"</formula>
    </cfRule>
    <cfRule type="expression" dxfId="13377" priority="6824">
      <formula>#REF!="IO"</formula>
    </cfRule>
    <cfRule type="expression" dxfId="13376" priority="6825">
      <formula>#REF!="L"</formula>
    </cfRule>
  </conditionalFormatting>
  <conditionalFormatting sqref="T44:X44">
    <cfRule type="expression" dxfId="13375" priority="6817">
      <formula>#REF!="TO"</formula>
    </cfRule>
    <cfRule type="expression" dxfId="13374" priority="6818">
      <formula>#REF!="IO"</formula>
    </cfRule>
    <cfRule type="expression" dxfId="13373" priority="6819">
      <formula>#REF!="L"</formula>
    </cfRule>
  </conditionalFormatting>
  <conditionalFormatting sqref="AB44:AD44">
    <cfRule type="expression" dxfId="13372" priority="6814">
      <formula>#REF!="TO"</formula>
    </cfRule>
    <cfRule type="expression" dxfId="13371" priority="6815">
      <formula>#REF!="IO"</formula>
    </cfRule>
    <cfRule type="expression" dxfId="13370" priority="6816">
      <formula>#REF!="L"</formula>
    </cfRule>
  </conditionalFormatting>
  <conditionalFormatting sqref="AH44">
    <cfRule type="expression" dxfId="13369" priority="6805">
      <formula>#REF!="TO"</formula>
    </cfRule>
    <cfRule type="expression" dxfId="13368" priority="6806">
      <formula>#REF!="IO"</formula>
    </cfRule>
    <cfRule type="expression" dxfId="13367" priority="6807">
      <formula>#REF!="L"</formula>
    </cfRule>
  </conditionalFormatting>
  <conditionalFormatting sqref="AJ44:AK44">
    <cfRule type="expression" dxfId="13366" priority="6802">
      <formula>#REF!="TO"</formula>
    </cfRule>
    <cfRule type="expression" dxfId="13365" priority="6803">
      <formula>#REF!="IO"</formula>
    </cfRule>
    <cfRule type="expression" dxfId="13364" priority="6804">
      <formula>#REF!="L"</formula>
    </cfRule>
  </conditionalFormatting>
  <conditionalFormatting sqref="S46">
    <cfRule type="expression" dxfId="13363" priority="6649">
      <formula>#REF!="TO"</formula>
    </cfRule>
    <cfRule type="expression" dxfId="13362" priority="6650">
      <formula>#REF!="IO"</formula>
    </cfRule>
    <cfRule type="expression" dxfId="13361" priority="6651">
      <formula>#REF!="L"</formula>
    </cfRule>
  </conditionalFormatting>
  <conditionalFormatting sqref="AN44">
    <cfRule type="expression" dxfId="13360" priority="6796">
      <formula>#REF!="TO"</formula>
    </cfRule>
    <cfRule type="expression" dxfId="13359" priority="6797">
      <formula>#REF!="IO"</formula>
    </cfRule>
    <cfRule type="expression" dxfId="13358" priority="6798">
      <formula>#REF!="L"</formula>
    </cfRule>
  </conditionalFormatting>
  <conditionalFormatting sqref="AR44">
    <cfRule type="expression" dxfId="13357" priority="6793">
      <formula>#REF!="TO"</formula>
    </cfRule>
    <cfRule type="expression" dxfId="13356" priority="6794">
      <formula>#REF!="IO"</formula>
    </cfRule>
    <cfRule type="expression" dxfId="13355" priority="6795">
      <formula>#REF!="L"</formula>
    </cfRule>
  </conditionalFormatting>
  <conditionalFormatting sqref="AS44">
    <cfRule type="expression" dxfId="13354" priority="6790">
      <formula>#REF!="TO"</formula>
    </cfRule>
    <cfRule type="expression" dxfId="13353" priority="6791">
      <formula>#REF!="IO"</formula>
    </cfRule>
    <cfRule type="expression" dxfId="13352" priority="6792">
      <formula>#REF!="L"</formula>
    </cfRule>
  </conditionalFormatting>
  <conditionalFormatting sqref="AU44:BA44">
    <cfRule type="expression" dxfId="13351" priority="6784">
      <formula>#REF!="TO"</formula>
    </cfRule>
    <cfRule type="expression" dxfId="13350" priority="6785">
      <formula>#REF!="IO"</formula>
    </cfRule>
    <cfRule type="expression" dxfId="13349" priority="6786">
      <formula>#REF!="L"</formula>
    </cfRule>
  </conditionalFormatting>
  <conditionalFormatting sqref="AF44">
    <cfRule type="expression" dxfId="13348" priority="6781">
      <formula>#REF!="TO"</formula>
    </cfRule>
    <cfRule type="expression" dxfId="13347" priority="6782">
      <formula>#REF!="IO"</formula>
    </cfRule>
    <cfRule type="expression" dxfId="13346" priority="6783">
      <formula>#REF!="L"</formula>
    </cfRule>
  </conditionalFormatting>
  <conditionalFormatting sqref="T14:U14">
    <cfRule type="expression" dxfId="13345" priority="6775">
      <formula>#REF!="TO"</formula>
    </cfRule>
    <cfRule type="expression" dxfId="13344" priority="6776">
      <formula>#REF!="IO"</formula>
    </cfRule>
    <cfRule type="expression" dxfId="13343" priority="6777">
      <formula>#REF!="L"</formula>
    </cfRule>
  </conditionalFormatting>
  <conditionalFormatting sqref="T15:U15">
    <cfRule type="expression" dxfId="13342" priority="6772">
      <formula>#REF!="TO"</formula>
    </cfRule>
    <cfRule type="expression" dxfId="13341" priority="6773">
      <formula>#REF!="IO"</formula>
    </cfRule>
    <cfRule type="expression" dxfId="13340" priority="6774">
      <formula>#REF!="L"</formula>
    </cfRule>
  </conditionalFormatting>
  <conditionalFormatting sqref="T18:U18">
    <cfRule type="expression" dxfId="13339" priority="6769">
      <formula>#REF!="TO"</formula>
    </cfRule>
    <cfRule type="expression" dxfId="13338" priority="6770">
      <formula>#REF!="IO"</formula>
    </cfRule>
    <cfRule type="expression" dxfId="13337" priority="6771">
      <formula>#REF!="L"</formula>
    </cfRule>
  </conditionalFormatting>
  <conditionalFormatting sqref="T21:U21">
    <cfRule type="expression" dxfId="13336" priority="6766">
      <formula>#REF!="TO"</formula>
    </cfRule>
    <cfRule type="expression" dxfId="13335" priority="6767">
      <formula>#REF!="IO"</formula>
    </cfRule>
    <cfRule type="expression" dxfId="13334" priority="6768">
      <formula>#REF!="L"</formula>
    </cfRule>
  </conditionalFormatting>
  <conditionalFormatting sqref="T22:U22">
    <cfRule type="expression" dxfId="13333" priority="6763">
      <formula>#REF!="TO"</formula>
    </cfRule>
    <cfRule type="expression" dxfId="13332" priority="6764">
      <formula>#REF!="IO"</formula>
    </cfRule>
    <cfRule type="expression" dxfId="13331" priority="6765">
      <formula>#REF!="L"</formula>
    </cfRule>
  </conditionalFormatting>
  <conditionalFormatting sqref="T23:U24">
    <cfRule type="expression" dxfId="13330" priority="6760">
      <formula>#REF!="TO"</formula>
    </cfRule>
    <cfRule type="expression" dxfId="13329" priority="6761">
      <formula>#REF!="IO"</formula>
    </cfRule>
    <cfRule type="expression" dxfId="13328" priority="6762">
      <formula>#REF!="L"</formula>
    </cfRule>
  </conditionalFormatting>
  <conditionalFormatting sqref="T25:U29">
    <cfRule type="expression" dxfId="13327" priority="6757">
      <formula>#REF!="TO"</formula>
    </cfRule>
    <cfRule type="expression" dxfId="13326" priority="6758">
      <formula>#REF!="IO"</formula>
    </cfRule>
    <cfRule type="expression" dxfId="13325" priority="6759">
      <formula>#REF!="L"</formula>
    </cfRule>
  </conditionalFormatting>
  <conditionalFormatting sqref="AL47">
    <cfRule type="expression" dxfId="13324" priority="6559">
      <formula>#REF!="TO"</formula>
    </cfRule>
    <cfRule type="expression" dxfId="13323" priority="6560">
      <formula>#REF!="IO"</formula>
    </cfRule>
    <cfRule type="expression" dxfId="13322" priority="6561">
      <formula>#REF!="L"</formula>
    </cfRule>
  </conditionalFormatting>
  <conditionalFormatting sqref="AB46:AD46">
    <cfRule type="expression" dxfId="13321" priority="6640">
      <formula>#REF!="TO"</formula>
    </cfRule>
    <cfRule type="expression" dxfId="13320" priority="6641">
      <formula>#REF!="IO"</formula>
    </cfRule>
    <cfRule type="expression" dxfId="13319" priority="6642">
      <formula>#REF!="L"</formula>
    </cfRule>
  </conditionalFormatting>
  <conditionalFormatting sqref="Y38:Y41">
    <cfRule type="expression" dxfId="13318" priority="6754">
      <formula>#REF!="TO"</formula>
    </cfRule>
    <cfRule type="expression" dxfId="13317" priority="6755">
      <formula>#REF!="IO"</formula>
    </cfRule>
    <cfRule type="expression" dxfId="13316" priority="6756">
      <formula>#REF!="L"</formula>
    </cfRule>
  </conditionalFormatting>
  <conditionalFormatting sqref="Y42">
    <cfRule type="expression" dxfId="13315" priority="6751">
      <formula>#REF!="TO"</formula>
    </cfRule>
    <cfRule type="expression" dxfId="13314" priority="6752">
      <formula>#REF!="IO"</formula>
    </cfRule>
    <cfRule type="expression" dxfId="13313" priority="6753">
      <formula>#REF!="L"</formula>
    </cfRule>
  </conditionalFormatting>
  <conditionalFormatting sqref="Y43">
    <cfRule type="expression" dxfId="13312" priority="6748">
      <formula>#REF!="TO"</formula>
    </cfRule>
    <cfRule type="expression" dxfId="13311" priority="6749">
      <formula>#REF!="IO"</formula>
    </cfRule>
    <cfRule type="expression" dxfId="13310" priority="6750">
      <formula>#REF!="L"</formula>
    </cfRule>
  </conditionalFormatting>
  <conditionalFormatting sqref="Y44">
    <cfRule type="expression" dxfId="13309" priority="6745">
      <formula>#REF!="TO"</formula>
    </cfRule>
    <cfRule type="expression" dxfId="13308" priority="6746">
      <formula>#REF!="IO"</formula>
    </cfRule>
    <cfRule type="expression" dxfId="13307" priority="6747">
      <formula>#REF!="L"</formula>
    </cfRule>
  </conditionalFormatting>
  <conditionalFormatting sqref="S47">
    <cfRule type="expression" dxfId="13306" priority="6583">
      <formula>#REF!="TO"</formula>
    </cfRule>
    <cfRule type="expression" dxfId="13305" priority="6584">
      <formula>#REF!="IO"</formula>
    </cfRule>
    <cfRule type="expression" dxfId="13304" priority="6585">
      <formula>#REF!="L"</formula>
    </cfRule>
  </conditionalFormatting>
  <conditionalFormatting sqref="A45">
    <cfRule type="expression" dxfId="13303" priority="6730">
      <formula>#REF!="TO"</formula>
    </cfRule>
    <cfRule type="expression" dxfId="13302" priority="6731">
      <formula>#REF!="IO"</formula>
    </cfRule>
    <cfRule type="expression" dxfId="13301" priority="6732">
      <formula>#REF!="L"</formula>
    </cfRule>
  </conditionalFormatting>
  <conditionalFormatting sqref="B45">
    <cfRule type="expression" dxfId="13300" priority="6727">
      <formula>#REF!="TO"</formula>
    </cfRule>
    <cfRule type="expression" dxfId="13299" priority="6728">
      <formula>#REF!="IO"</formula>
    </cfRule>
    <cfRule type="expression" dxfId="13298" priority="6729">
      <formula>#REF!="L"</formula>
    </cfRule>
  </conditionalFormatting>
  <conditionalFormatting sqref="E45:F45">
    <cfRule type="expression" dxfId="13297" priority="6724">
      <formula>#REF!="TO"</formula>
    </cfRule>
    <cfRule type="expression" dxfId="13296" priority="6725">
      <formula>#REF!="IO"</formula>
    </cfRule>
    <cfRule type="expression" dxfId="13295" priority="6726">
      <formula>#REF!="L"</formula>
    </cfRule>
  </conditionalFormatting>
  <conditionalFormatting sqref="T45:X45">
    <cfRule type="expression" dxfId="13294" priority="6709">
      <formula>#REF!="TO"</formula>
    </cfRule>
    <cfRule type="expression" dxfId="13293" priority="6710">
      <formula>#REF!="IO"</formula>
    </cfRule>
    <cfRule type="expression" dxfId="13292" priority="6711">
      <formula>#REF!="L"</formula>
    </cfRule>
  </conditionalFormatting>
  <conditionalFormatting sqref="AL46">
    <cfRule type="expression" dxfId="13291" priority="6625">
      <formula>#REF!="TO"</formula>
    </cfRule>
    <cfRule type="expression" dxfId="13290" priority="6626">
      <formula>#REF!="IO"</formula>
    </cfRule>
    <cfRule type="expression" dxfId="13289" priority="6627">
      <formula>#REF!="L"</formula>
    </cfRule>
  </conditionalFormatting>
  <conditionalFormatting sqref="AB45:AD45">
    <cfRule type="expression" dxfId="13288" priority="6706">
      <formula>#REF!="TO"</formula>
    </cfRule>
    <cfRule type="expression" dxfId="13287" priority="6707">
      <formula>#REF!="IO"</formula>
    </cfRule>
    <cfRule type="expression" dxfId="13286" priority="6708">
      <formula>#REF!="L"</formula>
    </cfRule>
  </conditionalFormatting>
  <conditionalFormatting sqref="AH45">
    <cfRule type="expression" dxfId="13285" priority="6697">
      <formula>#REF!="TO"</formula>
    </cfRule>
    <cfRule type="expression" dxfId="13284" priority="6698">
      <formula>#REF!="IO"</formula>
    </cfRule>
    <cfRule type="expression" dxfId="13283" priority="6699">
      <formula>#REF!="L"</formula>
    </cfRule>
  </conditionalFormatting>
  <conditionalFormatting sqref="AJ45:AK45">
    <cfRule type="expression" dxfId="13282" priority="6694">
      <formula>#REF!="TO"</formula>
    </cfRule>
    <cfRule type="expression" dxfId="13281" priority="6695">
      <formula>#REF!="IO"</formula>
    </cfRule>
    <cfRule type="expression" dxfId="13280" priority="6696">
      <formula>#REF!="L"</formula>
    </cfRule>
  </conditionalFormatting>
  <conditionalFormatting sqref="AL45">
    <cfRule type="expression" dxfId="13279" priority="6691">
      <formula>#REF!="TO"</formula>
    </cfRule>
    <cfRule type="expression" dxfId="13278" priority="6692">
      <formula>#REF!="IO"</formula>
    </cfRule>
    <cfRule type="expression" dxfId="13277" priority="6693">
      <formula>#REF!="L"</formula>
    </cfRule>
  </conditionalFormatting>
  <conditionalFormatting sqref="AN45">
    <cfRule type="expression" dxfId="13276" priority="6688">
      <formula>#REF!="TO"</formula>
    </cfRule>
    <cfRule type="expression" dxfId="13275" priority="6689">
      <formula>#REF!="IO"</formula>
    </cfRule>
    <cfRule type="expression" dxfId="13274" priority="6690">
      <formula>#REF!="L"</formula>
    </cfRule>
  </conditionalFormatting>
  <conditionalFormatting sqref="AR45">
    <cfRule type="expression" dxfId="13273" priority="6685">
      <formula>#REF!="TO"</formula>
    </cfRule>
    <cfRule type="expression" dxfId="13272" priority="6686">
      <formula>#REF!="IO"</formula>
    </cfRule>
    <cfRule type="expression" dxfId="13271" priority="6687">
      <formula>#REF!="L"</formula>
    </cfRule>
  </conditionalFormatting>
  <conditionalFormatting sqref="AS45">
    <cfRule type="expression" dxfId="13270" priority="6682">
      <formula>#REF!="TO"</formula>
    </cfRule>
    <cfRule type="expression" dxfId="13269" priority="6683">
      <formula>#REF!="IO"</formula>
    </cfRule>
    <cfRule type="expression" dxfId="13268" priority="6684">
      <formula>#REF!="L"</formula>
    </cfRule>
  </conditionalFormatting>
  <conditionalFormatting sqref="A48">
    <cfRule type="expression" dxfId="13267" priority="6532">
      <formula>#REF!="TO"</formula>
    </cfRule>
    <cfRule type="expression" dxfId="13266" priority="6533">
      <formula>#REF!="IO"</formula>
    </cfRule>
    <cfRule type="expression" dxfId="13265" priority="6534">
      <formula>#REF!="L"</formula>
    </cfRule>
  </conditionalFormatting>
  <conditionalFormatting sqref="AU45:BA45">
    <cfRule type="expression" dxfId="13264" priority="6676">
      <formula>#REF!="TO"</formula>
    </cfRule>
    <cfRule type="expression" dxfId="13263" priority="6677">
      <formula>#REF!="IO"</formula>
    </cfRule>
    <cfRule type="expression" dxfId="13262" priority="6678">
      <formula>#REF!="L"</formula>
    </cfRule>
  </conditionalFormatting>
  <conditionalFormatting sqref="AF45">
    <cfRule type="expression" dxfId="13261" priority="6673">
      <formula>#REF!="TO"</formula>
    </cfRule>
    <cfRule type="expression" dxfId="13260" priority="6674">
      <formula>#REF!="IO"</formula>
    </cfRule>
    <cfRule type="expression" dxfId="13259" priority="6675">
      <formula>#REF!="L"</formula>
    </cfRule>
  </conditionalFormatting>
  <conditionalFormatting sqref="Y45">
    <cfRule type="expression" dxfId="13258" priority="6670">
      <formula>#REF!="TO"</formula>
    </cfRule>
    <cfRule type="expression" dxfId="13257" priority="6671">
      <formula>#REF!="IO"</formula>
    </cfRule>
    <cfRule type="expression" dxfId="13256" priority="6672">
      <formula>#REF!="L"</formula>
    </cfRule>
  </conditionalFormatting>
  <conditionalFormatting sqref="A46">
    <cfRule type="expression" dxfId="13255" priority="6664">
      <formula>#REF!="TO"</formula>
    </cfRule>
    <cfRule type="expression" dxfId="13254" priority="6665">
      <formula>#REF!="IO"</formula>
    </cfRule>
    <cfRule type="expression" dxfId="13253" priority="6666">
      <formula>#REF!="L"</formula>
    </cfRule>
  </conditionalFormatting>
  <conditionalFormatting sqref="B46">
    <cfRule type="expression" dxfId="13252" priority="6661">
      <formula>#REF!="TO"</formula>
    </cfRule>
    <cfRule type="expression" dxfId="13251" priority="6662">
      <formula>#REF!="IO"</formula>
    </cfRule>
    <cfRule type="expression" dxfId="13250" priority="6663">
      <formula>#REF!="L"</formula>
    </cfRule>
  </conditionalFormatting>
  <conditionalFormatting sqref="E46:F46">
    <cfRule type="expression" dxfId="13249" priority="6658">
      <formula>#REF!="TO"</formula>
    </cfRule>
    <cfRule type="expression" dxfId="13248" priority="6659">
      <formula>#REF!="IO"</formula>
    </cfRule>
    <cfRule type="expression" dxfId="13247" priority="6660">
      <formula>#REF!="L"</formula>
    </cfRule>
  </conditionalFormatting>
  <conditionalFormatting sqref="T46:X46">
    <cfRule type="expression" dxfId="13246" priority="6643">
      <formula>#REF!="TO"</formula>
    </cfRule>
    <cfRule type="expression" dxfId="13245" priority="6644">
      <formula>#REF!="IO"</formula>
    </cfRule>
    <cfRule type="expression" dxfId="13244" priority="6645">
      <formula>#REF!="L"</formula>
    </cfRule>
  </conditionalFormatting>
  <conditionalFormatting sqref="AH46">
    <cfRule type="expression" dxfId="13243" priority="6631">
      <formula>#REF!="TO"</formula>
    </cfRule>
    <cfRule type="expression" dxfId="13242" priority="6632">
      <formula>#REF!="IO"</formula>
    </cfRule>
    <cfRule type="expression" dxfId="13241" priority="6633">
      <formula>#REF!="L"</formula>
    </cfRule>
  </conditionalFormatting>
  <conditionalFormatting sqref="AJ46:AK46">
    <cfRule type="expression" dxfId="13240" priority="6628">
      <formula>#REF!="TO"</formula>
    </cfRule>
    <cfRule type="expression" dxfId="13239" priority="6629">
      <formula>#REF!="IO"</formula>
    </cfRule>
    <cfRule type="expression" dxfId="13238" priority="6630">
      <formula>#REF!="L"</formula>
    </cfRule>
  </conditionalFormatting>
  <conditionalFormatting sqref="A49">
    <cfRule type="expression" dxfId="13237" priority="6466">
      <formula>#REF!="TO"</formula>
    </cfRule>
    <cfRule type="expression" dxfId="13236" priority="6467">
      <formula>#REF!="IO"</formula>
    </cfRule>
    <cfRule type="expression" dxfId="13235" priority="6468">
      <formula>#REF!="L"</formula>
    </cfRule>
  </conditionalFormatting>
  <conditionalFormatting sqref="AN46">
    <cfRule type="expression" dxfId="13234" priority="6622">
      <formula>#REF!="TO"</formula>
    </cfRule>
    <cfRule type="expression" dxfId="13233" priority="6623">
      <formula>#REF!="IO"</formula>
    </cfRule>
    <cfRule type="expression" dxfId="13232" priority="6624">
      <formula>#REF!="L"</formula>
    </cfRule>
  </conditionalFormatting>
  <conditionalFormatting sqref="AR46">
    <cfRule type="expression" dxfId="13231" priority="6619">
      <formula>#REF!="TO"</formula>
    </cfRule>
    <cfRule type="expression" dxfId="13230" priority="6620">
      <formula>#REF!="IO"</formula>
    </cfRule>
    <cfRule type="expression" dxfId="13229" priority="6621">
      <formula>#REF!="L"</formula>
    </cfRule>
  </conditionalFormatting>
  <conditionalFormatting sqref="AS46">
    <cfRule type="expression" dxfId="13228" priority="6616">
      <formula>#REF!="TO"</formula>
    </cfRule>
    <cfRule type="expression" dxfId="13227" priority="6617">
      <formula>#REF!="IO"</formula>
    </cfRule>
    <cfRule type="expression" dxfId="13226" priority="6618">
      <formula>#REF!="L"</formula>
    </cfRule>
  </conditionalFormatting>
  <conditionalFormatting sqref="AU46:BA46">
    <cfRule type="expression" dxfId="13225" priority="6610">
      <formula>#REF!="TO"</formula>
    </cfRule>
    <cfRule type="expression" dxfId="13224" priority="6611">
      <formula>#REF!="IO"</formula>
    </cfRule>
    <cfRule type="expression" dxfId="13223" priority="6612">
      <formula>#REF!="L"</formula>
    </cfRule>
  </conditionalFormatting>
  <conditionalFormatting sqref="AF46">
    <cfRule type="expression" dxfId="13222" priority="6607">
      <formula>#REF!="TO"</formula>
    </cfRule>
    <cfRule type="expression" dxfId="13221" priority="6608">
      <formula>#REF!="IO"</formula>
    </cfRule>
    <cfRule type="expression" dxfId="13220" priority="6609">
      <formula>#REF!="L"</formula>
    </cfRule>
  </conditionalFormatting>
  <conditionalFormatting sqref="Y46">
    <cfRule type="expression" dxfId="13219" priority="6604">
      <formula>#REF!="TO"</formula>
    </cfRule>
    <cfRule type="expression" dxfId="13218" priority="6605">
      <formula>#REF!="IO"</formula>
    </cfRule>
    <cfRule type="expression" dxfId="13217" priority="6606">
      <formula>#REF!="L"</formula>
    </cfRule>
  </conditionalFormatting>
  <conditionalFormatting sqref="A47">
    <cfRule type="expression" dxfId="13216" priority="6598">
      <formula>#REF!="TO"</formula>
    </cfRule>
    <cfRule type="expression" dxfId="13215" priority="6599">
      <formula>#REF!="IO"</formula>
    </cfRule>
    <cfRule type="expression" dxfId="13214" priority="6600">
      <formula>#REF!="L"</formula>
    </cfRule>
  </conditionalFormatting>
  <conditionalFormatting sqref="B47">
    <cfRule type="expression" dxfId="13213" priority="6595">
      <formula>#REF!="TO"</formula>
    </cfRule>
    <cfRule type="expression" dxfId="13212" priority="6596">
      <formula>#REF!="IO"</formula>
    </cfRule>
    <cfRule type="expression" dxfId="13211" priority="6597">
      <formula>#REF!="L"</formula>
    </cfRule>
  </conditionalFormatting>
  <conditionalFormatting sqref="E47:F47">
    <cfRule type="expression" dxfId="13210" priority="6592">
      <formula>#REF!="TO"</formula>
    </cfRule>
    <cfRule type="expression" dxfId="13209" priority="6593">
      <formula>#REF!="IO"</formula>
    </cfRule>
    <cfRule type="expression" dxfId="13208" priority="6594">
      <formula>#REF!="L"</formula>
    </cfRule>
  </conditionalFormatting>
  <conditionalFormatting sqref="T47:X47">
    <cfRule type="expression" dxfId="13207" priority="6577">
      <formula>#REF!="TO"</formula>
    </cfRule>
    <cfRule type="expression" dxfId="13206" priority="6578">
      <formula>#REF!="IO"</formula>
    </cfRule>
    <cfRule type="expression" dxfId="13205" priority="6579">
      <formula>#REF!="L"</formula>
    </cfRule>
  </conditionalFormatting>
  <conditionalFormatting sqref="AL48">
    <cfRule type="expression" dxfId="13204" priority="6493">
      <formula>#REF!="TO"</formula>
    </cfRule>
    <cfRule type="expression" dxfId="13203" priority="6494">
      <formula>#REF!="IO"</formula>
    </cfRule>
    <cfRule type="expression" dxfId="13202" priority="6495">
      <formula>#REF!="L"</formula>
    </cfRule>
  </conditionalFormatting>
  <conditionalFormatting sqref="AB47:AD47">
    <cfRule type="expression" dxfId="13201" priority="6574">
      <formula>#REF!="TO"</formula>
    </cfRule>
    <cfRule type="expression" dxfId="13200" priority="6575">
      <formula>#REF!="IO"</formula>
    </cfRule>
    <cfRule type="expression" dxfId="13199" priority="6576">
      <formula>#REF!="L"</formula>
    </cfRule>
  </conditionalFormatting>
  <conditionalFormatting sqref="AH47">
    <cfRule type="expression" dxfId="13198" priority="6565">
      <formula>#REF!="TO"</formula>
    </cfRule>
    <cfRule type="expression" dxfId="13197" priority="6566">
      <formula>#REF!="IO"</formula>
    </cfRule>
    <cfRule type="expression" dxfId="13196" priority="6567">
      <formula>#REF!="L"</formula>
    </cfRule>
  </conditionalFormatting>
  <conditionalFormatting sqref="AJ47:AK47">
    <cfRule type="expression" dxfId="13195" priority="6562">
      <formula>#REF!="TO"</formula>
    </cfRule>
    <cfRule type="expression" dxfId="13194" priority="6563">
      <formula>#REF!="IO"</formula>
    </cfRule>
    <cfRule type="expression" dxfId="13193" priority="6564">
      <formula>#REF!="L"</formula>
    </cfRule>
  </conditionalFormatting>
  <conditionalFormatting sqref="A50">
    <cfRule type="expression" dxfId="13192" priority="6400">
      <formula>#REF!="TO"</formula>
    </cfRule>
    <cfRule type="expression" dxfId="13191" priority="6401">
      <formula>#REF!="IO"</formula>
    </cfRule>
    <cfRule type="expression" dxfId="13190" priority="6402">
      <formula>#REF!="L"</formula>
    </cfRule>
  </conditionalFormatting>
  <conditionalFormatting sqref="AN47">
    <cfRule type="expression" dxfId="13189" priority="6556">
      <formula>#REF!="TO"</formula>
    </cfRule>
    <cfRule type="expression" dxfId="13188" priority="6557">
      <formula>#REF!="IO"</formula>
    </cfRule>
    <cfRule type="expression" dxfId="13187" priority="6558">
      <formula>#REF!="L"</formula>
    </cfRule>
  </conditionalFormatting>
  <conditionalFormatting sqref="AR47">
    <cfRule type="expression" dxfId="13186" priority="6553">
      <formula>#REF!="TO"</formula>
    </cfRule>
    <cfRule type="expression" dxfId="13185" priority="6554">
      <formula>#REF!="IO"</formula>
    </cfRule>
    <cfRule type="expression" dxfId="13184" priority="6555">
      <formula>#REF!="L"</formula>
    </cfRule>
  </conditionalFormatting>
  <conditionalFormatting sqref="AS47">
    <cfRule type="expression" dxfId="13183" priority="6550">
      <formula>#REF!="TO"</formula>
    </cfRule>
    <cfRule type="expression" dxfId="13182" priority="6551">
      <formula>#REF!="IO"</formula>
    </cfRule>
    <cfRule type="expression" dxfId="13181" priority="6552">
      <formula>#REF!="L"</formula>
    </cfRule>
  </conditionalFormatting>
  <conditionalFormatting sqref="AU47:BA47">
    <cfRule type="expression" dxfId="13180" priority="6544">
      <formula>#REF!="TO"</formula>
    </cfRule>
    <cfRule type="expression" dxfId="13179" priority="6545">
      <formula>#REF!="IO"</formula>
    </cfRule>
    <cfRule type="expression" dxfId="13178" priority="6546">
      <formula>#REF!="L"</formula>
    </cfRule>
  </conditionalFormatting>
  <conditionalFormatting sqref="AF47">
    <cfRule type="expression" dxfId="13177" priority="6541">
      <formula>#REF!="TO"</formula>
    </cfRule>
    <cfRule type="expression" dxfId="13176" priority="6542">
      <formula>#REF!="IO"</formula>
    </cfRule>
    <cfRule type="expression" dxfId="13175" priority="6543">
      <formula>#REF!="L"</formula>
    </cfRule>
  </conditionalFormatting>
  <conditionalFormatting sqref="Y47">
    <cfRule type="expression" dxfId="13174" priority="6538">
      <formula>#REF!="TO"</formula>
    </cfRule>
    <cfRule type="expression" dxfId="13173" priority="6539">
      <formula>#REF!="IO"</formula>
    </cfRule>
    <cfRule type="expression" dxfId="13172" priority="6540">
      <formula>#REF!="L"</formula>
    </cfRule>
  </conditionalFormatting>
  <conditionalFormatting sqref="B48">
    <cfRule type="expression" dxfId="13171" priority="6529">
      <formula>#REF!="TO"</formula>
    </cfRule>
    <cfRule type="expression" dxfId="13170" priority="6530">
      <formula>#REF!="IO"</formula>
    </cfRule>
    <cfRule type="expression" dxfId="13169" priority="6531">
      <formula>#REF!="L"</formula>
    </cfRule>
  </conditionalFormatting>
  <conditionalFormatting sqref="E48:F48">
    <cfRule type="expression" dxfId="13168" priority="6526">
      <formula>#REF!="TO"</formula>
    </cfRule>
    <cfRule type="expression" dxfId="13167" priority="6527">
      <formula>#REF!="IO"</formula>
    </cfRule>
    <cfRule type="expression" dxfId="13166" priority="6528">
      <formula>#REF!="L"</formula>
    </cfRule>
  </conditionalFormatting>
  <conditionalFormatting sqref="S48">
    <cfRule type="expression" dxfId="13165" priority="6517">
      <formula>#REF!="TO"</formula>
    </cfRule>
    <cfRule type="expression" dxfId="13164" priority="6518">
      <formula>#REF!="IO"</formula>
    </cfRule>
    <cfRule type="expression" dxfId="13163" priority="6519">
      <formula>#REF!="L"</formula>
    </cfRule>
  </conditionalFormatting>
  <conditionalFormatting sqref="T48:X48">
    <cfRule type="expression" dxfId="13162" priority="6511">
      <formula>#REF!="TO"</formula>
    </cfRule>
    <cfRule type="expression" dxfId="13161" priority="6512">
      <formula>#REF!="IO"</formula>
    </cfRule>
    <cfRule type="expression" dxfId="13160" priority="6513">
      <formula>#REF!="L"</formula>
    </cfRule>
  </conditionalFormatting>
  <conditionalFormatting sqref="AL49">
    <cfRule type="expression" dxfId="13159" priority="6427">
      <formula>#REF!="TO"</formula>
    </cfRule>
    <cfRule type="expression" dxfId="13158" priority="6428">
      <formula>#REF!="IO"</formula>
    </cfRule>
    <cfRule type="expression" dxfId="13157" priority="6429">
      <formula>#REF!="L"</formula>
    </cfRule>
  </conditionalFormatting>
  <conditionalFormatting sqref="AB48:AD48">
    <cfRule type="expression" dxfId="13156" priority="6508">
      <formula>#REF!="TO"</formula>
    </cfRule>
    <cfRule type="expression" dxfId="13155" priority="6509">
      <formula>#REF!="IO"</formula>
    </cfRule>
    <cfRule type="expression" dxfId="13154" priority="6510">
      <formula>#REF!="L"</formula>
    </cfRule>
  </conditionalFormatting>
  <conditionalFormatting sqref="AH48">
    <cfRule type="expression" dxfId="13153" priority="6499">
      <formula>#REF!="TO"</formula>
    </cfRule>
    <cfRule type="expression" dxfId="13152" priority="6500">
      <formula>#REF!="IO"</formula>
    </cfRule>
    <cfRule type="expression" dxfId="13151" priority="6501">
      <formula>#REF!="L"</formula>
    </cfRule>
  </conditionalFormatting>
  <conditionalFormatting sqref="AJ48:AK48">
    <cfRule type="expression" dxfId="13150" priority="6496">
      <formula>#REF!="TO"</formula>
    </cfRule>
    <cfRule type="expression" dxfId="13149" priority="6497">
      <formula>#REF!="IO"</formula>
    </cfRule>
    <cfRule type="expression" dxfId="13148" priority="6498">
      <formula>#REF!="L"</formula>
    </cfRule>
  </conditionalFormatting>
  <conditionalFormatting sqref="AU6:BA6">
    <cfRule type="expression" dxfId="13147" priority="6334">
      <formula>#REF!="TO"</formula>
    </cfRule>
    <cfRule type="expression" dxfId="13146" priority="6335">
      <formula>#REF!="IO"</formula>
    </cfRule>
    <cfRule type="expression" dxfId="13145" priority="6336">
      <formula>#REF!="L"</formula>
    </cfRule>
  </conditionalFormatting>
  <conditionalFormatting sqref="AN48">
    <cfRule type="expression" dxfId="13144" priority="6490">
      <formula>#REF!="TO"</formula>
    </cfRule>
    <cfRule type="expression" dxfId="13143" priority="6491">
      <formula>#REF!="IO"</formula>
    </cfRule>
    <cfRule type="expression" dxfId="13142" priority="6492">
      <formula>#REF!="L"</formula>
    </cfRule>
  </conditionalFormatting>
  <conditionalFormatting sqref="AR48">
    <cfRule type="expression" dxfId="13141" priority="6487">
      <formula>#REF!="TO"</formula>
    </cfRule>
    <cfRule type="expression" dxfId="13140" priority="6488">
      <formula>#REF!="IO"</formula>
    </cfRule>
    <cfRule type="expression" dxfId="13139" priority="6489">
      <formula>#REF!="L"</formula>
    </cfRule>
  </conditionalFormatting>
  <conditionalFormatting sqref="AS48">
    <cfRule type="expression" dxfId="13138" priority="6484">
      <formula>#REF!="TO"</formula>
    </cfRule>
    <cfRule type="expression" dxfId="13137" priority="6485">
      <formula>#REF!="IO"</formula>
    </cfRule>
    <cfRule type="expression" dxfId="13136" priority="6486">
      <formula>#REF!="L"</formula>
    </cfRule>
  </conditionalFormatting>
  <conditionalFormatting sqref="AU48:BA48">
    <cfRule type="expression" dxfId="13135" priority="6478">
      <formula>#REF!="TO"</formula>
    </cfRule>
    <cfRule type="expression" dxfId="13134" priority="6479">
      <formula>#REF!="IO"</formula>
    </cfRule>
    <cfRule type="expression" dxfId="13133" priority="6480">
      <formula>#REF!="L"</formula>
    </cfRule>
  </conditionalFormatting>
  <conditionalFormatting sqref="AF48">
    <cfRule type="expression" dxfId="13132" priority="6475">
      <formula>#REF!="TO"</formula>
    </cfRule>
    <cfRule type="expression" dxfId="13131" priority="6476">
      <formula>#REF!="IO"</formula>
    </cfRule>
    <cfRule type="expression" dxfId="13130" priority="6477">
      <formula>#REF!="L"</formula>
    </cfRule>
  </conditionalFormatting>
  <conditionalFormatting sqref="Y48">
    <cfRule type="expression" dxfId="13129" priority="6472">
      <formula>#REF!="TO"</formula>
    </cfRule>
    <cfRule type="expression" dxfId="13128" priority="6473">
      <formula>#REF!="IO"</formula>
    </cfRule>
    <cfRule type="expression" dxfId="13127" priority="6474">
      <formula>#REF!="L"</formula>
    </cfRule>
  </conditionalFormatting>
  <conditionalFormatting sqref="B49">
    <cfRule type="expression" dxfId="13126" priority="6463">
      <formula>#REF!="TO"</formula>
    </cfRule>
    <cfRule type="expression" dxfId="13125" priority="6464">
      <formula>#REF!="IO"</formula>
    </cfRule>
    <cfRule type="expression" dxfId="13124" priority="6465">
      <formula>#REF!="L"</formula>
    </cfRule>
  </conditionalFormatting>
  <conditionalFormatting sqref="E49:F49">
    <cfRule type="expression" dxfId="13123" priority="6460">
      <formula>#REF!="TO"</formula>
    </cfRule>
    <cfRule type="expression" dxfId="13122" priority="6461">
      <formula>#REF!="IO"</formula>
    </cfRule>
    <cfRule type="expression" dxfId="13121" priority="6462">
      <formula>#REF!="L"</formula>
    </cfRule>
  </conditionalFormatting>
  <conditionalFormatting sqref="S49">
    <cfRule type="expression" dxfId="13120" priority="6451">
      <formula>#REF!="TO"</formula>
    </cfRule>
    <cfRule type="expression" dxfId="13119" priority="6452">
      <formula>#REF!="IO"</formula>
    </cfRule>
    <cfRule type="expression" dxfId="13118" priority="6453">
      <formula>#REF!="L"</formula>
    </cfRule>
  </conditionalFormatting>
  <conditionalFormatting sqref="T49:X49">
    <cfRule type="expression" dxfId="13117" priority="6445">
      <formula>#REF!="TO"</formula>
    </cfRule>
    <cfRule type="expression" dxfId="13116" priority="6446">
      <formula>#REF!="IO"</formula>
    </cfRule>
    <cfRule type="expression" dxfId="13115" priority="6447">
      <formula>#REF!="L"</formula>
    </cfRule>
  </conditionalFormatting>
  <conditionalFormatting sqref="AL50">
    <cfRule type="expression" dxfId="13114" priority="6361">
      <formula>#REF!="TO"</formula>
    </cfRule>
    <cfRule type="expression" dxfId="13113" priority="6362">
      <formula>#REF!="IO"</formula>
    </cfRule>
    <cfRule type="expression" dxfId="13112" priority="6363">
      <formula>#REF!="L"</formula>
    </cfRule>
  </conditionalFormatting>
  <conditionalFormatting sqref="AB49:AD49">
    <cfRule type="expression" dxfId="13111" priority="6442">
      <formula>#REF!="TO"</formula>
    </cfRule>
    <cfRule type="expression" dxfId="13110" priority="6443">
      <formula>#REF!="IO"</formula>
    </cfRule>
    <cfRule type="expression" dxfId="13109" priority="6444">
      <formula>#REF!="L"</formula>
    </cfRule>
  </conditionalFormatting>
  <conditionalFormatting sqref="AH49">
    <cfRule type="expression" dxfId="13108" priority="6433">
      <formula>#REF!="TO"</formula>
    </cfRule>
    <cfRule type="expression" dxfId="13107" priority="6434">
      <formula>#REF!="IO"</formula>
    </cfRule>
    <cfRule type="expression" dxfId="13106" priority="6435">
      <formula>#REF!="L"</formula>
    </cfRule>
  </conditionalFormatting>
  <conditionalFormatting sqref="AJ49:AK49">
    <cfRule type="expression" dxfId="13105" priority="6430">
      <formula>#REF!="TO"</formula>
    </cfRule>
    <cfRule type="expression" dxfId="13104" priority="6431">
      <formula>#REF!="IO"</formula>
    </cfRule>
    <cfRule type="expression" dxfId="13103" priority="6432">
      <formula>#REF!="L"</formula>
    </cfRule>
  </conditionalFormatting>
  <conditionalFormatting sqref="AN49">
    <cfRule type="expression" dxfId="13102" priority="6424">
      <formula>#REF!="TO"</formula>
    </cfRule>
    <cfRule type="expression" dxfId="13101" priority="6425">
      <formula>#REF!="IO"</formula>
    </cfRule>
    <cfRule type="expression" dxfId="13100" priority="6426">
      <formula>#REF!="L"</formula>
    </cfRule>
  </conditionalFormatting>
  <conditionalFormatting sqref="AR49">
    <cfRule type="expression" dxfId="13099" priority="6421">
      <formula>#REF!="TO"</formula>
    </cfRule>
    <cfRule type="expression" dxfId="13098" priority="6422">
      <formula>#REF!="IO"</formula>
    </cfRule>
    <cfRule type="expression" dxfId="13097" priority="6423">
      <formula>#REF!="L"</formula>
    </cfRule>
  </conditionalFormatting>
  <conditionalFormatting sqref="AS49">
    <cfRule type="expression" dxfId="13096" priority="6418">
      <formula>#REF!="TO"</formula>
    </cfRule>
    <cfRule type="expression" dxfId="13095" priority="6419">
      <formula>#REF!="IO"</formula>
    </cfRule>
    <cfRule type="expression" dxfId="13094" priority="6420">
      <formula>#REF!="L"</formula>
    </cfRule>
  </conditionalFormatting>
  <conditionalFormatting sqref="AH51:AH86">
    <cfRule type="expression" dxfId="13093" priority="6217">
      <formula>#REF!="TO"</formula>
    </cfRule>
    <cfRule type="expression" dxfId="13092" priority="6218">
      <formula>#REF!="IO"</formula>
    </cfRule>
    <cfRule type="expression" dxfId="13091" priority="6219">
      <formula>#REF!="L"</formula>
    </cfRule>
  </conditionalFormatting>
  <conditionalFormatting sqref="AU49:BA49">
    <cfRule type="expression" dxfId="13090" priority="6412">
      <formula>#REF!="TO"</formula>
    </cfRule>
    <cfRule type="expression" dxfId="13089" priority="6413">
      <formula>#REF!="IO"</formula>
    </cfRule>
    <cfRule type="expression" dxfId="13088" priority="6414">
      <formula>#REF!="L"</formula>
    </cfRule>
  </conditionalFormatting>
  <conditionalFormatting sqref="AF49">
    <cfRule type="expression" dxfId="13087" priority="6409">
      <formula>#REF!="TO"</formula>
    </cfRule>
    <cfRule type="expression" dxfId="13086" priority="6410">
      <formula>#REF!="IO"</formula>
    </cfRule>
    <cfRule type="expression" dxfId="13085" priority="6411">
      <formula>#REF!="L"</formula>
    </cfRule>
  </conditionalFormatting>
  <conditionalFormatting sqref="Y49">
    <cfRule type="expression" dxfId="13084" priority="6406">
      <formula>#REF!="TO"</formula>
    </cfRule>
    <cfRule type="expression" dxfId="13083" priority="6407">
      <formula>#REF!="IO"</formula>
    </cfRule>
    <cfRule type="expression" dxfId="13082" priority="6408">
      <formula>#REF!="L"</formula>
    </cfRule>
  </conditionalFormatting>
  <conditionalFormatting sqref="B50">
    <cfRule type="expression" dxfId="13081" priority="6397">
      <formula>#REF!="TO"</formula>
    </cfRule>
    <cfRule type="expression" dxfId="13080" priority="6398">
      <formula>#REF!="IO"</formula>
    </cfRule>
    <cfRule type="expression" dxfId="13079" priority="6399">
      <formula>#REF!="L"</formula>
    </cfRule>
  </conditionalFormatting>
  <conditionalFormatting sqref="E50:F50">
    <cfRule type="expression" dxfId="13078" priority="6394">
      <formula>#REF!="TO"</formula>
    </cfRule>
    <cfRule type="expression" dxfId="13077" priority="6395">
      <formula>#REF!="IO"</formula>
    </cfRule>
    <cfRule type="expression" dxfId="13076" priority="6396">
      <formula>#REF!="L"</formula>
    </cfRule>
  </conditionalFormatting>
  <conditionalFormatting sqref="S50">
    <cfRule type="expression" dxfId="13075" priority="6385">
      <formula>#REF!="TO"</formula>
    </cfRule>
    <cfRule type="expression" dxfId="13074" priority="6386">
      <formula>#REF!="IO"</formula>
    </cfRule>
    <cfRule type="expression" dxfId="13073" priority="6387">
      <formula>#REF!="L"</formula>
    </cfRule>
  </conditionalFormatting>
  <conditionalFormatting sqref="T50:X50">
    <cfRule type="expression" dxfId="13072" priority="6379">
      <formula>#REF!="TO"</formula>
    </cfRule>
    <cfRule type="expression" dxfId="13071" priority="6380">
      <formula>#REF!="IO"</formula>
    </cfRule>
    <cfRule type="expression" dxfId="13070" priority="6381">
      <formula>#REF!="L"</formula>
    </cfRule>
  </conditionalFormatting>
  <conditionalFormatting sqref="AB50:AD50">
    <cfRule type="expression" dxfId="13069" priority="6376">
      <formula>#REF!="TO"</formula>
    </cfRule>
    <cfRule type="expression" dxfId="13068" priority="6377">
      <formula>#REF!="IO"</formula>
    </cfRule>
    <cfRule type="expression" dxfId="13067" priority="6378">
      <formula>#REF!="L"</formula>
    </cfRule>
  </conditionalFormatting>
  <conditionalFormatting sqref="AH50">
    <cfRule type="expression" dxfId="13066" priority="6367">
      <formula>#REF!="TO"</formula>
    </cfRule>
    <cfRule type="expression" dxfId="13065" priority="6368">
      <formula>#REF!="IO"</formula>
    </cfRule>
    <cfRule type="expression" dxfId="13064" priority="6369">
      <formula>#REF!="L"</formula>
    </cfRule>
  </conditionalFormatting>
  <conditionalFormatting sqref="AJ50:AK50">
    <cfRule type="expression" dxfId="13063" priority="6364">
      <formula>#REF!="TO"</formula>
    </cfRule>
    <cfRule type="expression" dxfId="13062" priority="6365">
      <formula>#REF!="IO"</formula>
    </cfRule>
    <cfRule type="expression" dxfId="13061" priority="6366">
      <formula>#REF!="L"</formula>
    </cfRule>
  </conditionalFormatting>
  <conditionalFormatting sqref="AN50">
    <cfRule type="expression" dxfId="13060" priority="6358">
      <formula>#REF!="TO"</formula>
    </cfRule>
    <cfRule type="expression" dxfId="13059" priority="6359">
      <formula>#REF!="IO"</formula>
    </cfRule>
    <cfRule type="expression" dxfId="13058" priority="6360">
      <formula>#REF!="L"</formula>
    </cfRule>
  </conditionalFormatting>
  <conditionalFormatting sqref="AR50">
    <cfRule type="expression" dxfId="13057" priority="6355">
      <formula>#REF!="TO"</formula>
    </cfRule>
    <cfRule type="expression" dxfId="13056" priority="6356">
      <formula>#REF!="IO"</formula>
    </cfRule>
    <cfRule type="expression" dxfId="13055" priority="6357">
      <formula>#REF!="L"</formula>
    </cfRule>
  </conditionalFormatting>
  <conditionalFormatting sqref="AS50">
    <cfRule type="expression" dxfId="13054" priority="6352">
      <formula>#REF!="TO"</formula>
    </cfRule>
    <cfRule type="expression" dxfId="13053" priority="6353">
      <formula>#REF!="IO"</formula>
    </cfRule>
    <cfRule type="expression" dxfId="13052" priority="6354">
      <formula>#REF!="L"</formula>
    </cfRule>
  </conditionalFormatting>
  <conditionalFormatting sqref="AU50:BA50">
    <cfRule type="expression" dxfId="13051" priority="6346">
      <formula>#REF!="TO"</formula>
    </cfRule>
    <cfRule type="expression" dxfId="13050" priority="6347">
      <formula>#REF!="IO"</formula>
    </cfRule>
    <cfRule type="expression" dxfId="13049" priority="6348">
      <formula>#REF!="L"</formula>
    </cfRule>
  </conditionalFormatting>
  <conditionalFormatting sqref="AF50">
    <cfRule type="expression" dxfId="13048" priority="6343">
      <formula>#REF!="TO"</formula>
    </cfRule>
    <cfRule type="expression" dxfId="13047" priority="6344">
      <formula>#REF!="IO"</formula>
    </cfRule>
    <cfRule type="expression" dxfId="13046" priority="6345">
      <formula>#REF!="L"</formula>
    </cfRule>
  </conditionalFormatting>
  <conditionalFormatting sqref="Y50">
    <cfRule type="expression" dxfId="13045" priority="6340">
      <formula>#REF!="TO"</formula>
    </cfRule>
    <cfRule type="expression" dxfId="13044" priority="6341">
      <formula>#REF!="IO"</formula>
    </cfRule>
    <cfRule type="expression" dxfId="13043" priority="6342">
      <formula>#REF!="L"</formula>
    </cfRule>
  </conditionalFormatting>
  <conditionalFormatting sqref="AU7:BA7">
    <cfRule type="expression" dxfId="13042" priority="6331">
      <formula>#REF!="TO"</formula>
    </cfRule>
    <cfRule type="expression" dxfId="13041" priority="6332">
      <formula>#REF!="IO"</formula>
    </cfRule>
    <cfRule type="expression" dxfId="13040" priority="6333">
      <formula>#REF!="L"</formula>
    </cfRule>
  </conditionalFormatting>
  <conditionalFormatting sqref="V9:X12">
    <cfRule type="expression" dxfId="13039" priority="6328">
      <formula>#REF!="TO"</formula>
    </cfRule>
    <cfRule type="expression" dxfId="13038" priority="6329">
      <formula>#REF!="IO"</formula>
    </cfRule>
    <cfRule type="expression" dxfId="13037" priority="6330">
      <formula>#REF!="L"</formula>
    </cfRule>
  </conditionalFormatting>
  <conditionalFormatting sqref="V16:X16">
    <cfRule type="expression" dxfId="13036" priority="6325">
      <formula>#REF!="TO"</formula>
    </cfRule>
    <cfRule type="expression" dxfId="13035" priority="6326">
      <formula>#REF!="IO"</formula>
    </cfRule>
    <cfRule type="expression" dxfId="13034" priority="6327">
      <formula>#REF!="L"</formula>
    </cfRule>
  </conditionalFormatting>
  <conditionalFormatting sqref="V17:X17">
    <cfRule type="expression" dxfId="13033" priority="6322">
      <formula>#REF!="TO"</formula>
    </cfRule>
    <cfRule type="expression" dxfId="13032" priority="6323">
      <formula>#REF!="IO"</formula>
    </cfRule>
    <cfRule type="expression" dxfId="13031" priority="6324">
      <formula>#REF!="L"</formula>
    </cfRule>
  </conditionalFormatting>
  <conditionalFormatting sqref="V19:X19">
    <cfRule type="expression" dxfId="13030" priority="6319">
      <formula>#REF!="TO"</formula>
    </cfRule>
    <cfRule type="expression" dxfId="13029" priority="6320">
      <formula>#REF!="IO"</formula>
    </cfRule>
    <cfRule type="expression" dxfId="13028" priority="6321">
      <formula>#REF!="L"</formula>
    </cfRule>
  </conditionalFormatting>
  <conditionalFormatting sqref="V20:X20">
    <cfRule type="expression" dxfId="13027" priority="6316">
      <formula>#REF!="TO"</formula>
    </cfRule>
    <cfRule type="expression" dxfId="13026" priority="6317">
      <formula>#REF!="IO"</formula>
    </cfRule>
    <cfRule type="expression" dxfId="13025" priority="6318">
      <formula>#REF!="L"</formula>
    </cfRule>
  </conditionalFormatting>
  <conditionalFormatting sqref="V13:X13">
    <cfRule type="expression" dxfId="13024" priority="6313">
      <formula>#REF!="TO"</formula>
    </cfRule>
    <cfRule type="expression" dxfId="13023" priority="6314">
      <formula>#REF!="IO"</formula>
    </cfRule>
    <cfRule type="expression" dxfId="13022" priority="6315">
      <formula>#REF!="L"</formula>
    </cfRule>
  </conditionalFormatting>
  <conditionalFormatting sqref="V14:X14">
    <cfRule type="expression" dxfId="13021" priority="6310">
      <formula>#REF!="TO"</formula>
    </cfRule>
    <cfRule type="expression" dxfId="13020" priority="6311">
      <formula>#REF!="IO"</formula>
    </cfRule>
    <cfRule type="expression" dxfId="13019" priority="6312">
      <formula>#REF!="L"</formula>
    </cfRule>
  </conditionalFormatting>
  <conditionalFormatting sqref="V15:X15">
    <cfRule type="expression" dxfId="13018" priority="6307">
      <formula>#REF!="TO"</formula>
    </cfRule>
    <cfRule type="expression" dxfId="13017" priority="6308">
      <formula>#REF!="IO"</formula>
    </cfRule>
    <cfRule type="expression" dxfId="13016" priority="6309">
      <formula>#REF!="L"</formula>
    </cfRule>
  </conditionalFormatting>
  <conditionalFormatting sqref="V18:X18">
    <cfRule type="expression" dxfId="13015" priority="6304">
      <formula>#REF!="TO"</formula>
    </cfRule>
    <cfRule type="expression" dxfId="13014" priority="6305">
      <formula>#REF!="IO"</formula>
    </cfRule>
    <cfRule type="expression" dxfId="13013" priority="6306">
      <formula>#REF!="L"</formula>
    </cfRule>
  </conditionalFormatting>
  <conditionalFormatting sqref="V21:X21">
    <cfRule type="expression" dxfId="13012" priority="6301">
      <formula>#REF!="TO"</formula>
    </cfRule>
    <cfRule type="expression" dxfId="13011" priority="6302">
      <formula>#REF!="IO"</formula>
    </cfRule>
    <cfRule type="expression" dxfId="13010" priority="6303">
      <formula>#REF!="L"</formula>
    </cfRule>
  </conditionalFormatting>
  <conditionalFormatting sqref="V22:X22">
    <cfRule type="expression" dxfId="13009" priority="6298">
      <formula>#REF!="TO"</formula>
    </cfRule>
    <cfRule type="expression" dxfId="13008" priority="6299">
      <formula>#REF!="IO"</formula>
    </cfRule>
    <cfRule type="expression" dxfId="13007" priority="6300">
      <formula>#REF!="L"</formula>
    </cfRule>
  </conditionalFormatting>
  <conditionalFormatting sqref="V23:X24">
    <cfRule type="expression" dxfId="13006" priority="6295">
      <formula>#REF!="TO"</formula>
    </cfRule>
    <cfRule type="expression" dxfId="13005" priority="6296">
      <formula>#REF!="IO"</formula>
    </cfRule>
    <cfRule type="expression" dxfId="13004" priority="6297">
      <formula>#REF!="L"</formula>
    </cfRule>
  </conditionalFormatting>
  <conditionalFormatting sqref="AR51:AR86">
    <cfRule type="expression" dxfId="13003" priority="6205">
      <formula>#REF!="TO"</formula>
    </cfRule>
    <cfRule type="expression" dxfId="13002" priority="6206">
      <formula>#REF!="IO"</formula>
    </cfRule>
    <cfRule type="expression" dxfId="13001" priority="6207">
      <formula>#REF!="L"</formula>
    </cfRule>
  </conditionalFormatting>
  <conditionalFormatting sqref="S51:S86">
    <cfRule type="expression" dxfId="13000" priority="6235">
      <formula>#REF!="TO"</formula>
    </cfRule>
    <cfRule type="expression" dxfId="12999" priority="6236">
      <formula>#REF!="IO"</formula>
    </cfRule>
    <cfRule type="expression" dxfId="12998" priority="6237">
      <formula>#REF!="L"</formula>
    </cfRule>
  </conditionalFormatting>
  <conditionalFormatting sqref="P20">
    <cfRule type="expression" dxfId="12997" priority="6142">
      <formula>#REF!="TO"</formula>
    </cfRule>
    <cfRule type="expression" dxfId="12996" priority="6143">
      <formula>#REF!="IO"</formula>
    </cfRule>
    <cfRule type="expression" dxfId="12995" priority="6144">
      <formula>#REF!="L"</formula>
    </cfRule>
  </conditionalFormatting>
  <conditionalFormatting sqref="T51:X86">
    <cfRule type="expression" dxfId="12994" priority="6229">
      <formula>#REF!="TO"</formula>
    </cfRule>
    <cfRule type="expression" dxfId="12993" priority="6230">
      <formula>#REF!="IO"</formula>
    </cfRule>
    <cfRule type="expression" dxfId="12992" priority="6231">
      <formula>#REF!="L"</formula>
    </cfRule>
  </conditionalFormatting>
  <conditionalFormatting sqref="AB51:AD86">
    <cfRule type="expression" dxfId="12991" priority="6226">
      <formula>#REF!="TO"</formula>
    </cfRule>
    <cfRule type="expression" dxfId="12990" priority="6227">
      <formula>#REF!="IO"</formula>
    </cfRule>
    <cfRule type="expression" dxfId="12989" priority="6228">
      <formula>#REF!="L"</formula>
    </cfRule>
  </conditionalFormatting>
  <conditionalFormatting sqref="AJ51:AK86">
    <cfRule type="expression" dxfId="12988" priority="6214">
      <formula>#REF!="TO"</formula>
    </cfRule>
    <cfRule type="expression" dxfId="12987" priority="6215">
      <formula>#REF!="IO"</formula>
    </cfRule>
    <cfRule type="expression" dxfId="12986" priority="6216">
      <formula>#REF!="L"</formula>
    </cfRule>
  </conditionalFormatting>
  <conditionalFormatting sqref="AL51:AL86">
    <cfRule type="expression" dxfId="12985" priority="6211">
      <formula>#REF!="TO"</formula>
    </cfRule>
    <cfRule type="expression" dxfId="12984" priority="6212">
      <formula>#REF!="IO"</formula>
    </cfRule>
    <cfRule type="expression" dxfId="12983" priority="6213">
      <formula>#REF!="L"</formula>
    </cfRule>
  </conditionalFormatting>
  <conditionalFormatting sqref="A51:A86">
    <cfRule type="expression" dxfId="12982" priority="6250">
      <formula>#REF!="TO"</formula>
    </cfRule>
    <cfRule type="expression" dxfId="12981" priority="6251">
      <formula>#REF!="IO"</formula>
    </cfRule>
    <cfRule type="expression" dxfId="12980" priority="6252">
      <formula>#REF!="L"</formula>
    </cfRule>
  </conditionalFormatting>
  <conditionalFormatting sqref="B51:B86">
    <cfRule type="expression" dxfId="12979" priority="6247">
      <formula>#REF!="TO"</formula>
    </cfRule>
    <cfRule type="expression" dxfId="12978" priority="6248">
      <formula>#REF!="IO"</formula>
    </cfRule>
    <cfRule type="expression" dxfId="12977" priority="6249">
      <formula>#REF!="L"</formula>
    </cfRule>
  </conditionalFormatting>
  <conditionalFormatting sqref="E51:F86">
    <cfRule type="expression" dxfId="12976" priority="6244">
      <formula>#REF!="TO"</formula>
    </cfRule>
    <cfRule type="expression" dxfId="12975" priority="6245">
      <formula>#REF!="IO"</formula>
    </cfRule>
    <cfRule type="expression" dxfId="12974" priority="6246">
      <formula>#REF!="L"</formula>
    </cfRule>
  </conditionalFormatting>
  <conditionalFormatting sqref="P17">
    <cfRule type="expression" dxfId="12973" priority="6151">
      <formula>#REF!="TO"</formula>
    </cfRule>
    <cfRule type="expression" dxfId="12972" priority="6152">
      <formula>#REF!="IO"</formula>
    </cfRule>
    <cfRule type="expression" dxfId="12971" priority="6153">
      <formula>#REF!="L"</formula>
    </cfRule>
  </conditionalFormatting>
  <conditionalFormatting sqref="P18">
    <cfRule type="expression" dxfId="12970" priority="6148">
      <formula>#REF!="TO"</formula>
    </cfRule>
    <cfRule type="expression" dxfId="12969" priority="6149">
      <formula>#REF!="IO"</formula>
    </cfRule>
    <cfRule type="expression" dxfId="12968" priority="6150">
      <formula>#REF!="L"</formula>
    </cfRule>
  </conditionalFormatting>
  <conditionalFormatting sqref="P19">
    <cfRule type="expression" dxfId="12967" priority="6145">
      <formula>#REF!="TO"</formula>
    </cfRule>
    <cfRule type="expression" dxfId="12966" priority="6146">
      <formula>#REF!="IO"</formula>
    </cfRule>
    <cfRule type="expression" dxfId="12965" priority="6147">
      <formula>#REF!="L"</formula>
    </cfRule>
  </conditionalFormatting>
  <conditionalFormatting sqref="P21">
    <cfRule type="expression" dxfId="12964" priority="6139">
      <formula>#REF!="TO"</formula>
    </cfRule>
    <cfRule type="expression" dxfId="12963" priority="6140">
      <formula>#REF!="IO"</formula>
    </cfRule>
    <cfRule type="expression" dxfId="12962" priority="6141">
      <formula>#REF!="L"</formula>
    </cfRule>
  </conditionalFormatting>
  <conditionalFormatting sqref="AA16">
    <cfRule type="expression" dxfId="12961" priority="5710">
      <formula>#REF!="TO"</formula>
    </cfRule>
    <cfRule type="expression" dxfId="12960" priority="5711">
      <formula>#REF!="IO"</formula>
    </cfRule>
    <cfRule type="expression" dxfId="12959" priority="5712">
      <formula>#REF!="L"</formula>
    </cfRule>
  </conditionalFormatting>
  <conditionalFormatting sqref="P22:P29">
    <cfRule type="expression" dxfId="12958" priority="6136">
      <formula>#REF!="TO"</formula>
    </cfRule>
    <cfRule type="expression" dxfId="12957" priority="6137">
      <formula>#REF!="IO"</formula>
    </cfRule>
    <cfRule type="expression" dxfId="12956" priority="6138">
      <formula>#REF!="L"</formula>
    </cfRule>
  </conditionalFormatting>
  <conditionalFormatting sqref="Q7">
    <cfRule type="expression" dxfId="12955" priority="6091">
      <formula>#REF!="TO"</formula>
    </cfRule>
    <cfRule type="expression" dxfId="12954" priority="6092">
      <formula>#REF!="IO"</formula>
    </cfRule>
    <cfRule type="expression" dxfId="12953" priority="6093">
      <formula>#REF!="L"</formula>
    </cfRule>
  </conditionalFormatting>
  <conditionalFormatting sqref="Q8">
    <cfRule type="expression" dxfId="12952" priority="6088">
      <formula>#REF!="TO"</formula>
    </cfRule>
    <cfRule type="expression" dxfId="12951" priority="6089">
      <formula>#REF!="IO"</formula>
    </cfRule>
    <cfRule type="expression" dxfId="12950" priority="6090">
      <formula>#REF!="L"</formula>
    </cfRule>
  </conditionalFormatting>
  <conditionalFormatting sqref="Q9:Q12">
    <cfRule type="expression" dxfId="12949" priority="6085">
      <formula>#REF!="TO"</formula>
    </cfRule>
    <cfRule type="expression" dxfId="12948" priority="6086">
      <formula>#REF!="IO"</formula>
    </cfRule>
    <cfRule type="expression" dxfId="12947" priority="6087">
      <formula>#REF!="L"</formula>
    </cfRule>
  </conditionalFormatting>
  <conditionalFormatting sqref="Q13">
    <cfRule type="expression" dxfId="12946" priority="6082">
      <formula>#REF!="TO"</formula>
    </cfRule>
    <cfRule type="expression" dxfId="12945" priority="6083">
      <formula>#REF!="IO"</formula>
    </cfRule>
    <cfRule type="expression" dxfId="12944" priority="6084">
      <formula>#REF!="L"</formula>
    </cfRule>
  </conditionalFormatting>
  <conditionalFormatting sqref="Q14">
    <cfRule type="expression" dxfId="12943" priority="6079">
      <formula>#REF!="TO"</formula>
    </cfRule>
    <cfRule type="expression" dxfId="12942" priority="6080">
      <formula>#REF!="IO"</formula>
    </cfRule>
    <cfRule type="expression" dxfId="12941" priority="6081">
      <formula>#REF!="L"</formula>
    </cfRule>
  </conditionalFormatting>
  <conditionalFormatting sqref="AN51:AN86">
    <cfRule type="expression" dxfId="12940" priority="6208">
      <formula>#REF!="TO"</formula>
    </cfRule>
    <cfRule type="expression" dxfId="12939" priority="6209">
      <formula>#REF!="IO"</formula>
    </cfRule>
    <cfRule type="expression" dxfId="12938" priority="6210">
      <formula>#REF!="L"</formula>
    </cfRule>
  </conditionalFormatting>
  <conditionalFormatting sqref="AS51:AS86">
    <cfRule type="expression" dxfId="12937" priority="6202">
      <formula>#REF!="TO"</formula>
    </cfRule>
    <cfRule type="expression" dxfId="12936" priority="6203">
      <formula>#REF!="IO"</formula>
    </cfRule>
    <cfRule type="expression" dxfId="12935" priority="6204">
      <formula>#REF!="L"</formula>
    </cfRule>
  </conditionalFormatting>
  <conditionalFormatting sqref="AU51:BA86">
    <cfRule type="expression" dxfId="12934" priority="6196">
      <formula>#REF!="TO"</formula>
    </cfRule>
    <cfRule type="expression" dxfId="12933" priority="6197">
      <formula>#REF!="IO"</formula>
    </cfRule>
    <cfRule type="expression" dxfId="12932" priority="6198">
      <formula>#REF!="L"</formula>
    </cfRule>
  </conditionalFormatting>
  <conditionalFormatting sqref="AF51:AF86">
    <cfRule type="expression" dxfId="12931" priority="6193">
      <formula>#REF!="TO"</formula>
    </cfRule>
    <cfRule type="expression" dxfId="12930" priority="6194">
      <formula>#REF!="IO"</formula>
    </cfRule>
    <cfRule type="expression" dxfId="12929" priority="6195">
      <formula>#REF!="L"</formula>
    </cfRule>
  </conditionalFormatting>
  <conditionalFormatting sqref="Y51:Y86">
    <cfRule type="expression" dxfId="12928" priority="6190">
      <formula>#REF!="TO"</formula>
    </cfRule>
    <cfRule type="expression" dxfId="12927" priority="6191">
      <formula>#REF!="IO"</formula>
    </cfRule>
    <cfRule type="expression" dxfId="12926" priority="6192">
      <formula>#REF!="L"</formula>
    </cfRule>
  </conditionalFormatting>
  <conditionalFormatting sqref="P23:P29">
    <cfRule type="expression" dxfId="12925" priority="6181">
      <formula>#REF!="TO"</formula>
    </cfRule>
    <cfRule type="expression" dxfId="12924" priority="6182">
      <formula>#REF!="IO"</formula>
    </cfRule>
    <cfRule type="expression" dxfId="12923" priority="6183">
      <formula>#REF!="L"</formula>
    </cfRule>
  </conditionalFormatting>
  <conditionalFormatting sqref="P5">
    <cfRule type="expression" dxfId="12922" priority="6178">
      <formula>#REF!="TO"</formula>
    </cfRule>
    <cfRule type="expression" dxfId="12921" priority="6179">
      <formula>#REF!="IO"</formula>
    </cfRule>
    <cfRule type="expression" dxfId="12920" priority="6180">
      <formula>#REF!="L"</formula>
    </cfRule>
  </conditionalFormatting>
  <conditionalFormatting sqref="P6">
    <cfRule type="expression" dxfId="12919" priority="6175">
      <formula>#REF!="TO"</formula>
    </cfRule>
    <cfRule type="expression" dxfId="12918" priority="6176">
      <formula>#REF!="IO"</formula>
    </cfRule>
    <cfRule type="expression" dxfId="12917" priority="6177">
      <formula>#REF!="L"</formula>
    </cfRule>
  </conditionalFormatting>
  <conditionalFormatting sqref="P7">
    <cfRule type="expression" dxfId="12916" priority="6172">
      <formula>#REF!="TO"</formula>
    </cfRule>
    <cfRule type="expression" dxfId="12915" priority="6173">
      <formula>#REF!="IO"</formula>
    </cfRule>
    <cfRule type="expression" dxfId="12914" priority="6174">
      <formula>#REF!="L"</formula>
    </cfRule>
  </conditionalFormatting>
  <conditionalFormatting sqref="P8">
    <cfRule type="expression" dxfId="12913" priority="6169">
      <formula>#REF!="TO"</formula>
    </cfRule>
    <cfRule type="expression" dxfId="12912" priority="6170">
      <formula>#REF!="IO"</formula>
    </cfRule>
    <cfRule type="expression" dxfId="12911" priority="6171">
      <formula>#REF!="L"</formula>
    </cfRule>
  </conditionalFormatting>
  <conditionalFormatting sqref="P9:P12">
    <cfRule type="expression" dxfId="12910" priority="6166">
      <formula>#REF!="TO"</formula>
    </cfRule>
    <cfRule type="expression" dxfId="12909" priority="6167">
      <formula>#REF!="IO"</formula>
    </cfRule>
    <cfRule type="expression" dxfId="12908" priority="6168">
      <formula>#REF!="L"</formula>
    </cfRule>
  </conditionalFormatting>
  <conditionalFormatting sqref="P13">
    <cfRule type="expression" dxfId="12907" priority="6163">
      <formula>#REF!="TO"</formula>
    </cfRule>
    <cfRule type="expression" dxfId="12906" priority="6164">
      <formula>#REF!="IO"</formula>
    </cfRule>
    <cfRule type="expression" dxfId="12905" priority="6165">
      <formula>#REF!="L"</formula>
    </cfRule>
  </conditionalFormatting>
  <conditionalFormatting sqref="P14">
    <cfRule type="expression" dxfId="12904" priority="6160">
      <formula>#REF!="TO"</formula>
    </cfRule>
    <cfRule type="expression" dxfId="12903" priority="6161">
      <formula>#REF!="IO"</formula>
    </cfRule>
    <cfRule type="expression" dxfId="12902" priority="6162">
      <formula>#REF!="L"</formula>
    </cfRule>
  </conditionalFormatting>
  <conditionalFormatting sqref="P15">
    <cfRule type="expression" dxfId="12901" priority="6157">
      <formula>#REF!="TO"</formula>
    </cfRule>
    <cfRule type="expression" dxfId="12900" priority="6158">
      <formula>#REF!="IO"</formula>
    </cfRule>
    <cfRule type="expression" dxfId="12899" priority="6159">
      <formula>#REF!="L"</formula>
    </cfRule>
  </conditionalFormatting>
  <conditionalFormatting sqref="P16">
    <cfRule type="expression" dxfId="12898" priority="6154">
      <formula>#REF!="TO"</formula>
    </cfRule>
    <cfRule type="expression" dxfId="12897" priority="6155">
      <formula>#REF!="IO"</formula>
    </cfRule>
    <cfRule type="expression" dxfId="12896" priority="6156">
      <formula>#REF!="L"</formula>
    </cfRule>
  </conditionalFormatting>
  <conditionalFormatting sqref="Q15">
    <cfRule type="expression" dxfId="12895" priority="6076">
      <formula>#REF!="TO"</formula>
    </cfRule>
    <cfRule type="expression" dxfId="12894" priority="6077">
      <formula>#REF!="IO"</formula>
    </cfRule>
    <cfRule type="expression" dxfId="12893" priority="6078">
      <formula>#REF!="L"</formula>
    </cfRule>
  </conditionalFormatting>
  <conditionalFormatting sqref="Q16">
    <cfRule type="expression" dxfId="12892" priority="6073">
      <formula>#REF!="TO"</formula>
    </cfRule>
    <cfRule type="expression" dxfId="12891" priority="6074">
      <formula>#REF!="IO"</formula>
    </cfRule>
    <cfRule type="expression" dxfId="12890" priority="6075">
      <formula>#REF!="L"</formula>
    </cfRule>
  </conditionalFormatting>
  <conditionalFormatting sqref="Q17">
    <cfRule type="expression" dxfId="12889" priority="6070">
      <formula>#REF!="TO"</formula>
    </cfRule>
    <cfRule type="expression" dxfId="12888" priority="6071">
      <formula>#REF!="IO"</formula>
    </cfRule>
    <cfRule type="expression" dxfId="12887" priority="6072">
      <formula>#REF!="L"</formula>
    </cfRule>
  </conditionalFormatting>
  <conditionalFormatting sqref="Q18">
    <cfRule type="expression" dxfId="12886" priority="6067">
      <formula>#REF!="TO"</formula>
    </cfRule>
    <cfRule type="expression" dxfId="12885" priority="6068">
      <formula>#REF!="IO"</formula>
    </cfRule>
    <cfRule type="expression" dxfId="12884" priority="6069">
      <formula>#REF!="L"</formula>
    </cfRule>
  </conditionalFormatting>
  <conditionalFormatting sqref="Q19">
    <cfRule type="expression" dxfId="12883" priority="6064">
      <formula>#REF!="TO"</formula>
    </cfRule>
    <cfRule type="expression" dxfId="12882" priority="6065">
      <formula>#REF!="IO"</formula>
    </cfRule>
    <cfRule type="expression" dxfId="12881" priority="6066">
      <formula>#REF!="L"</formula>
    </cfRule>
  </conditionalFormatting>
  <conditionalFormatting sqref="Q23:Q29">
    <cfRule type="expression" dxfId="12880" priority="6100">
      <formula>#REF!="TO"</formula>
    </cfRule>
    <cfRule type="expression" dxfId="12879" priority="6101">
      <formula>#REF!="IO"</formula>
    </cfRule>
    <cfRule type="expression" dxfId="12878" priority="6102">
      <formula>#REF!="L"</formula>
    </cfRule>
  </conditionalFormatting>
  <conditionalFormatting sqref="Q5">
    <cfRule type="expression" dxfId="12877" priority="6097">
      <formula>#REF!="TO"</formula>
    </cfRule>
    <cfRule type="expression" dxfId="12876" priority="6098">
      <formula>#REF!="IO"</formula>
    </cfRule>
    <cfRule type="expression" dxfId="12875" priority="6099">
      <formula>#REF!="L"</formula>
    </cfRule>
  </conditionalFormatting>
  <conditionalFormatting sqref="Q6">
    <cfRule type="expression" dxfId="12874" priority="6094">
      <formula>#REF!="TO"</formula>
    </cfRule>
    <cfRule type="expression" dxfId="12873" priority="6095">
      <formula>#REF!="IO"</formula>
    </cfRule>
    <cfRule type="expression" dxfId="12872" priority="6096">
      <formula>#REF!="L"</formula>
    </cfRule>
  </conditionalFormatting>
  <conditionalFormatting sqref="Q20">
    <cfRule type="expression" dxfId="12871" priority="6061">
      <formula>#REF!="TO"</formula>
    </cfRule>
    <cfRule type="expression" dxfId="12870" priority="6062">
      <formula>#REF!="IO"</formula>
    </cfRule>
    <cfRule type="expression" dxfId="12869" priority="6063">
      <formula>#REF!="L"</formula>
    </cfRule>
  </conditionalFormatting>
  <conditionalFormatting sqref="Q21">
    <cfRule type="expression" dxfId="12868" priority="6058">
      <formula>#REF!="TO"</formula>
    </cfRule>
    <cfRule type="expression" dxfId="12867" priority="6059">
      <formula>#REF!="IO"</formula>
    </cfRule>
    <cfRule type="expression" dxfId="12866" priority="6060">
      <formula>#REF!="L"</formula>
    </cfRule>
  </conditionalFormatting>
  <conditionalFormatting sqref="Z22:Z29">
    <cfRule type="expression" dxfId="12865" priority="5629">
      <formula>#REF!="TO"</formula>
    </cfRule>
    <cfRule type="expression" dxfId="12864" priority="5630">
      <formula>#REF!="IO"</formula>
    </cfRule>
    <cfRule type="expression" dxfId="12863" priority="5631">
      <formula>#REF!="L"</formula>
    </cfRule>
  </conditionalFormatting>
  <conditionalFormatting sqref="Q22:Q29">
    <cfRule type="expression" dxfId="12862" priority="6055">
      <formula>#REF!="TO"</formula>
    </cfRule>
    <cfRule type="expression" dxfId="12861" priority="6056">
      <formula>#REF!="IO"</formula>
    </cfRule>
    <cfRule type="expression" dxfId="12860" priority="6057">
      <formula>#REF!="L"</formula>
    </cfRule>
  </conditionalFormatting>
  <conditionalFormatting sqref="AA17">
    <cfRule type="expression" dxfId="12859" priority="5707">
      <formula>#REF!="TO"</formula>
    </cfRule>
    <cfRule type="expression" dxfId="12858" priority="5708">
      <formula>#REF!="IO"</formula>
    </cfRule>
    <cfRule type="expression" dxfId="12857" priority="5709">
      <formula>#REF!="L"</formula>
    </cfRule>
  </conditionalFormatting>
  <conditionalFormatting sqref="AA18">
    <cfRule type="expression" dxfId="12856" priority="5704">
      <formula>#REF!="TO"</formula>
    </cfRule>
    <cfRule type="expression" dxfId="12855" priority="5705">
      <formula>#REF!="IO"</formula>
    </cfRule>
    <cfRule type="expression" dxfId="12854" priority="5706">
      <formula>#REF!="L"</formula>
    </cfRule>
  </conditionalFormatting>
  <conditionalFormatting sqref="AA21">
    <cfRule type="expression" dxfId="12853" priority="5695">
      <formula>#REF!="TO"</formula>
    </cfRule>
    <cfRule type="expression" dxfId="12852" priority="5696">
      <formula>#REF!="IO"</formula>
    </cfRule>
    <cfRule type="expression" dxfId="12851" priority="5697">
      <formula>#REF!="L"</formula>
    </cfRule>
  </conditionalFormatting>
  <conditionalFormatting sqref="AA51:AA86">
    <cfRule type="expression" dxfId="12850" priority="5689">
      <formula>#REF!="TO"</formula>
    </cfRule>
    <cfRule type="expression" dxfId="12849" priority="5690">
      <formula>#REF!="IO"</formula>
    </cfRule>
    <cfRule type="expression" dxfId="12848" priority="5691">
      <formula>#REF!="L"</formula>
    </cfRule>
  </conditionalFormatting>
  <conditionalFormatting sqref="AA14">
    <cfRule type="expression" dxfId="12847" priority="5716">
      <formula>#REF!="TO"</formula>
    </cfRule>
    <cfRule type="expression" dxfId="12846" priority="5717">
      <formula>#REF!="IO"</formula>
    </cfRule>
    <cfRule type="expression" dxfId="12845" priority="5718">
      <formula>#REF!="L"</formula>
    </cfRule>
  </conditionalFormatting>
  <conditionalFormatting sqref="Z18">
    <cfRule type="expression" dxfId="12844" priority="5641">
      <formula>#REF!="TO"</formula>
    </cfRule>
    <cfRule type="expression" dxfId="12843" priority="5642">
      <formula>#REF!="IO"</formula>
    </cfRule>
    <cfRule type="expression" dxfId="12842" priority="5643">
      <formula>#REF!="L"</formula>
    </cfRule>
  </conditionalFormatting>
  <conditionalFormatting sqref="AA28:AA29">
    <cfRule type="expression" dxfId="12841" priority="5683">
      <formula>#REF!="TO"</formula>
    </cfRule>
    <cfRule type="expression" dxfId="12840" priority="5684">
      <formula>#REF!="IO"</formula>
    </cfRule>
    <cfRule type="expression" dxfId="12839" priority="5685">
      <formula>#REF!="L"</formula>
    </cfRule>
    <cfRule type="expression" dxfId="12838" priority="5680">
      <formula>#REF!="TO"</formula>
    </cfRule>
    <cfRule type="expression" dxfId="12837" priority="5681">
      <formula>#REF!="IO"</formula>
    </cfRule>
    <cfRule type="expression" dxfId="12836" priority="5682">
      <formula>#REF!="L"</formula>
    </cfRule>
  </conditionalFormatting>
  <conditionalFormatting sqref="Z7">
    <cfRule type="expression" dxfId="12835" priority="5665">
      <formula>#REF!="TO"</formula>
    </cfRule>
    <cfRule type="expression" dxfId="12834" priority="5666">
      <formula>#REF!="IO"</formula>
    </cfRule>
    <cfRule type="expression" dxfId="12833" priority="5667">
      <formula>#REF!="L"</formula>
    </cfRule>
  </conditionalFormatting>
  <conditionalFormatting sqref="Z6">
    <cfRule type="expression" dxfId="12832" priority="5668">
      <formula>#REF!="TO"</formula>
    </cfRule>
    <cfRule type="expression" dxfId="12831" priority="5669">
      <formula>#REF!="IO"</formula>
    </cfRule>
    <cfRule type="expression" dxfId="12830" priority="5670">
      <formula>#REF!="L"</formula>
    </cfRule>
  </conditionalFormatting>
  <conditionalFormatting sqref="Z8">
    <cfRule type="expression" dxfId="12829" priority="5662">
      <formula>#REF!="TO"</formula>
    </cfRule>
    <cfRule type="expression" dxfId="12828" priority="5663">
      <formula>#REF!="IO"</formula>
    </cfRule>
    <cfRule type="expression" dxfId="12827" priority="5664">
      <formula>#REF!="L"</formula>
    </cfRule>
  </conditionalFormatting>
  <conditionalFormatting sqref="Z9:Z12">
    <cfRule type="expression" dxfId="12826" priority="5659">
      <formula>#REF!="TO"</formula>
    </cfRule>
    <cfRule type="expression" dxfId="12825" priority="5660">
      <formula>#REF!="IO"</formula>
    </cfRule>
    <cfRule type="expression" dxfId="12824" priority="5661">
      <formula>#REF!="L"</formula>
    </cfRule>
  </conditionalFormatting>
  <conditionalFormatting sqref="Z13">
    <cfRule type="expression" dxfId="12823" priority="5656">
      <formula>#REF!="TO"</formula>
    </cfRule>
    <cfRule type="expression" dxfId="12822" priority="5657">
      <formula>#REF!="IO"</formula>
    </cfRule>
    <cfRule type="expression" dxfId="12821" priority="5658">
      <formula>#REF!="L"</formula>
    </cfRule>
  </conditionalFormatting>
  <conditionalFormatting sqref="Z14">
    <cfRule type="expression" dxfId="12820" priority="5653">
      <formula>#REF!="TO"</formula>
    </cfRule>
    <cfRule type="expression" dxfId="12819" priority="5654">
      <formula>#REF!="IO"</formula>
    </cfRule>
    <cfRule type="expression" dxfId="12818" priority="5655">
      <formula>#REF!="L"</formula>
    </cfRule>
  </conditionalFormatting>
  <conditionalFormatting sqref="Z15">
    <cfRule type="expression" dxfId="12817" priority="5650">
      <formula>#REF!="TO"</formula>
    </cfRule>
    <cfRule type="expression" dxfId="12816" priority="5651">
      <formula>#REF!="IO"</formula>
    </cfRule>
    <cfRule type="expression" dxfId="12815" priority="5652">
      <formula>#REF!="L"</formula>
    </cfRule>
  </conditionalFormatting>
  <conditionalFormatting sqref="Z16">
    <cfRule type="expression" dxfId="12814" priority="5647">
      <formula>#REF!="TO"</formula>
    </cfRule>
    <cfRule type="expression" dxfId="12813" priority="5648">
      <formula>#REF!="IO"</formula>
    </cfRule>
    <cfRule type="expression" dxfId="12812" priority="5649">
      <formula>#REF!="L"</formula>
    </cfRule>
  </conditionalFormatting>
  <conditionalFormatting sqref="Z20">
    <cfRule type="expression" dxfId="12811" priority="5635">
      <formula>#REF!="TO"</formula>
    </cfRule>
    <cfRule type="expression" dxfId="12810" priority="5636">
      <formula>#REF!="IO"</formula>
    </cfRule>
    <cfRule type="expression" dxfId="12809" priority="5637">
      <formula>#REF!="L"</formula>
    </cfRule>
  </conditionalFormatting>
  <conditionalFormatting sqref="Z21">
    <cfRule type="expression" dxfId="12808" priority="5632">
      <formula>#REF!="TO"</formula>
    </cfRule>
    <cfRule type="expression" dxfId="12807" priority="5633">
      <formula>#REF!="IO"</formula>
    </cfRule>
    <cfRule type="expression" dxfId="12806" priority="5634">
      <formula>#REF!="L"</formula>
    </cfRule>
  </conditionalFormatting>
  <conditionalFormatting sqref="Z43">
    <cfRule type="expression" dxfId="12805" priority="5620">
      <formula>#REF!="TO"</formula>
    </cfRule>
    <cfRule type="expression" dxfId="12804" priority="5621">
      <formula>#REF!="IO"</formula>
    </cfRule>
    <cfRule type="expression" dxfId="12803" priority="5622">
      <formula>#REF!="L"</formula>
    </cfRule>
  </conditionalFormatting>
  <conditionalFormatting sqref="Z45">
    <cfRule type="expression" dxfId="12802" priority="5614">
      <formula>#REF!="TO"</formula>
    </cfRule>
    <cfRule type="expression" dxfId="12801" priority="5615">
      <formula>#REF!="IO"</formula>
    </cfRule>
    <cfRule type="expression" dxfId="12800" priority="5616">
      <formula>#REF!="L"</formula>
    </cfRule>
  </conditionalFormatting>
  <conditionalFormatting sqref="Z47">
    <cfRule type="expression" dxfId="12799" priority="5608">
      <formula>#REF!="TO"</formula>
    </cfRule>
    <cfRule type="expression" dxfId="12798" priority="5609">
      <formula>#REF!="IO"</formula>
    </cfRule>
    <cfRule type="expression" dxfId="12797" priority="5610">
      <formula>#REF!="L"</formula>
    </cfRule>
  </conditionalFormatting>
  <conditionalFormatting sqref="Z48">
    <cfRule type="expression" dxfId="12796" priority="5605">
      <formula>#REF!="TO"</formula>
    </cfRule>
    <cfRule type="expression" dxfId="12795" priority="5606">
      <formula>#REF!="IO"</formula>
    </cfRule>
    <cfRule type="expression" dxfId="12794" priority="5607">
      <formula>#REF!="L"</formula>
    </cfRule>
  </conditionalFormatting>
  <conditionalFormatting sqref="Z50">
    <cfRule type="expression" dxfId="12793" priority="5599">
      <formula>#REF!="TO"</formula>
    </cfRule>
    <cfRule type="expression" dxfId="12792" priority="5600">
      <formula>#REF!="IO"</formula>
    </cfRule>
    <cfRule type="expression" dxfId="12791" priority="5601">
      <formula>#REF!="L"</formula>
    </cfRule>
  </conditionalFormatting>
  <conditionalFormatting sqref="AL28:AL29">
    <cfRule type="expression" dxfId="12790" priority="5860">
      <formula>#REF!="TO"</formula>
    </cfRule>
    <cfRule type="expression" dxfId="12789" priority="5861">
      <formula>#REF!="IO"</formula>
    </cfRule>
    <cfRule type="expression" dxfId="12788" priority="5862">
      <formula>#REF!="L"</formula>
    </cfRule>
    <cfRule type="expression" dxfId="12787" priority="5812">
      <formula>#REF!="TO"</formula>
    </cfRule>
    <cfRule type="expression" dxfId="12786" priority="5813">
      <formula>#REF!="IO"</formula>
    </cfRule>
    <cfRule type="expression" dxfId="12785" priority="5814">
      <formula>#REF!="L"</formula>
    </cfRule>
  </conditionalFormatting>
  <conditionalFormatting sqref="A28:A29">
    <cfRule type="expression" dxfId="12784" priority="5893">
      <formula>#REF!="TO"</formula>
    </cfRule>
    <cfRule type="expression" dxfId="12783" priority="5894">
      <formula>#REF!="IO"</formula>
    </cfRule>
    <cfRule type="expression" dxfId="12782" priority="5895">
      <formula>#REF!="L"</formula>
    </cfRule>
  </conditionalFormatting>
  <conditionalFormatting sqref="B28:B29">
    <cfRule type="expression" dxfId="12781" priority="5890">
      <formula>#REF!="TO"</formula>
    </cfRule>
    <cfRule type="expression" dxfId="12780" priority="5891">
      <formula>#REF!="IO"</formula>
    </cfRule>
    <cfRule type="expression" dxfId="12779" priority="5892">
      <formula>#REF!="L"</formula>
    </cfRule>
    <cfRule type="expression" dxfId="12778" priority="5833">
      <formula>#REF!="TO"</formula>
    </cfRule>
    <cfRule type="expression" dxfId="12777" priority="5834">
      <formula>#REF!="IO"</formula>
    </cfRule>
    <cfRule type="expression" dxfId="12776" priority="5835">
      <formula>#REF!="L"</formula>
    </cfRule>
  </conditionalFormatting>
  <conditionalFormatting sqref="E28:F29">
    <cfRule type="expression" dxfId="12775" priority="5881">
      <formula>#REF!="TO"</formula>
    </cfRule>
    <cfRule type="expression" dxfId="12774" priority="5882">
      <formula>#REF!="IO"</formula>
    </cfRule>
    <cfRule type="expression" dxfId="12773" priority="5883">
      <formula>#REF!="L"</formula>
    </cfRule>
    <cfRule type="expression" dxfId="12772" priority="5827">
      <formula>#REF!="TO"</formula>
    </cfRule>
    <cfRule type="expression" dxfId="12771" priority="5828">
      <formula>#REF!="IO"</formula>
    </cfRule>
    <cfRule type="expression" dxfId="12770" priority="5829">
      <formula>#REF!="L"</formula>
    </cfRule>
  </conditionalFormatting>
  <conditionalFormatting sqref="AB28:AD29">
    <cfRule type="expression" dxfId="12769" priority="5875">
      <formula>#REF!="TO"</formula>
    </cfRule>
    <cfRule type="expression" dxfId="12768" priority="5876">
      <formula>#REF!="IO"</formula>
    </cfRule>
    <cfRule type="expression" dxfId="12767" priority="5877">
      <formula>#REF!="L"</formula>
    </cfRule>
  </conditionalFormatting>
  <conditionalFormatting sqref="AH28:AH29">
    <cfRule type="expression" dxfId="12766" priority="5866">
      <formula>#REF!="TO"</formula>
    </cfRule>
    <cfRule type="expression" dxfId="12765" priority="5867">
      <formula>#REF!="IO"</formula>
    </cfRule>
    <cfRule type="expression" dxfId="12764" priority="5868">
      <formula>#REF!="L"</formula>
    </cfRule>
  </conditionalFormatting>
  <conditionalFormatting sqref="AJ28:AK29">
    <cfRule type="expression" dxfId="12763" priority="5863">
      <formula>#REF!="TO"</formula>
    </cfRule>
    <cfRule type="expression" dxfId="12762" priority="5864">
      <formula>#REF!="IO"</formula>
    </cfRule>
    <cfRule type="expression" dxfId="12761" priority="5865">
      <formula>#REF!="L"</formula>
    </cfRule>
    <cfRule type="expression" dxfId="12760" priority="5815">
      <formula>#REF!="TO"</formula>
    </cfRule>
    <cfRule type="expression" dxfId="12759" priority="5816">
      <formula>#REF!="IO"</formula>
    </cfRule>
    <cfRule type="expression" dxfId="12758" priority="5817">
      <formula>#REF!="L"</formula>
    </cfRule>
  </conditionalFormatting>
  <conditionalFormatting sqref="AN28:AN29">
    <cfRule type="expression" dxfId="12757" priority="5857">
      <formula>#REF!="TO"</formula>
    </cfRule>
    <cfRule type="expression" dxfId="12756" priority="5858">
      <formula>#REF!="IO"</formula>
    </cfRule>
    <cfRule type="expression" dxfId="12755" priority="5859">
      <formula>#REF!="L"</formula>
    </cfRule>
  </conditionalFormatting>
  <conditionalFormatting sqref="AR28:AR29">
    <cfRule type="expression" dxfId="12754" priority="5854">
      <formula>#REF!="TO"</formula>
    </cfRule>
    <cfRule type="expression" dxfId="12753" priority="5855">
      <formula>#REF!="IO"</formula>
    </cfRule>
    <cfRule type="expression" dxfId="12752" priority="5856">
      <formula>#REF!="L"</formula>
    </cfRule>
    <cfRule type="expression" dxfId="12751" priority="5851">
      <formula>#REF!="TO"</formula>
    </cfRule>
    <cfRule type="expression" dxfId="12750" priority="5852">
      <formula>#REF!="IO"</formula>
    </cfRule>
    <cfRule type="expression" dxfId="12749" priority="5853">
      <formula>#REF!="L"</formula>
    </cfRule>
  </conditionalFormatting>
  <conditionalFormatting sqref="AS28:AS29">
    <cfRule type="expression" dxfId="12748" priority="5848">
      <formula>#REF!="TO"</formula>
    </cfRule>
    <cfRule type="expression" dxfId="12747" priority="5849">
      <formula>#REF!="IO"</formula>
    </cfRule>
    <cfRule type="expression" dxfId="12746" priority="5850">
      <formula>#REF!="L"</formula>
    </cfRule>
  </conditionalFormatting>
  <conditionalFormatting sqref="Y28:Y29">
    <cfRule type="expression" dxfId="12745" priority="5842">
      <formula>#REF!="TO"</formula>
    </cfRule>
    <cfRule type="expression" dxfId="12744" priority="5843">
      <formula>#REF!="IO"</formula>
    </cfRule>
    <cfRule type="expression" dxfId="12743" priority="5844">
      <formula>#REF!="L"</formula>
    </cfRule>
  </conditionalFormatting>
  <conditionalFormatting sqref="AU28:BA29">
    <cfRule type="expression" dxfId="12742" priority="5839">
      <formula>#REF!="TO"</formula>
    </cfRule>
    <cfRule type="expression" dxfId="12741" priority="5840">
      <formula>#REF!="IO"</formula>
    </cfRule>
    <cfRule type="expression" dxfId="12740" priority="5841">
      <formula>#REF!="L"</formula>
    </cfRule>
  </conditionalFormatting>
  <conditionalFormatting sqref="AF28:AF29">
    <cfRule type="expression" dxfId="12739" priority="5836">
      <formula>#REF!="TO"</formula>
    </cfRule>
    <cfRule type="expression" dxfId="12738" priority="5837">
      <formula>#REF!="IO"</formula>
    </cfRule>
    <cfRule type="expression" dxfId="12737" priority="5838">
      <formula>#REF!="L"</formula>
    </cfRule>
    <cfRule type="expression" dxfId="12736" priority="5797">
      <formula>#REF!="TO"</formula>
    </cfRule>
    <cfRule type="expression" dxfId="12735" priority="5798">
      <formula>#REF!="IO"</formula>
    </cfRule>
    <cfRule type="expression" dxfId="12734" priority="5799">
      <formula>#REF!="L"</formula>
    </cfRule>
  </conditionalFormatting>
  <conditionalFormatting sqref="Z17">
    <cfRule type="expression" dxfId="12733" priority="5644">
      <formula>#REF!="TO"</formula>
    </cfRule>
    <cfRule type="expression" dxfId="12732" priority="5645">
      <formula>#REF!="IO"</formula>
    </cfRule>
    <cfRule type="expression" dxfId="12731" priority="5646">
      <formula>#REF!="L"</formula>
    </cfRule>
  </conditionalFormatting>
  <conditionalFormatting sqref="AE28:AE29">
    <cfRule type="expression" dxfId="12730" priority="5800">
      <formula>#REF!="TO"</formula>
    </cfRule>
    <cfRule type="expression" dxfId="12729" priority="5801">
      <formula>#REF!="IO"</formula>
    </cfRule>
    <cfRule type="expression" dxfId="12728" priority="5802">
      <formula>#REF!="L"</formula>
    </cfRule>
    <cfRule type="expression" dxfId="12727" priority="5803">
      <formula>E28="TO"</formula>
    </cfRule>
    <cfRule type="expression" dxfId="12726" priority="5804">
      <formula>E28="IO"</formula>
    </cfRule>
    <cfRule type="expression" dxfId="12725" priority="5805">
      <formula>E28="L"</formula>
    </cfRule>
  </conditionalFormatting>
  <conditionalFormatting sqref="S28:S29">
    <cfRule type="expression" dxfId="12724" priority="5794">
      <formula>#REF!="TO"</formula>
    </cfRule>
    <cfRule type="expression" dxfId="12723" priority="5795">
      <formula>#REF!="IO"</formula>
    </cfRule>
    <cfRule type="expression" dxfId="12722" priority="5796">
      <formula>#REF!="L"</formula>
    </cfRule>
  </conditionalFormatting>
  <conditionalFormatting sqref="T28:U29">
    <cfRule type="expression" dxfId="12721" priority="5791">
      <formula>#REF!="TO"</formula>
    </cfRule>
    <cfRule type="expression" dxfId="12720" priority="5792">
      <formula>#REF!="IO"</formula>
    </cfRule>
    <cfRule type="expression" dxfId="12719" priority="5793">
      <formula>#REF!="L"</formula>
    </cfRule>
  </conditionalFormatting>
  <conditionalFormatting sqref="V28:X29">
    <cfRule type="expression" dxfId="12718" priority="5788">
      <formula>#REF!="TO"</formula>
    </cfRule>
    <cfRule type="expression" dxfId="12717" priority="5789">
      <formula>#REF!="IO"</formula>
    </cfRule>
    <cfRule type="expression" dxfId="12716" priority="5790">
      <formula>#REF!="L"</formula>
    </cfRule>
  </conditionalFormatting>
  <conditionalFormatting sqref="AA20">
    <cfRule type="expression" dxfId="12715" priority="5698">
      <formula>#REF!="TO"</formula>
    </cfRule>
    <cfRule type="expression" dxfId="12714" priority="5699">
      <formula>#REF!="IO"</formula>
    </cfRule>
    <cfRule type="expression" dxfId="12713" priority="5700">
      <formula>#REF!="L"</formula>
    </cfRule>
  </conditionalFormatting>
  <conditionalFormatting sqref="P28:P29">
    <cfRule type="expression" dxfId="12712" priority="5782">
      <formula>#REF!="TO"</formula>
    </cfRule>
    <cfRule type="expression" dxfId="12711" priority="5783">
      <formula>#REF!="IO"</formula>
    </cfRule>
    <cfRule type="expression" dxfId="12710" priority="5784">
      <formula>#REF!="L"</formula>
    </cfRule>
    <cfRule type="expression" dxfId="12709" priority="5779">
      <formula>#REF!="TO"</formula>
    </cfRule>
    <cfRule type="expression" dxfId="12708" priority="5780">
      <formula>#REF!="IO"</formula>
    </cfRule>
    <cfRule type="expression" dxfId="12707" priority="5781">
      <formula>#REF!="L"</formula>
    </cfRule>
  </conditionalFormatting>
  <conditionalFormatting sqref="Q28:Q29">
    <cfRule type="expression" dxfId="12706" priority="5776">
      <formula>#REF!="TO"</formula>
    </cfRule>
    <cfRule type="expression" dxfId="12705" priority="5777">
      <formula>#REF!="IO"</formula>
    </cfRule>
    <cfRule type="expression" dxfId="12704" priority="5778">
      <formula>#REF!="L"</formula>
    </cfRule>
    <cfRule type="expression" dxfId="12703" priority="5773">
      <formula>#REF!="TO"</formula>
    </cfRule>
    <cfRule type="expression" dxfId="12702" priority="5774">
      <formula>#REF!="IO"</formula>
    </cfRule>
    <cfRule type="expression" dxfId="12701" priority="5775">
      <formula>#REF!="L"</formula>
    </cfRule>
  </conditionalFormatting>
  <conditionalFormatting sqref="AA38:AA41">
    <cfRule type="expression" dxfId="12700" priority="5767">
      <formula>#REF!="TO"</formula>
    </cfRule>
    <cfRule type="expression" dxfId="12699" priority="5768">
      <formula>#REF!="IO"</formula>
    </cfRule>
    <cfRule type="expression" dxfId="12698" priority="5769">
      <formula>#REF!="L"</formula>
    </cfRule>
  </conditionalFormatting>
  <conditionalFormatting sqref="AA5">
    <cfRule type="expression" dxfId="12697" priority="5764">
      <formula>#REF!="TO"</formula>
    </cfRule>
    <cfRule type="expression" dxfId="12696" priority="5765">
      <formula>#REF!="IO"</formula>
    </cfRule>
    <cfRule type="expression" dxfId="12695" priority="5766">
      <formula>#REF!="L"</formula>
    </cfRule>
  </conditionalFormatting>
  <conditionalFormatting sqref="AA6">
    <cfRule type="expression" dxfId="12694" priority="5761">
      <formula>#REF!="TO"</formula>
    </cfRule>
    <cfRule type="expression" dxfId="12693" priority="5762">
      <formula>#REF!="IO"</formula>
    </cfRule>
    <cfRule type="expression" dxfId="12692" priority="5763">
      <formula>#REF!="L"</formula>
    </cfRule>
  </conditionalFormatting>
  <conditionalFormatting sqref="AA7">
    <cfRule type="expression" dxfId="12691" priority="5758">
      <formula>#REF!="TO"</formula>
    </cfRule>
    <cfRule type="expression" dxfId="12690" priority="5759">
      <formula>#REF!="IO"</formula>
    </cfRule>
    <cfRule type="expression" dxfId="12689" priority="5760">
      <formula>#REF!="L"</formula>
    </cfRule>
  </conditionalFormatting>
  <conditionalFormatting sqref="AA8">
    <cfRule type="expression" dxfId="12688" priority="5755">
      <formula>#REF!="TO"</formula>
    </cfRule>
    <cfRule type="expression" dxfId="12687" priority="5756">
      <formula>#REF!="IO"</formula>
    </cfRule>
    <cfRule type="expression" dxfId="12686" priority="5757">
      <formula>#REF!="L"</formula>
    </cfRule>
  </conditionalFormatting>
  <conditionalFormatting sqref="AA42">
    <cfRule type="expression" dxfId="12685" priority="5752">
      <formula>#REF!="TO"</formula>
    </cfRule>
    <cfRule type="expression" dxfId="12684" priority="5753">
      <formula>#REF!="IO"</formula>
    </cfRule>
    <cfRule type="expression" dxfId="12683" priority="5754">
      <formula>#REF!="L"</formula>
    </cfRule>
  </conditionalFormatting>
  <conditionalFormatting sqref="AA43">
    <cfRule type="expression" dxfId="12682" priority="5749">
      <formula>#REF!="TO"</formula>
    </cfRule>
    <cfRule type="expression" dxfId="12681" priority="5750">
      <formula>#REF!="IO"</formula>
    </cfRule>
    <cfRule type="expression" dxfId="12680" priority="5751">
      <formula>#REF!="L"</formula>
    </cfRule>
  </conditionalFormatting>
  <conditionalFormatting sqref="AA44">
    <cfRule type="expression" dxfId="12679" priority="5746">
      <formula>#REF!="TO"</formula>
    </cfRule>
    <cfRule type="expression" dxfId="12678" priority="5747">
      <formula>#REF!="IO"</formula>
    </cfRule>
    <cfRule type="expression" dxfId="12677" priority="5748">
      <formula>#REF!="L"</formula>
    </cfRule>
  </conditionalFormatting>
  <conditionalFormatting sqref="AA46">
    <cfRule type="expression" dxfId="12676" priority="5740">
      <formula>#REF!="TO"</formula>
    </cfRule>
    <cfRule type="expression" dxfId="12675" priority="5741">
      <formula>#REF!="IO"</formula>
    </cfRule>
    <cfRule type="expression" dxfId="12674" priority="5742">
      <formula>#REF!="L"</formula>
    </cfRule>
  </conditionalFormatting>
  <conditionalFormatting sqref="AA45">
    <cfRule type="expression" dxfId="12673" priority="5743">
      <formula>#REF!="TO"</formula>
    </cfRule>
    <cfRule type="expression" dxfId="12672" priority="5744">
      <formula>#REF!="IO"</formula>
    </cfRule>
    <cfRule type="expression" dxfId="12671" priority="5745">
      <formula>#REF!="L"</formula>
    </cfRule>
  </conditionalFormatting>
  <conditionalFormatting sqref="AA47">
    <cfRule type="expression" dxfId="12670" priority="5737">
      <formula>#REF!="TO"</formula>
    </cfRule>
    <cfRule type="expression" dxfId="12669" priority="5738">
      <formula>#REF!="IO"</formula>
    </cfRule>
    <cfRule type="expression" dxfId="12668" priority="5739">
      <formula>#REF!="L"</formula>
    </cfRule>
  </conditionalFormatting>
  <conditionalFormatting sqref="AA48">
    <cfRule type="expression" dxfId="12667" priority="5734">
      <formula>#REF!="TO"</formula>
    </cfRule>
    <cfRule type="expression" dxfId="12666" priority="5735">
      <formula>#REF!="IO"</formula>
    </cfRule>
    <cfRule type="expression" dxfId="12665" priority="5736">
      <formula>#REF!="L"</formula>
    </cfRule>
  </conditionalFormatting>
  <conditionalFormatting sqref="AA49">
    <cfRule type="expression" dxfId="12664" priority="5731">
      <formula>#REF!="TO"</formula>
    </cfRule>
    <cfRule type="expression" dxfId="12663" priority="5732">
      <formula>#REF!="IO"</formula>
    </cfRule>
    <cfRule type="expression" dxfId="12662" priority="5733">
      <formula>#REF!="L"</formula>
    </cfRule>
  </conditionalFormatting>
  <conditionalFormatting sqref="AA50">
    <cfRule type="expression" dxfId="12661" priority="5728">
      <formula>#REF!="TO"</formula>
    </cfRule>
    <cfRule type="expression" dxfId="12660" priority="5729">
      <formula>#REF!="IO"</formula>
    </cfRule>
    <cfRule type="expression" dxfId="12659" priority="5730">
      <formula>#REF!="L"</formula>
    </cfRule>
  </conditionalFormatting>
  <conditionalFormatting sqref="AA23:AA29">
    <cfRule type="expression" dxfId="12658" priority="5725">
      <formula>#REF!="TO"</formula>
    </cfRule>
    <cfRule type="expression" dxfId="12657" priority="5726">
      <formula>#REF!="IO"</formula>
    </cfRule>
    <cfRule type="expression" dxfId="12656" priority="5727">
      <formula>#REF!="L"</formula>
    </cfRule>
  </conditionalFormatting>
  <conditionalFormatting sqref="AA9:AA12">
    <cfRule type="expression" dxfId="12655" priority="5722">
      <formula>#REF!="TO"</formula>
    </cfRule>
    <cfRule type="expression" dxfId="12654" priority="5723">
      <formula>#REF!="IO"</formula>
    </cfRule>
    <cfRule type="expression" dxfId="12653" priority="5724">
      <formula>#REF!="L"</formula>
    </cfRule>
  </conditionalFormatting>
  <conditionalFormatting sqref="AA13">
    <cfRule type="expression" dxfId="12652" priority="5719">
      <formula>#REF!="TO"</formula>
    </cfRule>
    <cfRule type="expression" dxfId="12651" priority="5720">
      <formula>#REF!="IO"</formula>
    </cfRule>
    <cfRule type="expression" dxfId="12650" priority="5721">
      <formula>#REF!="L"</formula>
    </cfRule>
  </conditionalFormatting>
  <conditionalFormatting sqref="AA15">
    <cfRule type="expression" dxfId="12649" priority="5713">
      <formula>#REF!="TO"</formula>
    </cfRule>
    <cfRule type="expression" dxfId="12648" priority="5714">
      <formula>#REF!="IO"</formula>
    </cfRule>
    <cfRule type="expression" dxfId="12647" priority="5715">
      <formula>#REF!="L"</formula>
    </cfRule>
  </conditionalFormatting>
  <conditionalFormatting sqref="AA19">
    <cfRule type="expression" dxfId="12646" priority="5701">
      <formula>#REF!="TO"</formula>
    </cfRule>
    <cfRule type="expression" dxfId="12645" priority="5702">
      <formula>#REF!="IO"</formula>
    </cfRule>
    <cfRule type="expression" dxfId="12644" priority="5703">
      <formula>#REF!="L"</formula>
    </cfRule>
  </conditionalFormatting>
  <conditionalFormatting sqref="AA22:AA29">
    <cfRule type="expression" dxfId="12643" priority="5692">
      <formula>#REF!="TO"</formula>
    </cfRule>
    <cfRule type="expression" dxfId="12642" priority="5693">
      <formula>#REF!="IO"</formula>
    </cfRule>
    <cfRule type="expression" dxfId="12641" priority="5694">
      <formula>#REF!="L"</formula>
    </cfRule>
  </conditionalFormatting>
  <conditionalFormatting sqref="C19">
    <cfRule type="expression" dxfId="12640" priority="5380">
      <formula>#REF!="TO"</formula>
    </cfRule>
    <cfRule type="expression" dxfId="12639" priority="5381">
      <formula>#REF!="IO"</formula>
    </cfRule>
    <cfRule type="expression" dxfId="12638" priority="5382">
      <formula>#REF!="L"</formula>
    </cfRule>
  </conditionalFormatting>
  <conditionalFormatting sqref="Z23:Z29">
    <cfRule type="expression" dxfId="12637" priority="5674">
      <formula>#REF!="TO"</formula>
    </cfRule>
    <cfRule type="expression" dxfId="12636" priority="5675">
      <formula>#REF!="IO"</formula>
    </cfRule>
    <cfRule type="expression" dxfId="12635" priority="5676">
      <formula>#REF!="L"</formula>
    </cfRule>
  </conditionalFormatting>
  <conditionalFormatting sqref="Z5">
    <cfRule type="expression" dxfId="12634" priority="5671">
      <formula>#REF!="TO"</formula>
    </cfRule>
    <cfRule type="expression" dxfId="12633" priority="5672">
      <formula>#REF!="IO"</formula>
    </cfRule>
    <cfRule type="expression" dxfId="12632" priority="5673">
      <formula>#REF!="L"</formula>
    </cfRule>
  </conditionalFormatting>
  <conditionalFormatting sqref="Z19">
    <cfRule type="expression" dxfId="12631" priority="5638">
      <formula>#REF!="TO"</formula>
    </cfRule>
    <cfRule type="expression" dxfId="12630" priority="5639">
      <formula>#REF!="IO"</formula>
    </cfRule>
    <cfRule type="expression" dxfId="12629" priority="5640">
      <formula>#REF!="L"</formula>
    </cfRule>
  </conditionalFormatting>
  <conditionalFormatting sqref="Z38:Z41">
    <cfRule type="expression" dxfId="12628" priority="5626">
      <formula>#REF!="TO"</formula>
    </cfRule>
    <cfRule type="expression" dxfId="12627" priority="5627">
      <formula>#REF!="IO"</formula>
    </cfRule>
    <cfRule type="expression" dxfId="12626" priority="5628">
      <formula>#REF!="L"</formula>
    </cfRule>
  </conditionalFormatting>
  <conditionalFormatting sqref="Z42">
    <cfRule type="expression" dxfId="12625" priority="5623">
      <formula>#REF!="TO"</formula>
    </cfRule>
    <cfRule type="expression" dxfId="12624" priority="5624">
      <formula>#REF!="IO"</formula>
    </cfRule>
    <cfRule type="expression" dxfId="12623" priority="5625">
      <formula>#REF!="L"</formula>
    </cfRule>
  </conditionalFormatting>
  <conditionalFormatting sqref="Z44">
    <cfRule type="expression" dxfId="12622" priority="5617">
      <formula>#REF!="TO"</formula>
    </cfRule>
    <cfRule type="expression" dxfId="12621" priority="5618">
      <formula>#REF!="IO"</formula>
    </cfRule>
    <cfRule type="expression" dxfId="12620" priority="5619">
      <formula>#REF!="L"</formula>
    </cfRule>
  </conditionalFormatting>
  <conditionalFormatting sqref="Z46">
    <cfRule type="expression" dxfId="12619" priority="5611">
      <formula>#REF!="TO"</formula>
    </cfRule>
    <cfRule type="expression" dxfId="12618" priority="5612">
      <formula>#REF!="IO"</formula>
    </cfRule>
    <cfRule type="expression" dxfId="12617" priority="5613">
      <formula>#REF!="L"</formula>
    </cfRule>
  </conditionalFormatting>
  <conditionalFormatting sqref="Z49">
    <cfRule type="expression" dxfId="12616" priority="5602">
      <formula>#REF!="TO"</formula>
    </cfRule>
    <cfRule type="expression" dxfId="12615" priority="5603">
      <formula>#REF!="IO"</formula>
    </cfRule>
    <cfRule type="expression" dxfId="12614" priority="5604">
      <formula>#REF!="L"</formula>
    </cfRule>
  </conditionalFormatting>
  <conditionalFormatting sqref="Z51:Z86">
    <cfRule type="expression" dxfId="12613" priority="5596">
      <formula>#REF!="TO"</formula>
    </cfRule>
    <cfRule type="expression" dxfId="12612" priority="5597">
      <formula>#REF!="IO"</formula>
    </cfRule>
    <cfRule type="expression" dxfId="12611" priority="5598">
      <formula>#REF!="L"</formula>
    </cfRule>
  </conditionalFormatting>
  <conditionalFormatting sqref="Z28:Z29">
    <cfRule type="expression" dxfId="12610" priority="5590">
      <formula>#REF!="TO"</formula>
    </cfRule>
    <cfRule type="expression" dxfId="12609" priority="5591">
      <formula>#REF!="IO"</formula>
    </cfRule>
    <cfRule type="expression" dxfId="12608" priority="5592">
      <formula>#REF!="L"</formula>
    </cfRule>
    <cfRule type="expression" dxfId="12607" priority="5587">
      <formula>#REF!="TO"</formula>
    </cfRule>
    <cfRule type="expression" dxfId="12606" priority="5588">
      <formula>#REF!="IO"</formula>
    </cfRule>
    <cfRule type="expression" dxfId="12605" priority="5589">
      <formula>#REF!="L"</formula>
    </cfRule>
  </conditionalFormatting>
  <conditionalFormatting sqref="C38:C41 C23:C29">
    <cfRule type="expression" dxfId="12604" priority="5416">
      <formula>#REF!="TO"</formula>
    </cfRule>
    <cfRule type="expression" dxfId="12603" priority="5417">
      <formula>#REF!="IO"</formula>
    </cfRule>
    <cfRule type="expression" dxfId="12602" priority="5418">
      <formula>#REF!="L"</formula>
    </cfRule>
  </conditionalFormatting>
  <conditionalFormatting sqref="C5">
    <cfRule type="expression" dxfId="12601" priority="5413">
      <formula>#REF!="TO"</formula>
    </cfRule>
    <cfRule type="expression" dxfId="12600" priority="5414">
      <formula>#REF!="IO"</formula>
    </cfRule>
    <cfRule type="expression" dxfId="12599" priority="5415">
      <formula>#REF!="L"</formula>
    </cfRule>
  </conditionalFormatting>
  <conditionalFormatting sqref="C6">
    <cfRule type="expression" dxfId="12598" priority="5410">
      <formula>#REF!="TO"</formula>
    </cfRule>
    <cfRule type="expression" dxfId="12597" priority="5411">
      <formula>#REF!="IO"</formula>
    </cfRule>
    <cfRule type="expression" dxfId="12596" priority="5412">
      <formula>#REF!="L"</formula>
    </cfRule>
  </conditionalFormatting>
  <conditionalFormatting sqref="C7">
    <cfRule type="expression" dxfId="12595" priority="5407">
      <formula>#REF!="TO"</formula>
    </cfRule>
    <cfRule type="expression" dxfId="12594" priority="5408">
      <formula>#REF!="IO"</formula>
    </cfRule>
    <cfRule type="expression" dxfId="12593" priority="5409">
      <formula>#REF!="L"</formula>
    </cfRule>
  </conditionalFormatting>
  <conditionalFormatting sqref="C8">
    <cfRule type="expression" dxfId="12592" priority="5404">
      <formula>#REF!="TO"</formula>
    </cfRule>
    <cfRule type="expression" dxfId="12591" priority="5405">
      <formula>#REF!="IO"</formula>
    </cfRule>
    <cfRule type="expression" dxfId="12590" priority="5406">
      <formula>#REF!="L"</formula>
    </cfRule>
  </conditionalFormatting>
  <conditionalFormatting sqref="C9:C12">
    <cfRule type="expression" dxfId="12589" priority="5401">
      <formula>#REF!="TO"</formula>
    </cfRule>
    <cfRule type="expression" dxfId="12588" priority="5402">
      <formula>#REF!="IO"</formula>
    </cfRule>
    <cfRule type="expression" dxfId="12587" priority="5403">
      <formula>#REF!="L"</formula>
    </cfRule>
  </conditionalFormatting>
  <conditionalFormatting sqref="C13">
    <cfRule type="expression" dxfId="12586" priority="5398">
      <formula>#REF!="TO"</formula>
    </cfRule>
    <cfRule type="expression" dxfId="12585" priority="5399">
      <formula>#REF!="IO"</formula>
    </cfRule>
    <cfRule type="expression" dxfId="12584" priority="5400">
      <formula>#REF!="L"</formula>
    </cfRule>
  </conditionalFormatting>
  <conditionalFormatting sqref="C14">
    <cfRule type="expression" dxfId="12583" priority="5395">
      <formula>#REF!="TO"</formula>
    </cfRule>
    <cfRule type="expression" dxfId="12582" priority="5396">
      <formula>#REF!="IO"</formula>
    </cfRule>
    <cfRule type="expression" dxfId="12581" priority="5397">
      <formula>#REF!="L"</formula>
    </cfRule>
  </conditionalFormatting>
  <conditionalFormatting sqref="C15">
    <cfRule type="expression" dxfId="12580" priority="5392">
      <formula>#REF!="TO"</formula>
    </cfRule>
    <cfRule type="expression" dxfId="12579" priority="5393">
      <formula>#REF!="IO"</formula>
    </cfRule>
    <cfRule type="expression" dxfId="12578" priority="5394">
      <formula>#REF!="L"</formula>
    </cfRule>
  </conditionalFormatting>
  <conditionalFormatting sqref="C16">
    <cfRule type="expression" dxfId="12577" priority="5389">
      <formula>#REF!="TO"</formula>
    </cfRule>
    <cfRule type="expression" dxfId="12576" priority="5390">
      <formula>#REF!="IO"</formula>
    </cfRule>
    <cfRule type="expression" dxfId="12575" priority="5391">
      <formula>#REF!="L"</formula>
    </cfRule>
  </conditionalFormatting>
  <conditionalFormatting sqref="C20">
    <cfRule type="expression" dxfId="12574" priority="5377">
      <formula>#REF!="TO"</formula>
    </cfRule>
    <cfRule type="expression" dxfId="12573" priority="5378">
      <formula>#REF!="IO"</formula>
    </cfRule>
    <cfRule type="expression" dxfId="12572" priority="5379">
      <formula>#REF!="L"</formula>
    </cfRule>
  </conditionalFormatting>
  <conditionalFormatting sqref="C17">
    <cfRule type="expression" dxfId="12571" priority="5386">
      <formula>#REF!="TO"</formula>
    </cfRule>
    <cfRule type="expression" dxfId="12570" priority="5387">
      <formula>#REF!="IO"</formula>
    </cfRule>
    <cfRule type="expression" dxfId="12569" priority="5388">
      <formula>#REF!="L"</formula>
    </cfRule>
  </conditionalFormatting>
  <conditionalFormatting sqref="C18">
    <cfRule type="expression" dxfId="12568" priority="5383">
      <formula>#REF!="TO"</formula>
    </cfRule>
    <cfRule type="expression" dxfId="12567" priority="5384">
      <formula>#REF!="IO"</formula>
    </cfRule>
    <cfRule type="expression" dxfId="12566" priority="5385">
      <formula>#REF!="L"</formula>
    </cfRule>
  </conditionalFormatting>
  <conditionalFormatting sqref="C21">
    <cfRule type="expression" dxfId="12565" priority="5374">
      <formula>#REF!="TO"</formula>
    </cfRule>
    <cfRule type="expression" dxfId="12564" priority="5375">
      <formula>#REF!="IO"</formula>
    </cfRule>
    <cfRule type="expression" dxfId="12563" priority="5376">
      <formula>#REF!="L"</formula>
    </cfRule>
  </conditionalFormatting>
  <conditionalFormatting sqref="C22:C29">
    <cfRule type="expression" dxfId="12562" priority="5371">
      <formula>#REF!="TO"</formula>
    </cfRule>
    <cfRule type="expression" dxfId="12561" priority="5372">
      <formula>#REF!="IO"</formula>
    </cfRule>
    <cfRule type="expression" dxfId="12560" priority="5373">
      <formula>#REF!="L"</formula>
    </cfRule>
  </conditionalFormatting>
  <conditionalFormatting sqref="C42">
    <cfRule type="expression" dxfId="12559" priority="5368">
      <formula>#REF!="TO"</formula>
    </cfRule>
    <cfRule type="expression" dxfId="12558" priority="5369">
      <formula>#REF!="IO"</formula>
    </cfRule>
    <cfRule type="expression" dxfId="12557" priority="5370">
      <formula>#REF!="L"</formula>
    </cfRule>
  </conditionalFormatting>
  <conditionalFormatting sqref="C43">
    <cfRule type="expression" dxfId="12556" priority="5365">
      <formula>#REF!="TO"</formula>
    </cfRule>
    <cfRule type="expression" dxfId="12555" priority="5366">
      <formula>#REF!="IO"</formula>
    </cfRule>
    <cfRule type="expression" dxfId="12554" priority="5367">
      <formula>#REF!="L"</formula>
    </cfRule>
  </conditionalFormatting>
  <conditionalFormatting sqref="C44">
    <cfRule type="expression" dxfId="12553" priority="5362">
      <formula>#REF!="TO"</formula>
    </cfRule>
    <cfRule type="expression" dxfId="12552" priority="5363">
      <formula>#REF!="IO"</formula>
    </cfRule>
    <cfRule type="expression" dxfId="12551" priority="5364">
      <formula>#REF!="L"</formula>
    </cfRule>
  </conditionalFormatting>
  <conditionalFormatting sqref="C45">
    <cfRule type="expression" dxfId="12550" priority="5359">
      <formula>#REF!="TO"</formula>
    </cfRule>
    <cfRule type="expression" dxfId="12549" priority="5360">
      <formula>#REF!="IO"</formula>
    </cfRule>
    <cfRule type="expression" dxfId="12548" priority="5361">
      <formula>#REF!="L"</formula>
    </cfRule>
  </conditionalFormatting>
  <conditionalFormatting sqref="C46">
    <cfRule type="expression" dxfId="12547" priority="5356">
      <formula>#REF!="TO"</formula>
    </cfRule>
    <cfRule type="expression" dxfId="12546" priority="5357">
      <formula>#REF!="IO"</formula>
    </cfRule>
    <cfRule type="expression" dxfId="12545" priority="5358">
      <formula>#REF!="L"</formula>
    </cfRule>
  </conditionalFormatting>
  <conditionalFormatting sqref="C47">
    <cfRule type="expression" dxfId="12544" priority="5353">
      <formula>#REF!="TO"</formula>
    </cfRule>
    <cfRule type="expression" dxfId="12543" priority="5354">
      <formula>#REF!="IO"</formula>
    </cfRule>
    <cfRule type="expression" dxfId="12542" priority="5355">
      <formula>#REF!="L"</formula>
    </cfRule>
  </conditionalFormatting>
  <conditionalFormatting sqref="C48">
    <cfRule type="expression" dxfId="12541" priority="5350">
      <formula>#REF!="TO"</formula>
    </cfRule>
    <cfRule type="expression" dxfId="12540" priority="5351">
      <formula>#REF!="IO"</formula>
    </cfRule>
    <cfRule type="expression" dxfId="12539" priority="5352">
      <formula>#REF!="L"</formula>
    </cfRule>
  </conditionalFormatting>
  <conditionalFormatting sqref="C49">
    <cfRule type="expression" dxfId="12538" priority="5347">
      <formula>#REF!="TO"</formula>
    </cfRule>
    <cfRule type="expression" dxfId="12537" priority="5348">
      <formula>#REF!="IO"</formula>
    </cfRule>
    <cfRule type="expression" dxfId="12536" priority="5349">
      <formula>#REF!="L"</formula>
    </cfRule>
  </conditionalFormatting>
  <conditionalFormatting sqref="C50">
    <cfRule type="expression" dxfId="12535" priority="5344">
      <formula>#REF!="TO"</formula>
    </cfRule>
    <cfRule type="expression" dxfId="12534" priority="5345">
      <formula>#REF!="IO"</formula>
    </cfRule>
    <cfRule type="expression" dxfId="12533" priority="5346">
      <formula>#REF!="L"</formula>
    </cfRule>
  </conditionalFormatting>
  <conditionalFormatting sqref="C51:C86">
    <cfRule type="expression" dxfId="12532" priority="5341">
      <formula>#REF!="TO"</formula>
    </cfRule>
    <cfRule type="expression" dxfId="12531" priority="5342">
      <formula>#REF!="IO"</formula>
    </cfRule>
    <cfRule type="expression" dxfId="12530" priority="5343">
      <formula>#REF!="L"</formula>
    </cfRule>
  </conditionalFormatting>
  <conditionalFormatting sqref="L51:L86 O51:O86">
    <cfRule type="expression" dxfId="12529" priority="5032">
      <formula>#REF!="TO"</formula>
    </cfRule>
    <cfRule type="expression" dxfId="12528" priority="5033">
      <formula>#REF!="IO"</formula>
    </cfRule>
    <cfRule type="expression" dxfId="12527" priority="5034">
      <formula>#REF!="L"</formula>
    </cfRule>
  </conditionalFormatting>
  <conditionalFormatting sqref="C28:C29">
    <cfRule type="expression" dxfId="12526" priority="5335">
      <formula>#REF!="TO"</formula>
    </cfRule>
    <cfRule type="expression" dxfId="12525" priority="5336">
      <formula>#REF!="IO"</formula>
    </cfRule>
    <cfRule type="expression" dxfId="12524" priority="5337">
      <formula>#REF!="L"</formula>
    </cfRule>
    <cfRule type="expression" dxfId="12523" priority="5332">
      <formula>#REF!="TO"</formula>
    </cfRule>
    <cfRule type="expression" dxfId="12522" priority="5333">
      <formula>#REF!="IO"</formula>
    </cfRule>
    <cfRule type="expression" dxfId="12521" priority="5334">
      <formula>#REF!="L"</formula>
    </cfRule>
  </conditionalFormatting>
  <conditionalFormatting sqref="L21 O21:Q21">
    <cfRule type="expression" dxfId="12520" priority="5065">
      <formula>#REF!="TO"</formula>
    </cfRule>
    <cfRule type="expression" dxfId="12519" priority="5066">
      <formula>#REF!="IO"</formula>
    </cfRule>
    <cfRule type="expression" dxfId="12518" priority="5067">
      <formula>#REF!="L"</formula>
    </cfRule>
  </conditionalFormatting>
  <conditionalFormatting sqref="L22:L29 O22:Q29">
    <cfRule type="expression" dxfId="12517" priority="5062">
      <formula>#REF!="TO"</formula>
    </cfRule>
    <cfRule type="expression" dxfId="12516" priority="5063">
      <formula>#REF!="IO"</formula>
    </cfRule>
    <cfRule type="expression" dxfId="12515" priority="5064">
      <formula>#REF!="L"</formula>
    </cfRule>
  </conditionalFormatting>
  <conditionalFormatting sqref="L42 O42">
    <cfRule type="expression" dxfId="12514" priority="5059">
      <formula>#REF!="TO"</formula>
    </cfRule>
    <cfRule type="expression" dxfId="12513" priority="5060">
      <formula>#REF!="IO"</formula>
    </cfRule>
    <cfRule type="expression" dxfId="12512" priority="5061">
      <formula>#REF!="L"</formula>
    </cfRule>
  </conditionalFormatting>
  <conditionalFormatting sqref="L43 O43">
    <cfRule type="expression" dxfId="12511" priority="5056">
      <formula>#REF!="TO"</formula>
    </cfRule>
    <cfRule type="expression" dxfId="12510" priority="5057">
      <formula>#REF!="IO"</formula>
    </cfRule>
    <cfRule type="expression" dxfId="12509" priority="5058">
      <formula>#REF!="L"</formula>
    </cfRule>
  </conditionalFormatting>
  <conditionalFormatting sqref="L44 O44">
    <cfRule type="expression" dxfId="12508" priority="5053">
      <formula>#REF!="TO"</formula>
    </cfRule>
    <cfRule type="expression" dxfId="12507" priority="5054">
      <formula>#REF!="IO"</formula>
    </cfRule>
    <cfRule type="expression" dxfId="12506" priority="5055">
      <formula>#REF!="L"</formula>
    </cfRule>
  </conditionalFormatting>
  <conditionalFormatting sqref="L46 O46">
    <cfRule type="expression" dxfId="12505" priority="5047">
      <formula>#REF!="TO"</formula>
    </cfRule>
    <cfRule type="expression" dxfId="12504" priority="5048">
      <formula>#REF!="IO"</formula>
    </cfRule>
    <cfRule type="expression" dxfId="12503" priority="5049">
      <formula>#REF!="L"</formula>
    </cfRule>
  </conditionalFormatting>
  <conditionalFormatting sqref="L45 O45">
    <cfRule type="expression" dxfId="12502" priority="5050">
      <formula>#REF!="TO"</formula>
    </cfRule>
    <cfRule type="expression" dxfId="12501" priority="5051">
      <formula>#REF!="IO"</formula>
    </cfRule>
    <cfRule type="expression" dxfId="12500" priority="5052">
      <formula>#REF!="L"</formula>
    </cfRule>
  </conditionalFormatting>
  <conditionalFormatting sqref="L47 O47">
    <cfRule type="expression" dxfId="12499" priority="5044">
      <formula>#REF!="TO"</formula>
    </cfRule>
    <cfRule type="expression" dxfId="12498" priority="5045">
      <formula>#REF!="IO"</formula>
    </cfRule>
    <cfRule type="expression" dxfId="12497" priority="5046">
      <formula>#REF!="L"</formula>
    </cfRule>
  </conditionalFormatting>
  <conditionalFormatting sqref="L48 O48">
    <cfRule type="expression" dxfId="12496" priority="5041">
      <formula>#REF!="TO"</formula>
    </cfRule>
    <cfRule type="expression" dxfId="12495" priority="5042">
      <formula>#REF!="IO"</formula>
    </cfRule>
    <cfRule type="expression" dxfId="12494" priority="5043">
      <formula>#REF!="L"</formula>
    </cfRule>
  </conditionalFormatting>
  <conditionalFormatting sqref="L49 O49">
    <cfRule type="expression" dxfId="12493" priority="5038">
      <formula>#REF!="TO"</formula>
    </cfRule>
    <cfRule type="expression" dxfId="12492" priority="5039">
      <formula>#REF!="IO"</formula>
    </cfRule>
    <cfRule type="expression" dxfId="12491" priority="5040">
      <formula>#REF!="L"</formula>
    </cfRule>
  </conditionalFormatting>
  <conditionalFormatting sqref="L50 O50">
    <cfRule type="expression" dxfId="12490" priority="5035">
      <formula>#REF!="TO"</formula>
    </cfRule>
    <cfRule type="expression" dxfId="12489" priority="5036">
      <formula>#REF!="IO"</formula>
    </cfRule>
    <cfRule type="expression" dxfId="12488" priority="5037">
      <formula>#REF!="L"</formula>
    </cfRule>
  </conditionalFormatting>
  <conditionalFormatting sqref="L28:L29 O28:Q29">
    <cfRule type="expression" dxfId="12487" priority="5026">
      <formula>#REF!="TO"</formula>
    </cfRule>
    <cfRule type="expression" dxfId="12486" priority="5027">
      <formula>#REF!="IO"</formula>
    </cfRule>
    <cfRule type="expression" dxfId="12485" priority="5028">
      <formula>#REF!="L"</formula>
    </cfRule>
    <cfRule type="expression" dxfId="12484" priority="5023">
      <formula>#REF!="TO"</formula>
    </cfRule>
    <cfRule type="expression" dxfId="12483" priority="5024">
      <formula>#REF!="IO"</formula>
    </cfRule>
    <cfRule type="expression" dxfId="12482" priority="5025">
      <formula>#REF!="L"</formula>
    </cfRule>
  </conditionalFormatting>
  <conditionalFormatting sqref="V27">
    <cfRule type="expression" dxfId="12481" priority="5017">
      <formula>#REF!="TO"</formula>
    </cfRule>
    <cfRule type="expression" dxfId="12480" priority="5018">
      <formula>#REF!="IO"</formula>
    </cfRule>
    <cfRule type="expression" dxfId="12479" priority="5019">
      <formula>#REF!="L"</formula>
    </cfRule>
    <cfRule type="expression" dxfId="12478" priority="5014">
      <formula>#REF!="TO"</formula>
    </cfRule>
    <cfRule type="expression" dxfId="12477" priority="5015">
      <formula>#REF!="IO"</formula>
    </cfRule>
    <cfRule type="expression" dxfId="12476" priority="5016">
      <formula>#REF!="L"</formula>
    </cfRule>
  </conditionalFormatting>
  <conditionalFormatting sqref="P38:P86">
    <cfRule type="expression" dxfId="12475" priority="5011">
      <formula>#REF!="TO"</formula>
    </cfRule>
    <cfRule type="expression" dxfId="12474" priority="5012">
      <formula>#REF!="IO"</formula>
    </cfRule>
    <cfRule type="expression" dxfId="12473" priority="5013">
      <formula>#REF!="L"</formula>
    </cfRule>
  </conditionalFormatting>
  <conditionalFormatting sqref="Q38:Q41">
    <cfRule type="expression" dxfId="12472" priority="5002">
      <formula>#REF!="TO"</formula>
    </cfRule>
    <cfRule type="expression" dxfId="12471" priority="5003">
      <formula>#REF!="IO"</formula>
    </cfRule>
    <cfRule type="expression" dxfId="12470" priority="5004">
      <formula>#REF!="L"</formula>
    </cfRule>
  </conditionalFormatting>
  <conditionalFormatting sqref="Q42">
    <cfRule type="expression" dxfId="12469" priority="4999">
      <formula>#REF!="TO"</formula>
    </cfRule>
    <cfRule type="expression" dxfId="12468" priority="5000">
      <formula>#REF!="IO"</formula>
    </cfRule>
    <cfRule type="expression" dxfId="12467" priority="5001">
      <formula>#REF!="L"</formula>
    </cfRule>
  </conditionalFormatting>
  <conditionalFormatting sqref="Q43">
    <cfRule type="expression" dxfId="12466" priority="4996">
      <formula>#REF!="TO"</formula>
    </cfRule>
    <cfRule type="expression" dxfId="12465" priority="4997">
      <formula>#REF!="IO"</formula>
    </cfRule>
    <cfRule type="expression" dxfId="12464" priority="4998">
      <formula>#REF!="L"</formula>
    </cfRule>
  </conditionalFormatting>
  <conditionalFormatting sqref="Q44">
    <cfRule type="expression" dxfId="12463" priority="4993">
      <formula>#REF!="TO"</formula>
    </cfRule>
    <cfRule type="expression" dxfId="12462" priority="4994">
      <formula>#REF!="IO"</formula>
    </cfRule>
    <cfRule type="expression" dxfId="12461" priority="4995">
      <formula>#REF!="L"</formula>
    </cfRule>
  </conditionalFormatting>
  <conditionalFormatting sqref="Q45">
    <cfRule type="expression" dxfId="12460" priority="4990">
      <formula>#REF!="TO"</formula>
    </cfRule>
    <cfRule type="expression" dxfId="12459" priority="4991">
      <formula>#REF!="IO"</formula>
    </cfRule>
    <cfRule type="expression" dxfId="12458" priority="4992">
      <formula>#REF!="L"</formula>
    </cfRule>
  </conditionalFormatting>
  <conditionalFormatting sqref="Q46">
    <cfRule type="expression" dxfId="12457" priority="4987">
      <formula>#REF!="TO"</formula>
    </cfRule>
    <cfRule type="expression" dxfId="12456" priority="4988">
      <formula>#REF!="IO"</formula>
    </cfRule>
    <cfRule type="expression" dxfId="12455" priority="4989">
      <formula>#REF!="L"</formula>
    </cfRule>
  </conditionalFormatting>
  <conditionalFormatting sqref="Q47">
    <cfRule type="expression" dxfId="12454" priority="4984">
      <formula>#REF!="TO"</formula>
    </cfRule>
    <cfRule type="expression" dxfId="12453" priority="4985">
      <formula>#REF!="IO"</formula>
    </cfRule>
    <cfRule type="expression" dxfId="12452" priority="4986">
      <formula>#REF!="L"</formula>
    </cfRule>
  </conditionalFormatting>
  <conditionalFormatting sqref="AD38:AD41 AD23:AD29">
    <cfRule type="expression" dxfId="12451" priority="5200">
      <formula>#REF!="TO"</formula>
    </cfRule>
    <cfRule type="expression" dxfId="12450" priority="5201">
      <formula>#REF!="IO"</formula>
    </cfRule>
    <cfRule type="expression" dxfId="12449" priority="5202">
      <formula>#REF!="L"</formula>
    </cfRule>
  </conditionalFormatting>
  <conditionalFormatting sqref="AD5">
    <cfRule type="expression" dxfId="12448" priority="5197">
      <formula>#REF!="TO"</formula>
    </cfRule>
    <cfRule type="expression" dxfId="12447" priority="5198">
      <formula>#REF!="IO"</formula>
    </cfRule>
    <cfRule type="expression" dxfId="12446" priority="5199">
      <formula>#REF!="L"</formula>
    </cfRule>
  </conditionalFormatting>
  <conditionalFormatting sqref="AD6">
    <cfRule type="expression" dxfId="12445" priority="5194">
      <formula>#REF!="TO"</formula>
    </cfRule>
    <cfRule type="expression" dxfId="12444" priority="5195">
      <formula>#REF!="IO"</formula>
    </cfRule>
    <cfRule type="expression" dxfId="12443" priority="5196">
      <formula>#REF!="L"</formula>
    </cfRule>
  </conditionalFormatting>
  <conditionalFormatting sqref="AD7">
    <cfRule type="expression" dxfId="12442" priority="5191">
      <formula>#REF!="TO"</formula>
    </cfRule>
    <cfRule type="expression" dxfId="12441" priority="5192">
      <formula>#REF!="IO"</formula>
    </cfRule>
    <cfRule type="expression" dxfId="12440" priority="5193">
      <formula>#REF!="L"</formula>
    </cfRule>
  </conditionalFormatting>
  <conditionalFormatting sqref="AD8">
    <cfRule type="expression" dxfId="12439" priority="5188">
      <formula>#REF!="TO"</formula>
    </cfRule>
    <cfRule type="expression" dxfId="12438" priority="5189">
      <formula>#REF!="IO"</formula>
    </cfRule>
    <cfRule type="expression" dxfId="12437" priority="5190">
      <formula>#REF!="L"</formula>
    </cfRule>
  </conditionalFormatting>
  <conditionalFormatting sqref="AD9:AD12">
    <cfRule type="expression" dxfId="12436" priority="5185">
      <formula>#REF!="TO"</formula>
    </cfRule>
    <cfRule type="expression" dxfId="12435" priority="5186">
      <formula>#REF!="IO"</formula>
    </cfRule>
    <cfRule type="expression" dxfId="12434" priority="5187">
      <formula>#REF!="L"</formula>
    </cfRule>
  </conditionalFormatting>
  <conditionalFormatting sqref="AD13">
    <cfRule type="expression" dxfId="12433" priority="5182">
      <formula>#REF!="TO"</formula>
    </cfRule>
    <cfRule type="expression" dxfId="12432" priority="5183">
      <formula>#REF!="IO"</formula>
    </cfRule>
    <cfRule type="expression" dxfId="12431" priority="5184">
      <formula>#REF!="L"</formula>
    </cfRule>
  </conditionalFormatting>
  <conditionalFormatting sqref="AD14">
    <cfRule type="expression" dxfId="12430" priority="5179">
      <formula>#REF!="TO"</formula>
    </cfRule>
    <cfRule type="expression" dxfId="12429" priority="5180">
      <formula>#REF!="IO"</formula>
    </cfRule>
    <cfRule type="expression" dxfId="12428" priority="5181">
      <formula>#REF!="L"</formula>
    </cfRule>
  </conditionalFormatting>
  <conditionalFormatting sqref="AD15">
    <cfRule type="expression" dxfId="12427" priority="5176">
      <formula>#REF!="TO"</formula>
    </cfRule>
    <cfRule type="expression" dxfId="12426" priority="5177">
      <formula>#REF!="IO"</formula>
    </cfRule>
    <cfRule type="expression" dxfId="12425" priority="5178">
      <formula>#REF!="L"</formula>
    </cfRule>
  </conditionalFormatting>
  <conditionalFormatting sqref="AD16">
    <cfRule type="expression" dxfId="12424" priority="5173">
      <formula>#REF!="TO"</formula>
    </cfRule>
    <cfRule type="expression" dxfId="12423" priority="5174">
      <formula>#REF!="IO"</formula>
    </cfRule>
    <cfRule type="expression" dxfId="12422" priority="5175">
      <formula>#REF!="L"</formula>
    </cfRule>
  </conditionalFormatting>
  <conditionalFormatting sqref="AD17">
    <cfRule type="expression" dxfId="12421" priority="5170">
      <formula>#REF!="TO"</formula>
    </cfRule>
    <cfRule type="expression" dxfId="12420" priority="5171">
      <formula>#REF!="IO"</formula>
    </cfRule>
    <cfRule type="expression" dxfId="12419" priority="5172">
      <formula>#REF!="L"</formula>
    </cfRule>
  </conditionalFormatting>
  <conditionalFormatting sqref="AD18">
    <cfRule type="expression" dxfId="12418" priority="5167">
      <formula>#REF!="TO"</formula>
    </cfRule>
    <cfRule type="expression" dxfId="12417" priority="5168">
      <formula>#REF!="IO"</formula>
    </cfRule>
    <cfRule type="expression" dxfId="12416" priority="5169">
      <formula>#REF!="L"</formula>
    </cfRule>
  </conditionalFormatting>
  <conditionalFormatting sqref="AD19">
    <cfRule type="expression" dxfId="12415" priority="5164">
      <formula>#REF!="TO"</formula>
    </cfRule>
    <cfRule type="expression" dxfId="12414" priority="5165">
      <formula>#REF!="IO"</formula>
    </cfRule>
    <cfRule type="expression" dxfId="12413" priority="5166">
      <formula>#REF!="L"</formula>
    </cfRule>
  </conditionalFormatting>
  <conditionalFormatting sqref="AD20">
    <cfRule type="expression" dxfId="12412" priority="5161">
      <formula>#REF!="TO"</formula>
    </cfRule>
    <cfRule type="expression" dxfId="12411" priority="5162">
      <formula>#REF!="IO"</formula>
    </cfRule>
    <cfRule type="expression" dxfId="12410" priority="5163">
      <formula>#REF!="L"</formula>
    </cfRule>
  </conditionalFormatting>
  <conditionalFormatting sqref="AD21">
    <cfRule type="expression" dxfId="12409" priority="5158">
      <formula>#REF!="TO"</formula>
    </cfRule>
    <cfRule type="expression" dxfId="12408" priority="5159">
      <formula>#REF!="IO"</formula>
    </cfRule>
    <cfRule type="expression" dxfId="12407" priority="5160">
      <formula>#REF!="L"</formula>
    </cfRule>
  </conditionalFormatting>
  <conditionalFormatting sqref="AD22:AD29">
    <cfRule type="expression" dxfId="12406" priority="5155">
      <formula>#REF!="TO"</formula>
    </cfRule>
    <cfRule type="expression" dxfId="12405" priority="5156">
      <formula>#REF!="IO"</formula>
    </cfRule>
    <cfRule type="expression" dxfId="12404" priority="5157">
      <formula>#REF!="L"</formula>
    </cfRule>
  </conditionalFormatting>
  <conditionalFormatting sqref="AD42">
    <cfRule type="expression" dxfId="12403" priority="5152">
      <formula>#REF!="TO"</formula>
    </cfRule>
    <cfRule type="expression" dxfId="12402" priority="5153">
      <formula>#REF!="IO"</formula>
    </cfRule>
    <cfRule type="expression" dxfId="12401" priority="5154">
      <formula>#REF!="L"</formula>
    </cfRule>
  </conditionalFormatting>
  <conditionalFormatting sqref="AD43">
    <cfRule type="expression" dxfId="12400" priority="5149">
      <formula>#REF!="TO"</formula>
    </cfRule>
    <cfRule type="expression" dxfId="12399" priority="5150">
      <formula>#REF!="IO"</formula>
    </cfRule>
    <cfRule type="expression" dxfId="12398" priority="5151">
      <formula>#REF!="L"</formula>
    </cfRule>
  </conditionalFormatting>
  <conditionalFormatting sqref="AD44">
    <cfRule type="expression" dxfId="12397" priority="5146">
      <formula>#REF!="TO"</formula>
    </cfRule>
    <cfRule type="expression" dxfId="12396" priority="5147">
      <formula>#REF!="IO"</formula>
    </cfRule>
    <cfRule type="expression" dxfId="12395" priority="5148">
      <formula>#REF!="L"</formula>
    </cfRule>
  </conditionalFormatting>
  <conditionalFormatting sqref="AD45">
    <cfRule type="expression" dxfId="12394" priority="5143">
      <formula>#REF!="TO"</formula>
    </cfRule>
    <cfRule type="expression" dxfId="12393" priority="5144">
      <formula>#REF!="IO"</formula>
    </cfRule>
    <cfRule type="expression" dxfId="12392" priority="5145">
      <formula>#REF!="L"</formula>
    </cfRule>
  </conditionalFormatting>
  <conditionalFormatting sqref="AD46">
    <cfRule type="expression" dxfId="12391" priority="5140">
      <formula>#REF!="TO"</formula>
    </cfRule>
    <cfRule type="expression" dxfId="12390" priority="5141">
      <formula>#REF!="IO"</formula>
    </cfRule>
    <cfRule type="expression" dxfId="12389" priority="5142">
      <formula>#REF!="L"</formula>
    </cfRule>
  </conditionalFormatting>
  <conditionalFormatting sqref="AD47">
    <cfRule type="expression" dxfId="12388" priority="5137">
      <formula>#REF!="TO"</formula>
    </cfRule>
    <cfRule type="expression" dxfId="12387" priority="5138">
      <formula>#REF!="IO"</formula>
    </cfRule>
    <cfRule type="expression" dxfId="12386" priority="5139">
      <formula>#REF!="L"</formula>
    </cfRule>
  </conditionalFormatting>
  <conditionalFormatting sqref="AD48">
    <cfRule type="expression" dxfId="12385" priority="5134">
      <formula>#REF!="TO"</formula>
    </cfRule>
    <cfRule type="expression" dxfId="12384" priority="5135">
      <formula>#REF!="IO"</formula>
    </cfRule>
    <cfRule type="expression" dxfId="12383" priority="5136">
      <formula>#REF!="L"</formula>
    </cfRule>
  </conditionalFormatting>
  <conditionalFormatting sqref="AD49">
    <cfRule type="expression" dxfId="12382" priority="5131">
      <formula>#REF!="TO"</formula>
    </cfRule>
    <cfRule type="expression" dxfId="12381" priority="5132">
      <formula>#REF!="IO"</formula>
    </cfRule>
    <cfRule type="expression" dxfId="12380" priority="5133">
      <formula>#REF!="L"</formula>
    </cfRule>
  </conditionalFormatting>
  <conditionalFormatting sqref="AD50">
    <cfRule type="expression" dxfId="12379" priority="5128">
      <formula>#REF!="TO"</formula>
    </cfRule>
    <cfRule type="expression" dxfId="12378" priority="5129">
      <formula>#REF!="IO"</formula>
    </cfRule>
    <cfRule type="expression" dxfId="12377" priority="5130">
      <formula>#REF!="L"</formula>
    </cfRule>
  </conditionalFormatting>
  <conditionalFormatting sqref="AD51:AD86">
    <cfRule type="expression" dxfId="12376" priority="5125">
      <formula>#REF!="TO"</formula>
    </cfRule>
    <cfRule type="expression" dxfId="12375" priority="5126">
      <formula>#REF!="IO"</formula>
    </cfRule>
    <cfRule type="expression" dxfId="12374" priority="5127">
      <formula>#REF!="L"</formula>
    </cfRule>
  </conditionalFormatting>
  <conditionalFormatting sqref="AD28:AD29">
    <cfRule type="expression" dxfId="12373" priority="5119">
      <formula>#REF!="TO"</formula>
    </cfRule>
    <cfRule type="expression" dxfId="12372" priority="5120">
      <formula>#REF!="IO"</formula>
    </cfRule>
    <cfRule type="expression" dxfId="12371" priority="5121">
      <formula>#REF!="L"</formula>
    </cfRule>
    <cfRule type="expression" dxfId="12370" priority="5116">
      <formula>#REF!="TO"</formula>
    </cfRule>
    <cfRule type="expression" dxfId="12369" priority="5117">
      <formula>#REF!="IO"</formula>
    </cfRule>
    <cfRule type="expression" dxfId="12368" priority="5118">
      <formula>#REF!="L"</formula>
    </cfRule>
  </conditionalFormatting>
  <conditionalFormatting sqref="L38:L41 L23:L29 O23:Q29 O38:O41">
    <cfRule type="expression" dxfId="12367" priority="5107">
      <formula>#REF!="TO"</formula>
    </cfRule>
    <cfRule type="expression" dxfId="12366" priority="5108">
      <formula>#REF!="IO"</formula>
    </cfRule>
    <cfRule type="expression" dxfId="12365" priority="5109">
      <formula>#REF!="L"</formula>
    </cfRule>
  </conditionalFormatting>
  <conditionalFormatting sqref="L5 O5:Q5">
    <cfRule type="expression" dxfId="12364" priority="5104">
      <formula>#REF!="TO"</formula>
    </cfRule>
    <cfRule type="expression" dxfId="12363" priority="5105">
      <formula>#REF!="IO"</formula>
    </cfRule>
    <cfRule type="expression" dxfId="12362" priority="5106">
      <formula>#REF!="L"</formula>
    </cfRule>
  </conditionalFormatting>
  <conditionalFormatting sqref="L6 O6:Q6">
    <cfRule type="expression" dxfId="12361" priority="5101">
      <formula>#REF!="TO"</formula>
    </cfRule>
    <cfRule type="expression" dxfId="12360" priority="5102">
      <formula>#REF!="IO"</formula>
    </cfRule>
    <cfRule type="expression" dxfId="12359" priority="5103">
      <formula>#REF!="L"</formula>
    </cfRule>
  </conditionalFormatting>
  <conditionalFormatting sqref="O7:Q7">
    <cfRule type="expression" dxfId="12358" priority="5098">
      <formula>#REF!="TO"</formula>
    </cfRule>
    <cfRule type="expression" dxfId="12357" priority="5099">
      <formula>#REF!="IO"</formula>
    </cfRule>
    <cfRule type="expression" dxfId="12356" priority="5100">
      <formula>#REF!="L"</formula>
    </cfRule>
  </conditionalFormatting>
  <conditionalFormatting sqref="L8 O8:Q8">
    <cfRule type="expression" dxfId="12355" priority="5095">
      <formula>#REF!="TO"</formula>
    </cfRule>
    <cfRule type="expression" dxfId="12354" priority="5096">
      <formula>#REF!="IO"</formula>
    </cfRule>
    <cfRule type="expression" dxfId="12353" priority="5097">
      <formula>#REF!="L"</formula>
    </cfRule>
  </conditionalFormatting>
  <conditionalFormatting sqref="L9:L12 O9:Q12">
    <cfRule type="expression" dxfId="12352" priority="5092">
      <formula>#REF!="TO"</formula>
    </cfRule>
    <cfRule type="expression" dxfId="12351" priority="5093">
      <formula>#REF!="IO"</formula>
    </cfRule>
    <cfRule type="expression" dxfId="12350" priority="5094">
      <formula>#REF!="L"</formula>
    </cfRule>
  </conditionalFormatting>
  <conditionalFormatting sqref="L13 O13:Q13">
    <cfRule type="expression" dxfId="12349" priority="5089">
      <formula>#REF!="TO"</formula>
    </cfRule>
    <cfRule type="expression" dxfId="12348" priority="5090">
      <formula>#REF!="IO"</formula>
    </cfRule>
    <cfRule type="expression" dxfId="12347" priority="5091">
      <formula>#REF!="L"</formula>
    </cfRule>
  </conditionalFormatting>
  <conditionalFormatting sqref="L14 O14:Q14">
    <cfRule type="expression" dxfId="12346" priority="5086">
      <formula>#REF!="TO"</formula>
    </cfRule>
    <cfRule type="expression" dxfId="12345" priority="5087">
      <formula>#REF!="IO"</formula>
    </cfRule>
    <cfRule type="expression" dxfId="12344" priority="5088">
      <formula>#REF!="L"</formula>
    </cfRule>
  </conditionalFormatting>
  <conditionalFormatting sqref="L15 O15:Q15">
    <cfRule type="expression" dxfId="12343" priority="5083">
      <formula>#REF!="TO"</formula>
    </cfRule>
    <cfRule type="expression" dxfId="12342" priority="5084">
      <formula>#REF!="IO"</formula>
    </cfRule>
    <cfRule type="expression" dxfId="12341" priority="5085">
      <formula>#REF!="L"</formula>
    </cfRule>
  </conditionalFormatting>
  <conditionalFormatting sqref="L16 O16:Q16">
    <cfRule type="expression" dxfId="12340" priority="5080">
      <formula>#REF!="TO"</formula>
    </cfRule>
    <cfRule type="expression" dxfId="12339" priority="5081">
      <formula>#REF!="IO"</formula>
    </cfRule>
    <cfRule type="expression" dxfId="12338" priority="5082">
      <formula>#REF!="L"</formula>
    </cfRule>
  </conditionalFormatting>
  <conditionalFormatting sqref="L17 O17:Q17">
    <cfRule type="expression" dxfId="12337" priority="5077">
      <formula>#REF!="TO"</formula>
    </cfRule>
    <cfRule type="expression" dxfId="12336" priority="5078">
      <formula>#REF!="IO"</formula>
    </cfRule>
    <cfRule type="expression" dxfId="12335" priority="5079">
      <formula>#REF!="L"</formula>
    </cfRule>
  </conditionalFormatting>
  <conditionalFormatting sqref="L18 O18:Q18">
    <cfRule type="expression" dxfId="12334" priority="5074">
      <formula>#REF!="TO"</formula>
    </cfRule>
    <cfRule type="expression" dxfId="12333" priority="5075">
      <formula>#REF!="IO"</formula>
    </cfRule>
    <cfRule type="expression" dxfId="12332" priority="5076">
      <formula>#REF!="L"</formula>
    </cfRule>
  </conditionalFormatting>
  <conditionalFormatting sqref="L19 O19:Q19">
    <cfRule type="expression" dxfId="12331" priority="5071">
      <formula>#REF!="TO"</formula>
    </cfRule>
    <cfRule type="expression" dxfId="12330" priority="5072">
      <formula>#REF!="IO"</formula>
    </cfRule>
    <cfRule type="expression" dxfId="12329" priority="5073">
      <formula>#REF!="L"</formula>
    </cfRule>
  </conditionalFormatting>
  <conditionalFormatting sqref="L20 O20:Q20">
    <cfRule type="expression" dxfId="12328" priority="5068">
      <formula>#REF!="TO"</formula>
    </cfRule>
    <cfRule type="expression" dxfId="12327" priority="5069">
      <formula>#REF!="IO"</formula>
    </cfRule>
    <cfRule type="expression" dxfId="12326" priority="5070">
      <formula>#REF!="L"</formula>
    </cfRule>
  </conditionalFormatting>
  <conditionalFormatting sqref="Q48">
    <cfRule type="expression" dxfId="12325" priority="4981">
      <formula>#REF!="TO"</formula>
    </cfRule>
    <cfRule type="expression" dxfId="12324" priority="4982">
      <formula>#REF!="IO"</formula>
    </cfRule>
    <cfRule type="expression" dxfId="12323" priority="4983">
      <formula>#REF!="L"</formula>
    </cfRule>
  </conditionalFormatting>
  <conditionalFormatting sqref="Q49">
    <cfRule type="expression" dxfId="12322" priority="4978">
      <formula>#REF!="TO"</formula>
    </cfRule>
    <cfRule type="expression" dxfId="12321" priority="4979">
      <formula>#REF!="IO"</formula>
    </cfRule>
    <cfRule type="expression" dxfId="12320" priority="4980">
      <formula>#REF!="L"</formula>
    </cfRule>
  </conditionalFormatting>
  <conditionalFormatting sqref="Q50">
    <cfRule type="expression" dxfId="12319" priority="4975">
      <formula>#REF!="TO"</formula>
    </cfRule>
    <cfRule type="expression" dxfId="12318" priority="4976">
      <formula>#REF!="IO"</formula>
    </cfRule>
    <cfRule type="expression" dxfId="12317" priority="4977">
      <formula>#REF!="L"</formula>
    </cfRule>
  </conditionalFormatting>
  <conditionalFormatting sqref="Q51:Q86">
    <cfRule type="expression" dxfId="12316" priority="4972">
      <formula>#REF!="TO"</formula>
    </cfRule>
    <cfRule type="expression" dxfId="12315" priority="4973">
      <formula>#REF!="IO"</formula>
    </cfRule>
    <cfRule type="expression" dxfId="12314" priority="4974">
      <formula>#REF!="L"</formula>
    </cfRule>
  </conditionalFormatting>
  <conditionalFormatting sqref="AV18">
    <cfRule type="expression" dxfId="12313" priority="4876">
      <formula>#REF!="TO"</formula>
    </cfRule>
    <cfRule type="expression" dxfId="12312" priority="4877">
      <formula>#REF!="IO"</formula>
    </cfRule>
    <cfRule type="expression" dxfId="12311" priority="4878">
      <formula>#REF!="L"</formula>
    </cfRule>
    <cfRule type="expression" dxfId="12310" priority="4879">
      <formula>#REF!="TO"</formula>
    </cfRule>
    <cfRule type="expression" dxfId="12309" priority="4880">
      <formula>#REF!="IO"</formula>
    </cfRule>
    <cfRule type="expression" dxfId="12308" priority="4881">
      <formula>#REF!="L"</formula>
    </cfRule>
  </conditionalFormatting>
  <conditionalFormatting sqref="AV5">
    <cfRule type="expression" dxfId="12307" priority="4960">
      <formula>#REF!="TO"</formula>
    </cfRule>
    <cfRule type="expression" dxfId="12306" priority="4961">
      <formula>#REF!="IO"</formula>
    </cfRule>
    <cfRule type="expression" dxfId="12305" priority="4962">
      <formula>#REF!="L"</formula>
    </cfRule>
    <cfRule type="expression" dxfId="12304" priority="4963">
      <formula>#REF!="TO"</formula>
    </cfRule>
    <cfRule type="expression" dxfId="12303" priority="4964">
      <formula>#REF!="IO"</formula>
    </cfRule>
    <cfRule type="expression" dxfId="12302" priority="4965">
      <formula>#REF!="L"</formula>
    </cfRule>
  </conditionalFormatting>
  <conditionalFormatting sqref="AV19">
    <cfRule type="expression" dxfId="12301" priority="4867">
      <formula>#REF!="TO"</formula>
    </cfRule>
    <cfRule type="expression" dxfId="12300" priority="4868">
      <formula>#REF!="IO"</formula>
    </cfRule>
    <cfRule type="expression" dxfId="12299" priority="4869">
      <formula>#REF!="L"</formula>
    </cfRule>
    <cfRule type="expression" dxfId="12298" priority="4870">
      <formula>#REF!="TO"</formula>
    </cfRule>
    <cfRule type="expression" dxfId="12297" priority="4871">
      <formula>#REF!="IO"</formula>
    </cfRule>
    <cfRule type="expression" dxfId="12296" priority="4872">
      <formula>#REF!="L"</formula>
    </cfRule>
  </conditionalFormatting>
  <conditionalFormatting sqref="AV6">
    <cfRule type="expression" dxfId="12295" priority="4951">
      <formula>#REF!="TO"</formula>
    </cfRule>
    <cfRule type="expression" dxfId="12294" priority="4952">
      <formula>#REF!="IO"</formula>
    </cfRule>
    <cfRule type="expression" dxfId="12293" priority="4953">
      <formula>#REF!="L"</formula>
    </cfRule>
    <cfRule type="expression" dxfId="12292" priority="4954">
      <formula>#REF!="TO"</formula>
    </cfRule>
    <cfRule type="expression" dxfId="12291" priority="4955">
      <formula>#REF!="IO"</formula>
    </cfRule>
    <cfRule type="expression" dxfId="12290" priority="4956">
      <formula>#REF!="L"</formula>
    </cfRule>
  </conditionalFormatting>
  <conditionalFormatting sqref="AV7">
    <cfRule type="expression" dxfId="12289" priority="4945">
      <formula>#REF!="TO"</formula>
    </cfRule>
    <cfRule type="expression" dxfId="12288" priority="4946">
      <formula>#REF!="IO"</formula>
    </cfRule>
    <cfRule type="expression" dxfId="12287" priority="4947">
      <formula>#REF!="L"</formula>
    </cfRule>
    <cfRule type="expression" dxfId="12286" priority="4948">
      <formula>#REF!="TO"</formula>
    </cfRule>
    <cfRule type="expression" dxfId="12285" priority="4949">
      <formula>#REF!="IO"</formula>
    </cfRule>
    <cfRule type="expression" dxfId="12284" priority="4950">
      <formula>#REF!="L"</formula>
    </cfRule>
  </conditionalFormatting>
  <conditionalFormatting sqref="AV8">
    <cfRule type="expression" dxfId="12283" priority="4939">
      <formula>#REF!="TO"</formula>
    </cfRule>
    <cfRule type="expression" dxfId="12282" priority="4940">
      <formula>#REF!="IO"</formula>
    </cfRule>
    <cfRule type="expression" dxfId="12281" priority="4941">
      <formula>#REF!="L"</formula>
    </cfRule>
    <cfRule type="expression" dxfId="12280" priority="4942">
      <formula>#REF!="TO"</formula>
    </cfRule>
    <cfRule type="expression" dxfId="12279" priority="4943">
      <formula>#REF!="IO"</formula>
    </cfRule>
    <cfRule type="expression" dxfId="12278" priority="4944">
      <formula>#REF!="L"</formula>
    </cfRule>
  </conditionalFormatting>
  <conditionalFormatting sqref="AV9:AV12">
    <cfRule type="expression" dxfId="12277" priority="4930">
      <formula>#REF!="TO"</formula>
    </cfRule>
    <cfRule type="expression" dxfId="12276" priority="4931">
      <formula>#REF!="IO"</formula>
    </cfRule>
    <cfRule type="expression" dxfId="12275" priority="4932">
      <formula>#REF!="L"</formula>
    </cfRule>
    <cfRule type="expression" dxfId="12274" priority="4933">
      <formula>#REF!="TO"</formula>
    </cfRule>
    <cfRule type="expression" dxfId="12273" priority="4934">
      <formula>#REF!="IO"</formula>
    </cfRule>
    <cfRule type="expression" dxfId="12272" priority="4935">
      <formula>#REF!="L"</formula>
    </cfRule>
  </conditionalFormatting>
  <conditionalFormatting sqref="AV13">
    <cfRule type="expression" dxfId="12271" priority="4921">
      <formula>#REF!="TO"</formula>
    </cfRule>
    <cfRule type="expression" dxfId="12270" priority="4922">
      <formula>#REF!="IO"</formula>
    </cfRule>
    <cfRule type="expression" dxfId="12269" priority="4923">
      <formula>#REF!="L"</formula>
    </cfRule>
    <cfRule type="expression" dxfId="12268" priority="4924">
      <formula>#REF!="TO"</formula>
    </cfRule>
    <cfRule type="expression" dxfId="12267" priority="4925">
      <formula>#REF!="IO"</formula>
    </cfRule>
    <cfRule type="expression" dxfId="12266" priority="4926">
      <formula>#REF!="L"</formula>
    </cfRule>
  </conditionalFormatting>
  <conditionalFormatting sqref="AV14">
    <cfRule type="expression" dxfId="12265" priority="4912">
      <formula>#REF!="TO"</formula>
    </cfRule>
    <cfRule type="expression" dxfId="12264" priority="4913">
      <formula>#REF!="IO"</formula>
    </cfRule>
    <cfRule type="expression" dxfId="12263" priority="4914">
      <formula>#REF!="L"</formula>
    </cfRule>
    <cfRule type="expression" dxfId="12262" priority="4915">
      <formula>#REF!="TO"</formula>
    </cfRule>
    <cfRule type="expression" dxfId="12261" priority="4916">
      <formula>#REF!="IO"</formula>
    </cfRule>
    <cfRule type="expression" dxfId="12260" priority="4917">
      <formula>#REF!="L"</formula>
    </cfRule>
  </conditionalFormatting>
  <conditionalFormatting sqref="AV15">
    <cfRule type="expression" dxfId="12259" priority="4903">
      <formula>#REF!="TO"</formula>
    </cfRule>
    <cfRule type="expression" dxfId="12258" priority="4904">
      <formula>#REF!="IO"</formula>
    </cfRule>
    <cfRule type="expression" dxfId="12257" priority="4905">
      <formula>#REF!="L"</formula>
    </cfRule>
    <cfRule type="expression" dxfId="12256" priority="4906">
      <formula>#REF!="TO"</formula>
    </cfRule>
    <cfRule type="expression" dxfId="12255" priority="4907">
      <formula>#REF!="IO"</formula>
    </cfRule>
    <cfRule type="expression" dxfId="12254" priority="4908">
      <formula>#REF!="L"</formula>
    </cfRule>
  </conditionalFormatting>
  <conditionalFormatting sqref="AV16">
    <cfRule type="expression" dxfId="12253" priority="4894">
      <formula>#REF!="TO"</formula>
    </cfRule>
    <cfRule type="expression" dxfId="12252" priority="4895">
      <formula>#REF!="IO"</formula>
    </cfRule>
    <cfRule type="expression" dxfId="12251" priority="4896">
      <formula>#REF!="L"</formula>
    </cfRule>
    <cfRule type="expression" dxfId="12250" priority="4897">
      <formula>#REF!="TO"</formula>
    </cfRule>
    <cfRule type="expression" dxfId="12249" priority="4898">
      <formula>#REF!="IO"</formula>
    </cfRule>
    <cfRule type="expression" dxfId="12248" priority="4899">
      <formula>#REF!="L"</formula>
    </cfRule>
  </conditionalFormatting>
  <conditionalFormatting sqref="AV20">
    <cfRule type="expression" dxfId="12247" priority="4858">
      <formula>#REF!="TO"</formula>
    </cfRule>
    <cfRule type="expression" dxfId="12246" priority="4859">
      <formula>#REF!="IO"</formula>
    </cfRule>
    <cfRule type="expression" dxfId="12245" priority="4860">
      <formula>#REF!="L"</formula>
    </cfRule>
    <cfRule type="expression" dxfId="12244" priority="4861">
      <formula>#REF!="TO"</formula>
    </cfRule>
    <cfRule type="expression" dxfId="12243" priority="4862">
      <formula>#REF!="IO"</formula>
    </cfRule>
    <cfRule type="expression" dxfId="12242" priority="4863">
      <formula>#REF!="L"</formula>
    </cfRule>
  </conditionalFormatting>
  <conditionalFormatting sqref="AV17">
    <cfRule type="expression" dxfId="12241" priority="4888">
      <formula>#REF!="TO"</formula>
    </cfRule>
    <cfRule type="expression" dxfId="12240" priority="4889">
      <formula>#REF!="IO"</formula>
    </cfRule>
    <cfRule type="expression" dxfId="12239" priority="4890">
      <formula>#REF!="L"</formula>
    </cfRule>
    <cfRule type="expression" dxfId="12238" priority="4885">
      <formula>#REF!="TO"</formula>
    </cfRule>
    <cfRule type="expression" dxfId="12237" priority="4886">
      <formula>#REF!="IO"</formula>
    </cfRule>
    <cfRule type="expression" dxfId="12236" priority="4887">
      <formula>#REF!="L"</formula>
    </cfRule>
  </conditionalFormatting>
  <conditionalFormatting sqref="AV21">
    <cfRule type="expression" dxfId="12235" priority="4849">
      <formula>#REF!="TO"</formula>
    </cfRule>
    <cfRule type="expression" dxfId="12234" priority="4850">
      <formula>#REF!="IO"</formula>
    </cfRule>
    <cfRule type="expression" dxfId="12233" priority="4851">
      <formula>#REF!="L"</formula>
    </cfRule>
    <cfRule type="expression" dxfId="12232" priority="4852">
      <formula>#REF!="TO"</formula>
    </cfRule>
    <cfRule type="expression" dxfId="12231" priority="4853">
      <formula>#REF!="IO"</formula>
    </cfRule>
    <cfRule type="expression" dxfId="12230" priority="4854">
      <formula>#REF!="L"</formula>
    </cfRule>
  </conditionalFormatting>
  <conditionalFormatting sqref="AV22">
    <cfRule type="expression" dxfId="12229" priority="4840">
      <formula>#REF!="TO"</formula>
    </cfRule>
    <cfRule type="expression" dxfId="12228" priority="4841">
      <formula>#REF!="IO"</formula>
    </cfRule>
    <cfRule type="expression" dxfId="12227" priority="4842">
      <formula>#REF!="L"</formula>
    </cfRule>
    <cfRule type="expression" dxfId="12226" priority="4843">
      <formula>#REF!="TO"</formula>
    </cfRule>
    <cfRule type="expression" dxfId="12225" priority="4844">
      <formula>#REF!="IO"</formula>
    </cfRule>
    <cfRule type="expression" dxfId="12224" priority="4845">
      <formula>#REF!="L"</formula>
    </cfRule>
  </conditionalFormatting>
  <conditionalFormatting sqref="AW47:AZ47">
    <cfRule type="expression" dxfId="12223" priority="4225">
      <formula>#REF!="TO"</formula>
    </cfRule>
    <cfRule type="expression" dxfId="12222" priority="4226">
      <formula>#REF!="IO"</formula>
    </cfRule>
    <cfRule type="expression" dxfId="12221" priority="4227">
      <formula>#REF!="L"</formula>
    </cfRule>
  </conditionalFormatting>
  <conditionalFormatting sqref="AW49:AZ49">
    <cfRule type="expression" dxfId="12220" priority="4219">
      <formula>#REF!="TO"</formula>
    </cfRule>
    <cfRule type="expression" dxfId="12219" priority="4220">
      <formula>#REF!="IO"</formula>
    </cfRule>
    <cfRule type="expression" dxfId="12218" priority="4221">
      <formula>#REF!="L"</formula>
    </cfRule>
  </conditionalFormatting>
  <conditionalFormatting sqref="BA38:BA41 BA23:BA29">
    <cfRule type="expression" dxfId="12217" priority="4378">
      <formula>#REF!="TO"</formula>
    </cfRule>
    <cfRule type="expression" dxfId="12216" priority="4379">
      <formula>#REF!="IO"</formula>
    </cfRule>
    <cfRule type="expression" dxfId="12215" priority="4380">
      <formula>#REF!="L"</formula>
    </cfRule>
  </conditionalFormatting>
  <conditionalFormatting sqref="AW51:AZ86">
    <cfRule type="expression" dxfId="12214" priority="4213">
      <formula>#REF!="TO"</formula>
    </cfRule>
    <cfRule type="expression" dxfId="12213" priority="4214">
      <formula>#REF!="IO"</formula>
    </cfRule>
    <cfRule type="expression" dxfId="12212" priority="4215">
      <formula>#REF!="L"</formula>
    </cfRule>
  </conditionalFormatting>
  <conditionalFormatting sqref="BA5">
    <cfRule type="expression" dxfId="12211" priority="4372">
      <formula>#REF!="TO"</formula>
    </cfRule>
    <cfRule type="expression" dxfId="12210" priority="4373">
      <formula>#REF!="IO"</formula>
    </cfRule>
    <cfRule type="expression" dxfId="12209" priority="4374">
      <formula>#REF!="L"</formula>
    </cfRule>
  </conditionalFormatting>
  <conditionalFormatting sqref="BA6">
    <cfRule type="expression" dxfId="12208" priority="4369">
      <formula>#REF!="TO"</formula>
    </cfRule>
    <cfRule type="expression" dxfId="12207" priority="4370">
      <formula>#REF!="IO"</formula>
    </cfRule>
    <cfRule type="expression" dxfId="12206" priority="4371">
      <formula>#REF!="L"</formula>
    </cfRule>
  </conditionalFormatting>
  <conditionalFormatting sqref="BA8">
    <cfRule type="expression" dxfId="12205" priority="4363">
      <formula>#REF!="TO"</formula>
    </cfRule>
    <cfRule type="expression" dxfId="12204" priority="4364">
      <formula>#REF!="IO"</formula>
    </cfRule>
    <cfRule type="expression" dxfId="12203" priority="4365">
      <formula>#REF!="L"</formula>
    </cfRule>
  </conditionalFormatting>
  <conditionalFormatting sqref="BA7">
    <cfRule type="expression" dxfId="12202" priority="4366">
      <formula>#REF!="TO"</formula>
    </cfRule>
    <cfRule type="expression" dxfId="12201" priority="4367">
      <formula>#REF!="IO"</formula>
    </cfRule>
    <cfRule type="expression" dxfId="12200" priority="4368">
      <formula>#REF!="L"</formula>
    </cfRule>
  </conditionalFormatting>
  <conditionalFormatting sqref="BA9:BA12">
    <cfRule type="expression" dxfId="12199" priority="4360">
      <formula>#REF!="TO"</formula>
    </cfRule>
    <cfRule type="expression" dxfId="12198" priority="4361">
      <formula>#REF!="IO"</formula>
    </cfRule>
    <cfRule type="expression" dxfId="12197" priority="4362">
      <formula>#REF!="L"</formula>
    </cfRule>
  </conditionalFormatting>
  <conditionalFormatting sqref="BA13">
    <cfRule type="expression" dxfId="12196" priority="4357">
      <formula>#REF!="TO"</formula>
    </cfRule>
    <cfRule type="expression" dxfId="12195" priority="4358">
      <formula>#REF!="IO"</formula>
    </cfRule>
    <cfRule type="expression" dxfId="12194" priority="4359">
      <formula>#REF!="L"</formula>
    </cfRule>
  </conditionalFormatting>
  <conditionalFormatting sqref="BA17">
    <cfRule type="expression" dxfId="12193" priority="4345">
      <formula>#REF!="TO"</formula>
    </cfRule>
    <cfRule type="expression" dxfId="12192" priority="4346">
      <formula>#REF!="IO"</formula>
    </cfRule>
    <cfRule type="expression" dxfId="12191" priority="4347">
      <formula>#REF!="L"</formula>
    </cfRule>
  </conditionalFormatting>
  <conditionalFormatting sqref="BA14">
    <cfRule type="expression" dxfId="12190" priority="4354">
      <formula>#REF!="TO"</formula>
    </cfRule>
    <cfRule type="expression" dxfId="12189" priority="4355">
      <formula>#REF!="IO"</formula>
    </cfRule>
    <cfRule type="expression" dxfId="12188" priority="4356">
      <formula>#REF!="L"</formula>
    </cfRule>
  </conditionalFormatting>
  <conditionalFormatting sqref="BA15">
    <cfRule type="expression" dxfId="12187" priority="4351">
      <formula>#REF!="TO"</formula>
    </cfRule>
    <cfRule type="expression" dxfId="12186" priority="4352">
      <formula>#REF!="IO"</formula>
    </cfRule>
    <cfRule type="expression" dxfId="12185" priority="4353">
      <formula>#REF!="L"</formula>
    </cfRule>
  </conditionalFormatting>
  <conditionalFormatting sqref="BA16">
    <cfRule type="expression" dxfId="12184" priority="4348">
      <formula>#REF!="TO"</formula>
    </cfRule>
    <cfRule type="expression" dxfId="12183" priority="4349">
      <formula>#REF!="IO"</formula>
    </cfRule>
    <cfRule type="expression" dxfId="12182" priority="4350">
      <formula>#REF!="L"</formula>
    </cfRule>
  </conditionalFormatting>
  <conditionalFormatting sqref="BA18">
    <cfRule type="expression" dxfId="12181" priority="4342">
      <formula>#REF!="TO"</formula>
    </cfRule>
    <cfRule type="expression" dxfId="12180" priority="4343">
      <formula>#REF!="IO"</formula>
    </cfRule>
    <cfRule type="expression" dxfId="12179" priority="4344">
      <formula>#REF!="L"</formula>
    </cfRule>
  </conditionalFormatting>
  <conditionalFormatting sqref="BA19">
    <cfRule type="expression" dxfId="12178" priority="4339">
      <formula>#REF!="TO"</formula>
    </cfRule>
    <cfRule type="expression" dxfId="12177" priority="4340">
      <formula>#REF!="IO"</formula>
    </cfRule>
    <cfRule type="expression" dxfId="12176" priority="4341">
      <formula>#REF!="L"</formula>
    </cfRule>
  </conditionalFormatting>
  <conditionalFormatting sqref="BA21">
    <cfRule type="expression" dxfId="12175" priority="4333">
      <formula>#REF!="TO"</formula>
    </cfRule>
    <cfRule type="expression" dxfId="12174" priority="4334">
      <formula>#REF!="IO"</formula>
    </cfRule>
    <cfRule type="expression" dxfId="12173" priority="4335">
      <formula>#REF!="L"</formula>
    </cfRule>
  </conditionalFormatting>
  <conditionalFormatting sqref="BA20">
    <cfRule type="expression" dxfId="12172" priority="4336">
      <formula>#REF!="TO"</formula>
    </cfRule>
    <cfRule type="expression" dxfId="12171" priority="4337">
      <formula>#REF!="IO"</formula>
    </cfRule>
    <cfRule type="expression" dxfId="12170" priority="4338">
      <formula>#REF!="L"</formula>
    </cfRule>
  </conditionalFormatting>
  <conditionalFormatting sqref="BA22">
    <cfRule type="expression" dxfId="12169" priority="4330">
      <formula>#REF!="TO"</formula>
    </cfRule>
    <cfRule type="expression" dxfId="12168" priority="4331">
      <formula>#REF!="IO"</formula>
    </cfRule>
    <cfRule type="expression" dxfId="12167" priority="4332">
      <formula>#REF!="L"</formula>
    </cfRule>
  </conditionalFormatting>
  <conditionalFormatting sqref="BA44">
    <cfRule type="expression" dxfId="12166" priority="4321">
      <formula>#REF!="TO"</formula>
    </cfRule>
    <cfRule type="expression" dxfId="12165" priority="4322">
      <formula>#REF!="IO"</formula>
    </cfRule>
    <cfRule type="expression" dxfId="12164" priority="4323">
      <formula>#REF!="L"</formula>
    </cfRule>
  </conditionalFormatting>
  <conditionalFormatting sqref="BA43">
    <cfRule type="expression" dxfId="12163" priority="4324">
      <formula>#REF!="TO"</formula>
    </cfRule>
    <cfRule type="expression" dxfId="12162" priority="4325">
      <formula>#REF!="IO"</formula>
    </cfRule>
    <cfRule type="expression" dxfId="12161" priority="4326">
      <formula>#REF!="L"</formula>
    </cfRule>
  </conditionalFormatting>
  <conditionalFormatting sqref="BA42">
    <cfRule type="expression" dxfId="12160" priority="4327">
      <formula>#REF!="TO"</formula>
    </cfRule>
    <cfRule type="expression" dxfId="12159" priority="4328">
      <formula>#REF!="IO"</formula>
    </cfRule>
    <cfRule type="expression" dxfId="12158" priority="4329">
      <formula>#REF!="L"</formula>
    </cfRule>
  </conditionalFormatting>
  <conditionalFormatting sqref="BA45">
    <cfRule type="expression" dxfId="12157" priority="4318">
      <formula>#REF!="TO"</formula>
    </cfRule>
    <cfRule type="expression" dxfId="12156" priority="4319">
      <formula>#REF!="IO"</formula>
    </cfRule>
    <cfRule type="expression" dxfId="12155" priority="4320">
      <formula>#REF!="L"</formula>
    </cfRule>
  </conditionalFormatting>
  <conditionalFormatting sqref="BA46">
    <cfRule type="expression" dxfId="12154" priority="4315">
      <formula>#REF!="TO"</formula>
    </cfRule>
    <cfRule type="expression" dxfId="12153" priority="4316">
      <formula>#REF!="IO"</formula>
    </cfRule>
    <cfRule type="expression" dxfId="12152" priority="4317">
      <formula>#REF!="L"</formula>
    </cfRule>
  </conditionalFormatting>
  <conditionalFormatting sqref="BA47">
    <cfRule type="expression" dxfId="12151" priority="4312">
      <formula>#REF!="TO"</formula>
    </cfRule>
    <cfRule type="expression" dxfId="12150" priority="4313">
      <formula>#REF!="IO"</formula>
    </cfRule>
    <cfRule type="expression" dxfId="12149" priority="4314">
      <formula>#REF!="L"</formula>
    </cfRule>
  </conditionalFormatting>
  <conditionalFormatting sqref="BA48">
    <cfRule type="expression" dxfId="12148" priority="4309">
      <formula>#REF!="TO"</formula>
    </cfRule>
    <cfRule type="expression" dxfId="12147" priority="4310">
      <formula>#REF!="IO"</formula>
    </cfRule>
    <cfRule type="expression" dxfId="12146" priority="4311">
      <formula>#REF!="L"</formula>
    </cfRule>
  </conditionalFormatting>
  <conditionalFormatting sqref="BA49">
    <cfRule type="expression" dxfId="12145" priority="4306">
      <formula>#REF!="TO"</formula>
    </cfRule>
    <cfRule type="expression" dxfId="12144" priority="4307">
      <formula>#REF!="IO"</formula>
    </cfRule>
    <cfRule type="expression" dxfId="12143" priority="4308">
      <formula>#REF!="L"</formula>
    </cfRule>
  </conditionalFormatting>
  <conditionalFormatting sqref="BA50">
    <cfRule type="expression" dxfId="12142" priority="4303">
      <formula>#REF!="TO"</formula>
    </cfRule>
    <cfRule type="expression" dxfId="12141" priority="4304">
      <formula>#REF!="IO"</formula>
    </cfRule>
    <cfRule type="expression" dxfId="12140" priority="4305">
      <formula>#REF!="L"</formula>
    </cfRule>
  </conditionalFormatting>
  <conditionalFormatting sqref="BA51:BA86">
    <cfRule type="expression" dxfId="12139" priority="4300">
      <formula>#REF!="TO"</formula>
    </cfRule>
    <cfRule type="expression" dxfId="12138" priority="4301">
      <formula>#REF!="IO"</formula>
    </cfRule>
    <cfRule type="expression" dxfId="12137" priority="4302">
      <formula>#REF!="L"</formula>
    </cfRule>
  </conditionalFormatting>
  <conditionalFormatting sqref="AW50:AZ50">
    <cfRule type="expression" dxfId="12136" priority="4216">
      <formula>#REF!="TO"</formula>
    </cfRule>
    <cfRule type="expression" dxfId="12135" priority="4217">
      <formula>#REF!="IO"</formula>
    </cfRule>
    <cfRule type="expression" dxfId="12134" priority="4218">
      <formula>#REF!="L"</formula>
    </cfRule>
  </conditionalFormatting>
  <conditionalFormatting sqref="AW28:AZ29">
    <cfRule type="expression" dxfId="12133" priority="4207">
      <formula>#REF!="TO"</formula>
    </cfRule>
    <cfRule type="expression" dxfId="12132" priority="4208">
      <formula>#REF!="IO"</formula>
    </cfRule>
    <cfRule type="expression" dxfId="12131" priority="4209">
      <formula>#REF!="L"</formula>
    </cfRule>
    <cfRule type="expression" dxfId="12130" priority="4204">
      <formula>#REF!="TO"</formula>
    </cfRule>
    <cfRule type="expression" dxfId="12129" priority="4205">
      <formula>#REF!="IO"</formula>
    </cfRule>
    <cfRule type="expression" dxfId="12128" priority="4206">
      <formula>#REF!="L"</formula>
    </cfRule>
  </conditionalFormatting>
  <conditionalFormatting sqref="BC38:BC41 BC23:BC29">
    <cfRule type="expression" dxfId="12127" priority="4198">
      <formula>#REF!="TO"</formula>
    </cfRule>
    <cfRule type="expression" dxfId="12126" priority="4199">
      <formula>#REF!="IO"</formula>
    </cfRule>
    <cfRule type="expression" dxfId="12125" priority="4200">
      <formula>#REF!="L"</formula>
    </cfRule>
  </conditionalFormatting>
  <conditionalFormatting sqref="BB5">
    <cfRule type="expression" dxfId="12124" priority="4195">
      <formula>#REF!="TO"</formula>
    </cfRule>
    <cfRule type="expression" dxfId="12123" priority="4196">
      <formula>#REF!="IO"</formula>
    </cfRule>
    <cfRule type="expression" dxfId="12122" priority="4197">
      <formula>#REF!="L"</formula>
    </cfRule>
    <cfRule type="expression" dxfId="12121" priority="4192">
      <formula>#REF!="TO"</formula>
    </cfRule>
    <cfRule type="expression" dxfId="12120" priority="4193">
      <formula>#REF!="IO"</formula>
    </cfRule>
    <cfRule type="expression" dxfId="12119" priority="4194">
      <formula>#REF!="L"</formula>
    </cfRule>
  </conditionalFormatting>
  <conditionalFormatting sqref="BC5">
    <cfRule type="expression" dxfId="12118" priority="4189">
      <formula>#REF!="TO"</formula>
    </cfRule>
    <cfRule type="expression" dxfId="12117" priority="4190">
      <formula>#REF!="IO"</formula>
    </cfRule>
    <cfRule type="expression" dxfId="12116" priority="4191">
      <formula>#REF!="L"</formula>
    </cfRule>
  </conditionalFormatting>
  <conditionalFormatting sqref="BB6">
    <cfRule type="expression" dxfId="12115" priority="4186">
      <formula>#REF!="TO"</formula>
    </cfRule>
    <cfRule type="expression" dxfId="12114" priority="4187">
      <formula>#REF!="IO"</formula>
    </cfRule>
    <cfRule type="expression" dxfId="12113" priority="4188">
      <formula>#REF!="L"</formula>
    </cfRule>
    <cfRule type="expression" dxfId="12112" priority="4183">
      <formula>#REF!="TO"</formula>
    </cfRule>
    <cfRule type="expression" dxfId="12111" priority="4184">
      <formula>#REF!="IO"</formula>
    </cfRule>
    <cfRule type="expression" dxfId="12110" priority="4185">
      <formula>#REF!="L"</formula>
    </cfRule>
  </conditionalFormatting>
  <conditionalFormatting sqref="BB8">
    <cfRule type="expression" dxfId="12109" priority="4174">
      <formula>#REF!="TO"</formula>
    </cfRule>
    <cfRule type="expression" dxfId="12108" priority="4175">
      <formula>#REF!="IO"</formula>
    </cfRule>
    <cfRule type="expression" dxfId="12107" priority="4176">
      <formula>#REF!="L"</formula>
    </cfRule>
    <cfRule type="expression" dxfId="12106" priority="4171">
      <formula>#REF!="TO"</formula>
    </cfRule>
    <cfRule type="expression" dxfId="12105" priority="4172">
      <formula>#REF!="IO"</formula>
    </cfRule>
    <cfRule type="expression" dxfId="12104" priority="4173">
      <formula>#REF!="L"</formula>
    </cfRule>
  </conditionalFormatting>
  <conditionalFormatting sqref="BB7">
    <cfRule type="expression" dxfId="12103" priority="4180">
      <formula>#REF!="TO"</formula>
    </cfRule>
    <cfRule type="expression" dxfId="12102" priority="4181">
      <formula>#REF!="IO"</formula>
    </cfRule>
    <cfRule type="expression" dxfId="12101" priority="4182">
      <formula>#REF!="L"</formula>
    </cfRule>
    <cfRule type="expression" dxfId="12100" priority="4177">
      <formula>#REF!="TO"</formula>
    </cfRule>
    <cfRule type="expression" dxfId="12099" priority="4178">
      <formula>#REF!="IO"</formula>
    </cfRule>
    <cfRule type="expression" dxfId="12098" priority="4179">
      <formula>#REF!="L"</formula>
    </cfRule>
  </conditionalFormatting>
  <conditionalFormatting sqref="BC8">
    <cfRule type="expression" dxfId="12097" priority="4168">
      <formula>#REF!="TO"</formula>
    </cfRule>
    <cfRule type="expression" dxfId="12096" priority="4169">
      <formula>#REF!="IO"</formula>
    </cfRule>
    <cfRule type="expression" dxfId="12095" priority="4170">
      <formula>#REF!="L"</formula>
    </cfRule>
  </conditionalFormatting>
  <conditionalFormatting sqref="BB9:BB12">
    <cfRule type="expression" dxfId="12094" priority="4165">
      <formula>#REF!="TO"</formula>
    </cfRule>
    <cfRule type="expression" dxfId="12093" priority="4166">
      <formula>#REF!="IO"</formula>
    </cfRule>
    <cfRule type="expression" dxfId="12092" priority="4167">
      <formula>#REF!="L"</formula>
    </cfRule>
    <cfRule type="expression" dxfId="12091" priority="4162">
      <formula>#REF!="TO"</formula>
    </cfRule>
    <cfRule type="expression" dxfId="12090" priority="4163">
      <formula>#REF!="IO"</formula>
    </cfRule>
    <cfRule type="expression" dxfId="12089" priority="4164">
      <formula>#REF!="L"</formula>
    </cfRule>
  </conditionalFormatting>
  <conditionalFormatting sqref="BC9:BC12">
    <cfRule type="expression" dxfId="12088" priority="4159">
      <formula>#REF!="TO"</formula>
    </cfRule>
    <cfRule type="expression" dxfId="12087" priority="4160">
      <formula>#REF!="IO"</formula>
    </cfRule>
    <cfRule type="expression" dxfId="12086" priority="4161">
      <formula>#REF!="L"</formula>
    </cfRule>
  </conditionalFormatting>
  <conditionalFormatting sqref="BB13">
    <cfRule type="expression" dxfId="12085" priority="4156">
      <formula>#REF!="TO"</formula>
    </cfRule>
    <cfRule type="expression" dxfId="12084" priority="4157">
      <formula>#REF!="IO"</formula>
    </cfRule>
    <cfRule type="expression" dxfId="12083" priority="4158">
      <formula>#REF!="L"</formula>
    </cfRule>
    <cfRule type="expression" dxfId="12082" priority="4153">
      <formula>#REF!="TO"</formula>
    </cfRule>
    <cfRule type="expression" dxfId="12081" priority="4154">
      <formula>#REF!="IO"</formula>
    </cfRule>
    <cfRule type="expression" dxfId="12080" priority="4155">
      <formula>#REF!="L"</formula>
    </cfRule>
  </conditionalFormatting>
  <conditionalFormatting sqref="BC13">
    <cfRule type="expression" dxfId="12079" priority="4150">
      <formula>#REF!="TO"</formula>
    </cfRule>
    <cfRule type="expression" dxfId="12078" priority="4151">
      <formula>#REF!="IO"</formula>
    </cfRule>
    <cfRule type="expression" dxfId="12077" priority="4152">
      <formula>#REF!="L"</formula>
    </cfRule>
  </conditionalFormatting>
  <conditionalFormatting sqref="BB14">
    <cfRule type="expression" dxfId="12076" priority="4147">
      <formula>#REF!="TO"</formula>
    </cfRule>
    <cfRule type="expression" dxfId="12075" priority="4148">
      <formula>#REF!="IO"</formula>
    </cfRule>
    <cfRule type="expression" dxfId="12074" priority="4149">
      <formula>#REF!="L"</formula>
    </cfRule>
    <cfRule type="expression" dxfId="12073" priority="4144">
      <formula>#REF!="TO"</formula>
    </cfRule>
    <cfRule type="expression" dxfId="12072" priority="4145">
      <formula>#REF!="IO"</formula>
    </cfRule>
    <cfRule type="expression" dxfId="12071" priority="4146">
      <formula>#REF!="L"</formula>
    </cfRule>
  </conditionalFormatting>
  <conditionalFormatting sqref="BC14">
    <cfRule type="expression" dxfId="12070" priority="4141">
      <formula>#REF!="TO"</formula>
    </cfRule>
    <cfRule type="expression" dxfId="12069" priority="4142">
      <formula>#REF!="IO"</formula>
    </cfRule>
    <cfRule type="expression" dxfId="12068" priority="4143">
      <formula>#REF!="L"</formula>
    </cfRule>
  </conditionalFormatting>
  <conditionalFormatting sqref="BB15">
    <cfRule type="expression" dxfId="12067" priority="4138">
      <formula>#REF!="TO"</formula>
    </cfRule>
    <cfRule type="expression" dxfId="12066" priority="4139">
      <formula>#REF!="IO"</formula>
    </cfRule>
    <cfRule type="expression" dxfId="12065" priority="4140">
      <formula>#REF!="L"</formula>
    </cfRule>
    <cfRule type="expression" dxfId="12064" priority="4135">
      <formula>#REF!="TO"</formula>
    </cfRule>
    <cfRule type="expression" dxfId="12063" priority="4136">
      <formula>#REF!="IO"</formula>
    </cfRule>
    <cfRule type="expression" dxfId="12062" priority="4137">
      <formula>#REF!="L"</formula>
    </cfRule>
  </conditionalFormatting>
  <conditionalFormatting sqref="J15">
    <cfRule type="expression" dxfId="12061" priority="3991">
      <formula>#REF!="TO"</formula>
    </cfRule>
    <cfRule type="expression" dxfId="12060" priority="3992">
      <formula>#REF!="IO"</formula>
    </cfRule>
    <cfRule type="expression" dxfId="12059" priority="3993">
      <formula>#REF!="L"</formula>
    </cfRule>
  </conditionalFormatting>
  <conditionalFormatting sqref="BA28:BA29">
    <cfRule type="expression" dxfId="12058" priority="4294">
      <formula>#REF!="TO"</formula>
    </cfRule>
    <cfRule type="expression" dxfId="12057" priority="4295">
      <formula>#REF!="IO"</formula>
    </cfRule>
    <cfRule type="expression" dxfId="12056" priority="4296">
      <formula>#REF!="L"</formula>
    </cfRule>
  </conditionalFormatting>
  <conditionalFormatting sqref="AW38:AZ41 AW23:AZ29">
    <cfRule type="expression" dxfId="12055" priority="4288">
      <formula>#REF!="TO"</formula>
    </cfRule>
    <cfRule type="expression" dxfId="12054" priority="4289">
      <formula>#REF!="IO"</formula>
    </cfRule>
    <cfRule type="expression" dxfId="12053" priority="4290">
      <formula>#REF!="L"</formula>
    </cfRule>
  </conditionalFormatting>
  <conditionalFormatting sqref="AW5:AZ5">
    <cfRule type="expression" dxfId="12052" priority="4285">
      <formula>#REF!="TO"</formula>
    </cfRule>
    <cfRule type="expression" dxfId="12051" priority="4286">
      <formula>#REF!="IO"</formula>
    </cfRule>
    <cfRule type="expression" dxfId="12050" priority="4287">
      <formula>#REF!="L"</formula>
    </cfRule>
  </conditionalFormatting>
  <conditionalFormatting sqref="AW6:AZ6">
    <cfRule type="expression" dxfId="12049" priority="4282">
      <formula>#REF!="TO"</formula>
    </cfRule>
    <cfRule type="expression" dxfId="12048" priority="4283">
      <formula>#REF!="IO"</formula>
    </cfRule>
    <cfRule type="expression" dxfId="12047" priority="4284">
      <formula>#REF!="L"</formula>
    </cfRule>
  </conditionalFormatting>
  <conditionalFormatting sqref="AW7:AZ7">
    <cfRule type="expression" dxfId="12046" priority="4279">
      <formula>#REF!="TO"</formula>
    </cfRule>
    <cfRule type="expression" dxfId="12045" priority="4280">
      <formula>#REF!="IO"</formula>
    </cfRule>
    <cfRule type="expression" dxfId="12044" priority="4281">
      <formula>#REF!="L"</formula>
    </cfRule>
  </conditionalFormatting>
  <conditionalFormatting sqref="AW8:AZ8">
    <cfRule type="expression" dxfId="12043" priority="4276">
      <formula>#REF!="TO"</formula>
    </cfRule>
    <cfRule type="expression" dxfId="12042" priority="4277">
      <formula>#REF!="IO"</formula>
    </cfRule>
    <cfRule type="expression" dxfId="12041" priority="4278">
      <formula>#REF!="L"</formula>
    </cfRule>
  </conditionalFormatting>
  <conditionalFormatting sqref="AW9:AZ12">
    <cfRule type="expression" dxfId="12040" priority="4273">
      <formula>#REF!="TO"</formula>
    </cfRule>
    <cfRule type="expression" dxfId="12039" priority="4274">
      <formula>#REF!="IO"</formula>
    </cfRule>
    <cfRule type="expression" dxfId="12038" priority="4275">
      <formula>#REF!="L"</formula>
    </cfRule>
  </conditionalFormatting>
  <conditionalFormatting sqref="AW13:AZ13">
    <cfRule type="expression" dxfId="12037" priority="4270">
      <formula>#REF!="TO"</formula>
    </cfRule>
    <cfRule type="expression" dxfId="12036" priority="4271">
      <formula>#REF!="IO"</formula>
    </cfRule>
    <cfRule type="expression" dxfId="12035" priority="4272">
      <formula>#REF!="L"</formula>
    </cfRule>
  </conditionalFormatting>
  <conditionalFormatting sqref="AW14:AZ14">
    <cfRule type="expression" dxfId="12034" priority="4267">
      <formula>#REF!="TO"</formula>
    </cfRule>
    <cfRule type="expression" dxfId="12033" priority="4268">
      <formula>#REF!="IO"</formula>
    </cfRule>
    <cfRule type="expression" dxfId="12032" priority="4269">
      <formula>#REF!="L"</formula>
    </cfRule>
  </conditionalFormatting>
  <conditionalFormatting sqref="AW15:AZ15">
    <cfRule type="expression" dxfId="12031" priority="4264">
      <formula>#REF!="TO"</formula>
    </cfRule>
    <cfRule type="expression" dxfId="12030" priority="4265">
      <formula>#REF!="IO"</formula>
    </cfRule>
    <cfRule type="expression" dxfId="12029" priority="4266">
      <formula>#REF!="L"</formula>
    </cfRule>
  </conditionalFormatting>
  <conditionalFormatting sqref="AW16:AZ16">
    <cfRule type="expression" dxfId="12028" priority="4261">
      <formula>#REF!="TO"</formula>
    </cfRule>
    <cfRule type="expression" dxfId="12027" priority="4262">
      <formula>#REF!="IO"</formula>
    </cfRule>
    <cfRule type="expression" dxfId="12026" priority="4263">
      <formula>#REF!="L"</formula>
    </cfRule>
  </conditionalFormatting>
  <conditionalFormatting sqref="AW20:AZ20">
    <cfRule type="expression" dxfId="12025" priority="4249">
      <formula>#REF!="TO"</formula>
    </cfRule>
    <cfRule type="expression" dxfId="12024" priority="4250">
      <formula>#REF!="IO"</formula>
    </cfRule>
    <cfRule type="expression" dxfId="12023" priority="4251">
      <formula>#REF!="L"</formula>
    </cfRule>
  </conditionalFormatting>
  <conditionalFormatting sqref="AW17:AZ17">
    <cfRule type="expression" dxfId="12022" priority="4258">
      <formula>#REF!="TO"</formula>
    </cfRule>
    <cfRule type="expression" dxfId="12021" priority="4259">
      <formula>#REF!="IO"</formula>
    </cfRule>
    <cfRule type="expression" dxfId="12020" priority="4260">
      <formula>#REF!="L"</formula>
    </cfRule>
  </conditionalFormatting>
  <conditionalFormatting sqref="AW18:AZ18">
    <cfRule type="expression" dxfId="12019" priority="4255">
      <formula>#REF!="TO"</formula>
    </cfRule>
    <cfRule type="expression" dxfId="12018" priority="4256">
      <formula>#REF!="IO"</formula>
    </cfRule>
    <cfRule type="expression" dxfId="12017" priority="4257">
      <formula>#REF!="L"</formula>
    </cfRule>
  </conditionalFormatting>
  <conditionalFormatting sqref="AW19:AZ19">
    <cfRule type="expression" dxfId="12016" priority="4252">
      <formula>#REF!="TO"</formula>
    </cfRule>
    <cfRule type="expression" dxfId="12015" priority="4253">
      <formula>#REF!="IO"</formula>
    </cfRule>
    <cfRule type="expression" dxfId="12014" priority="4254">
      <formula>#REF!="L"</formula>
    </cfRule>
  </conditionalFormatting>
  <conditionalFormatting sqref="AW21:AZ21">
    <cfRule type="expression" dxfId="12013" priority="4246">
      <formula>#REF!="TO"</formula>
    </cfRule>
    <cfRule type="expression" dxfId="12012" priority="4247">
      <formula>#REF!="IO"</formula>
    </cfRule>
    <cfRule type="expression" dxfId="12011" priority="4248">
      <formula>#REF!="L"</formula>
    </cfRule>
  </conditionalFormatting>
  <conditionalFormatting sqref="AW22:AZ22">
    <cfRule type="expression" dxfId="12010" priority="4243">
      <formula>#REF!="TO"</formula>
    </cfRule>
    <cfRule type="expression" dxfId="12009" priority="4244">
      <formula>#REF!="IO"</formula>
    </cfRule>
    <cfRule type="expression" dxfId="12008" priority="4245">
      <formula>#REF!="L"</formula>
    </cfRule>
  </conditionalFormatting>
  <conditionalFormatting sqref="AW42:AZ42">
    <cfRule type="expression" dxfId="12007" priority="4240">
      <formula>#REF!="TO"</formula>
    </cfRule>
    <cfRule type="expression" dxfId="12006" priority="4241">
      <formula>#REF!="IO"</formula>
    </cfRule>
    <cfRule type="expression" dxfId="12005" priority="4242">
      <formula>#REF!="L"</formula>
    </cfRule>
  </conditionalFormatting>
  <conditionalFormatting sqref="AW43:AZ43">
    <cfRule type="expression" dxfId="12004" priority="4237">
      <formula>#REF!="TO"</formula>
    </cfRule>
    <cfRule type="expression" dxfId="12003" priority="4238">
      <formula>#REF!="IO"</formula>
    </cfRule>
    <cfRule type="expression" dxfId="12002" priority="4239">
      <formula>#REF!="L"</formula>
    </cfRule>
  </conditionalFormatting>
  <conditionalFormatting sqref="AW44:AZ44">
    <cfRule type="expression" dxfId="12001" priority="4234">
      <formula>#REF!="TO"</formula>
    </cfRule>
    <cfRule type="expression" dxfId="12000" priority="4235">
      <formula>#REF!="IO"</formula>
    </cfRule>
    <cfRule type="expression" dxfId="11999" priority="4236">
      <formula>#REF!="L"</formula>
    </cfRule>
  </conditionalFormatting>
  <conditionalFormatting sqref="AW45:AZ45">
    <cfRule type="expression" dxfId="11998" priority="4231">
      <formula>#REF!="TO"</formula>
    </cfRule>
    <cfRule type="expression" dxfId="11997" priority="4232">
      <formula>#REF!="IO"</formula>
    </cfRule>
    <cfRule type="expression" dxfId="11996" priority="4233">
      <formula>#REF!="L"</formula>
    </cfRule>
  </conditionalFormatting>
  <conditionalFormatting sqref="AW46:AZ46">
    <cfRule type="expression" dxfId="11995" priority="4228">
      <formula>#REF!="TO"</formula>
    </cfRule>
    <cfRule type="expression" dxfId="11994" priority="4229">
      <formula>#REF!="IO"</formula>
    </cfRule>
    <cfRule type="expression" dxfId="11993" priority="4230">
      <formula>#REF!="L"</formula>
    </cfRule>
  </conditionalFormatting>
  <conditionalFormatting sqref="AW48:AZ48">
    <cfRule type="expression" dxfId="11992" priority="4222">
      <formula>#REF!="TO"</formula>
    </cfRule>
    <cfRule type="expression" dxfId="11991" priority="4223">
      <formula>#REF!="IO"</formula>
    </cfRule>
    <cfRule type="expression" dxfId="11990" priority="4224">
      <formula>#REF!="L"</formula>
    </cfRule>
  </conditionalFormatting>
  <conditionalFormatting sqref="G43 I43">
    <cfRule type="expression" dxfId="11989" priority="3904">
      <formula>#REF!="TO"</formula>
    </cfRule>
    <cfRule type="expression" dxfId="11988" priority="3905">
      <formula>#REF!="IO"</formula>
    </cfRule>
    <cfRule type="expression" dxfId="11987" priority="3906">
      <formula>#REF!="L"</formula>
    </cfRule>
  </conditionalFormatting>
  <conditionalFormatting sqref="BC15">
    <cfRule type="expression" dxfId="11986" priority="4132">
      <formula>#REF!="TO"</formula>
    </cfRule>
    <cfRule type="expression" dxfId="11985" priority="4133">
      <formula>#REF!="IO"</formula>
    </cfRule>
    <cfRule type="expression" dxfId="11984" priority="4134">
      <formula>#REF!="L"</formula>
    </cfRule>
  </conditionalFormatting>
  <conditionalFormatting sqref="BB16">
    <cfRule type="expression" dxfId="11983" priority="4126">
      <formula>#REF!="TO"</formula>
    </cfRule>
    <cfRule type="expression" dxfId="11982" priority="4127">
      <formula>#REF!="IO"</formula>
    </cfRule>
    <cfRule type="expression" dxfId="11981" priority="4128">
      <formula>#REF!="L"</formula>
    </cfRule>
    <cfRule type="expression" dxfId="11980" priority="4129">
      <formula>#REF!="TO"</formula>
    </cfRule>
    <cfRule type="expression" dxfId="11979" priority="4130">
      <formula>#REF!="IO"</formula>
    </cfRule>
    <cfRule type="expression" dxfId="11978" priority="4131">
      <formula>#REF!="L"</formula>
    </cfRule>
  </conditionalFormatting>
  <conditionalFormatting sqref="BC16">
    <cfRule type="expression" dxfId="11977" priority="4123">
      <formula>#REF!="TO"</formula>
    </cfRule>
    <cfRule type="expression" dxfId="11976" priority="4124">
      <formula>#REF!="IO"</formula>
    </cfRule>
    <cfRule type="expression" dxfId="11975" priority="4125">
      <formula>#REF!="L"</formula>
    </cfRule>
  </conditionalFormatting>
  <conditionalFormatting sqref="BC19">
    <cfRule type="expression" dxfId="11974" priority="4096">
      <formula>#REF!="TO"</formula>
    </cfRule>
    <cfRule type="expression" dxfId="11973" priority="4097">
      <formula>#REF!="IO"</formula>
    </cfRule>
    <cfRule type="expression" dxfId="11972" priority="4098">
      <formula>#REF!="L"</formula>
    </cfRule>
  </conditionalFormatting>
  <conditionalFormatting sqref="BB20">
    <cfRule type="expression" dxfId="11971" priority="4090">
      <formula>#REF!="TO"</formula>
    </cfRule>
    <cfRule type="expression" dxfId="11970" priority="4091">
      <formula>#REF!="IO"</formula>
    </cfRule>
    <cfRule type="expression" dxfId="11969" priority="4092">
      <formula>#REF!="L"</formula>
    </cfRule>
    <cfRule type="expression" dxfId="11968" priority="4093">
      <formula>#REF!="TO"</formula>
    </cfRule>
    <cfRule type="expression" dxfId="11967" priority="4094">
      <formula>#REF!="IO"</formula>
    </cfRule>
    <cfRule type="expression" dxfId="11966" priority="4095">
      <formula>#REF!="L"</formula>
    </cfRule>
  </conditionalFormatting>
  <conditionalFormatting sqref="BB17">
    <cfRule type="expression" dxfId="11965" priority="4120">
      <formula>#REF!="TO"</formula>
    </cfRule>
    <cfRule type="expression" dxfId="11964" priority="4121">
      <formula>#REF!="IO"</formula>
    </cfRule>
    <cfRule type="expression" dxfId="11963" priority="4122">
      <formula>#REF!="L"</formula>
    </cfRule>
    <cfRule type="expression" dxfId="11962" priority="4117">
      <formula>#REF!="TO"</formula>
    </cfRule>
    <cfRule type="expression" dxfId="11961" priority="4118">
      <formula>#REF!="IO"</formula>
    </cfRule>
    <cfRule type="expression" dxfId="11960" priority="4119">
      <formula>#REF!="L"</formula>
    </cfRule>
  </conditionalFormatting>
  <conditionalFormatting sqref="BC17">
    <cfRule type="expression" dxfId="11959" priority="4114">
      <formula>#REF!="TO"</formula>
    </cfRule>
    <cfRule type="expression" dxfId="11958" priority="4115">
      <formula>#REF!="IO"</formula>
    </cfRule>
    <cfRule type="expression" dxfId="11957" priority="4116">
      <formula>#REF!="L"</formula>
    </cfRule>
  </conditionalFormatting>
  <conditionalFormatting sqref="BB18">
    <cfRule type="expression" dxfId="11956" priority="4108">
      <formula>#REF!="TO"</formula>
    </cfRule>
    <cfRule type="expression" dxfId="11955" priority="4109">
      <formula>#REF!="IO"</formula>
    </cfRule>
    <cfRule type="expression" dxfId="11954" priority="4110">
      <formula>#REF!="L"</formula>
    </cfRule>
    <cfRule type="expression" dxfId="11953" priority="4111">
      <formula>#REF!="TO"</formula>
    </cfRule>
    <cfRule type="expression" dxfId="11952" priority="4112">
      <formula>#REF!="IO"</formula>
    </cfRule>
    <cfRule type="expression" dxfId="11951" priority="4113">
      <formula>#REF!="L"</formula>
    </cfRule>
  </conditionalFormatting>
  <conditionalFormatting sqref="BC18">
    <cfRule type="expression" dxfId="11950" priority="4105">
      <formula>#REF!="TO"</formula>
    </cfRule>
    <cfRule type="expression" dxfId="11949" priority="4106">
      <formula>#REF!="IO"</formula>
    </cfRule>
    <cfRule type="expression" dxfId="11948" priority="4107">
      <formula>#REF!="L"</formula>
    </cfRule>
  </conditionalFormatting>
  <conditionalFormatting sqref="BB19">
    <cfRule type="expression" dxfId="11947" priority="4099">
      <formula>#REF!="TO"</formula>
    </cfRule>
    <cfRule type="expression" dxfId="11946" priority="4100">
      <formula>#REF!="IO"</formula>
    </cfRule>
    <cfRule type="expression" dxfId="11945" priority="4101">
      <formula>#REF!="L"</formula>
    </cfRule>
    <cfRule type="expression" dxfId="11944" priority="4102">
      <formula>#REF!="TO"</formula>
    </cfRule>
    <cfRule type="expression" dxfId="11943" priority="4103">
      <formula>#REF!="IO"</formula>
    </cfRule>
    <cfRule type="expression" dxfId="11942" priority="4104">
      <formula>#REF!="L"</formula>
    </cfRule>
  </conditionalFormatting>
  <conditionalFormatting sqref="BC20">
    <cfRule type="expression" dxfId="11941" priority="4087">
      <formula>#REF!="TO"</formula>
    </cfRule>
    <cfRule type="expression" dxfId="11940" priority="4088">
      <formula>#REF!="IO"</formula>
    </cfRule>
    <cfRule type="expression" dxfId="11939" priority="4089">
      <formula>#REF!="L"</formula>
    </cfRule>
  </conditionalFormatting>
  <conditionalFormatting sqref="BB21">
    <cfRule type="expression" dxfId="11938" priority="4081">
      <formula>#REF!="TO"</formula>
    </cfRule>
    <cfRule type="expression" dxfId="11937" priority="4082">
      <formula>#REF!="IO"</formula>
    </cfRule>
    <cfRule type="expression" dxfId="11936" priority="4083">
      <formula>#REF!="L"</formula>
    </cfRule>
    <cfRule type="expression" dxfId="11935" priority="4084">
      <formula>#REF!="TO"</formula>
    </cfRule>
    <cfRule type="expression" dxfId="11934" priority="4085">
      <formula>#REF!="IO"</formula>
    </cfRule>
    <cfRule type="expression" dxfId="11933" priority="4086">
      <formula>#REF!="L"</formula>
    </cfRule>
  </conditionalFormatting>
  <conditionalFormatting sqref="BC21">
    <cfRule type="expression" dxfId="11932" priority="4078">
      <formula>#REF!="TO"</formula>
    </cfRule>
    <cfRule type="expression" dxfId="11931" priority="4079">
      <formula>#REF!="IO"</formula>
    </cfRule>
    <cfRule type="expression" dxfId="11930" priority="4080">
      <formula>#REF!="L"</formula>
    </cfRule>
  </conditionalFormatting>
  <conditionalFormatting sqref="BB22">
    <cfRule type="expression" dxfId="11929" priority="4072">
      <formula>#REF!="TO"</formula>
    </cfRule>
    <cfRule type="expression" dxfId="11928" priority="4073">
      <formula>#REF!="IO"</formula>
    </cfRule>
    <cfRule type="expression" dxfId="11927" priority="4074">
      <formula>#REF!="L"</formula>
    </cfRule>
    <cfRule type="expression" dxfId="11926" priority="4075">
      <formula>#REF!="TO"</formula>
    </cfRule>
    <cfRule type="expression" dxfId="11925" priority="4076">
      <formula>#REF!="IO"</formula>
    </cfRule>
    <cfRule type="expression" dxfId="11924" priority="4077">
      <formula>#REF!="L"</formula>
    </cfRule>
  </conditionalFormatting>
  <conditionalFormatting sqref="BC22">
    <cfRule type="expression" dxfId="11923" priority="4069">
      <formula>#REF!="TO"</formula>
    </cfRule>
    <cfRule type="expression" dxfId="11922" priority="4070">
      <formula>#REF!="IO"</formula>
    </cfRule>
    <cfRule type="expression" dxfId="11921" priority="4071">
      <formula>#REF!="L"</formula>
    </cfRule>
  </conditionalFormatting>
  <conditionalFormatting sqref="BC42">
    <cfRule type="expression" dxfId="11920" priority="4066">
      <formula>#REF!="TO"</formula>
    </cfRule>
    <cfRule type="expression" dxfId="11919" priority="4067">
      <formula>#REF!="IO"</formula>
    </cfRule>
    <cfRule type="expression" dxfId="11918" priority="4068">
      <formula>#REF!="L"</formula>
    </cfRule>
  </conditionalFormatting>
  <conditionalFormatting sqref="BC43">
    <cfRule type="expression" dxfId="11917" priority="4063">
      <formula>#REF!="TO"</formula>
    </cfRule>
    <cfRule type="expression" dxfId="11916" priority="4064">
      <formula>#REF!="IO"</formula>
    </cfRule>
    <cfRule type="expression" dxfId="11915" priority="4065">
      <formula>#REF!="L"</formula>
    </cfRule>
  </conditionalFormatting>
  <conditionalFormatting sqref="BC44">
    <cfRule type="expression" dxfId="11914" priority="4060">
      <formula>#REF!="TO"</formula>
    </cfRule>
    <cfRule type="expression" dxfId="11913" priority="4061">
      <formula>#REF!="IO"</formula>
    </cfRule>
    <cfRule type="expression" dxfId="11912" priority="4062">
      <formula>#REF!="L"</formula>
    </cfRule>
  </conditionalFormatting>
  <conditionalFormatting sqref="BC45">
    <cfRule type="expression" dxfId="11911" priority="4057">
      <formula>#REF!="TO"</formula>
    </cfRule>
    <cfRule type="expression" dxfId="11910" priority="4058">
      <formula>#REF!="IO"</formula>
    </cfRule>
    <cfRule type="expression" dxfId="11909" priority="4059">
      <formula>#REF!="L"</formula>
    </cfRule>
  </conditionalFormatting>
  <conditionalFormatting sqref="BC46">
    <cfRule type="expression" dxfId="11908" priority="4054">
      <formula>#REF!="TO"</formula>
    </cfRule>
    <cfRule type="expression" dxfId="11907" priority="4055">
      <formula>#REF!="IO"</formula>
    </cfRule>
    <cfRule type="expression" dxfId="11906" priority="4056">
      <formula>#REF!="L"</formula>
    </cfRule>
  </conditionalFormatting>
  <conditionalFormatting sqref="BC47">
    <cfRule type="expression" dxfId="11905" priority="4051">
      <formula>#REF!="TO"</formula>
    </cfRule>
    <cfRule type="expression" dxfId="11904" priority="4052">
      <formula>#REF!="IO"</formula>
    </cfRule>
    <cfRule type="expression" dxfId="11903" priority="4053">
      <formula>#REF!="L"</formula>
    </cfRule>
  </conditionalFormatting>
  <conditionalFormatting sqref="BC6">
    <cfRule type="expression" dxfId="11902" priority="4039">
      <formula>#REF!="TO"</formula>
    </cfRule>
    <cfRule type="expression" dxfId="11901" priority="4040">
      <formula>#REF!="IO"</formula>
    </cfRule>
    <cfRule type="expression" dxfId="11900" priority="4041">
      <formula>#REF!="L"</formula>
    </cfRule>
  </conditionalFormatting>
  <conditionalFormatting sqref="BC48">
    <cfRule type="expression" dxfId="11899" priority="4048">
      <formula>#REF!="TO"</formula>
    </cfRule>
    <cfRule type="expression" dxfId="11898" priority="4049">
      <formula>#REF!="IO"</formula>
    </cfRule>
    <cfRule type="expression" dxfId="11897" priority="4050">
      <formula>#REF!="L"</formula>
    </cfRule>
  </conditionalFormatting>
  <conditionalFormatting sqref="BC49">
    <cfRule type="expression" dxfId="11896" priority="4045">
      <formula>#REF!="TO"</formula>
    </cfRule>
    <cfRule type="expression" dxfId="11895" priority="4046">
      <formula>#REF!="IO"</formula>
    </cfRule>
    <cfRule type="expression" dxfId="11894" priority="4047">
      <formula>#REF!="L"</formula>
    </cfRule>
  </conditionalFormatting>
  <conditionalFormatting sqref="BC50">
    <cfRule type="expression" dxfId="11893" priority="4042">
      <formula>#REF!="TO"</formula>
    </cfRule>
    <cfRule type="expression" dxfId="11892" priority="4043">
      <formula>#REF!="IO"</formula>
    </cfRule>
    <cfRule type="expression" dxfId="11891" priority="4044">
      <formula>#REF!="L"</formula>
    </cfRule>
  </conditionalFormatting>
  <conditionalFormatting sqref="BC7">
    <cfRule type="expression" dxfId="11890" priority="4036">
      <formula>#REF!="TO"</formula>
    </cfRule>
    <cfRule type="expression" dxfId="11889" priority="4037">
      <formula>#REF!="IO"</formula>
    </cfRule>
    <cfRule type="expression" dxfId="11888" priority="4038">
      <formula>#REF!="L"</formula>
    </cfRule>
  </conditionalFormatting>
  <conditionalFormatting sqref="BC51:BC86">
    <cfRule type="expression" dxfId="11887" priority="4033">
      <formula>#REF!="TO"</formula>
    </cfRule>
    <cfRule type="expression" dxfId="11886" priority="4034">
      <formula>#REF!="IO"</formula>
    </cfRule>
    <cfRule type="expression" dxfId="11885" priority="4035">
      <formula>#REF!="L"</formula>
    </cfRule>
  </conditionalFormatting>
  <conditionalFormatting sqref="H18">
    <cfRule type="expression" dxfId="11884" priority="3724">
      <formula>#REF!="TO"</formula>
    </cfRule>
    <cfRule type="expression" dxfId="11883" priority="3725">
      <formula>#REF!="IO"</formula>
    </cfRule>
    <cfRule type="expression" dxfId="11882" priority="3726">
      <formula>#REF!="L"</formula>
    </cfRule>
    <cfRule type="expression" dxfId="11881" priority="3727">
      <formula>XEY18="TO"</formula>
    </cfRule>
    <cfRule type="expression" dxfId="11880" priority="3728">
      <formula>XEY18="IO"</formula>
    </cfRule>
    <cfRule type="expression" dxfId="11879" priority="3729">
      <formula>XEY18="L"</formula>
    </cfRule>
  </conditionalFormatting>
  <conditionalFormatting sqref="H19">
    <cfRule type="expression" dxfId="11878" priority="3718">
      <formula>#REF!="TO"</formula>
    </cfRule>
    <cfRule type="expression" dxfId="11877" priority="3719">
      <formula>#REF!="IO"</formula>
    </cfRule>
    <cfRule type="expression" dxfId="11876" priority="3720">
      <formula>#REF!="L"</formula>
    </cfRule>
    <cfRule type="expression" dxfId="11875" priority="3721">
      <formula>XEY19="TO"</formula>
    </cfRule>
    <cfRule type="expression" dxfId="11874" priority="3722">
      <formula>XEY19="IO"</formula>
    </cfRule>
    <cfRule type="expression" dxfId="11873" priority="3723">
      <formula>XEY19="L"</formula>
    </cfRule>
  </conditionalFormatting>
  <conditionalFormatting sqref="BC28:BC29">
    <cfRule type="expression" dxfId="11872" priority="4021">
      <formula>#REF!="TO"</formula>
    </cfRule>
    <cfRule type="expression" dxfId="11871" priority="4022">
      <formula>#REF!="IO"</formula>
    </cfRule>
    <cfRule type="expression" dxfId="11870" priority="4023">
      <formula>#REF!="L"</formula>
    </cfRule>
  </conditionalFormatting>
  <conditionalFormatting sqref="J38:J41 J23:J29">
    <cfRule type="expression" dxfId="11869" priority="4018">
      <formula>#REF!="TO"</formula>
    </cfRule>
    <cfRule type="expression" dxfId="11868" priority="4019">
      <formula>#REF!="IO"</formula>
    </cfRule>
    <cfRule type="expression" dxfId="11867" priority="4020">
      <formula>#REF!="L"</formula>
    </cfRule>
  </conditionalFormatting>
  <conditionalFormatting sqref="J5">
    <cfRule type="expression" dxfId="11866" priority="4012">
      <formula>#REF!="TO"</formula>
    </cfRule>
    <cfRule type="expression" dxfId="11865" priority="4013">
      <formula>#REF!="IO"</formula>
    </cfRule>
    <cfRule type="expression" dxfId="11864" priority="4014">
      <formula>#REF!="L"</formula>
    </cfRule>
  </conditionalFormatting>
  <conditionalFormatting sqref="J6">
    <cfRule type="expression" dxfId="11863" priority="4009">
      <formula>#REF!="TO"</formula>
    </cfRule>
    <cfRule type="expression" dxfId="11862" priority="4010">
      <formula>#REF!="IO"</formula>
    </cfRule>
    <cfRule type="expression" dxfId="11861" priority="4011">
      <formula>#REF!="L"</formula>
    </cfRule>
  </conditionalFormatting>
  <conditionalFormatting sqref="J7">
    <cfRule type="expression" dxfId="11860" priority="4006">
      <formula>#REF!="TO"</formula>
    </cfRule>
    <cfRule type="expression" dxfId="11859" priority="4007">
      <formula>#REF!="IO"</formula>
    </cfRule>
    <cfRule type="expression" dxfId="11858" priority="4008">
      <formula>#REF!="L"</formula>
    </cfRule>
  </conditionalFormatting>
  <conditionalFormatting sqref="J8">
    <cfRule type="expression" dxfId="11857" priority="4003">
      <formula>#REF!="TO"</formula>
    </cfRule>
    <cfRule type="expression" dxfId="11856" priority="4004">
      <formula>#REF!="IO"</formula>
    </cfRule>
    <cfRule type="expression" dxfId="11855" priority="4005">
      <formula>#REF!="L"</formula>
    </cfRule>
  </conditionalFormatting>
  <conditionalFormatting sqref="J9:J12">
    <cfRule type="expression" dxfId="11854" priority="4000">
      <formula>#REF!="TO"</formula>
    </cfRule>
    <cfRule type="expression" dxfId="11853" priority="4001">
      <formula>#REF!="IO"</formula>
    </cfRule>
    <cfRule type="expression" dxfId="11852" priority="4002">
      <formula>#REF!="L"</formula>
    </cfRule>
  </conditionalFormatting>
  <conditionalFormatting sqref="J14">
    <cfRule type="expression" dxfId="11851" priority="3994">
      <formula>#REF!="TO"</formula>
    </cfRule>
    <cfRule type="expression" dxfId="11850" priority="3995">
      <formula>#REF!="IO"</formula>
    </cfRule>
    <cfRule type="expression" dxfId="11849" priority="3996">
      <formula>#REF!="L"</formula>
    </cfRule>
  </conditionalFormatting>
  <conditionalFormatting sqref="J13">
    <cfRule type="expression" dxfId="11848" priority="3997">
      <formula>#REF!="TO"</formula>
    </cfRule>
    <cfRule type="expression" dxfId="11847" priority="3998">
      <formula>#REF!="IO"</formula>
    </cfRule>
    <cfRule type="expression" dxfId="11846" priority="3999">
      <formula>#REF!="L"</formula>
    </cfRule>
  </conditionalFormatting>
  <conditionalFormatting sqref="J16">
    <cfRule type="expression" dxfId="11845" priority="3988">
      <formula>#REF!="TO"</formula>
    </cfRule>
    <cfRule type="expression" dxfId="11844" priority="3989">
      <formula>#REF!="IO"</formula>
    </cfRule>
    <cfRule type="expression" dxfId="11843" priority="3990">
      <formula>#REF!="L"</formula>
    </cfRule>
  </conditionalFormatting>
  <conditionalFormatting sqref="J20">
    <cfRule type="expression" dxfId="11842" priority="3976">
      <formula>#REF!="TO"</formula>
    </cfRule>
    <cfRule type="expression" dxfId="11841" priority="3977">
      <formula>#REF!="IO"</formula>
    </cfRule>
    <cfRule type="expression" dxfId="11840" priority="3978">
      <formula>#REF!="L"</formula>
    </cfRule>
  </conditionalFormatting>
  <conditionalFormatting sqref="J17">
    <cfRule type="expression" dxfId="11839" priority="3985">
      <formula>#REF!="TO"</formula>
    </cfRule>
    <cfRule type="expression" dxfId="11838" priority="3986">
      <formula>#REF!="IO"</formula>
    </cfRule>
    <cfRule type="expression" dxfId="11837" priority="3987">
      <formula>#REF!="L"</formula>
    </cfRule>
  </conditionalFormatting>
  <conditionalFormatting sqref="J18">
    <cfRule type="expression" dxfId="11836" priority="3982">
      <formula>#REF!="TO"</formula>
    </cfRule>
    <cfRule type="expression" dxfId="11835" priority="3983">
      <formula>#REF!="IO"</formula>
    </cfRule>
    <cfRule type="expression" dxfId="11834" priority="3984">
      <formula>#REF!="L"</formula>
    </cfRule>
  </conditionalFormatting>
  <conditionalFormatting sqref="J19">
    <cfRule type="expression" dxfId="11833" priority="3979">
      <formula>#REF!="TO"</formula>
    </cfRule>
    <cfRule type="expression" dxfId="11832" priority="3980">
      <formula>#REF!="IO"</formula>
    </cfRule>
    <cfRule type="expression" dxfId="11831" priority="3981">
      <formula>#REF!="L"</formula>
    </cfRule>
  </conditionalFormatting>
  <conditionalFormatting sqref="J21">
    <cfRule type="expression" dxfId="11830" priority="3973">
      <formula>#REF!="TO"</formula>
    </cfRule>
    <cfRule type="expression" dxfId="11829" priority="3974">
      <formula>#REF!="IO"</formula>
    </cfRule>
    <cfRule type="expression" dxfId="11828" priority="3975">
      <formula>#REF!="L"</formula>
    </cfRule>
  </conditionalFormatting>
  <conditionalFormatting sqref="J22:J29">
    <cfRule type="expression" dxfId="11827" priority="3970">
      <formula>#REF!="TO"</formula>
    </cfRule>
    <cfRule type="expression" dxfId="11826" priority="3971">
      <formula>#REF!="IO"</formula>
    </cfRule>
    <cfRule type="expression" dxfId="11825" priority="3972">
      <formula>#REF!="L"</formula>
    </cfRule>
  </conditionalFormatting>
  <conditionalFormatting sqref="J43">
    <cfRule type="expression" dxfId="11824" priority="3964">
      <formula>#REF!="TO"</formula>
    </cfRule>
    <cfRule type="expression" dxfId="11823" priority="3965">
      <formula>#REF!="IO"</formula>
    </cfRule>
    <cfRule type="expression" dxfId="11822" priority="3966">
      <formula>#REF!="L"</formula>
    </cfRule>
  </conditionalFormatting>
  <conditionalFormatting sqref="J42">
    <cfRule type="expression" dxfId="11821" priority="3967">
      <formula>#REF!="TO"</formula>
    </cfRule>
    <cfRule type="expression" dxfId="11820" priority="3968">
      <formula>#REF!="IO"</formula>
    </cfRule>
    <cfRule type="expression" dxfId="11819" priority="3969">
      <formula>#REF!="L"</formula>
    </cfRule>
  </conditionalFormatting>
  <conditionalFormatting sqref="J44">
    <cfRule type="expression" dxfId="11818" priority="3961">
      <formula>#REF!="TO"</formula>
    </cfRule>
    <cfRule type="expression" dxfId="11817" priority="3962">
      <formula>#REF!="IO"</formula>
    </cfRule>
    <cfRule type="expression" dxfId="11816" priority="3963">
      <formula>#REF!="L"</formula>
    </cfRule>
  </conditionalFormatting>
  <conditionalFormatting sqref="J47">
    <cfRule type="expression" dxfId="11815" priority="3952">
      <formula>#REF!="TO"</formula>
    </cfRule>
    <cfRule type="expression" dxfId="11814" priority="3953">
      <formula>#REF!="IO"</formula>
    </cfRule>
    <cfRule type="expression" dxfId="11813" priority="3954">
      <formula>#REF!="L"</formula>
    </cfRule>
  </conditionalFormatting>
  <conditionalFormatting sqref="J46">
    <cfRule type="expression" dxfId="11812" priority="3955">
      <formula>#REF!="TO"</formula>
    </cfRule>
    <cfRule type="expression" dxfId="11811" priority="3956">
      <formula>#REF!="IO"</formula>
    </cfRule>
    <cfRule type="expression" dxfId="11810" priority="3957">
      <formula>#REF!="L"</formula>
    </cfRule>
  </conditionalFormatting>
  <conditionalFormatting sqref="J45">
    <cfRule type="expression" dxfId="11809" priority="3958">
      <formula>#REF!="TO"</formula>
    </cfRule>
    <cfRule type="expression" dxfId="11808" priority="3959">
      <formula>#REF!="IO"</formula>
    </cfRule>
    <cfRule type="expression" dxfId="11807" priority="3960">
      <formula>#REF!="L"</formula>
    </cfRule>
  </conditionalFormatting>
  <conditionalFormatting sqref="J48">
    <cfRule type="expression" dxfId="11806" priority="3949">
      <formula>#REF!="TO"</formula>
    </cfRule>
    <cfRule type="expression" dxfId="11805" priority="3950">
      <formula>#REF!="IO"</formula>
    </cfRule>
    <cfRule type="expression" dxfId="11804" priority="3951">
      <formula>#REF!="L"</formula>
    </cfRule>
  </conditionalFormatting>
  <conditionalFormatting sqref="J49">
    <cfRule type="expression" dxfId="11803" priority="3946">
      <formula>#REF!="TO"</formula>
    </cfRule>
    <cfRule type="expression" dxfId="11802" priority="3947">
      <formula>#REF!="IO"</formula>
    </cfRule>
    <cfRule type="expression" dxfId="11801" priority="3948">
      <formula>#REF!="L"</formula>
    </cfRule>
  </conditionalFormatting>
  <conditionalFormatting sqref="J50">
    <cfRule type="expression" dxfId="11800" priority="3943">
      <formula>#REF!="TO"</formula>
    </cfRule>
    <cfRule type="expression" dxfId="11799" priority="3944">
      <formula>#REF!="IO"</formula>
    </cfRule>
    <cfRule type="expression" dxfId="11798" priority="3945">
      <formula>#REF!="L"</formula>
    </cfRule>
  </conditionalFormatting>
  <conditionalFormatting sqref="J51:J86">
    <cfRule type="expression" dxfId="11797" priority="3940">
      <formula>#REF!="TO"</formula>
    </cfRule>
    <cfRule type="expression" dxfId="11796" priority="3941">
      <formula>#REF!="IO"</formula>
    </cfRule>
    <cfRule type="expression" dxfId="11795" priority="3942">
      <formula>#REF!="L"</formula>
    </cfRule>
  </conditionalFormatting>
  <conditionalFormatting sqref="M43">
    <cfRule type="expression" dxfId="11794" priority="3631">
      <formula>#REF!="TO"</formula>
    </cfRule>
    <cfRule type="expression" dxfId="11793" priority="3632">
      <formula>#REF!="IO"</formula>
    </cfRule>
    <cfRule type="expression" dxfId="11792" priority="3633">
      <formula>#REF!="L"</formula>
    </cfRule>
  </conditionalFormatting>
  <conditionalFormatting sqref="J28:J29">
    <cfRule type="expression" dxfId="11791" priority="3934">
      <formula>#REF!="TO"</formula>
    </cfRule>
    <cfRule type="expression" dxfId="11790" priority="3935">
      <formula>#REF!="IO"</formula>
    </cfRule>
    <cfRule type="expression" dxfId="11789" priority="3936">
      <formula>#REF!="L"</formula>
    </cfRule>
    <cfRule type="expression" dxfId="11788" priority="3931">
      <formula>#REF!="TO"</formula>
    </cfRule>
    <cfRule type="expression" dxfId="11787" priority="3932">
      <formula>#REF!="IO"</formula>
    </cfRule>
    <cfRule type="expression" dxfId="11786" priority="3933">
      <formula>#REF!="L"</formula>
    </cfRule>
  </conditionalFormatting>
  <conditionalFormatting sqref="G38:G41 I38:I41">
    <cfRule type="expression" dxfId="11785" priority="3928">
      <formula>#REF!="TO"</formula>
    </cfRule>
    <cfRule type="expression" dxfId="11784" priority="3929">
      <formula>#REF!="IO"</formula>
    </cfRule>
    <cfRule type="expression" dxfId="11783" priority="3930">
      <formula>#REF!="L"</formula>
    </cfRule>
  </conditionalFormatting>
  <conditionalFormatting sqref="G9:G12 I9:I12">
    <cfRule type="expression" dxfId="11782" priority="3922">
      <formula>#REF!="TO"</formula>
    </cfRule>
    <cfRule type="expression" dxfId="11781" priority="3923">
      <formula>#REF!="IO"</formula>
    </cfRule>
    <cfRule type="expression" dxfId="11780" priority="3924">
      <formula>#REF!="L"</formula>
    </cfRule>
  </conditionalFormatting>
  <conditionalFormatting sqref="G16 I16">
    <cfRule type="expression" dxfId="11779" priority="3919">
      <formula>#REF!="TO"</formula>
    </cfRule>
    <cfRule type="expression" dxfId="11778" priority="3920">
      <formula>#REF!="IO"</formula>
    </cfRule>
    <cfRule type="expression" dxfId="11777" priority="3921">
      <formula>#REF!="L"</formula>
    </cfRule>
  </conditionalFormatting>
  <conditionalFormatting sqref="G17 I17">
    <cfRule type="expression" dxfId="11776" priority="3916">
      <formula>#REF!="TO"</formula>
    </cfRule>
    <cfRule type="expression" dxfId="11775" priority="3917">
      <formula>#REF!="IO"</formula>
    </cfRule>
    <cfRule type="expression" dxfId="11774" priority="3918">
      <formula>#REF!="L"</formula>
    </cfRule>
  </conditionalFormatting>
  <conditionalFormatting sqref="G19 I19">
    <cfRule type="expression" dxfId="11773" priority="3913">
      <formula>#REF!="TO"</formula>
    </cfRule>
    <cfRule type="expression" dxfId="11772" priority="3914">
      <formula>#REF!="IO"</formula>
    </cfRule>
    <cfRule type="expression" dxfId="11771" priority="3915">
      <formula>#REF!="L"</formula>
    </cfRule>
  </conditionalFormatting>
  <conditionalFormatting sqref="G20 I20">
    <cfRule type="expression" dxfId="11770" priority="3910">
      <formula>#REF!="TO"</formula>
    </cfRule>
    <cfRule type="expression" dxfId="11769" priority="3911">
      <formula>#REF!="IO"</formula>
    </cfRule>
    <cfRule type="expression" dxfId="11768" priority="3912">
      <formula>#REF!="L"</formula>
    </cfRule>
  </conditionalFormatting>
  <conditionalFormatting sqref="G42 I42">
    <cfRule type="expression" dxfId="11767" priority="3907">
      <formula>#REF!="TO"</formula>
    </cfRule>
    <cfRule type="expression" dxfId="11766" priority="3908">
      <formula>#REF!="IO"</formula>
    </cfRule>
    <cfRule type="expression" dxfId="11765" priority="3909">
      <formula>#REF!="L"</formula>
    </cfRule>
  </conditionalFormatting>
  <conditionalFormatting sqref="G13 I13">
    <cfRule type="expression" dxfId="11764" priority="3898">
      <formula>#REF!="TO"</formula>
    </cfRule>
    <cfRule type="expression" dxfId="11763" priority="3899">
      <formula>#REF!="IO"</formula>
    </cfRule>
    <cfRule type="expression" dxfId="11762" priority="3900">
      <formula>#REF!="L"</formula>
    </cfRule>
  </conditionalFormatting>
  <conditionalFormatting sqref="G44 I44">
    <cfRule type="expression" dxfId="11761" priority="3901">
      <formula>#REF!="TO"</formula>
    </cfRule>
    <cfRule type="expression" dxfId="11760" priority="3902">
      <formula>#REF!="IO"</formula>
    </cfRule>
    <cfRule type="expression" dxfId="11759" priority="3903">
      <formula>#REF!="L"</formula>
    </cfRule>
  </conditionalFormatting>
  <conditionalFormatting sqref="G14 I14">
    <cfRule type="expression" dxfId="11758" priority="3895">
      <formula>#REF!="TO"</formula>
    </cfRule>
    <cfRule type="expression" dxfId="11757" priority="3896">
      <formula>#REF!="IO"</formula>
    </cfRule>
    <cfRule type="expression" dxfId="11756" priority="3897">
      <formula>#REF!="L"</formula>
    </cfRule>
  </conditionalFormatting>
  <conditionalFormatting sqref="G15 I15">
    <cfRule type="expression" dxfId="11755" priority="3892">
      <formula>#REF!="TO"</formula>
    </cfRule>
    <cfRule type="expression" dxfId="11754" priority="3893">
      <formula>#REF!="IO"</formula>
    </cfRule>
    <cfRule type="expression" dxfId="11753" priority="3894">
      <formula>#REF!="L"</formula>
    </cfRule>
  </conditionalFormatting>
  <conditionalFormatting sqref="G18 I18">
    <cfRule type="expression" dxfId="11752" priority="3889">
      <formula>#REF!="TO"</formula>
    </cfRule>
    <cfRule type="expression" dxfId="11751" priority="3890">
      <formula>#REF!="IO"</formula>
    </cfRule>
    <cfRule type="expression" dxfId="11750" priority="3891">
      <formula>#REF!="L"</formula>
    </cfRule>
  </conditionalFormatting>
  <conditionalFormatting sqref="G21 I21">
    <cfRule type="expression" dxfId="11749" priority="3886">
      <formula>#REF!="TO"</formula>
    </cfRule>
    <cfRule type="expression" dxfId="11748" priority="3887">
      <formula>#REF!="IO"</formula>
    </cfRule>
    <cfRule type="expression" dxfId="11747" priority="3888">
      <formula>#REF!="L"</formula>
    </cfRule>
  </conditionalFormatting>
  <conditionalFormatting sqref="G22 I22">
    <cfRule type="expression" dxfId="11746" priority="3883">
      <formula>#REF!="TO"</formula>
    </cfRule>
    <cfRule type="expression" dxfId="11745" priority="3884">
      <formula>#REF!="IO"</formula>
    </cfRule>
    <cfRule type="expression" dxfId="11744" priority="3885">
      <formula>#REF!="L"</formula>
    </cfRule>
  </conditionalFormatting>
  <conditionalFormatting sqref="G23:G24 I23:I24">
    <cfRule type="expression" dxfId="11743" priority="3880">
      <formula>#REF!="TO"</formula>
    </cfRule>
    <cfRule type="expression" dxfId="11742" priority="3881">
      <formula>#REF!="IO"</formula>
    </cfRule>
    <cfRule type="expression" dxfId="11741" priority="3882">
      <formula>#REF!="L"</formula>
    </cfRule>
  </conditionalFormatting>
  <conditionalFormatting sqref="G25:G29 I25:I29">
    <cfRule type="expression" dxfId="11740" priority="3877">
      <formula>#REF!="TO"</formula>
    </cfRule>
    <cfRule type="expression" dxfId="11739" priority="3878">
      <formula>#REF!="IO"</formula>
    </cfRule>
    <cfRule type="expression" dxfId="11738" priority="3879">
      <formula>#REF!="L"</formula>
    </cfRule>
  </conditionalFormatting>
  <conditionalFormatting sqref="G45 I45">
    <cfRule type="expression" dxfId="11737" priority="3874">
      <formula>#REF!="TO"</formula>
    </cfRule>
    <cfRule type="expression" dxfId="11736" priority="3875">
      <formula>#REF!="IO"</formula>
    </cfRule>
    <cfRule type="expression" dxfId="11735" priority="3876">
      <formula>#REF!="L"</formula>
    </cfRule>
  </conditionalFormatting>
  <conditionalFormatting sqref="G46 I46">
    <cfRule type="expression" dxfId="11734" priority="3871">
      <formula>#REF!="TO"</formula>
    </cfRule>
    <cfRule type="expression" dxfId="11733" priority="3872">
      <formula>#REF!="IO"</formula>
    </cfRule>
    <cfRule type="expression" dxfId="11732" priority="3873">
      <formula>#REF!="L"</formula>
    </cfRule>
  </conditionalFormatting>
  <conditionalFormatting sqref="G47 I47">
    <cfRule type="expression" dxfId="11731" priority="3868">
      <formula>#REF!="TO"</formula>
    </cfRule>
    <cfRule type="expression" dxfId="11730" priority="3869">
      <formula>#REF!="IO"</formula>
    </cfRule>
    <cfRule type="expression" dxfId="11729" priority="3870">
      <formula>#REF!="L"</formula>
    </cfRule>
  </conditionalFormatting>
  <conditionalFormatting sqref="G48 I48">
    <cfRule type="expression" dxfId="11728" priority="3865">
      <formula>#REF!="TO"</formula>
    </cfRule>
    <cfRule type="expression" dxfId="11727" priority="3866">
      <formula>#REF!="IO"</formula>
    </cfRule>
    <cfRule type="expression" dxfId="11726" priority="3867">
      <formula>#REF!="L"</formula>
    </cfRule>
  </conditionalFormatting>
  <conditionalFormatting sqref="G49 I49">
    <cfRule type="expression" dxfId="11725" priority="3862">
      <formula>#REF!="TO"</formula>
    </cfRule>
    <cfRule type="expression" dxfId="11724" priority="3863">
      <formula>#REF!="IO"</formula>
    </cfRule>
    <cfRule type="expression" dxfId="11723" priority="3864">
      <formula>#REF!="L"</formula>
    </cfRule>
  </conditionalFormatting>
  <conditionalFormatting sqref="G50 I50">
    <cfRule type="expression" dxfId="11722" priority="3859">
      <formula>#REF!="TO"</formula>
    </cfRule>
    <cfRule type="expression" dxfId="11721" priority="3860">
      <formula>#REF!="IO"</formula>
    </cfRule>
    <cfRule type="expression" dxfId="11720" priority="3861">
      <formula>#REF!="L"</formula>
    </cfRule>
  </conditionalFormatting>
  <conditionalFormatting sqref="G51:G86 I51:I86">
    <cfRule type="expression" dxfId="11719" priority="3856">
      <formula>#REF!="TO"</formula>
    </cfRule>
    <cfRule type="expression" dxfId="11718" priority="3857">
      <formula>#REF!="IO"</formula>
    </cfRule>
    <cfRule type="expression" dxfId="11717" priority="3858">
      <formula>#REF!="L"</formula>
    </cfRule>
  </conditionalFormatting>
  <conditionalFormatting sqref="G28:G29 I28:I29">
    <cfRule type="expression" dxfId="11716" priority="3850">
      <formula>#REF!="TO"</formula>
    </cfRule>
    <cfRule type="expression" dxfId="11715" priority="3851">
      <formula>#REF!="IO"</formula>
    </cfRule>
    <cfRule type="expression" dxfId="11714" priority="3852">
      <formula>#REF!="L"</formula>
    </cfRule>
  </conditionalFormatting>
  <conditionalFormatting sqref="H17">
    <cfRule type="expression" dxfId="11713" priority="3730">
      <formula>#REF!="TO"</formula>
    </cfRule>
    <cfRule type="expression" dxfId="11712" priority="3731">
      <formula>#REF!="IO"</formula>
    </cfRule>
    <cfRule type="expression" dxfId="11711" priority="3732">
      <formula>#REF!="L"</formula>
    </cfRule>
    <cfRule type="expression" dxfId="11710" priority="3733">
      <formula>XEY17="TO"</formula>
    </cfRule>
    <cfRule type="expression" dxfId="11709" priority="3734">
      <formula>XEY17="IO"</formula>
    </cfRule>
    <cfRule type="expression" dxfId="11708" priority="3735">
      <formula>XEY17="L"</formula>
    </cfRule>
  </conditionalFormatting>
  <conditionalFormatting sqref="H20">
    <cfRule type="expression" dxfId="11707" priority="3712">
      <formula>#REF!="TO"</formula>
    </cfRule>
    <cfRule type="expression" dxfId="11706" priority="3713">
      <formula>#REF!="IO"</formula>
    </cfRule>
    <cfRule type="expression" dxfId="11705" priority="3714">
      <formula>#REF!="L"</formula>
    </cfRule>
    <cfRule type="expression" dxfId="11704" priority="3715">
      <formula>XEY20="TO"</formula>
    </cfRule>
    <cfRule type="expression" dxfId="11703" priority="3716">
      <formula>XEY20="IO"</formula>
    </cfRule>
    <cfRule type="expression" dxfId="11702" priority="3717">
      <formula>XEY20="L"</formula>
    </cfRule>
  </conditionalFormatting>
  <conditionalFormatting sqref="H21">
    <cfRule type="expression" dxfId="11701" priority="3706">
      <formula>#REF!="TO"</formula>
    </cfRule>
    <cfRule type="expression" dxfId="11700" priority="3707">
      <formula>#REF!="IO"</formula>
    </cfRule>
    <cfRule type="expression" dxfId="11699" priority="3708">
      <formula>#REF!="L"</formula>
    </cfRule>
    <cfRule type="expression" dxfId="11698" priority="3709">
      <formula>XEY21="TO"</formula>
    </cfRule>
    <cfRule type="expression" dxfId="11697" priority="3710">
      <formula>XEY21="IO"</formula>
    </cfRule>
    <cfRule type="expression" dxfId="11696" priority="3711">
      <formula>XEY21="L"</formula>
    </cfRule>
  </conditionalFormatting>
  <conditionalFormatting sqref="H22:H29">
    <cfRule type="expression" dxfId="11695" priority="3700">
      <formula>#REF!="TO"</formula>
    </cfRule>
    <cfRule type="expression" dxfId="11694" priority="3701">
      <formula>#REF!="IO"</formula>
    </cfRule>
    <cfRule type="expression" dxfId="11693" priority="3702">
      <formula>#REF!="L"</formula>
    </cfRule>
    <cfRule type="expression" dxfId="11692" priority="3703">
      <formula>XEY22="TO"</formula>
    </cfRule>
    <cfRule type="expression" dxfId="11691" priority="3704">
      <formula>XEY22="IO"</formula>
    </cfRule>
    <cfRule type="expression" dxfId="11690" priority="3705">
      <formula>XEY22="L"</formula>
    </cfRule>
  </conditionalFormatting>
  <conditionalFormatting sqref="AP47">
    <cfRule type="expression" dxfId="11689" priority="3388">
      <formula>#REF!="TO"</formula>
    </cfRule>
    <cfRule type="expression" dxfId="11688" priority="3389">
      <formula>#REF!="IO"</formula>
    </cfRule>
    <cfRule type="expression" dxfId="11687" priority="3390">
      <formula>#REF!="L"</formula>
    </cfRule>
  </conditionalFormatting>
  <conditionalFormatting sqref="H28:H29">
    <cfRule type="expression" dxfId="11686" priority="3688">
      <formula>#REF!="TO"</formula>
    </cfRule>
    <cfRule type="expression" dxfId="11685" priority="3689">
      <formula>#REF!="IO"</formula>
    </cfRule>
    <cfRule type="expression" dxfId="11684" priority="3690">
      <formula>#REF!="L"</formula>
    </cfRule>
    <cfRule type="expression" dxfId="11683" priority="3691">
      <formula>XEY28="TO"</formula>
    </cfRule>
    <cfRule type="expression" dxfId="11682" priority="3692">
      <formula>XEY28="IO"</formula>
    </cfRule>
    <cfRule type="expression" dxfId="11681" priority="3693">
      <formula>XEY28="L"</formula>
    </cfRule>
  </conditionalFormatting>
  <conditionalFormatting sqref="H2:H4">
    <cfRule type="expression" dxfId="11680" priority="3790">
      <formula>XEY2="TO"</formula>
    </cfRule>
    <cfRule type="expression" dxfId="11679" priority="3791">
      <formula>XEY2="IO"</formula>
    </cfRule>
    <cfRule type="expression" dxfId="11678" priority="3792">
      <formula>XEY2="L"</formula>
    </cfRule>
  </conditionalFormatting>
  <conditionalFormatting sqref="H5">
    <cfRule type="expression" dxfId="11677" priority="3784">
      <formula>#REF!="TO"</formula>
    </cfRule>
    <cfRule type="expression" dxfId="11676" priority="3785">
      <formula>#REF!="IO"</formula>
    </cfRule>
    <cfRule type="expression" dxfId="11675" priority="3786">
      <formula>#REF!="L"</formula>
    </cfRule>
    <cfRule type="expression" dxfId="11674" priority="3787">
      <formula>XEY5="TO"</formula>
    </cfRule>
    <cfRule type="expression" dxfId="11673" priority="3788">
      <formula>XEY5="IO"</formula>
    </cfRule>
    <cfRule type="expression" dxfId="11672" priority="3789">
      <formula>XEY5="L"</formula>
    </cfRule>
  </conditionalFormatting>
  <conditionalFormatting sqref="H6">
    <cfRule type="expression" dxfId="11671" priority="3778">
      <formula>#REF!="TO"</formula>
    </cfRule>
    <cfRule type="expression" dxfId="11670" priority="3779">
      <formula>#REF!="IO"</formula>
    </cfRule>
    <cfRule type="expression" dxfId="11669" priority="3780">
      <formula>#REF!="L"</formula>
    </cfRule>
    <cfRule type="expression" dxfId="11668" priority="3781">
      <formula>XEY6="TO"</formula>
    </cfRule>
    <cfRule type="expression" dxfId="11667" priority="3782">
      <formula>XEY6="IO"</formula>
    </cfRule>
    <cfRule type="expression" dxfId="11666" priority="3783">
      <formula>XEY6="L"</formula>
    </cfRule>
  </conditionalFormatting>
  <conditionalFormatting sqref="H7">
    <cfRule type="expression" dxfId="11665" priority="3772">
      <formula>#REF!="TO"</formula>
    </cfRule>
    <cfRule type="expression" dxfId="11664" priority="3773">
      <formula>#REF!="IO"</formula>
    </cfRule>
    <cfRule type="expression" dxfId="11663" priority="3774">
      <formula>#REF!="L"</formula>
    </cfRule>
    <cfRule type="expression" dxfId="11662" priority="3775">
      <formula>XEY7="TO"</formula>
    </cfRule>
    <cfRule type="expression" dxfId="11661" priority="3776">
      <formula>XEY7="IO"</formula>
    </cfRule>
    <cfRule type="expression" dxfId="11660" priority="3777">
      <formula>XEY7="L"</formula>
    </cfRule>
  </conditionalFormatting>
  <conditionalFormatting sqref="H8">
    <cfRule type="expression" dxfId="11659" priority="3766">
      <formula>#REF!="TO"</formula>
    </cfRule>
    <cfRule type="expression" dxfId="11658" priority="3767">
      <formula>#REF!="IO"</formula>
    </cfRule>
    <cfRule type="expression" dxfId="11657" priority="3768">
      <formula>#REF!="L"</formula>
    </cfRule>
    <cfRule type="expression" dxfId="11656" priority="3769">
      <formula>XEY8="TO"</formula>
    </cfRule>
    <cfRule type="expression" dxfId="11655" priority="3770">
      <formula>XEY8="IO"</formula>
    </cfRule>
    <cfRule type="expression" dxfId="11654" priority="3771">
      <formula>XEY8="L"</formula>
    </cfRule>
  </conditionalFormatting>
  <conditionalFormatting sqref="H9:H12">
    <cfRule type="expression" dxfId="11653" priority="3760">
      <formula>#REF!="TO"</formula>
    </cfRule>
    <cfRule type="expression" dxfId="11652" priority="3761">
      <formula>#REF!="IO"</formula>
    </cfRule>
    <cfRule type="expression" dxfId="11651" priority="3762">
      <formula>#REF!="L"</formula>
    </cfRule>
    <cfRule type="expression" dxfId="11650" priority="3763">
      <formula>XEY9="TO"</formula>
    </cfRule>
    <cfRule type="expression" dxfId="11649" priority="3764">
      <formula>XEY9="IO"</formula>
    </cfRule>
    <cfRule type="expression" dxfId="11648" priority="3765">
      <formula>XEY9="L"</formula>
    </cfRule>
  </conditionalFormatting>
  <conditionalFormatting sqref="H14">
    <cfRule type="expression" dxfId="11647" priority="3748">
      <formula>#REF!="TO"</formula>
    </cfRule>
    <cfRule type="expression" dxfId="11646" priority="3749">
      <formula>#REF!="IO"</formula>
    </cfRule>
    <cfRule type="expression" dxfId="11645" priority="3750">
      <formula>#REF!="L"</formula>
    </cfRule>
    <cfRule type="expression" dxfId="11644" priority="3751">
      <formula>XEY14="TO"</formula>
    </cfRule>
    <cfRule type="expression" dxfId="11643" priority="3752">
      <formula>XEY14="IO"</formula>
    </cfRule>
    <cfRule type="expression" dxfId="11642" priority="3753">
      <formula>XEY14="L"</formula>
    </cfRule>
  </conditionalFormatting>
  <conditionalFormatting sqref="H13">
    <cfRule type="expression" dxfId="11641" priority="3754">
      <formula>#REF!="TO"</formula>
    </cfRule>
    <cfRule type="expression" dxfId="11640" priority="3755">
      <formula>#REF!="IO"</formula>
    </cfRule>
    <cfRule type="expression" dxfId="11639" priority="3756">
      <formula>#REF!="L"</formula>
    </cfRule>
    <cfRule type="expression" dxfId="11638" priority="3757">
      <formula>XEY13="TO"</formula>
    </cfRule>
    <cfRule type="expression" dxfId="11637" priority="3758">
      <formula>XEY13="IO"</formula>
    </cfRule>
    <cfRule type="expression" dxfId="11636" priority="3759">
      <formula>XEY13="L"</formula>
    </cfRule>
  </conditionalFormatting>
  <conditionalFormatting sqref="H15">
    <cfRule type="expression" dxfId="11635" priority="3742">
      <formula>#REF!="TO"</formula>
    </cfRule>
    <cfRule type="expression" dxfId="11634" priority="3743">
      <formula>#REF!="IO"</formula>
    </cfRule>
    <cfRule type="expression" dxfId="11633" priority="3744">
      <formula>#REF!="L"</formula>
    </cfRule>
    <cfRule type="expression" dxfId="11632" priority="3745">
      <formula>XEY15="TO"</formula>
    </cfRule>
    <cfRule type="expression" dxfId="11631" priority="3746">
      <formula>XEY15="IO"</formula>
    </cfRule>
    <cfRule type="expression" dxfId="11630" priority="3747">
      <formula>XEY15="L"</formula>
    </cfRule>
  </conditionalFormatting>
  <conditionalFormatting sqref="H16">
    <cfRule type="expression" dxfId="11629" priority="3736">
      <formula>#REF!="TO"</formula>
    </cfRule>
    <cfRule type="expression" dxfId="11628" priority="3737">
      <formula>#REF!="IO"</formula>
    </cfRule>
    <cfRule type="expression" dxfId="11627" priority="3738">
      <formula>#REF!="L"</formula>
    </cfRule>
    <cfRule type="expression" dxfId="11626" priority="3739">
      <formula>XEY16="TO"</formula>
    </cfRule>
    <cfRule type="expression" dxfId="11625" priority="3740">
      <formula>XEY16="IO"</formula>
    </cfRule>
    <cfRule type="expression" dxfId="11624" priority="3741">
      <formula>XEY16="L"</formula>
    </cfRule>
  </conditionalFormatting>
  <conditionalFormatting sqref="M21">
    <cfRule type="expression" dxfId="11623" priority="3640">
      <formula>#REF!="TO"</formula>
    </cfRule>
    <cfRule type="expression" dxfId="11622" priority="3641">
      <formula>#REF!="IO"</formula>
    </cfRule>
    <cfRule type="expression" dxfId="11621" priority="3642">
      <formula>#REF!="L"</formula>
    </cfRule>
  </conditionalFormatting>
  <conditionalFormatting sqref="M22:M29">
    <cfRule type="expression" dxfId="11620" priority="3637">
      <formula>#REF!="TO"</formula>
    </cfRule>
    <cfRule type="expression" dxfId="11619" priority="3638">
      <formula>#REF!="IO"</formula>
    </cfRule>
    <cfRule type="expression" dxfId="11618" priority="3639">
      <formula>#REF!="L"</formula>
    </cfRule>
  </conditionalFormatting>
  <conditionalFormatting sqref="M42">
    <cfRule type="expression" dxfId="11617" priority="3634">
      <formula>#REF!="TO"</formula>
    </cfRule>
    <cfRule type="expression" dxfId="11616" priority="3635">
      <formula>#REF!="IO"</formula>
    </cfRule>
    <cfRule type="expression" dxfId="11615" priority="3636">
      <formula>#REF!="L"</formula>
    </cfRule>
  </conditionalFormatting>
  <conditionalFormatting sqref="M44">
    <cfRule type="expression" dxfId="11614" priority="3628">
      <formula>#REF!="TO"</formula>
    </cfRule>
    <cfRule type="expression" dxfId="11613" priority="3629">
      <formula>#REF!="IO"</formula>
    </cfRule>
    <cfRule type="expression" dxfId="11612" priority="3630">
      <formula>#REF!="L"</formula>
    </cfRule>
  </conditionalFormatting>
  <conditionalFormatting sqref="M46">
    <cfRule type="expression" dxfId="11611" priority="3622">
      <formula>#REF!="TO"</formula>
    </cfRule>
    <cfRule type="expression" dxfId="11610" priority="3623">
      <formula>#REF!="IO"</formula>
    </cfRule>
    <cfRule type="expression" dxfId="11609" priority="3624">
      <formula>#REF!="L"</formula>
    </cfRule>
  </conditionalFormatting>
  <conditionalFormatting sqref="M45">
    <cfRule type="expression" dxfId="11608" priority="3625">
      <formula>#REF!="TO"</formula>
    </cfRule>
    <cfRule type="expression" dxfId="11607" priority="3626">
      <formula>#REF!="IO"</formula>
    </cfRule>
    <cfRule type="expression" dxfId="11606" priority="3627">
      <formula>#REF!="L"</formula>
    </cfRule>
  </conditionalFormatting>
  <conditionalFormatting sqref="M47">
    <cfRule type="expression" dxfId="11605" priority="3619">
      <formula>#REF!="TO"</formula>
    </cfRule>
    <cfRule type="expression" dxfId="11604" priority="3620">
      <formula>#REF!="IO"</formula>
    </cfRule>
    <cfRule type="expression" dxfId="11603" priority="3621">
      <formula>#REF!="L"</formula>
    </cfRule>
  </conditionalFormatting>
  <conditionalFormatting sqref="M48">
    <cfRule type="expression" dxfId="11602" priority="3616">
      <formula>#REF!="TO"</formula>
    </cfRule>
    <cfRule type="expression" dxfId="11601" priority="3617">
      <formula>#REF!="IO"</formula>
    </cfRule>
    <cfRule type="expression" dxfId="11600" priority="3618">
      <formula>#REF!="L"</formula>
    </cfRule>
  </conditionalFormatting>
  <conditionalFormatting sqref="M49">
    <cfRule type="expression" dxfId="11599" priority="3613">
      <formula>#REF!="TO"</formula>
    </cfRule>
    <cfRule type="expression" dxfId="11598" priority="3614">
      <formula>#REF!="IO"</formula>
    </cfRule>
    <cfRule type="expression" dxfId="11597" priority="3615">
      <formula>#REF!="L"</formula>
    </cfRule>
  </conditionalFormatting>
  <conditionalFormatting sqref="M50">
    <cfRule type="expression" dxfId="11596" priority="3610">
      <formula>#REF!="TO"</formula>
    </cfRule>
    <cfRule type="expression" dxfId="11595" priority="3611">
      <formula>#REF!="IO"</formula>
    </cfRule>
    <cfRule type="expression" dxfId="11594" priority="3612">
      <formula>#REF!="L"</formula>
    </cfRule>
  </conditionalFormatting>
  <conditionalFormatting sqref="M51:M86">
    <cfRule type="expression" dxfId="11593" priority="3607">
      <formula>#REF!="TO"</formula>
    </cfRule>
    <cfRule type="expression" dxfId="11592" priority="3608">
      <formula>#REF!="IO"</formula>
    </cfRule>
    <cfRule type="expression" dxfId="11591" priority="3609">
      <formula>#REF!="L"</formula>
    </cfRule>
  </conditionalFormatting>
  <conditionalFormatting sqref="M28:M29">
    <cfRule type="expression" dxfId="11590" priority="3601">
      <formula>#REF!="TO"</formula>
    </cfRule>
    <cfRule type="expression" dxfId="11589" priority="3602">
      <formula>#REF!="IO"</formula>
    </cfRule>
    <cfRule type="expression" dxfId="11588" priority="3603">
      <formula>#REF!="L"</formula>
    </cfRule>
    <cfRule type="expression" dxfId="11587" priority="3598">
      <formula>#REF!="TO"</formula>
    </cfRule>
    <cfRule type="expression" dxfId="11586" priority="3599">
      <formula>#REF!="IO"</formula>
    </cfRule>
    <cfRule type="expression" dxfId="11585" priority="3600">
      <formula>#REF!="L"</formula>
    </cfRule>
  </conditionalFormatting>
  <conditionalFormatting sqref="M38:M41 M23:M29">
    <cfRule type="expression" dxfId="11584" priority="3682">
      <formula>#REF!="TO"</formula>
    </cfRule>
    <cfRule type="expression" dxfId="11583" priority="3683">
      <formula>#REF!="IO"</formula>
    </cfRule>
    <cfRule type="expression" dxfId="11582" priority="3684">
      <formula>#REF!="L"</formula>
    </cfRule>
  </conditionalFormatting>
  <conditionalFormatting sqref="M5">
    <cfRule type="expression" dxfId="11581" priority="3679">
      <formula>#REF!="TO"</formula>
    </cfRule>
    <cfRule type="expression" dxfId="11580" priority="3680">
      <formula>#REF!="IO"</formula>
    </cfRule>
    <cfRule type="expression" dxfId="11579" priority="3681">
      <formula>#REF!="L"</formula>
    </cfRule>
  </conditionalFormatting>
  <conditionalFormatting sqref="M6">
    <cfRule type="expression" dxfId="11578" priority="3676">
      <formula>#REF!="TO"</formula>
    </cfRule>
    <cfRule type="expression" dxfId="11577" priority="3677">
      <formula>#REF!="IO"</formula>
    </cfRule>
    <cfRule type="expression" dxfId="11576" priority="3678">
      <formula>#REF!="L"</formula>
    </cfRule>
  </conditionalFormatting>
  <conditionalFormatting sqref="M9:M12">
    <cfRule type="expression" dxfId="11575" priority="3667">
      <formula>#REF!="TO"</formula>
    </cfRule>
    <cfRule type="expression" dxfId="11574" priority="3668">
      <formula>#REF!="IO"</formula>
    </cfRule>
    <cfRule type="expression" dxfId="11573" priority="3669">
      <formula>#REF!="L"</formula>
    </cfRule>
  </conditionalFormatting>
  <conditionalFormatting sqref="M8">
    <cfRule type="expression" dxfId="11572" priority="3670">
      <formula>#REF!="TO"</formula>
    </cfRule>
    <cfRule type="expression" dxfId="11571" priority="3671">
      <formula>#REF!="IO"</formula>
    </cfRule>
    <cfRule type="expression" dxfId="11570" priority="3672">
      <formula>#REF!="L"</formula>
    </cfRule>
  </conditionalFormatting>
  <conditionalFormatting sqref="M13">
    <cfRule type="expression" dxfId="11569" priority="3664">
      <formula>#REF!="TO"</formula>
    </cfRule>
    <cfRule type="expression" dxfId="11568" priority="3665">
      <formula>#REF!="IO"</formula>
    </cfRule>
    <cfRule type="expression" dxfId="11567" priority="3666">
      <formula>#REF!="L"</formula>
    </cfRule>
  </conditionalFormatting>
  <conditionalFormatting sqref="M14">
    <cfRule type="expression" dxfId="11566" priority="3661">
      <formula>#REF!="TO"</formula>
    </cfRule>
    <cfRule type="expression" dxfId="11565" priority="3662">
      <formula>#REF!="IO"</formula>
    </cfRule>
    <cfRule type="expression" dxfId="11564" priority="3663">
      <formula>#REF!="L"</formula>
    </cfRule>
  </conditionalFormatting>
  <conditionalFormatting sqref="M15">
    <cfRule type="expression" dxfId="11563" priority="3658">
      <formula>#REF!="TO"</formula>
    </cfRule>
    <cfRule type="expression" dxfId="11562" priority="3659">
      <formula>#REF!="IO"</formula>
    </cfRule>
    <cfRule type="expression" dxfId="11561" priority="3660">
      <formula>#REF!="L"</formula>
    </cfRule>
  </conditionalFormatting>
  <conditionalFormatting sqref="M16">
    <cfRule type="expression" dxfId="11560" priority="3655">
      <formula>#REF!="TO"</formula>
    </cfRule>
    <cfRule type="expression" dxfId="11559" priority="3656">
      <formula>#REF!="IO"</formula>
    </cfRule>
    <cfRule type="expression" dxfId="11558" priority="3657">
      <formula>#REF!="L"</formula>
    </cfRule>
  </conditionalFormatting>
  <conditionalFormatting sqref="M17">
    <cfRule type="expression" dxfId="11557" priority="3652">
      <formula>#REF!="TO"</formula>
    </cfRule>
    <cfRule type="expression" dxfId="11556" priority="3653">
      <formula>#REF!="IO"</formula>
    </cfRule>
    <cfRule type="expression" dxfId="11555" priority="3654">
      <formula>#REF!="L"</formula>
    </cfRule>
  </conditionalFormatting>
  <conditionalFormatting sqref="M18">
    <cfRule type="expression" dxfId="11554" priority="3649">
      <formula>#REF!="TO"</formula>
    </cfRule>
    <cfRule type="expression" dxfId="11553" priority="3650">
      <formula>#REF!="IO"</formula>
    </cfRule>
    <cfRule type="expression" dxfId="11552" priority="3651">
      <formula>#REF!="L"</formula>
    </cfRule>
  </conditionalFormatting>
  <conditionalFormatting sqref="M19">
    <cfRule type="expression" dxfId="11551" priority="3646">
      <formula>#REF!="TO"</formula>
    </cfRule>
    <cfRule type="expression" dxfId="11550" priority="3647">
      <formula>#REF!="IO"</formula>
    </cfRule>
    <cfRule type="expression" dxfId="11549" priority="3648">
      <formula>#REF!="L"</formula>
    </cfRule>
  </conditionalFormatting>
  <conditionalFormatting sqref="M20">
    <cfRule type="expression" dxfId="11548" priority="3643">
      <formula>#REF!="TO"</formula>
    </cfRule>
    <cfRule type="expression" dxfId="11547" priority="3644">
      <formula>#REF!="IO"</formula>
    </cfRule>
    <cfRule type="expression" dxfId="11546" priority="3645">
      <formula>#REF!="L"</formula>
    </cfRule>
  </conditionalFormatting>
  <conditionalFormatting sqref="AD30">
    <cfRule type="expression" dxfId="11545" priority="2980">
      <formula>#REF!="TO"</formula>
    </cfRule>
    <cfRule type="expression" dxfId="11544" priority="2981">
      <formula>#REF!="IO"</formula>
    </cfRule>
    <cfRule type="expression" dxfId="11543" priority="2982">
      <formula>#REF!="L"</formula>
    </cfRule>
    <cfRule type="expression" dxfId="11542" priority="2989">
      <formula>#REF!="TO"</formula>
    </cfRule>
    <cfRule type="expression" dxfId="11541" priority="2990">
      <formula>#REF!="IO"</formula>
    </cfRule>
    <cfRule type="expression" dxfId="11540" priority="2991">
      <formula>#REF!="L"</formula>
    </cfRule>
    <cfRule type="expression" dxfId="11539" priority="2986">
      <formula>#REF!="TO"</formula>
    </cfRule>
    <cfRule type="expression" dxfId="11538" priority="2987">
      <formula>#REF!="IO"</formula>
    </cfRule>
    <cfRule type="expression" dxfId="11537" priority="2988">
      <formula>#REF!="L"</formula>
    </cfRule>
    <cfRule type="expression" dxfId="11536" priority="2983">
      <formula>#REF!="TO"</formula>
    </cfRule>
    <cfRule type="expression" dxfId="11535" priority="2984">
      <formula>#REF!="IO"</formula>
    </cfRule>
    <cfRule type="expression" dxfId="11534" priority="2985">
      <formula>#REF!="L"</formula>
    </cfRule>
  </conditionalFormatting>
  <conditionalFormatting sqref="N42">
    <cfRule type="expression" dxfId="11533" priority="3541">
      <formula>#REF!="TO"</formula>
    </cfRule>
    <cfRule type="expression" dxfId="11532" priority="3542">
      <formula>#REF!="IO"</formula>
    </cfRule>
    <cfRule type="expression" dxfId="11531" priority="3543">
      <formula>#REF!="L"</formula>
    </cfRule>
  </conditionalFormatting>
  <conditionalFormatting sqref="N43">
    <cfRule type="expression" dxfId="11530" priority="3538">
      <formula>#REF!="TO"</formula>
    </cfRule>
    <cfRule type="expression" dxfId="11529" priority="3539">
      <formula>#REF!="IO"</formula>
    </cfRule>
    <cfRule type="expression" dxfId="11528" priority="3540">
      <formula>#REF!="L"</formula>
    </cfRule>
  </conditionalFormatting>
  <conditionalFormatting sqref="N44">
    <cfRule type="expression" dxfId="11527" priority="3535">
      <formula>#REF!="TO"</formula>
    </cfRule>
    <cfRule type="expression" dxfId="11526" priority="3536">
      <formula>#REF!="IO"</formula>
    </cfRule>
    <cfRule type="expression" dxfId="11525" priority="3537">
      <formula>#REF!="L"</formula>
    </cfRule>
  </conditionalFormatting>
  <conditionalFormatting sqref="N46">
    <cfRule type="expression" dxfId="11524" priority="3529">
      <formula>#REF!="TO"</formula>
    </cfRule>
    <cfRule type="expression" dxfId="11523" priority="3530">
      <formula>#REF!="IO"</formula>
    </cfRule>
    <cfRule type="expression" dxfId="11522" priority="3531">
      <formula>#REF!="L"</formula>
    </cfRule>
  </conditionalFormatting>
  <conditionalFormatting sqref="N45">
    <cfRule type="expression" dxfId="11521" priority="3532">
      <formula>#REF!="TO"</formula>
    </cfRule>
    <cfRule type="expression" dxfId="11520" priority="3533">
      <formula>#REF!="IO"</formula>
    </cfRule>
    <cfRule type="expression" dxfId="11519" priority="3534">
      <formula>#REF!="L"</formula>
    </cfRule>
  </conditionalFormatting>
  <conditionalFormatting sqref="N47">
    <cfRule type="expression" dxfId="11518" priority="3526">
      <formula>#REF!="TO"</formula>
    </cfRule>
    <cfRule type="expression" dxfId="11517" priority="3527">
      <formula>#REF!="IO"</formula>
    </cfRule>
    <cfRule type="expression" dxfId="11516" priority="3528">
      <formula>#REF!="L"</formula>
    </cfRule>
  </conditionalFormatting>
  <conditionalFormatting sqref="N48">
    <cfRule type="expression" dxfId="11515" priority="3523">
      <formula>#REF!="TO"</formula>
    </cfRule>
    <cfRule type="expression" dxfId="11514" priority="3524">
      <formula>#REF!="IO"</formula>
    </cfRule>
    <cfRule type="expression" dxfId="11513" priority="3525">
      <formula>#REF!="L"</formula>
    </cfRule>
  </conditionalFormatting>
  <conditionalFormatting sqref="N49">
    <cfRule type="expression" dxfId="11512" priority="3520">
      <formula>#REF!="TO"</formula>
    </cfRule>
    <cfRule type="expression" dxfId="11511" priority="3521">
      <formula>#REF!="IO"</formula>
    </cfRule>
    <cfRule type="expression" dxfId="11510" priority="3522">
      <formula>#REF!="L"</formula>
    </cfRule>
  </conditionalFormatting>
  <conditionalFormatting sqref="N50">
    <cfRule type="expression" dxfId="11509" priority="3517">
      <formula>#REF!="TO"</formula>
    </cfRule>
    <cfRule type="expression" dxfId="11508" priority="3518">
      <formula>#REF!="IO"</formula>
    </cfRule>
    <cfRule type="expression" dxfId="11507" priority="3519">
      <formula>#REF!="L"</formula>
    </cfRule>
  </conditionalFormatting>
  <conditionalFormatting sqref="N51:N86">
    <cfRule type="expression" dxfId="11506" priority="3514">
      <formula>#REF!="TO"</formula>
    </cfRule>
    <cfRule type="expression" dxfId="11505" priority="3515">
      <formula>#REF!="IO"</formula>
    </cfRule>
    <cfRule type="expression" dxfId="11504" priority="3516">
      <formula>#REF!="L"</formula>
    </cfRule>
  </conditionalFormatting>
  <conditionalFormatting sqref="N38:N41">
    <cfRule type="expression" dxfId="11503" priority="3589">
      <formula>#REF!="TO"</formula>
    </cfRule>
    <cfRule type="expression" dxfId="11502" priority="3590">
      <formula>#REF!="IO"</formula>
    </cfRule>
    <cfRule type="expression" dxfId="11501" priority="3591">
      <formula>#REF!="L"</formula>
    </cfRule>
  </conditionalFormatting>
  <conditionalFormatting sqref="N9:N12">
    <cfRule type="expression" dxfId="11500" priority="3499">
      <formula>#REF!="TO"</formula>
    </cfRule>
    <cfRule type="expression" dxfId="11499" priority="3500">
      <formula>#REF!="IO"</formula>
    </cfRule>
    <cfRule type="expression" dxfId="11498" priority="3501">
      <formula>#REF!="L"</formula>
    </cfRule>
  </conditionalFormatting>
  <conditionalFormatting sqref="N16">
    <cfRule type="expression" dxfId="11497" priority="3496">
      <formula>#REF!="TO"</formula>
    </cfRule>
    <cfRule type="expression" dxfId="11496" priority="3497">
      <formula>#REF!="IO"</formula>
    </cfRule>
    <cfRule type="expression" dxfId="11495" priority="3498">
      <formula>#REF!="L"</formula>
    </cfRule>
  </conditionalFormatting>
  <conditionalFormatting sqref="N17">
    <cfRule type="expression" dxfId="11494" priority="3493">
      <formula>#REF!="TO"</formula>
    </cfRule>
    <cfRule type="expression" dxfId="11493" priority="3494">
      <formula>#REF!="IO"</formula>
    </cfRule>
    <cfRule type="expression" dxfId="11492" priority="3495">
      <formula>#REF!="L"</formula>
    </cfRule>
  </conditionalFormatting>
  <conditionalFormatting sqref="N19">
    <cfRule type="expression" dxfId="11491" priority="3490">
      <formula>#REF!="TO"</formula>
    </cfRule>
    <cfRule type="expression" dxfId="11490" priority="3491">
      <formula>#REF!="IO"</formula>
    </cfRule>
    <cfRule type="expression" dxfId="11489" priority="3492">
      <formula>#REF!="L"</formula>
    </cfRule>
  </conditionalFormatting>
  <conditionalFormatting sqref="N20">
    <cfRule type="expression" dxfId="11488" priority="3487">
      <formula>#REF!="TO"</formula>
    </cfRule>
    <cfRule type="expression" dxfId="11487" priority="3488">
      <formula>#REF!="IO"</formula>
    </cfRule>
    <cfRule type="expression" dxfId="11486" priority="3489">
      <formula>#REF!="L"</formula>
    </cfRule>
  </conditionalFormatting>
  <conditionalFormatting sqref="N13">
    <cfRule type="expression" dxfId="11485" priority="3484">
      <formula>#REF!="TO"</formula>
    </cfRule>
    <cfRule type="expression" dxfId="11484" priority="3485">
      <formula>#REF!="IO"</formula>
    </cfRule>
    <cfRule type="expression" dxfId="11483" priority="3486">
      <formula>#REF!="L"</formula>
    </cfRule>
  </conditionalFormatting>
  <conditionalFormatting sqref="N14">
    <cfRule type="expression" dxfId="11482" priority="3481">
      <formula>#REF!="TO"</formula>
    </cfRule>
    <cfRule type="expression" dxfId="11481" priority="3482">
      <formula>#REF!="IO"</formula>
    </cfRule>
    <cfRule type="expression" dxfId="11480" priority="3483">
      <formula>#REF!="L"</formula>
    </cfRule>
  </conditionalFormatting>
  <conditionalFormatting sqref="N15">
    <cfRule type="expression" dxfId="11479" priority="3478">
      <formula>#REF!="TO"</formula>
    </cfRule>
    <cfRule type="expression" dxfId="11478" priority="3479">
      <formula>#REF!="IO"</formula>
    </cfRule>
    <cfRule type="expression" dxfId="11477" priority="3480">
      <formula>#REF!="L"</formula>
    </cfRule>
  </conditionalFormatting>
  <conditionalFormatting sqref="N18">
    <cfRule type="expression" dxfId="11476" priority="3475">
      <formula>#REF!="TO"</formula>
    </cfRule>
    <cfRule type="expression" dxfId="11475" priority="3476">
      <formula>#REF!="IO"</formula>
    </cfRule>
    <cfRule type="expression" dxfId="11474" priority="3477">
      <formula>#REF!="L"</formula>
    </cfRule>
  </conditionalFormatting>
  <conditionalFormatting sqref="N21">
    <cfRule type="expression" dxfId="11473" priority="3472">
      <formula>#REF!="TO"</formula>
    </cfRule>
    <cfRule type="expression" dxfId="11472" priority="3473">
      <formula>#REF!="IO"</formula>
    </cfRule>
    <cfRule type="expression" dxfId="11471" priority="3474">
      <formula>#REF!="L"</formula>
    </cfRule>
  </conditionalFormatting>
  <conditionalFormatting sqref="N22">
    <cfRule type="expression" dxfId="11470" priority="3469">
      <formula>#REF!="TO"</formula>
    </cfRule>
    <cfRule type="expression" dxfId="11469" priority="3470">
      <formula>#REF!="IO"</formula>
    </cfRule>
    <cfRule type="expression" dxfId="11468" priority="3471">
      <formula>#REF!="L"</formula>
    </cfRule>
  </conditionalFormatting>
  <conditionalFormatting sqref="N23:N24">
    <cfRule type="expression" dxfId="11467" priority="3466">
      <formula>#REF!="TO"</formula>
    </cfRule>
    <cfRule type="expression" dxfId="11466" priority="3467">
      <formula>#REF!="IO"</formula>
    </cfRule>
    <cfRule type="expression" dxfId="11465" priority="3468">
      <formula>#REF!="L"</formula>
    </cfRule>
  </conditionalFormatting>
  <conditionalFormatting sqref="N25:N29">
    <cfRule type="expression" dxfId="11464" priority="3463">
      <formula>#REF!="TO"</formula>
    </cfRule>
    <cfRule type="expression" dxfId="11463" priority="3464">
      <formula>#REF!="IO"</formula>
    </cfRule>
    <cfRule type="expression" dxfId="11462" priority="3465">
      <formula>#REF!="L"</formula>
    </cfRule>
  </conditionalFormatting>
  <conditionalFormatting sqref="AU30:BA30">
    <cfRule type="expression" dxfId="11461" priority="3154">
      <formula>#REF!="TO"</formula>
    </cfRule>
    <cfRule type="expression" dxfId="11460" priority="3155">
      <formula>#REF!="IO"</formula>
    </cfRule>
    <cfRule type="expression" dxfId="11459" priority="3156">
      <formula>#REF!="L"</formula>
    </cfRule>
    <cfRule type="expression" dxfId="11458" priority="3073">
      <formula>#REF!="TO"</formula>
    </cfRule>
    <cfRule type="expression" dxfId="11457" priority="3074">
      <formula>#REF!="IO"</formula>
    </cfRule>
    <cfRule type="expression" dxfId="11456" priority="3075">
      <formula>#REF!="L"</formula>
    </cfRule>
  </conditionalFormatting>
  <conditionalFormatting sqref="N28:N29">
    <cfRule type="expression" dxfId="11455" priority="3457">
      <formula>#REF!="TO"</formula>
    </cfRule>
    <cfRule type="expression" dxfId="11454" priority="3458">
      <formula>#REF!="IO"</formula>
    </cfRule>
    <cfRule type="expression" dxfId="11453" priority="3459">
      <formula>#REF!="L"</formula>
    </cfRule>
  </conditionalFormatting>
  <conditionalFormatting sqref="AQ2:AQ22">
    <cfRule type="expression" dxfId="11452" priority="10519">
      <formula>AA2="TO"</formula>
    </cfRule>
    <cfRule type="expression" dxfId="11451" priority="10520">
      <formula>AA2="IO"</formula>
    </cfRule>
    <cfRule type="expression" dxfId="11450" priority="10521">
      <formula>AA2="L"</formula>
    </cfRule>
  </conditionalFormatting>
  <conditionalFormatting sqref="AP38:AP41 AP23:AP29">
    <cfRule type="expression" dxfId="11449" priority="3454">
      <formula>#REF!="TO"</formula>
    </cfRule>
    <cfRule type="expression" dxfId="11448" priority="3455">
      <formula>#REF!="IO"</formula>
    </cfRule>
    <cfRule type="expression" dxfId="11447" priority="3456">
      <formula>#REF!="L"</formula>
    </cfRule>
  </conditionalFormatting>
  <conditionalFormatting sqref="AP5">
    <cfRule type="expression" dxfId="11446" priority="3448">
      <formula>#REF!="TO"</formula>
    </cfRule>
    <cfRule type="expression" dxfId="11445" priority="3449">
      <formula>#REF!="IO"</formula>
    </cfRule>
    <cfRule type="expression" dxfId="11444" priority="3450">
      <formula>#REF!="L"</formula>
    </cfRule>
  </conditionalFormatting>
  <conditionalFormatting sqref="AP6">
    <cfRule type="expression" dxfId="11443" priority="3445">
      <formula>#REF!="TO"</formula>
    </cfRule>
    <cfRule type="expression" dxfId="11442" priority="3446">
      <formula>#REF!="IO"</formula>
    </cfRule>
    <cfRule type="expression" dxfId="11441" priority="3447">
      <formula>#REF!="L"</formula>
    </cfRule>
  </conditionalFormatting>
  <conditionalFormatting sqref="AP7">
    <cfRule type="expression" dxfId="11440" priority="3442">
      <formula>#REF!="TO"</formula>
    </cfRule>
    <cfRule type="expression" dxfId="11439" priority="3443">
      <formula>#REF!="IO"</formula>
    </cfRule>
    <cfRule type="expression" dxfId="11438" priority="3444">
      <formula>#REF!="L"</formula>
    </cfRule>
  </conditionalFormatting>
  <conditionalFormatting sqref="AP8">
    <cfRule type="expression" dxfId="11437" priority="3439">
      <formula>#REF!="TO"</formula>
    </cfRule>
    <cfRule type="expression" dxfId="11436" priority="3440">
      <formula>#REF!="IO"</formula>
    </cfRule>
    <cfRule type="expression" dxfId="11435" priority="3441">
      <formula>#REF!="L"</formula>
    </cfRule>
  </conditionalFormatting>
  <conditionalFormatting sqref="AP9:AP12">
    <cfRule type="expression" dxfId="11434" priority="3436">
      <formula>#REF!="TO"</formula>
    </cfRule>
    <cfRule type="expression" dxfId="11433" priority="3437">
      <formula>#REF!="IO"</formula>
    </cfRule>
    <cfRule type="expression" dxfId="11432" priority="3438">
      <formula>#REF!="L"</formula>
    </cfRule>
  </conditionalFormatting>
  <conditionalFormatting sqref="AP13">
    <cfRule type="expression" dxfId="11431" priority="3433">
      <formula>#REF!="TO"</formula>
    </cfRule>
    <cfRule type="expression" dxfId="11430" priority="3434">
      <formula>#REF!="IO"</formula>
    </cfRule>
    <cfRule type="expression" dxfId="11429" priority="3435">
      <formula>#REF!="L"</formula>
    </cfRule>
  </conditionalFormatting>
  <conditionalFormatting sqref="AP14">
    <cfRule type="expression" dxfId="11428" priority="3430">
      <formula>#REF!="TO"</formula>
    </cfRule>
    <cfRule type="expression" dxfId="11427" priority="3431">
      <formula>#REF!="IO"</formula>
    </cfRule>
    <cfRule type="expression" dxfId="11426" priority="3432">
      <formula>#REF!="L"</formula>
    </cfRule>
  </conditionalFormatting>
  <conditionalFormatting sqref="AP15">
    <cfRule type="expression" dxfId="11425" priority="3427">
      <formula>#REF!="TO"</formula>
    </cfRule>
    <cfRule type="expression" dxfId="11424" priority="3428">
      <formula>#REF!="IO"</formula>
    </cfRule>
    <cfRule type="expression" dxfId="11423" priority="3429">
      <formula>#REF!="L"</formula>
    </cfRule>
  </conditionalFormatting>
  <conditionalFormatting sqref="AP16">
    <cfRule type="expression" dxfId="11422" priority="3424">
      <formula>#REF!="TO"</formula>
    </cfRule>
    <cfRule type="expression" dxfId="11421" priority="3425">
      <formula>#REF!="IO"</formula>
    </cfRule>
    <cfRule type="expression" dxfId="11420" priority="3426">
      <formula>#REF!="L"</formula>
    </cfRule>
  </conditionalFormatting>
  <conditionalFormatting sqref="AP20">
    <cfRule type="expression" dxfId="11419" priority="3412">
      <formula>#REF!="TO"</formula>
    </cfRule>
    <cfRule type="expression" dxfId="11418" priority="3413">
      <formula>#REF!="IO"</formula>
    </cfRule>
    <cfRule type="expression" dxfId="11417" priority="3414">
      <formula>#REF!="L"</formula>
    </cfRule>
  </conditionalFormatting>
  <conditionalFormatting sqref="AP17">
    <cfRule type="expression" dxfId="11416" priority="3421">
      <formula>#REF!="TO"</formula>
    </cfRule>
    <cfRule type="expression" dxfId="11415" priority="3422">
      <formula>#REF!="IO"</formula>
    </cfRule>
    <cfRule type="expression" dxfId="11414" priority="3423">
      <formula>#REF!="L"</formula>
    </cfRule>
  </conditionalFormatting>
  <conditionalFormatting sqref="AP18">
    <cfRule type="expression" dxfId="11413" priority="3418">
      <formula>#REF!="TO"</formula>
    </cfRule>
    <cfRule type="expression" dxfId="11412" priority="3419">
      <formula>#REF!="IO"</formula>
    </cfRule>
    <cfRule type="expression" dxfId="11411" priority="3420">
      <formula>#REF!="L"</formula>
    </cfRule>
  </conditionalFormatting>
  <conditionalFormatting sqref="AP19">
    <cfRule type="expression" dxfId="11410" priority="3415">
      <formula>#REF!="TO"</formula>
    </cfRule>
    <cfRule type="expression" dxfId="11409" priority="3416">
      <formula>#REF!="IO"</formula>
    </cfRule>
    <cfRule type="expression" dxfId="11408" priority="3417">
      <formula>#REF!="L"</formula>
    </cfRule>
  </conditionalFormatting>
  <conditionalFormatting sqref="AP21">
    <cfRule type="expression" dxfId="11407" priority="3409">
      <formula>#REF!="TO"</formula>
    </cfRule>
    <cfRule type="expression" dxfId="11406" priority="3410">
      <formula>#REF!="IO"</formula>
    </cfRule>
    <cfRule type="expression" dxfId="11405" priority="3411">
      <formula>#REF!="L"</formula>
    </cfRule>
  </conditionalFormatting>
  <conditionalFormatting sqref="AP22">
    <cfRule type="expression" dxfId="11404" priority="3406">
      <formula>#REF!="TO"</formula>
    </cfRule>
    <cfRule type="expression" dxfId="11403" priority="3407">
      <formula>#REF!="IO"</formula>
    </cfRule>
    <cfRule type="expression" dxfId="11402" priority="3408">
      <formula>#REF!="L"</formula>
    </cfRule>
  </conditionalFormatting>
  <conditionalFormatting sqref="AP42">
    <cfRule type="expression" dxfId="11401" priority="3403">
      <formula>#REF!="TO"</formula>
    </cfRule>
    <cfRule type="expression" dxfId="11400" priority="3404">
      <formula>#REF!="IO"</formula>
    </cfRule>
    <cfRule type="expression" dxfId="11399" priority="3405">
      <formula>#REF!="L"</formula>
    </cfRule>
  </conditionalFormatting>
  <conditionalFormatting sqref="AP43">
    <cfRule type="expression" dxfId="11398" priority="3400">
      <formula>#REF!="TO"</formula>
    </cfRule>
    <cfRule type="expression" dxfId="11397" priority="3401">
      <formula>#REF!="IO"</formula>
    </cfRule>
    <cfRule type="expression" dxfId="11396" priority="3402">
      <formula>#REF!="L"</formula>
    </cfRule>
  </conditionalFormatting>
  <conditionalFormatting sqref="AP44">
    <cfRule type="expression" dxfId="11395" priority="3397">
      <formula>#REF!="TO"</formula>
    </cfRule>
    <cfRule type="expression" dxfId="11394" priority="3398">
      <formula>#REF!="IO"</formula>
    </cfRule>
    <cfRule type="expression" dxfId="11393" priority="3399">
      <formula>#REF!="L"</formula>
    </cfRule>
  </conditionalFormatting>
  <conditionalFormatting sqref="AP45">
    <cfRule type="expression" dxfId="11392" priority="3394">
      <formula>#REF!="TO"</formula>
    </cfRule>
    <cfRule type="expression" dxfId="11391" priority="3395">
      <formula>#REF!="IO"</formula>
    </cfRule>
    <cfRule type="expression" dxfId="11390" priority="3396">
      <formula>#REF!="L"</formula>
    </cfRule>
  </conditionalFormatting>
  <conditionalFormatting sqref="AP46">
    <cfRule type="expression" dxfId="11389" priority="3391">
      <formula>#REF!="TO"</formula>
    </cfRule>
    <cfRule type="expression" dxfId="11388" priority="3392">
      <formula>#REF!="IO"</formula>
    </cfRule>
    <cfRule type="expression" dxfId="11387" priority="3393">
      <formula>#REF!="L"</formula>
    </cfRule>
  </conditionalFormatting>
  <conditionalFormatting sqref="AP48">
    <cfRule type="expression" dxfId="11386" priority="3385">
      <formula>#REF!="TO"</formula>
    </cfRule>
    <cfRule type="expression" dxfId="11385" priority="3386">
      <formula>#REF!="IO"</formula>
    </cfRule>
    <cfRule type="expression" dxfId="11384" priority="3387">
      <formula>#REF!="L"</formula>
    </cfRule>
  </conditionalFormatting>
  <conditionalFormatting sqref="AP49">
    <cfRule type="expression" dxfId="11383" priority="3382">
      <formula>#REF!="TO"</formula>
    </cfRule>
    <cfRule type="expression" dxfId="11382" priority="3383">
      <formula>#REF!="IO"</formula>
    </cfRule>
    <cfRule type="expression" dxfId="11381" priority="3384">
      <formula>#REF!="L"</formula>
    </cfRule>
  </conditionalFormatting>
  <conditionalFormatting sqref="AP50">
    <cfRule type="expression" dxfId="11380" priority="3379">
      <formula>#REF!="TO"</formula>
    </cfRule>
    <cfRule type="expression" dxfId="11379" priority="3380">
      <formula>#REF!="IO"</formula>
    </cfRule>
    <cfRule type="expression" dxfId="11378" priority="3381">
      <formula>#REF!="L"</formula>
    </cfRule>
  </conditionalFormatting>
  <conditionalFormatting sqref="AP51:AP86">
    <cfRule type="expression" dxfId="11377" priority="3376">
      <formula>#REF!="TO"</formula>
    </cfRule>
    <cfRule type="expression" dxfId="11376" priority="3377">
      <formula>#REF!="IO"</formula>
    </cfRule>
    <cfRule type="expression" dxfId="11375" priority="3378">
      <formula>#REF!="L"</formula>
    </cfRule>
  </conditionalFormatting>
  <conditionalFormatting sqref="B30">
    <cfRule type="expression" dxfId="11374" priority="3067">
      <formula>#REF!="TO"</formula>
    </cfRule>
    <cfRule type="expression" dxfId="11373" priority="3068">
      <formula>#REF!="IO"</formula>
    </cfRule>
    <cfRule type="expression" dxfId="11372" priority="3069">
      <formula>#REF!="L"</formula>
    </cfRule>
    <cfRule type="expression" dxfId="11371" priority="3190">
      <formula>#REF!="TO"</formula>
    </cfRule>
    <cfRule type="expression" dxfId="11370" priority="3191">
      <formula>#REF!="IO"</formula>
    </cfRule>
    <cfRule type="expression" dxfId="11369" priority="3192">
      <formula>#REF!="L"</formula>
    </cfRule>
    <cfRule type="expression" dxfId="11368" priority="3148">
      <formula>#REF!="TO"</formula>
    </cfRule>
    <cfRule type="expression" dxfId="11367" priority="3149">
      <formula>#REF!="IO"</formula>
    </cfRule>
    <cfRule type="expression" dxfId="11366" priority="3150">
      <formula>#REF!="L"</formula>
    </cfRule>
    <cfRule type="expression" dxfId="11365" priority="3106">
      <formula>#REF!="TO"</formula>
    </cfRule>
    <cfRule type="expression" dxfId="11364" priority="3107">
      <formula>#REF!="IO"</formula>
    </cfRule>
    <cfRule type="expression" dxfId="11363" priority="3108">
      <formula>#REF!="L"</formula>
    </cfRule>
  </conditionalFormatting>
  <conditionalFormatting sqref="AP28:AP29">
    <cfRule type="expression" dxfId="11362" priority="3370">
      <formula>#REF!="TO"</formula>
    </cfRule>
    <cfRule type="expression" dxfId="11361" priority="3371">
      <formula>#REF!="IO"</formula>
    </cfRule>
    <cfRule type="expression" dxfId="11360" priority="3372">
      <formula>#REF!="L"</formula>
    </cfRule>
  </conditionalFormatting>
  <conditionalFormatting sqref="V30:X30">
    <cfRule type="expression" dxfId="11359" priority="3040">
      <formula>#REF!="TO"</formula>
    </cfRule>
    <cfRule type="expression" dxfId="11358" priority="3041">
      <formula>#REF!="IO"</formula>
    </cfRule>
    <cfRule type="expression" dxfId="11357" priority="3042">
      <formula>#REF!="L"</formula>
    </cfRule>
  </conditionalFormatting>
  <conditionalFormatting sqref="P30">
    <cfRule type="expression" dxfId="11356" priority="3037">
      <formula>#REF!="TO"</formula>
    </cfRule>
    <cfRule type="expression" dxfId="11355" priority="3038">
      <formula>#REF!="IO"</formula>
    </cfRule>
    <cfRule type="expression" dxfId="11354" priority="3039">
      <formula>#REF!="L"</formula>
    </cfRule>
    <cfRule type="expression" dxfId="11353" priority="3034">
      <formula>#REF!="TO"</formula>
    </cfRule>
    <cfRule type="expression" dxfId="11352" priority="3035">
      <formula>#REF!="IO"</formula>
    </cfRule>
    <cfRule type="expression" dxfId="11351" priority="3036">
      <formula>#REF!="L"</formula>
    </cfRule>
    <cfRule type="expression" dxfId="11350" priority="3118">
      <formula>#REF!="TO"</formula>
    </cfRule>
    <cfRule type="expression" dxfId="11349" priority="3119">
      <formula>#REF!="IO"</formula>
    </cfRule>
    <cfRule type="expression" dxfId="11348" priority="3120">
      <formula>#REF!="L"</formula>
    </cfRule>
    <cfRule type="expression" dxfId="11347" priority="3121">
      <formula>#REF!="TO"</formula>
    </cfRule>
    <cfRule type="expression" dxfId="11346" priority="3122">
      <formula>#REF!="IO"</formula>
    </cfRule>
    <cfRule type="expression" dxfId="11345" priority="3123">
      <formula>#REF!="L"</formula>
    </cfRule>
  </conditionalFormatting>
  <conditionalFormatting sqref="Q30">
    <cfRule type="expression" dxfId="11344" priority="3031">
      <formula>#REF!="TO"</formula>
    </cfRule>
    <cfRule type="expression" dxfId="11343" priority="3032">
      <formula>#REF!="IO"</formula>
    </cfRule>
    <cfRule type="expression" dxfId="11342" priority="3033">
      <formula>#REF!="L"</formula>
    </cfRule>
    <cfRule type="expression" dxfId="11341" priority="3028">
      <formula>#REF!="TO"</formula>
    </cfRule>
    <cfRule type="expression" dxfId="11340" priority="3029">
      <formula>#REF!="IO"</formula>
    </cfRule>
    <cfRule type="expression" dxfId="11339" priority="3030">
      <formula>#REF!="L"</formula>
    </cfRule>
    <cfRule type="expression" dxfId="11338" priority="3115">
      <formula>#REF!="TO"</formula>
    </cfRule>
    <cfRule type="expression" dxfId="11337" priority="3116">
      <formula>#REF!="IO"</formula>
    </cfRule>
    <cfRule type="expression" dxfId="11336" priority="3117">
      <formula>#REF!="L"</formula>
    </cfRule>
    <cfRule type="expression" dxfId="11335" priority="3112">
      <formula>#REF!="TO"</formula>
    </cfRule>
    <cfRule type="expression" dxfId="11334" priority="3113">
      <formula>#REF!="IO"</formula>
    </cfRule>
    <cfRule type="expression" dxfId="11333" priority="3114">
      <formula>#REF!="L"</formula>
    </cfRule>
  </conditionalFormatting>
  <conditionalFormatting sqref="T30:U30">
    <cfRule type="expression" dxfId="11332" priority="3043">
      <formula>#REF!="TO"</formula>
    </cfRule>
    <cfRule type="expression" dxfId="11331" priority="3044">
      <formula>#REF!="IO"</formula>
    </cfRule>
    <cfRule type="expression" dxfId="11330" priority="3045">
      <formula>#REF!="L"</formula>
    </cfRule>
    <cfRule type="expression" dxfId="11329" priority="3124">
      <formula>#REF!="TO"</formula>
    </cfRule>
    <cfRule type="expression" dxfId="11328" priority="3125">
      <formula>#REF!="IO"</formula>
    </cfRule>
    <cfRule type="expression" dxfId="11327" priority="3126">
      <formula>#REF!="L"</formula>
    </cfRule>
  </conditionalFormatting>
  <conditionalFormatting sqref="C30">
    <cfRule type="expression" dxfId="11326" priority="2992">
      <formula>#REF!="TO"</formula>
    </cfRule>
    <cfRule type="expression" dxfId="11325" priority="2993">
      <formula>#REF!="IO"</formula>
    </cfRule>
    <cfRule type="expression" dxfId="11324" priority="2994">
      <formula>#REF!="L"</formula>
    </cfRule>
    <cfRule type="expression" dxfId="11323" priority="3001">
      <formula>#REF!="TO"</formula>
    </cfRule>
    <cfRule type="expression" dxfId="11322" priority="3002">
      <formula>#REF!="IO"</formula>
    </cfRule>
    <cfRule type="expression" dxfId="11321" priority="3003">
      <formula>#REF!="L"</formula>
    </cfRule>
    <cfRule type="expression" dxfId="11320" priority="2998">
      <formula>#REF!="TO"</formula>
    </cfRule>
    <cfRule type="expression" dxfId="11319" priority="2999">
      <formula>#REF!="IO"</formula>
    </cfRule>
    <cfRule type="expression" dxfId="11318" priority="3000">
      <formula>#REF!="L"</formula>
    </cfRule>
    <cfRule type="expression" dxfId="11317" priority="2995">
      <formula>#REF!="TO"</formula>
    </cfRule>
    <cfRule type="expression" dxfId="11316" priority="2996">
      <formula>#REF!="IO"</formula>
    </cfRule>
    <cfRule type="expression" dxfId="11315" priority="2997">
      <formula>#REF!="L"</formula>
    </cfRule>
  </conditionalFormatting>
  <conditionalFormatting sqref="AA30">
    <cfRule type="expression" dxfId="11314" priority="3025">
      <formula>#REF!="TO"</formula>
    </cfRule>
    <cfRule type="expression" dxfId="11313" priority="3026">
      <formula>#REF!="IO"</formula>
    </cfRule>
    <cfRule type="expression" dxfId="11312" priority="3027">
      <formula>#REF!="L"</formula>
    </cfRule>
    <cfRule type="expression" dxfId="11311" priority="3019">
      <formula>#REF!="TO"</formula>
    </cfRule>
    <cfRule type="expression" dxfId="11310" priority="3020">
      <formula>#REF!="IO"</formula>
    </cfRule>
    <cfRule type="expression" dxfId="11309" priority="3021">
      <formula>#REF!="L"</formula>
    </cfRule>
    <cfRule type="expression" dxfId="11308" priority="3022">
      <formula>#REF!="TO"</formula>
    </cfRule>
    <cfRule type="expression" dxfId="11307" priority="3023">
      <formula>#REF!="IO"</formula>
    </cfRule>
    <cfRule type="expression" dxfId="11306" priority="3024">
      <formula>#REF!="L"</formula>
    </cfRule>
    <cfRule type="expression" dxfId="11305" priority="3016">
      <formula>#REF!="TO"</formula>
    </cfRule>
    <cfRule type="expression" dxfId="11304" priority="3017">
      <formula>#REF!="IO"</formula>
    </cfRule>
    <cfRule type="expression" dxfId="11303" priority="3018">
      <formula>#REF!="L"</formula>
    </cfRule>
  </conditionalFormatting>
  <conditionalFormatting sqref="Z30">
    <cfRule type="expression" dxfId="11302" priority="3013">
      <formula>#REF!="TO"</formula>
    </cfRule>
    <cfRule type="expression" dxfId="11301" priority="3014">
      <formula>#REF!="IO"</formula>
    </cfRule>
    <cfRule type="expression" dxfId="11300" priority="3015">
      <formula>#REF!="L"</formula>
    </cfRule>
    <cfRule type="expression" dxfId="11299" priority="3010">
      <formula>#REF!="TO"</formula>
    </cfRule>
    <cfRule type="expression" dxfId="11298" priority="3011">
      <formula>#REF!="IO"</formula>
    </cfRule>
    <cfRule type="expression" dxfId="11297" priority="3012">
      <formula>#REF!="L"</formula>
    </cfRule>
    <cfRule type="expression" dxfId="11296" priority="3007">
      <formula>#REF!="TO"</formula>
    </cfRule>
    <cfRule type="expression" dxfId="11295" priority="3008">
      <formula>#REF!="IO"</formula>
    </cfRule>
    <cfRule type="expression" dxfId="11294" priority="3009">
      <formula>#REF!="L"</formula>
    </cfRule>
    <cfRule type="expression" dxfId="11293" priority="3004">
      <formula>#REF!="TO"</formula>
    </cfRule>
    <cfRule type="expression" dxfId="11292" priority="3005">
      <formula>#REF!="IO"</formula>
    </cfRule>
    <cfRule type="expression" dxfId="11291" priority="3006">
      <formula>#REF!="L"</formula>
    </cfRule>
  </conditionalFormatting>
  <conditionalFormatting sqref="L30 O30:Q30">
    <cfRule type="expression" dxfId="11290" priority="2977">
      <formula>#REF!="TO"</formula>
    </cfRule>
    <cfRule type="expression" dxfId="11289" priority="2978">
      <formula>#REF!="IO"</formula>
    </cfRule>
    <cfRule type="expression" dxfId="11288" priority="2979">
      <formula>#REF!="L"</formula>
    </cfRule>
    <cfRule type="expression" dxfId="11287" priority="2971">
      <formula>#REF!="TO"</formula>
    </cfRule>
    <cfRule type="expression" dxfId="11286" priority="2972">
      <formula>#REF!="IO"</formula>
    </cfRule>
    <cfRule type="expression" dxfId="11285" priority="2973">
      <formula>#REF!="L"</formula>
    </cfRule>
    <cfRule type="expression" dxfId="11284" priority="2974">
      <formula>#REF!="TO"</formula>
    </cfRule>
    <cfRule type="expression" dxfId="11283" priority="2975">
      <formula>#REF!="IO"</formula>
    </cfRule>
    <cfRule type="expression" dxfId="11282" priority="2976">
      <formula>#REF!="L"</formula>
    </cfRule>
    <cfRule type="expression" dxfId="11281" priority="2968">
      <formula>#REF!="TO"</formula>
    </cfRule>
    <cfRule type="expression" dxfId="11280" priority="2969">
      <formula>#REF!="IO"</formula>
    </cfRule>
    <cfRule type="expression" dxfId="11279" priority="2970">
      <formula>#REF!="L"</formula>
    </cfRule>
  </conditionalFormatting>
  <conditionalFormatting sqref="BA30">
    <cfRule type="expression" dxfId="11278" priority="2965">
      <formula>#REF!="TO"</formula>
    </cfRule>
    <cfRule type="expression" dxfId="11277" priority="2966">
      <formula>#REF!="IO"</formula>
    </cfRule>
    <cfRule type="expression" dxfId="11276" priority="2967">
      <formula>#REF!="L"</formula>
    </cfRule>
    <cfRule type="expression" dxfId="11275" priority="2962">
      <formula>#REF!="TO"</formula>
    </cfRule>
    <cfRule type="expression" dxfId="11274" priority="2963">
      <formula>#REF!="IO"</formula>
    </cfRule>
    <cfRule type="expression" dxfId="11273" priority="2964">
      <formula>#REF!="L"</formula>
    </cfRule>
  </conditionalFormatting>
  <conditionalFormatting sqref="AW30:AZ30">
    <cfRule type="expression" dxfId="11272" priority="2959">
      <formula>#REF!="TO"</formula>
    </cfRule>
    <cfRule type="expression" dxfId="11271" priority="2960">
      <formula>#REF!="IO"</formula>
    </cfRule>
    <cfRule type="expression" dxfId="11270" priority="2961">
      <formula>#REF!="L"</formula>
    </cfRule>
    <cfRule type="expression" dxfId="11269" priority="2956">
      <formula>#REF!="TO"</formula>
    </cfRule>
    <cfRule type="expression" dxfId="11268" priority="2957">
      <formula>#REF!="IO"</formula>
    </cfRule>
    <cfRule type="expression" dxfId="11267" priority="2958">
      <formula>#REF!="L"</formula>
    </cfRule>
    <cfRule type="expression" dxfId="11266" priority="2953">
      <formula>#REF!="TO"</formula>
    </cfRule>
    <cfRule type="expression" dxfId="11265" priority="2954">
      <formula>#REF!="IO"</formula>
    </cfRule>
    <cfRule type="expression" dxfId="11264" priority="2955">
      <formula>#REF!="L"</formula>
    </cfRule>
    <cfRule type="expression" dxfId="11263" priority="2950">
      <formula>#REF!="TO"</formula>
    </cfRule>
    <cfRule type="expression" dxfId="11262" priority="2951">
      <formula>#REF!="IO"</formula>
    </cfRule>
    <cfRule type="expression" dxfId="11261" priority="2952">
      <formula>#REF!="L"</formula>
    </cfRule>
  </conditionalFormatting>
  <conditionalFormatting sqref="BC30">
    <cfRule type="expression" dxfId="11260" priority="2947">
      <formula>#REF!="TO"</formula>
    </cfRule>
    <cfRule type="expression" dxfId="11259" priority="2948">
      <formula>#REF!="IO"</formula>
    </cfRule>
    <cfRule type="expression" dxfId="11258" priority="2949">
      <formula>#REF!="L"</formula>
    </cfRule>
    <cfRule type="expression" dxfId="11257" priority="2944">
      <formula>#REF!="TO"</formula>
    </cfRule>
    <cfRule type="expression" dxfId="11256" priority="2945">
      <formula>#REF!="IO"</formula>
    </cfRule>
    <cfRule type="expression" dxfId="11255" priority="2946">
      <formula>#REF!="L"</formula>
    </cfRule>
  </conditionalFormatting>
  <conditionalFormatting sqref="AE30">
    <cfRule type="expression" dxfId="11254" priority="3052">
      <formula>#REF!="TO"</formula>
    </cfRule>
    <cfRule type="expression" dxfId="11253" priority="3053">
      <formula>#REF!="IO"</formula>
    </cfRule>
    <cfRule type="expression" dxfId="11252" priority="3054">
      <formula>#REF!="L"</formula>
    </cfRule>
    <cfRule type="expression" dxfId="11251" priority="3133">
      <formula>#REF!="TO"</formula>
    </cfRule>
    <cfRule type="expression" dxfId="11250" priority="3134">
      <formula>#REF!="IO"</formula>
    </cfRule>
    <cfRule type="expression" dxfId="11249" priority="3135">
      <formula>#REF!="L"</formula>
    </cfRule>
    <cfRule type="expression" dxfId="11248" priority="3136">
      <formula>E30="TO"</formula>
    </cfRule>
    <cfRule type="expression" dxfId="11247" priority="3137">
      <formula>E30="IO"</formula>
    </cfRule>
    <cfRule type="expression" dxfId="11246" priority="3138">
      <formula>E30="L"</formula>
    </cfRule>
    <cfRule type="expression" dxfId="11245" priority="3055">
      <formula>E30="TO"</formula>
    </cfRule>
    <cfRule type="expression" dxfId="11244" priority="3056">
      <formula>E30="IO"</formula>
    </cfRule>
    <cfRule type="expression" dxfId="11243" priority="3057">
      <formula>E30="L"</formula>
    </cfRule>
  </conditionalFormatting>
  <conditionalFormatting sqref="J30">
    <cfRule type="expression" dxfId="11242" priority="2938">
      <formula>#REF!="TO"</formula>
    </cfRule>
    <cfRule type="expression" dxfId="11241" priority="2939">
      <formula>#REF!="IO"</formula>
    </cfRule>
    <cfRule type="expression" dxfId="11240" priority="2940">
      <formula>#REF!="L"</formula>
    </cfRule>
    <cfRule type="expression" dxfId="11239" priority="2935">
      <formula>#REF!="TO"</formula>
    </cfRule>
    <cfRule type="expression" dxfId="11238" priority="2936">
      <formula>#REF!="IO"</formula>
    </cfRule>
    <cfRule type="expression" dxfId="11237" priority="2937">
      <formula>#REF!="L"</formula>
    </cfRule>
    <cfRule type="expression" dxfId="11236" priority="2932">
      <formula>#REF!="TO"</formula>
    </cfRule>
    <cfRule type="expression" dxfId="11235" priority="2933">
      <formula>#REF!="IO"</formula>
    </cfRule>
    <cfRule type="expression" dxfId="11234" priority="2934">
      <formula>#REF!="L"</formula>
    </cfRule>
    <cfRule type="expression" dxfId="11233" priority="2941">
      <formula>#REF!="TO"</formula>
    </cfRule>
    <cfRule type="expression" dxfId="11232" priority="2942">
      <formula>#REF!="IO"</formula>
    </cfRule>
    <cfRule type="expression" dxfId="11231" priority="2943">
      <formula>#REF!="L"</formula>
    </cfRule>
  </conditionalFormatting>
  <conditionalFormatting sqref="G30 I30">
    <cfRule type="expression" dxfId="11230" priority="2926">
      <formula>#REF!="TO"</formula>
    </cfRule>
    <cfRule type="expression" dxfId="11229" priority="2927">
      <formula>#REF!="IO"</formula>
    </cfRule>
    <cfRule type="expression" dxfId="11228" priority="2928">
      <formula>#REF!="L"</formula>
    </cfRule>
    <cfRule type="expression" dxfId="11227" priority="2929">
      <formula>#REF!="TO"</formula>
    </cfRule>
    <cfRule type="expression" dxfId="11226" priority="2930">
      <formula>#REF!="IO"</formula>
    </cfRule>
    <cfRule type="expression" dxfId="11225" priority="2931">
      <formula>#REF!="L"</formula>
    </cfRule>
  </conditionalFormatting>
  <conditionalFormatting sqref="H30">
    <cfRule type="expression" dxfId="11224" priority="2920">
      <formula>#REF!="TO"</formula>
    </cfRule>
    <cfRule type="expression" dxfId="11223" priority="2921">
      <formula>#REF!="IO"</formula>
    </cfRule>
    <cfRule type="expression" dxfId="11222" priority="2922">
      <formula>#REF!="L"</formula>
    </cfRule>
    <cfRule type="expression" dxfId="11221" priority="2914">
      <formula>#REF!="TO"</formula>
    </cfRule>
    <cfRule type="expression" dxfId="11220" priority="2915">
      <formula>#REF!="IO"</formula>
    </cfRule>
    <cfRule type="expression" dxfId="11219" priority="2916">
      <formula>#REF!="L"</formula>
    </cfRule>
    <cfRule type="expression" dxfId="11218" priority="2923">
      <formula>XEY30="TO"</formula>
    </cfRule>
    <cfRule type="expression" dxfId="11217" priority="2924">
      <formula>XEY30="IO"</formula>
    </cfRule>
    <cfRule type="expression" dxfId="11216" priority="2925">
      <formula>XEY30="L"</formula>
    </cfRule>
    <cfRule type="expression" dxfId="11215" priority="2917">
      <formula>XEY30="TO"</formula>
    </cfRule>
    <cfRule type="expression" dxfId="11214" priority="2918">
      <formula>XEY30="IO"</formula>
    </cfRule>
    <cfRule type="expression" dxfId="11213" priority="2919">
      <formula>XEY30="L"</formula>
    </cfRule>
  </conditionalFormatting>
  <conditionalFormatting sqref="M30">
    <cfRule type="expression" dxfId="11212" priority="2911">
      <formula>#REF!="TO"</formula>
    </cfRule>
    <cfRule type="expression" dxfId="11211" priority="2912">
      <formula>#REF!="IO"</formula>
    </cfRule>
    <cfRule type="expression" dxfId="11210" priority="2913">
      <formula>#REF!="L"</formula>
    </cfRule>
    <cfRule type="expression" dxfId="11209" priority="2905">
      <formula>#REF!="TO"</formula>
    </cfRule>
    <cfRule type="expression" dxfId="11208" priority="2906">
      <formula>#REF!="IO"</formula>
    </cfRule>
    <cfRule type="expression" dxfId="11207" priority="2907">
      <formula>#REF!="L"</formula>
    </cfRule>
    <cfRule type="expression" dxfId="11206" priority="2908">
      <formula>#REF!="TO"</formula>
    </cfRule>
    <cfRule type="expression" dxfId="11205" priority="2909">
      <formula>#REF!="IO"</formula>
    </cfRule>
    <cfRule type="expression" dxfId="11204" priority="2910">
      <formula>#REF!="L"</formula>
    </cfRule>
    <cfRule type="expression" dxfId="11203" priority="2902">
      <formula>#REF!="TO"</formula>
    </cfRule>
    <cfRule type="expression" dxfId="11202" priority="2903">
      <formula>#REF!="IO"</formula>
    </cfRule>
    <cfRule type="expression" dxfId="11201" priority="2904">
      <formula>#REF!="L"</formula>
    </cfRule>
  </conditionalFormatting>
  <conditionalFormatting sqref="N30">
    <cfRule type="expression" dxfId="11200" priority="2899">
      <formula>#REF!="TO"</formula>
    </cfRule>
    <cfRule type="expression" dxfId="11199" priority="2900">
      <formula>#REF!="IO"</formula>
    </cfRule>
    <cfRule type="expression" dxfId="11198" priority="2901">
      <formula>#REF!="L"</formula>
    </cfRule>
    <cfRule type="expression" dxfId="11197" priority="2896">
      <formula>#REF!="TO"</formula>
    </cfRule>
    <cfRule type="expression" dxfId="11196" priority="2897">
      <formula>#REF!="IO"</formula>
    </cfRule>
    <cfRule type="expression" dxfId="11195" priority="2898">
      <formula>#REF!="L"</formula>
    </cfRule>
  </conditionalFormatting>
  <conditionalFormatting sqref="AP30">
    <cfRule type="expression" dxfId="11194" priority="2893">
      <formula>#REF!="TO"</formula>
    </cfRule>
    <cfRule type="expression" dxfId="11193" priority="2894">
      <formula>#REF!="IO"</formula>
    </cfRule>
    <cfRule type="expression" dxfId="11192" priority="2895">
      <formula>#REF!="L"</formula>
    </cfRule>
    <cfRule type="expression" dxfId="11191" priority="2890">
      <formula>#REF!="TO"</formula>
    </cfRule>
    <cfRule type="expression" dxfId="11190" priority="2891">
      <formula>#REF!="IO"</formula>
    </cfRule>
    <cfRule type="expression" dxfId="11189" priority="2892">
      <formula>#REF!="L"</formula>
    </cfRule>
  </conditionalFormatting>
  <conditionalFormatting sqref="V30:Y30">
    <cfRule type="expression" dxfId="11188" priority="3160">
      <formula>#REF!="TO"</formula>
    </cfRule>
    <cfRule type="expression" dxfId="11187" priority="3161">
      <formula>#REF!="IO"</formula>
    </cfRule>
    <cfRule type="expression" dxfId="11186" priority="3162">
      <formula>#REF!="L"</formula>
    </cfRule>
  </conditionalFormatting>
  <conditionalFormatting sqref="A30">
    <cfRule type="expression" dxfId="11185" priority="3193">
      <formula>#REF!="TO"</formula>
    </cfRule>
    <cfRule type="expression" dxfId="11184" priority="3194">
      <formula>#REF!="IO"</formula>
    </cfRule>
    <cfRule type="expression" dxfId="11183" priority="3195">
      <formula>#REF!="L"</formula>
    </cfRule>
    <cfRule type="expression" dxfId="11182" priority="3109">
      <formula>#REF!="TO"</formula>
    </cfRule>
    <cfRule type="expression" dxfId="11181" priority="3110">
      <formula>#REF!="IO"</formula>
    </cfRule>
    <cfRule type="expression" dxfId="11180" priority="3111">
      <formula>#REF!="L"</formula>
    </cfRule>
  </conditionalFormatting>
  <conditionalFormatting sqref="E30:F30">
    <cfRule type="expression" dxfId="11179" priority="3187">
      <formula>#REF!="TO"</formula>
    </cfRule>
    <cfRule type="expression" dxfId="11178" priority="3188">
      <formula>#REF!="IO"</formula>
    </cfRule>
    <cfRule type="expression" dxfId="11177" priority="3189">
      <formula>#REF!="L"</formula>
    </cfRule>
    <cfRule type="expression" dxfId="11176" priority="3145">
      <formula>#REF!="TO"</formula>
    </cfRule>
    <cfRule type="expression" dxfId="11175" priority="3146">
      <formula>#REF!="IO"</formula>
    </cfRule>
    <cfRule type="expression" dxfId="11174" priority="3147">
      <formula>#REF!="L"</formula>
    </cfRule>
    <cfRule type="expression" dxfId="11173" priority="3103">
      <formula>#REF!="TO"</formula>
    </cfRule>
    <cfRule type="expression" dxfId="11172" priority="3104">
      <formula>#REF!="IO"</formula>
    </cfRule>
    <cfRule type="expression" dxfId="11171" priority="3105">
      <formula>#REF!="L"</formula>
    </cfRule>
    <cfRule type="expression" dxfId="11170" priority="3064">
      <formula>#REF!="TO"</formula>
    </cfRule>
    <cfRule type="expression" dxfId="11169" priority="3065">
      <formula>#REF!="IO"</formula>
    </cfRule>
    <cfRule type="expression" dxfId="11168" priority="3066">
      <formula>#REF!="L"</formula>
    </cfRule>
  </conditionalFormatting>
  <conditionalFormatting sqref="AB30:AD30">
    <cfRule type="expression" dxfId="11167" priority="3184">
      <formula>#REF!="TO"</formula>
    </cfRule>
    <cfRule type="expression" dxfId="11166" priority="3185">
      <formula>#REF!="IO"</formula>
    </cfRule>
    <cfRule type="expression" dxfId="11165" priority="3186">
      <formula>#REF!="L"</formula>
    </cfRule>
    <cfRule type="expression" dxfId="11164" priority="3100">
      <formula>#REF!="TO"</formula>
    </cfRule>
    <cfRule type="expression" dxfId="11163" priority="3101">
      <formula>#REF!="IO"</formula>
    </cfRule>
    <cfRule type="expression" dxfId="11162" priority="3102">
      <formula>#REF!="L"</formula>
    </cfRule>
  </conditionalFormatting>
  <conditionalFormatting sqref="AR30">
    <cfRule type="expression" dxfId="11161" priority="3181">
      <formula>#REF!="TO"</formula>
    </cfRule>
    <cfRule type="expression" dxfId="11160" priority="3182">
      <formula>#REF!="IO"</formula>
    </cfRule>
    <cfRule type="expression" dxfId="11159" priority="3183">
      <formula>#REF!="L"</formula>
    </cfRule>
    <cfRule type="expression" dxfId="11158" priority="3166">
      <formula>#REF!="TO"</formula>
    </cfRule>
    <cfRule type="expression" dxfId="11157" priority="3167">
      <formula>#REF!="IO"</formula>
    </cfRule>
    <cfRule type="expression" dxfId="11156" priority="3168">
      <formula>#REF!="L"</formula>
    </cfRule>
    <cfRule type="expression" dxfId="11155" priority="3085">
      <formula>#REF!="TO"</formula>
    </cfRule>
    <cfRule type="expression" dxfId="11154" priority="3086">
      <formula>#REF!="IO"</formula>
    </cfRule>
    <cfRule type="expression" dxfId="11153" priority="3087">
      <formula>#REF!="L"</formula>
    </cfRule>
    <cfRule type="expression" dxfId="11152" priority="3082">
      <formula>#REF!="TO"</formula>
    </cfRule>
    <cfRule type="expression" dxfId="11151" priority="3083">
      <formula>#REF!="IO"</formula>
    </cfRule>
    <cfRule type="expression" dxfId="11150" priority="3084">
      <formula>#REF!="L"</formula>
    </cfRule>
  </conditionalFormatting>
  <conditionalFormatting sqref="AH30">
    <cfRule type="expression" dxfId="11149" priority="3178">
      <formula>#REF!="TO"</formula>
    </cfRule>
    <cfRule type="expression" dxfId="11148" priority="3179">
      <formula>#REF!="IO"</formula>
    </cfRule>
    <cfRule type="expression" dxfId="11147" priority="3180">
      <formula>#REF!="L"</formula>
    </cfRule>
    <cfRule type="expression" dxfId="11146" priority="3097">
      <formula>#REF!="TO"</formula>
    </cfRule>
    <cfRule type="expression" dxfId="11145" priority="3098">
      <formula>#REF!="IO"</formula>
    </cfRule>
    <cfRule type="expression" dxfId="11144" priority="3099">
      <formula>#REF!="L"</formula>
    </cfRule>
  </conditionalFormatting>
  <conditionalFormatting sqref="AJ30:AK30">
    <cfRule type="expression" dxfId="11143" priority="3175">
      <formula>#REF!="TO"</formula>
    </cfRule>
    <cfRule type="expression" dxfId="11142" priority="3176">
      <formula>#REF!="IO"</formula>
    </cfRule>
    <cfRule type="expression" dxfId="11141" priority="3177">
      <formula>#REF!="L"</formula>
    </cfRule>
    <cfRule type="expression" dxfId="11140" priority="3142">
      <formula>#REF!="TO"</formula>
    </cfRule>
    <cfRule type="expression" dxfId="11139" priority="3143">
      <formula>#REF!="IO"</formula>
    </cfRule>
    <cfRule type="expression" dxfId="11138" priority="3144">
      <formula>#REF!="L"</formula>
    </cfRule>
    <cfRule type="expression" dxfId="11137" priority="3094">
      <formula>#REF!="TO"</formula>
    </cfRule>
    <cfRule type="expression" dxfId="11136" priority="3095">
      <formula>#REF!="IO"</formula>
    </cfRule>
    <cfRule type="expression" dxfId="11135" priority="3096">
      <formula>#REF!="L"</formula>
    </cfRule>
    <cfRule type="expression" dxfId="11134" priority="3061">
      <formula>#REF!="TO"</formula>
    </cfRule>
    <cfRule type="expression" dxfId="11133" priority="3062">
      <formula>#REF!="IO"</formula>
    </cfRule>
    <cfRule type="expression" dxfId="11132" priority="3063">
      <formula>#REF!="L"</formula>
    </cfRule>
  </conditionalFormatting>
  <conditionalFormatting sqref="AL30">
    <cfRule type="expression" dxfId="11131" priority="3172">
      <formula>#REF!="TO"</formula>
    </cfRule>
    <cfRule type="expression" dxfId="11130" priority="3173">
      <formula>#REF!="IO"</formula>
    </cfRule>
    <cfRule type="expression" dxfId="11129" priority="3174">
      <formula>#REF!="L"</formula>
    </cfRule>
    <cfRule type="expression" dxfId="11128" priority="3139">
      <formula>#REF!="TO"</formula>
    </cfRule>
    <cfRule type="expression" dxfId="11127" priority="3140">
      <formula>#REF!="IO"</formula>
    </cfRule>
    <cfRule type="expression" dxfId="11126" priority="3141">
      <formula>#REF!="L"</formula>
    </cfRule>
    <cfRule type="expression" dxfId="11125" priority="3091">
      <formula>#REF!="TO"</formula>
    </cfRule>
    <cfRule type="expression" dxfId="11124" priority="3092">
      <formula>#REF!="IO"</formula>
    </cfRule>
    <cfRule type="expression" dxfId="11123" priority="3093">
      <formula>#REF!="L"</formula>
    </cfRule>
    <cfRule type="expression" dxfId="11122" priority="3058">
      <formula>#REF!="TO"</formula>
    </cfRule>
    <cfRule type="expression" dxfId="11121" priority="3059">
      <formula>#REF!="IO"</formula>
    </cfRule>
    <cfRule type="expression" dxfId="11120" priority="3060">
      <formula>#REF!="L"</formula>
    </cfRule>
  </conditionalFormatting>
  <conditionalFormatting sqref="AN30">
    <cfRule type="expression" dxfId="11119" priority="3169">
      <formula>#REF!="TO"</formula>
    </cfRule>
    <cfRule type="expression" dxfId="11118" priority="3170">
      <formula>#REF!="IO"</formula>
    </cfRule>
    <cfRule type="expression" dxfId="11117" priority="3171">
      <formula>#REF!="L"</formula>
    </cfRule>
    <cfRule type="expression" dxfId="11116" priority="3088">
      <formula>#REF!="TO"</formula>
    </cfRule>
    <cfRule type="expression" dxfId="11115" priority="3089">
      <formula>#REF!="IO"</formula>
    </cfRule>
    <cfRule type="expression" dxfId="11114" priority="3090">
      <formula>#REF!="L"</formula>
    </cfRule>
  </conditionalFormatting>
  <conditionalFormatting sqref="AS30">
    <cfRule type="expression" dxfId="11113" priority="3163">
      <formula>#REF!="TO"</formula>
    </cfRule>
    <cfRule type="expression" dxfId="11112" priority="3164">
      <formula>#REF!="IO"</formula>
    </cfRule>
    <cfRule type="expression" dxfId="11111" priority="3165">
      <formula>#REF!="L"</formula>
    </cfRule>
    <cfRule type="expression" dxfId="11110" priority="3079">
      <formula>#REF!="TO"</formula>
    </cfRule>
    <cfRule type="expression" dxfId="11109" priority="3080">
      <formula>#REF!="IO"</formula>
    </cfRule>
    <cfRule type="expression" dxfId="11108" priority="3081">
      <formula>#REF!="L"</formula>
    </cfRule>
  </conditionalFormatting>
  <conditionalFormatting sqref="Y30">
    <cfRule type="expression" dxfId="11107" priority="3157">
      <formula>#REF!="TO"</formula>
    </cfRule>
    <cfRule type="expression" dxfId="11106" priority="3158">
      <formula>#REF!="IO"</formula>
    </cfRule>
    <cfRule type="expression" dxfId="11105" priority="3159">
      <formula>#REF!="L"</formula>
    </cfRule>
    <cfRule type="expression" dxfId="11104" priority="3076">
      <formula>#REF!="TO"</formula>
    </cfRule>
    <cfRule type="expression" dxfId="11103" priority="3077">
      <formula>#REF!="IO"</formula>
    </cfRule>
    <cfRule type="expression" dxfId="11102" priority="3078">
      <formula>#REF!="L"</formula>
    </cfRule>
  </conditionalFormatting>
  <conditionalFormatting sqref="AF30">
    <cfRule type="expression" dxfId="11101" priority="3151">
      <formula>#REF!="TO"</formula>
    </cfRule>
    <cfRule type="expression" dxfId="11100" priority="3152">
      <formula>#REF!="IO"</formula>
    </cfRule>
    <cfRule type="expression" dxfId="11099" priority="3153">
      <formula>#REF!="L"</formula>
    </cfRule>
    <cfRule type="expression" dxfId="11098" priority="3130">
      <formula>#REF!="TO"</formula>
    </cfRule>
    <cfRule type="expression" dxfId="11097" priority="3131">
      <formula>#REF!="IO"</formula>
    </cfRule>
    <cfRule type="expression" dxfId="11096" priority="3132">
      <formula>#REF!="L"</formula>
    </cfRule>
    <cfRule type="expression" dxfId="11095" priority="3070">
      <formula>#REF!="TO"</formula>
    </cfRule>
    <cfRule type="expression" dxfId="11094" priority="3071">
      <formula>#REF!="IO"</formula>
    </cfRule>
    <cfRule type="expression" dxfId="11093" priority="3072">
      <formula>#REF!="L"</formula>
    </cfRule>
    <cfRule type="expression" dxfId="11092" priority="3049">
      <formula>#REF!="TO"</formula>
    </cfRule>
    <cfRule type="expression" dxfId="11091" priority="3050">
      <formula>#REF!="IO"</formula>
    </cfRule>
    <cfRule type="expression" dxfId="11090" priority="3051">
      <formula>#REF!="L"</formula>
    </cfRule>
  </conditionalFormatting>
  <conditionalFormatting sqref="S30">
    <cfRule type="expression" dxfId="11089" priority="3127">
      <formula>#REF!="TO"</formula>
    </cfRule>
    <cfRule type="expression" dxfId="11088" priority="3128">
      <formula>#REF!="IO"</formula>
    </cfRule>
    <cfRule type="expression" dxfId="11087" priority="3129">
      <formula>#REF!="L"</formula>
    </cfRule>
    <cfRule type="expression" dxfId="11086" priority="3046">
      <formula>#REF!="TO"</formula>
    </cfRule>
    <cfRule type="expression" dxfId="11085" priority="3047">
      <formula>#REF!="IO"</formula>
    </cfRule>
    <cfRule type="expression" dxfId="11084" priority="3048">
      <formula>#REF!="L"</formula>
    </cfRule>
  </conditionalFormatting>
  <conditionalFormatting sqref="AD31">
    <cfRule type="expression" dxfId="11083" priority="2503">
      <formula>#REF!="TO"</formula>
    </cfRule>
    <cfRule type="expression" dxfId="11082" priority="2504">
      <formula>#REF!="IO"</formula>
    </cfRule>
    <cfRule type="expression" dxfId="11081" priority="2505">
      <formula>#REF!="L"</formula>
    </cfRule>
    <cfRule type="expression" dxfId="11080" priority="2509">
      <formula>#REF!="TO"</formula>
    </cfRule>
    <cfRule type="expression" dxfId="11079" priority="2510">
      <formula>#REF!="IO"</formula>
    </cfRule>
    <cfRule type="expression" dxfId="11078" priority="2511">
      <formula>#REF!="L"</formula>
    </cfRule>
    <cfRule type="expression" dxfId="11077" priority="2506">
      <formula>#REF!="TO"</formula>
    </cfRule>
    <cfRule type="expression" dxfId="11076" priority="2507">
      <formula>#REF!="IO"</formula>
    </cfRule>
    <cfRule type="expression" dxfId="11075" priority="2508">
      <formula>#REF!="L"</formula>
    </cfRule>
    <cfRule type="expression" dxfId="11074" priority="2500">
      <formula>#REF!="TO"</formula>
    </cfRule>
    <cfRule type="expression" dxfId="11073" priority="2501">
      <formula>#REF!="IO"</formula>
    </cfRule>
    <cfRule type="expression" dxfId="11072" priority="2502">
      <formula>#REF!="L"</formula>
    </cfRule>
  </conditionalFormatting>
  <conditionalFormatting sqref="AF31">
    <cfRule type="expression" dxfId="11071" priority="2569">
      <formula>#REF!="TO"</formula>
    </cfRule>
    <cfRule type="expression" dxfId="11070" priority="2570">
      <formula>#REF!="IO"</formula>
    </cfRule>
    <cfRule type="expression" dxfId="11069" priority="2571">
      <formula>#REF!="L"</formula>
    </cfRule>
    <cfRule type="expression" dxfId="11068" priority="2671">
      <formula>#REF!="TO"</formula>
    </cfRule>
    <cfRule type="expression" dxfId="11067" priority="2672">
      <formula>#REF!="IO"</formula>
    </cfRule>
    <cfRule type="expression" dxfId="11066" priority="2673">
      <formula>#REF!="L"</formula>
    </cfRule>
    <cfRule type="expression" dxfId="11065" priority="2650">
      <formula>#REF!="TO"</formula>
    </cfRule>
    <cfRule type="expression" dxfId="11064" priority="2651">
      <formula>#REF!="IO"</formula>
    </cfRule>
    <cfRule type="expression" dxfId="11063" priority="2652">
      <formula>#REF!="L"</formula>
    </cfRule>
    <cfRule type="expression" dxfId="11062" priority="2590">
      <formula>#REF!="TO"</formula>
    </cfRule>
    <cfRule type="expression" dxfId="11061" priority="2591">
      <formula>#REF!="IO"</formula>
    </cfRule>
    <cfRule type="expression" dxfId="11060" priority="2592">
      <formula>#REF!="L"</formula>
    </cfRule>
  </conditionalFormatting>
  <conditionalFormatting sqref="T31:U31">
    <cfRule type="expression" dxfId="11059" priority="2563">
      <formula>#REF!="TO"</formula>
    </cfRule>
    <cfRule type="expression" dxfId="11058" priority="2564">
      <formula>#REF!="IO"</formula>
    </cfRule>
    <cfRule type="expression" dxfId="11057" priority="2565">
      <formula>#REF!="L"</formula>
    </cfRule>
    <cfRule type="expression" dxfId="11056" priority="2644">
      <formula>#REF!="TO"</formula>
    </cfRule>
    <cfRule type="expression" dxfId="11055" priority="2645">
      <formula>#REF!="IO"</formula>
    </cfRule>
    <cfRule type="expression" dxfId="11054" priority="2646">
      <formula>#REF!="L"</formula>
    </cfRule>
  </conditionalFormatting>
  <conditionalFormatting sqref="V31:X31">
    <cfRule type="expression" dxfId="11053" priority="2560">
      <formula>#REF!="TO"</formula>
    </cfRule>
    <cfRule type="expression" dxfId="11052" priority="2561">
      <formula>#REF!="IO"</formula>
    </cfRule>
    <cfRule type="expression" dxfId="11051" priority="2562">
      <formula>#REF!="L"</formula>
    </cfRule>
  </conditionalFormatting>
  <conditionalFormatting sqref="P31">
    <cfRule type="expression" dxfId="11050" priority="2557">
      <formula>#REF!="TO"</formula>
    </cfRule>
    <cfRule type="expression" dxfId="11049" priority="2558">
      <formula>#REF!="IO"</formula>
    </cfRule>
    <cfRule type="expression" dxfId="11048" priority="2559">
      <formula>#REF!="L"</formula>
    </cfRule>
    <cfRule type="expression" dxfId="11047" priority="2554">
      <formula>#REF!="TO"</formula>
    </cfRule>
    <cfRule type="expression" dxfId="11046" priority="2555">
      <formula>#REF!="IO"</formula>
    </cfRule>
    <cfRule type="expression" dxfId="11045" priority="2556">
      <formula>#REF!="L"</formula>
    </cfRule>
    <cfRule type="expression" dxfId="11044" priority="2638">
      <formula>#REF!="TO"</formula>
    </cfRule>
    <cfRule type="expression" dxfId="11043" priority="2639">
      <formula>#REF!="IO"</formula>
    </cfRule>
    <cfRule type="expression" dxfId="11042" priority="2640">
      <formula>#REF!="L"</formula>
    </cfRule>
    <cfRule type="expression" dxfId="11041" priority="2641">
      <formula>#REF!="TO"</formula>
    </cfRule>
    <cfRule type="expression" dxfId="11040" priority="2642">
      <formula>#REF!="IO"</formula>
    </cfRule>
    <cfRule type="expression" dxfId="11039" priority="2643">
      <formula>#REF!="L"</formula>
    </cfRule>
  </conditionalFormatting>
  <conditionalFormatting sqref="Q31">
    <cfRule type="expression" dxfId="11038" priority="2551">
      <formula>#REF!="TO"</formula>
    </cfRule>
    <cfRule type="expression" dxfId="11037" priority="2552">
      <formula>#REF!="IO"</formula>
    </cfRule>
    <cfRule type="expression" dxfId="11036" priority="2553">
      <formula>#REF!="L"</formula>
    </cfRule>
    <cfRule type="expression" dxfId="11035" priority="2548">
      <formula>#REF!="TO"</formula>
    </cfRule>
    <cfRule type="expression" dxfId="11034" priority="2549">
      <formula>#REF!="IO"</formula>
    </cfRule>
    <cfRule type="expression" dxfId="11033" priority="2550">
      <formula>#REF!="L"</formula>
    </cfRule>
    <cfRule type="expression" dxfId="11032" priority="2635">
      <formula>#REF!="TO"</formula>
    </cfRule>
    <cfRule type="expression" dxfId="11031" priority="2636">
      <formula>#REF!="IO"</formula>
    </cfRule>
    <cfRule type="expression" dxfId="11030" priority="2637">
      <formula>#REF!="L"</formula>
    </cfRule>
    <cfRule type="expression" dxfId="11029" priority="2632">
      <formula>#REF!="TO"</formula>
    </cfRule>
    <cfRule type="expression" dxfId="11028" priority="2633">
      <formula>#REF!="IO"</formula>
    </cfRule>
    <cfRule type="expression" dxfId="11027" priority="2634">
      <formula>#REF!="L"</formula>
    </cfRule>
  </conditionalFormatting>
  <conditionalFormatting sqref="S31">
    <cfRule type="expression" dxfId="11026" priority="2566">
      <formula>#REF!="TO"</formula>
    </cfRule>
    <cfRule type="expression" dxfId="11025" priority="2567">
      <formula>#REF!="IO"</formula>
    </cfRule>
    <cfRule type="expression" dxfId="11024" priority="2568">
      <formula>#REF!="L"</formula>
    </cfRule>
    <cfRule type="expression" dxfId="11023" priority="2647">
      <formula>#REF!="TO"</formula>
    </cfRule>
    <cfRule type="expression" dxfId="11022" priority="2648">
      <formula>#REF!="IO"</formula>
    </cfRule>
    <cfRule type="expression" dxfId="11021" priority="2649">
      <formula>#REF!="L"</formula>
    </cfRule>
  </conditionalFormatting>
  <conditionalFormatting sqref="C31">
    <cfRule type="expression" dxfId="11020" priority="2515">
      <formula>#REF!="TO"</formula>
    </cfRule>
    <cfRule type="expression" dxfId="11019" priority="2516">
      <formula>#REF!="IO"</formula>
    </cfRule>
    <cfRule type="expression" dxfId="11018" priority="2517">
      <formula>#REF!="L"</formula>
    </cfRule>
    <cfRule type="expression" dxfId="11017" priority="2521">
      <formula>#REF!="TO"</formula>
    </cfRule>
    <cfRule type="expression" dxfId="11016" priority="2522">
      <formula>#REF!="IO"</formula>
    </cfRule>
    <cfRule type="expression" dxfId="11015" priority="2523">
      <formula>#REF!="L"</formula>
    </cfRule>
    <cfRule type="expression" dxfId="11014" priority="2518">
      <formula>#REF!="TO"</formula>
    </cfRule>
    <cfRule type="expression" dxfId="11013" priority="2519">
      <formula>#REF!="IO"</formula>
    </cfRule>
    <cfRule type="expression" dxfId="11012" priority="2520">
      <formula>#REF!="L"</formula>
    </cfRule>
    <cfRule type="expression" dxfId="11011" priority="2512">
      <formula>#REF!="TO"</formula>
    </cfRule>
    <cfRule type="expression" dxfId="11010" priority="2513">
      <formula>#REF!="IO"</formula>
    </cfRule>
    <cfRule type="expression" dxfId="11009" priority="2514">
      <formula>#REF!="L"</formula>
    </cfRule>
  </conditionalFormatting>
  <conditionalFormatting sqref="AA31">
    <cfRule type="expression" dxfId="11008" priority="2542">
      <formula>#REF!="TO"</formula>
    </cfRule>
    <cfRule type="expression" dxfId="11007" priority="2543">
      <formula>#REF!="IO"</formula>
    </cfRule>
    <cfRule type="expression" dxfId="11006" priority="2544">
      <formula>#REF!="L"</formula>
    </cfRule>
    <cfRule type="expression" dxfId="11005" priority="2545">
      <formula>#REF!="TO"</formula>
    </cfRule>
    <cfRule type="expression" dxfId="11004" priority="2546">
      <formula>#REF!="IO"</formula>
    </cfRule>
    <cfRule type="expression" dxfId="11003" priority="2547">
      <formula>#REF!="L"</formula>
    </cfRule>
    <cfRule type="expression" dxfId="11002" priority="2536">
      <formula>#REF!="TO"</formula>
    </cfRule>
    <cfRule type="expression" dxfId="11001" priority="2537">
      <formula>#REF!="IO"</formula>
    </cfRule>
    <cfRule type="expression" dxfId="11000" priority="2538">
      <formula>#REF!="L"</formula>
    </cfRule>
    <cfRule type="expression" dxfId="10999" priority="2539">
      <formula>#REF!="TO"</formula>
    </cfRule>
    <cfRule type="expression" dxfId="10998" priority="2540">
      <formula>#REF!="IO"</formula>
    </cfRule>
    <cfRule type="expression" dxfId="10997" priority="2541">
      <formula>#REF!="L"</formula>
    </cfRule>
  </conditionalFormatting>
  <conditionalFormatting sqref="Z31">
    <cfRule type="expression" dxfId="10996" priority="2533">
      <formula>#REF!="TO"</formula>
    </cfRule>
    <cfRule type="expression" dxfId="10995" priority="2534">
      <formula>#REF!="IO"</formula>
    </cfRule>
    <cfRule type="expression" dxfId="10994" priority="2535">
      <formula>#REF!="L"</formula>
    </cfRule>
    <cfRule type="expression" dxfId="10993" priority="2530">
      <formula>#REF!="TO"</formula>
    </cfRule>
    <cfRule type="expression" dxfId="10992" priority="2531">
      <formula>#REF!="IO"</formula>
    </cfRule>
    <cfRule type="expression" dxfId="10991" priority="2532">
      <formula>#REF!="L"</formula>
    </cfRule>
    <cfRule type="expression" dxfId="10990" priority="2527">
      <formula>#REF!="TO"</formula>
    </cfRule>
    <cfRule type="expression" dxfId="10989" priority="2528">
      <formula>#REF!="IO"</formula>
    </cfRule>
    <cfRule type="expression" dxfId="10988" priority="2529">
      <formula>#REF!="L"</formula>
    </cfRule>
    <cfRule type="expression" dxfId="10987" priority="2524">
      <formula>#REF!="TO"</formula>
    </cfRule>
    <cfRule type="expression" dxfId="10986" priority="2525">
      <formula>#REF!="IO"</formula>
    </cfRule>
    <cfRule type="expression" dxfId="10985" priority="2526">
      <formula>#REF!="L"</formula>
    </cfRule>
  </conditionalFormatting>
  <conditionalFormatting sqref="L31 O31:Q31">
    <cfRule type="expression" dxfId="10984" priority="2494">
      <formula>#REF!="TO"</formula>
    </cfRule>
    <cfRule type="expression" dxfId="10983" priority="2495">
      <formula>#REF!="IO"</formula>
    </cfRule>
    <cfRule type="expression" dxfId="10982" priority="2496">
      <formula>#REF!="L"</formula>
    </cfRule>
    <cfRule type="expression" dxfId="10981" priority="2488">
      <formula>#REF!="TO"</formula>
    </cfRule>
    <cfRule type="expression" dxfId="10980" priority="2489">
      <formula>#REF!="IO"</formula>
    </cfRule>
    <cfRule type="expression" dxfId="10979" priority="2490">
      <formula>#REF!="L"</formula>
    </cfRule>
    <cfRule type="expression" dxfId="10978" priority="2491">
      <formula>#REF!="TO"</formula>
    </cfRule>
    <cfRule type="expression" dxfId="10977" priority="2492">
      <formula>#REF!="IO"</formula>
    </cfRule>
    <cfRule type="expression" dxfId="10976" priority="2493">
      <formula>#REF!="L"</formula>
    </cfRule>
    <cfRule type="expression" dxfId="10975" priority="2497">
      <formula>#REF!="TO"</formula>
    </cfRule>
    <cfRule type="expression" dxfId="10974" priority="2498">
      <formula>#REF!="IO"</formula>
    </cfRule>
    <cfRule type="expression" dxfId="10973" priority="2499">
      <formula>#REF!="L"</formula>
    </cfRule>
  </conditionalFormatting>
  <conditionalFormatting sqref="BA31">
    <cfRule type="expression" dxfId="10972" priority="2482">
      <formula>#REF!="TO"</formula>
    </cfRule>
    <cfRule type="expression" dxfId="10971" priority="2483">
      <formula>#REF!="IO"</formula>
    </cfRule>
    <cfRule type="expression" dxfId="10970" priority="2484">
      <formula>#REF!="L"</formula>
    </cfRule>
    <cfRule type="expression" dxfId="10969" priority="2485">
      <formula>#REF!="TO"</formula>
    </cfRule>
    <cfRule type="expression" dxfId="10968" priority="2486">
      <formula>#REF!="IO"</formula>
    </cfRule>
    <cfRule type="expression" dxfId="10967" priority="2487">
      <formula>#REF!="L"</formula>
    </cfRule>
  </conditionalFormatting>
  <conditionalFormatting sqref="AW31:AZ31">
    <cfRule type="expression" dxfId="10966" priority="2479">
      <formula>#REF!="TO"</formula>
    </cfRule>
    <cfRule type="expression" dxfId="10965" priority="2480">
      <formula>#REF!="IO"</formula>
    </cfRule>
    <cfRule type="expression" dxfId="10964" priority="2481">
      <formula>#REF!="L"</formula>
    </cfRule>
    <cfRule type="expression" dxfId="10963" priority="2476">
      <formula>#REF!="TO"</formula>
    </cfRule>
    <cfRule type="expression" dxfId="10962" priority="2477">
      <formula>#REF!="IO"</formula>
    </cfRule>
    <cfRule type="expression" dxfId="10961" priority="2478">
      <formula>#REF!="L"</formula>
    </cfRule>
    <cfRule type="expression" dxfId="10960" priority="2473">
      <formula>#REF!="TO"</formula>
    </cfRule>
    <cfRule type="expression" dxfId="10959" priority="2474">
      <formula>#REF!="IO"</formula>
    </cfRule>
    <cfRule type="expression" dxfId="10958" priority="2475">
      <formula>#REF!="L"</formula>
    </cfRule>
    <cfRule type="expression" dxfId="10957" priority="2470">
      <formula>#REF!="TO"</formula>
    </cfRule>
    <cfRule type="expression" dxfId="10956" priority="2471">
      <formula>#REF!="IO"</formula>
    </cfRule>
    <cfRule type="expression" dxfId="10955" priority="2472">
      <formula>#REF!="L"</formula>
    </cfRule>
  </conditionalFormatting>
  <conditionalFormatting sqref="J31">
    <cfRule type="expression" dxfId="10954" priority="2461">
      <formula>#REF!="TO"</formula>
    </cfRule>
    <cfRule type="expression" dxfId="10953" priority="2462">
      <formula>#REF!="IO"</formula>
    </cfRule>
    <cfRule type="expression" dxfId="10952" priority="2463">
      <formula>#REF!="L"</formula>
    </cfRule>
    <cfRule type="expression" dxfId="10951" priority="2458">
      <formula>#REF!="TO"</formula>
    </cfRule>
    <cfRule type="expression" dxfId="10950" priority="2459">
      <formula>#REF!="IO"</formula>
    </cfRule>
    <cfRule type="expression" dxfId="10949" priority="2460">
      <formula>#REF!="L"</formula>
    </cfRule>
    <cfRule type="expression" dxfId="10948" priority="2455">
      <formula>#REF!="TO"</formula>
    </cfRule>
    <cfRule type="expression" dxfId="10947" priority="2456">
      <formula>#REF!="IO"</formula>
    </cfRule>
    <cfRule type="expression" dxfId="10946" priority="2457">
      <formula>#REF!="L"</formula>
    </cfRule>
    <cfRule type="expression" dxfId="10945" priority="2452">
      <formula>#REF!="TO"</formula>
    </cfRule>
    <cfRule type="expression" dxfId="10944" priority="2453">
      <formula>#REF!="IO"</formula>
    </cfRule>
    <cfRule type="expression" dxfId="10943" priority="2454">
      <formula>#REF!="L"</formula>
    </cfRule>
  </conditionalFormatting>
  <conditionalFormatting sqref="BC31">
    <cfRule type="expression" dxfId="10942" priority="2467">
      <formula>#REF!="TO"</formula>
    </cfRule>
    <cfRule type="expression" dxfId="10941" priority="2468">
      <formula>#REF!="IO"</formula>
    </cfRule>
    <cfRule type="expression" dxfId="10940" priority="2469">
      <formula>#REF!="L"</formula>
    </cfRule>
    <cfRule type="expression" dxfId="10939" priority="2464">
      <formula>#REF!="TO"</formula>
    </cfRule>
    <cfRule type="expression" dxfId="10938" priority="2465">
      <formula>#REF!="IO"</formula>
    </cfRule>
    <cfRule type="expression" dxfId="10937" priority="2466">
      <formula>#REF!="L"</formula>
    </cfRule>
  </conditionalFormatting>
  <conditionalFormatting sqref="G31 I31">
    <cfRule type="expression" dxfId="10936" priority="2449">
      <formula>#REF!="TO"</formula>
    </cfRule>
    <cfRule type="expression" dxfId="10935" priority="2450">
      <formula>#REF!="IO"</formula>
    </cfRule>
    <cfRule type="expression" dxfId="10934" priority="2451">
      <formula>#REF!="L"</formula>
    </cfRule>
    <cfRule type="expression" dxfId="10933" priority="2446">
      <formula>#REF!="TO"</formula>
    </cfRule>
    <cfRule type="expression" dxfId="10932" priority="2447">
      <formula>#REF!="IO"</formula>
    </cfRule>
    <cfRule type="expression" dxfId="10931" priority="2448">
      <formula>#REF!="L"</formula>
    </cfRule>
  </conditionalFormatting>
  <conditionalFormatting sqref="AL31">
    <cfRule type="expression" dxfId="10930" priority="2578">
      <formula>#REF!="TO"</formula>
    </cfRule>
    <cfRule type="expression" dxfId="10929" priority="2579">
      <formula>#REF!="IO"</formula>
    </cfRule>
    <cfRule type="expression" dxfId="10928" priority="2580">
      <formula>#REF!="L"</formula>
    </cfRule>
    <cfRule type="expression" dxfId="10927" priority="2692">
      <formula>#REF!="TO"</formula>
    </cfRule>
    <cfRule type="expression" dxfId="10926" priority="2693">
      <formula>#REF!="IO"</formula>
    </cfRule>
    <cfRule type="expression" dxfId="10925" priority="2694">
      <formula>#REF!="L"</formula>
    </cfRule>
    <cfRule type="expression" dxfId="10924" priority="2659">
      <formula>#REF!="TO"</formula>
    </cfRule>
    <cfRule type="expression" dxfId="10923" priority="2660">
      <formula>#REF!="IO"</formula>
    </cfRule>
    <cfRule type="expression" dxfId="10922" priority="2661">
      <formula>#REF!="L"</formula>
    </cfRule>
    <cfRule type="expression" dxfId="10921" priority="2611">
      <formula>#REF!="TO"</formula>
    </cfRule>
    <cfRule type="expression" dxfId="10920" priority="2612">
      <formula>#REF!="IO"</formula>
    </cfRule>
    <cfRule type="expression" dxfId="10919" priority="2613">
      <formula>#REF!="L"</formula>
    </cfRule>
  </conditionalFormatting>
  <conditionalFormatting sqref="H31">
    <cfRule type="expression" dxfId="10918" priority="2440">
      <formula>#REF!="TO"</formula>
    </cfRule>
    <cfRule type="expression" dxfId="10917" priority="2441">
      <formula>#REF!="IO"</formula>
    </cfRule>
    <cfRule type="expression" dxfId="10916" priority="2442">
      <formula>#REF!="L"</formula>
    </cfRule>
    <cfRule type="expression" dxfId="10915" priority="2434">
      <formula>#REF!="TO"</formula>
    </cfRule>
    <cfRule type="expression" dxfId="10914" priority="2435">
      <formula>#REF!="IO"</formula>
    </cfRule>
    <cfRule type="expression" dxfId="10913" priority="2436">
      <formula>#REF!="L"</formula>
    </cfRule>
    <cfRule type="expression" dxfId="10912" priority="2443">
      <formula>XEY31="TO"</formula>
    </cfRule>
    <cfRule type="expression" dxfId="10911" priority="2444">
      <formula>XEY31="IO"</formula>
    </cfRule>
    <cfRule type="expression" dxfId="10910" priority="2445">
      <formula>XEY31="L"</formula>
    </cfRule>
    <cfRule type="expression" dxfId="10909" priority="2437">
      <formula>XEY31="TO"</formula>
    </cfRule>
    <cfRule type="expression" dxfId="10908" priority="2438">
      <formula>XEY31="IO"</formula>
    </cfRule>
    <cfRule type="expression" dxfId="10907" priority="2439">
      <formula>XEY31="L"</formula>
    </cfRule>
  </conditionalFormatting>
  <conditionalFormatting sqref="M31">
    <cfRule type="expression" dxfId="10906" priority="2431">
      <formula>#REF!="TO"</formula>
    </cfRule>
    <cfRule type="expression" dxfId="10905" priority="2432">
      <formula>#REF!="IO"</formula>
    </cfRule>
    <cfRule type="expression" dxfId="10904" priority="2433">
      <formula>#REF!="L"</formula>
    </cfRule>
    <cfRule type="expression" dxfId="10903" priority="2422">
      <formula>#REF!="TO"</formula>
    </cfRule>
    <cfRule type="expression" dxfId="10902" priority="2423">
      <formula>#REF!="IO"</formula>
    </cfRule>
    <cfRule type="expression" dxfId="10901" priority="2424">
      <formula>#REF!="L"</formula>
    </cfRule>
    <cfRule type="expression" dxfId="10900" priority="2428">
      <formula>#REF!="TO"</formula>
    </cfRule>
    <cfRule type="expression" dxfId="10899" priority="2429">
      <formula>#REF!="IO"</formula>
    </cfRule>
    <cfRule type="expression" dxfId="10898" priority="2430">
      <formula>#REF!="L"</formula>
    </cfRule>
    <cfRule type="expression" dxfId="10897" priority="2425">
      <formula>#REF!="TO"</formula>
    </cfRule>
    <cfRule type="expression" dxfId="10896" priority="2426">
      <formula>#REF!="IO"</formula>
    </cfRule>
    <cfRule type="expression" dxfId="10895" priority="2427">
      <formula>#REF!="L"</formula>
    </cfRule>
  </conditionalFormatting>
  <conditionalFormatting sqref="N31">
    <cfRule type="expression" dxfId="10894" priority="2416">
      <formula>#REF!="TO"</formula>
    </cfRule>
    <cfRule type="expression" dxfId="10893" priority="2417">
      <formula>#REF!="IO"</formula>
    </cfRule>
    <cfRule type="expression" dxfId="10892" priority="2418">
      <formula>#REF!="L"</formula>
    </cfRule>
    <cfRule type="expression" dxfId="10891" priority="2419">
      <formula>#REF!="TO"</formula>
    </cfRule>
    <cfRule type="expression" dxfId="10890" priority="2420">
      <formula>#REF!="IO"</formula>
    </cfRule>
    <cfRule type="expression" dxfId="10889" priority="2421">
      <formula>#REF!="L"</formula>
    </cfRule>
  </conditionalFormatting>
  <conditionalFormatting sqref="AP31">
    <cfRule type="expression" dxfId="10888" priority="2413">
      <formula>#REF!="TO"</formula>
    </cfRule>
    <cfRule type="expression" dxfId="10887" priority="2414">
      <formula>#REF!="IO"</formula>
    </cfRule>
    <cfRule type="expression" dxfId="10886" priority="2415">
      <formula>#REF!="L"</formula>
    </cfRule>
    <cfRule type="expression" dxfId="10885" priority="2410">
      <formula>#REF!="TO"</formula>
    </cfRule>
    <cfRule type="expression" dxfId="10884" priority="2411">
      <formula>#REF!="IO"</formula>
    </cfRule>
    <cfRule type="expression" dxfId="10883" priority="2412">
      <formula>#REF!="L"</formula>
    </cfRule>
  </conditionalFormatting>
  <conditionalFormatting sqref="AU31:BA31">
    <cfRule type="expression" dxfId="10882" priority="2674">
      <formula>#REF!="TO"</formula>
    </cfRule>
    <cfRule type="expression" dxfId="10881" priority="2675">
      <formula>#REF!="IO"</formula>
    </cfRule>
    <cfRule type="expression" dxfId="10880" priority="2676">
      <formula>#REF!="L"</formula>
    </cfRule>
    <cfRule type="expression" dxfId="10879" priority="2593">
      <formula>#REF!="TO"</formula>
    </cfRule>
    <cfRule type="expression" dxfId="10878" priority="2594">
      <formula>#REF!="IO"</formula>
    </cfRule>
    <cfRule type="expression" dxfId="10877" priority="2595">
      <formula>#REF!="L"</formula>
    </cfRule>
  </conditionalFormatting>
  <conditionalFormatting sqref="B31">
    <cfRule type="expression" dxfId="10876" priority="2587">
      <formula>#REF!="TO"</formula>
    </cfRule>
    <cfRule type="expression" dxfId="10875" priority="2588">
      <formula>#REF!="IO"</formula>
    </cfRule>
    <cfRule type="expression" dxfId="10874" priority="2589">
      <formula>#REF!="L"</formula>
    </cfRule>
    <cfRule type="expression" dxfId="10873" priority="2710">
      <formula>#REF!="TO"</formula>
    </cfRule>
    <cfRule type="expression" dxfId="10872" priority="2711">
      <formula>#REF!="IO"</formula>
    </cfRule>
    <cfRule type="expression" dxfId="10871" priority="2712">
      <formula>#REF!="L"</formula>
    </cfRule>
    <cfRule type="expression" dxfId="10870" priority="2668">
      <formula>#REF!="TO"</formula>
    </cfRule>
    <cfRule type="expression" dxfId="10869" priority="2669">
      <formula>#REF!="IO"</formula>
    </cfRule>
    <cfRule type="expression" dxfId="10868" priority="2670">
      <formula>#REF!="L"</formula>
    </cfRule>
    <cfRule type="expression" dxfId="10867" priority="2626">
      <formula>#REF!="TO"</formula>
    </cfRule>
    <cfRule type="expression" dxfId="10866" priority="2627">
      <formula>#REF!="IO"</formula>
    </cfRule>
    <cfRule type="expression" dxfId="10865" priority="2628">
      <formula>#REF!="L"</formula>
    </cfRule>
  </conditionalFormatting>
  <conditionalFormatting sqref="V31:Y31">
    <cfRule type="expression" dxfId="10864" priority="2680">
      <formula>#REF!="TO"</formula>
    </cfRule>
    <cfRule type="expression" dxfId="10863" priority="2681">
      <formula>#REF!="IO"</formula>
    </cfRule>
    <cfRule type="expression" dxfId="10862" priority="2682">
      <formula>#REF!="L"</formula>
    </cfRule>
  </conditionalFormatting>
  <conditionalFormatting sqref="A31">
    <cfRule type="expression" dxfId="10861" priority="2713">
      <formula>#REF!="TO"</formula>
    </cfRule>
    <cfRule type="expression" dxfId="10860" priority="2714">
      <formula>#REF!="IO"</formula>
    </cfRule>
    <cfRule type="expression" dxfId="10859" priority="2715">
      <formula>#REF!="L"</formula>
    </cfRule>
    <cfRule type="expression" dxfId="10858" priority="2629">
      <formula>#REF!="TO"</formula>
    </cfRule>
    <cfRule type="expression" dxfId="10857" priority="2630">
      <formula>#REF!="IO"</formula>
    </cfRule>
    <cfRule type="expression" dxfId="10856" priority="2631">
      <formula>#REF!="L"</formula>
    </cfRule>
  </conditionalFormatting>
  <conditionalFormatting sqref="E31:F31">
    <cfRule type="expression" dxfId="10855" priority="2707">
      <formula>#REF!="TO"</formula>
    </cfRule>
    <cfRule type="expression" dxfId="10854" priority="2708">
      <formula>#REF!="IO"</formula>
    </cfRule>
    <cfRule type="expression" dxfId="10853" priority="2709">
      <formula>#REF!="L"</formula>
    </cfRule>
    <cfRule type="expression" dxfId="10852" priority="2665">
      <formula>#REF!="TO"</formula>
    </cfRule>
    <cfRule type="expression" dxfId="10851" priority="2666">
      <formula>#REF!="IO"</formula>
    </cfRule>
    <cfRule type="expression" dxfId="10850" priority="2667">
      <formula>#REF!="L"</formula>
    </cfRule>
    <cfRule type="expression" dxfId="10849" priority="2623">
      <formula>#REF!="TO"</formula>
    </cfRule>
    <cfRule type="expression" dxfId="10848" priority="2624">
      <formula>#REF!="IO"</formula>
    </cfRule>
    <cfRule type="expression" dxfId="10847" priority="2625">
      <formula>#REF!="L"</formula>
    </cfRule>
    <cfRule type="expression" dxfId="10846" priority="2584">
      <formula>#REF!="TO"</formula>
    </cfRule>
    <cfRule type="expression" dxfId="10845" priority="2585">
      <formula>#REF!="IO"</formula>
    </cfRule>
    <cfRule type="expression" dxfId="10844" priority="2586">
      <formula>#REF!="L"</formula>
    </cfRule>
  </conditionalFormatting>
  <conditionalFormatting sqref="AB31:AD31">
    <cfRule type="expression" dxfId="10843" priority="2704">
      <formula>#REF!="TO"</formula>
    </cfRule>
    <cfRule type="expression" dxfId="10842" priority="2705">
      <formula>#REF!="IO"</formula>
    </cfRule>
    <cfRule type="expression" dxfId="10841" priority="2706">
      <formula>#REF!="L"</formula>
    </cfRule>
    <cfRule type="expression" dxfId="10840" priority="2620">
      <formula>#REF!="TO"</formula>
    </cfRule>
    <cfRule type="expression" dxfId="10839" priority="2621">
      <formula>#REF!="IO"</formula>
    </cfRule>
    <cfRule type="expression" dxfId="10838" priority="2622">
      <formula>#REF!="L"</formula>
    </cfRule>
  </conditionalFormatting>
  <conditionalFormatting sqref="AR31">
    <cfRule type="expression" dxfId="10837" priority="2701">
      <formula>#REF!="TO"</formula>
    </cfRule>
    <cfRule type="expression" dxfId="10836" priority="2702">
      <formula>#REF!="IO"</formula>
    </cfRule>
    <cfRule type="expression" dxfId="10835" priority="2703">
      <formula>#REF!="L"</formula>
    </cfRule>
    <cfRule type="expression" dxfId="10834" priority="2686">
      <formula>#REF!="TO"</formula>
    </cfRule>
    <cfRule type="expression" dxfId="10833" priority="2687">
      <formula>#REF!="IO"</formula>
    </cfRule>
    <cfRule type="expression" dxfId="10832" priority="2688">
      <formula>#REF!="L"</formula>
    </cfRule>
    <cfRule type="expression" dxfId="10831" priority="2605">
      <formula>#REF!="TO"</formula>
    </cfRule>
    <cfRule type="expression" dxfId="10830" priority="2606">
      <formula>#REF!="IO"</formula>
    </cfRule>
    <cfRule type="expression" dxfId="10829" priority="2607">
      <formula>#REF!="L"</formula>
    </cfRule>
    <cfRule type="expression" dxfId="10828" priority="2602">
      <formula>#REF!="TO"</formula>
    </cfRule>
    <cfRule type="expression" dxfId="10827" priority="2603">
      <formula>#REF!="IO"</formula>
    </cfRule>
    <cfRule type="expression" dxfId="10826" priority="2604">
      <formula>#REF!="L"</formula>
    </cfRule>
  </conditionalFormatting>
  <conditionalFormatting sqref="AH31">
    <cfRule type="expression" dxfId="10825" priority="2698">
      <formula>#REF!="TO"</formula>
    </cfRule>
    <cfRule type="expression" dxfId="10824" priority="2699">
      <formula>#REF!="IO"</formula>
    </cfRule>
    <cfRule type="expression" dxfId="10823" priority="2700">
      <formula>#REF!="L"</formula>
    </cfRule>
    <cfRule type="expression" dxfId="10822" priority="2617">
      <formula>#REF!="TO"</formula>
    </cfRule>
    <cfRule type="expression" dxfId="10821" priority="2618">
      <formula>#REF!="IO"</formula>
    </cfRule>
    <cfRule type="expression" dxfId="10820" priority="2619">
      <formula>#REF!="L"</formula>
    </cfRule>
  </conditionalFormatting>
  <conditionalFormatting sqref="AJ31:AK31">
    <cfRule type="expression" dxfId="10819" priority="2695">
      <formula>#REF!="TO"</formula>
    </cfRule>
    <cfRule type="expression" dxfId="10818" priority="2696">
      <formula>#REF!="IO"</formula>
    </cfRule>
    <cfRule type="expression" dxfId="10817" priority="2697">
      <formula>#REF!="L"</formula>
    </cfRule>
    <cfRule type="expression" dxfId="10816" priority="2662">
      <formula>#REF!="TO"</formula>
    </cfRule>
    <cfRule type="expression" dxfId="10815" priority="2663">
      <formula>#REF!="IO"</formula>
    </cfRule>
    <cfRule type="expression" dxfId="10814" priority="2664">
      <formula>#REF!="L"</formula>
    </cfRule>
    <cfRule type="expression" dxfId="10813" priority="2614">
      <formula>#REF!="TO"</formula>
    </cfRule>
    <cfRule type="expression" dxfId="10812" priority="2615">
      <formula>#REF!="IO"</formula>
    </cfRule>
    <cfRule type="expression" dxfId="10811" priority="2616">
      <formula>#REF!="L"</formula>
    </cfRule>
    <cfRule type="expression" dxfId="10810" priority="2581">
      <formula>#REF!="TO"</formula>
    </cfRule>
    <cfRule type="expression" dxfId="10809" priority="2582">
      <formula>#REF!="IO"</formula>
    </cfRule>
    <cfRule type="expression" dxfId="10808" priority="2583">
      <formula>#REF!="L"</formula>
    </cfRule>
  </conditionalFormatting>
  <conditionalFormatting sqref="AN31">
    <cfRule type="expression" dxfId="10807" priority="2689">
      <formula>#REF!="TO"</formula>
    </cfRule>
    <cfRule type="expression" dxfId="10806" priority="2690">
      <formula>#REF!="IO"</formula>
    </cfRule>
    <cfRule type="expression" dxfId="10805" priority="2691">
      <formula>#REF!="L"</formula>
    </cfRule>
    <cfRule type="expression" dxfId="10804" priority="2608">
      <formula>#REF!="TO"</formula>
    </cfRule>
    <cfRule type="expression" dxfId="10803" priority="2609">
      <formula>#REF!="IO"</formula>
    </cfRule>
    <cfRule type="expression" dxfId="10802" priority="2610">
      <formula>#REF!="L"</formula>
    </cfRule>
  </conditionalFormatting>
  <conditionalFormatting sqref="AS31">
    <cfRule type="expression" dxfId="10801" priority="2683">
      <formula>#REF!="TO"</formula>
    </cfRule>
    <cfRule type="expression" dxfId="10800" priority="2684">
      <formula>#REF!="IO"</formula>
    </cfRule>
    <cfRule type="expression" dxfId="10799" priority="2685">
      <formula>#REF!="L"</formula>
    </cfRule>
    <cfRule type="expression" dxfId="10798" priority="2599">
      <formula>#REF!="TO"</formula>
    </cfRule>
    <cfRule type="expression" dxfId="10797" priority="2600">
      <formula>#REF!="IO"</formula>
    </cfRule>
    <cfRule type="expression" dxfId="10796" priority="2601">
      <formula>#REF!="L"</formula>
    </cfRule>
  </conditionalFormatting>
  <conditionalFormatting sqref="Y31">
    <cfRule type="expression" dxfId="10795" priority="2677">
      <formula>#REF!="TO"</formula>
    </cfRule>
    <cfRule type="expression" dxfId="10794" priority="2678">
      <formula>#REF!="IO"</formula>
    </cfRule>
    <cfRule type="expression" dxfId="10793" priority="2679">
      <formula>#REF!="L"</formula>
    </cfRule>
    <cfRule type="expression" dxfId="10792" priority="2596">
      <formula>#REF!="TO"</formula>
    </cfRule>
    <cfRule type="expression" dxfId="10791" priority="2597">
      <formula>#REF!="IO"</formula>
    </cfRule>
    <cfRule type="expression" dxfId="10790" priority="2598">
      <formula>#REF!="L"</formula>
    </cfRule>
  </conditionalFormatting>
  <conditionalFormatting sqref="AE31">
    <cfRule type="expression" dxfId="10789" priority="2653">
      <formula>#REF!="TO"</formula>
    </cfRule>
    <cfRule type="expression" dxfId="10788" priority="2654">
      <formula>#REF!="IO"</formula>
    </cfRule>
    <cfRule type="expression" dxfId="10787" priority="2655">
      <formula>#REF!="L"</formula>
    </cfRule>
    <cfRule type="expression" dxfId="10786" priority="2656">
      <formula>E31="TO"</formula>
    </cfRule>
    <cfRule type="expression" dxfId="10785" priority="2657">
      <formula>E31="IO"</formula>
    </cfRule>
    <cfRule type="expression" dxfId="10784" priority="2658">
      <formula>E31="L"</formula>
    </cfRule>
    <cfRule type="expression" dxfId="10783" priority="2572">
      <formula>#REF!="TO"</formula>
    </cfRule>
    <cfRule type="expression" dxfId="10782" priority="2573">
      <formula>#REF!="IO"</formula>
    </cfRule>
    <cfRule type="expression" dxfId="10781" priority="2574">
      <formula>#REF!="L"</formula>
    </cfRule>
    <cfRule type="expression" dxfId="10780" priority="2575">
      <formula>E31="TO"</formula>
    </cfRule>
    <cfRule type="expression" dxfId="10779" priority="2576">
      <formula>E31="IO"</formula>
    </cfRule>
    <cfRule type="expression" dxfId="10778" priority="2577">
      <formula>E31="L"</formula>
    </cfRule>
  </conditionalFormatting>
  <conditionalFormatting sqref="E32:F32">
    <cfRule type="expression" dxfId="10777" priority="2101">
      <formula>#REF!="TO"</formula>
    </cfRule>
    <cfRule type="expression" dxfId="10776" priority="2102">
      <formula>#REF!="IO"</formula>
    </cfRule>
    <cfRule type="expression" dxfId="10775" priority="2103">
      <formula>#REF!="L"</formula>
    </cfRule>
    <cfRule type="expression" dxfId="10774" priority="2224">
      <formula>#REF!="TO"</formula>
    </cfRule>
    <cfRule type="expression" dxfId="10773" priority="2225">
      <formula>#REF!="IO"</formula>
    </cfRule>
    <cfRule type="expression" dxfId="10772" priority="2226">
      <formula>#REF!="L"</formula>
    </cfRule>
    <cfRule type="expression" dxfId="10771" priority="2182">
      <formula>#REF!="TO"</formula>
    </cfRule>
    <cfRule type="expression" dxfId="10770" priority="2183">
      <formula>#REF!="IO"</formula>
    </cfRule>
    <cfRule type="expression" dxfId="10769" priority="2184">
      <formula>#REF!="L"</formula>
    </cfRule>
    <cfRule type="expression" dxfId="10768" priority="2140">
      <formula>#REF!="TO"</formula>
    </cfRule>
    <cfRule type="expression" dxfId="10767" priority="2141">
      <formula>#REF!="IO"</formula>
    </cfRule>
    <cfRule type="expression" dxfId="10766" priority="2142">
      <formula>#REF!="L"</formula>
    </cfRule>
  </conditionalFormatting>
  <conditionalFormatting sqref="AD32">
    <cfRule type="expression" dxfId="10765" priority="2020">
      <formula>#REF!="TO"</formula>
    </cfRule>
    <cfRule type="expression" dxfId="10764" priority="2021">
      <formula>#REF!="IO"</formula>
    </cfRule>
    <cfRule type="expression" dxfId="10763" priority="2022">
      <formula>#REF!="L"</formula>
    </cfRule>
    <cfRule type="expression" dxfId="10762" priority="2026">
      <formula>#REF!="TO"</formula>
    </cfRule>
    <cfRule type="expression" dxfId="10761" priority="2027">
      <formula>#REF!="IO"</formula>
    </cfRule>
    <cfRule type="expression" dxfId="10760" priority="2028">
      <formula>#REF!="L"</formula>
    </cfRule>
    <cfRule type="expression" dxfId="10759" priority="2023">
      <formula>#REF!="TO"</formula>
    </cfRule>
    <cfRule type="expression" dxfId="10758" priority="2024">
      <formula>#REF!="IO"</formula>
    </cfRule>
    <cfRule type="expression" dxfId="10757" priority="2025">
      <formula>#REF!="L"</formula>
    </cfRule>
    <cfRule type="expression" dxfId="10756" priority="2017">
      <formula>#REF!="TO"</formula>
    </cfRule>
    <cfRule type="expression" dxfId="10755" priority="2018">
      <formula>#REF!="IO"</formula>
    </cfRule>
    <cfRule type="expression" dxfId="10754" priority="2019">
      <formula>#REF!="L"</formula>
    </cfRule>
  </conditionalFormatting>
  <conditionalFormatting sqref="AF32">
    <cfRule type="expression" dxfId="10753" priority="2086">
      <formula>#REF!="TO"</formula>
    </cfRule>
    <cfRule type="expression" dxfId="10752" priority="2087">
      <formula>#REF!="IO"</formula>
    </cfRule>
    <cfRule type="expression" dxfId="10751" priority="2088">
      <formula>#REF!="L"</formula>
    </cfRule>
    <cfRule type="expression" dxfId="10750" priority="2188">
      <formula>#REF!="TO"</formula>
    </cfRule>
    <cfRule type="expression" dxfId="10749" priority="2189">
      <formula>#REF!="IO"</formula>
    </cfRule>
    <cfRule type="expression" dxfId="10748" priority="2190">
      <formula>#REF!="L"</formula>
    </cfRule>
    <cfRule type="expression" dxfId="10747" priority="2167">
      <formula>#REF!="TO"</formula>
    </cfRule>
    <cfRule type="expression" dxfId="10746" priority="2168">
      <formula>#REF!="IO"</formula>
    </cfRule>
    <cfRule type="expression" dxfId="10745" priority="2169">
      <formula>#REF!="L"</formula>
    </cfRule>
    <cfRule type="expression" dxfId="10744" priority="2107">
      <formula>#REF!="TO"</formula>
    </cfRule>
    <cfRule type="expression" dxfId="10743" priority="2108">
      <formula>#REF!="IO"</formula>
    </cfRule>
    <cfRule type="expression" dxfId="10742" priority="2109">
      <formula>#REF!="L"</formula>
    </cfRule>
  </conditionalFormatting>
  <conditionalFormatting sqref="T32:U32">
    <cfRule type="expression" dxfId="10741" priority="2080">
      <formula>#REF!="TO"</formula>
    </cfRule>
    <cfRule type="expression" dxfId="10740" priority="2081">
      <formula>#REF!="IO"</formula>
    </cfRule>
    <cfRule type="expression" dxfId="10739" priority="2082">
      <formula>#REF!="L"</formula>
    </cfRule>
    <cfRule type="expression" dxfId="10738" priority="2161">
      <formula>#REF!="TO"</formula>
    </cfRule>
    <cfRule type="expression" dxfId="10737" priority="2162">
      <formula>#REF!="IO"</formula>
    </cfRule>
    <cfRule type="expression" dxfId="10736" priority="2163">
      <formula>#REF!="L"</formula>
    </cfRule>
  </conditionalFormatting>
  <conditionalFormatting sqref="V32:X32">
    <cfRule type="expression" dxfId="10735" priority="2077">
      <formula>#REF!="TO"</formula>
    </cfRule>
    <cfRule type="expression" dxfId="10734" priority="2078">
      <formula>#REF!="IO"</formula>
    </cfRule>
    <cfRule type="expression" dxfId="10733" priority="2079">
      <formula>#REF!="L"</formula>
    </cfRule>
  </conditionalFormatting>
  <conditionalFormatting sqref="P32">
    <cfRule type="expression" dxfId="10732" priority="2074">
      <formula>#REF!="TO"</formula>
    </cfRule>
    <cfRule type="expression" dxfId="10731" priority="2075">
      <formula>#REF!="IO"</formula>
    </cfRule>
    <cfRule type="expression" dxfId="10730" priority="2076">
      <formula>#REF!="L"</formula>
    </cfRule>
    <cfRule type="expression" dxfId="10729" priority="2071">
      <formula>#REF!="TO"</formula>
    </cfRule>
    <cfRule type="expression" dxfId="10728" priority="2072">
      <formula>#REF!="IO"</formula>
    </cfRule>
    <cfRule type="expression" dxfId="10727" priority="2073">
      <formula>#REF!="L"</formula>
    </cfRule>
    <cfRule type="expression" dxfId="10726" priority="2155">
      <formula>#REF!="TO"</formula>
    </cfRule>
    <cfRule type="expression" dxfId="10725" priority="2156">
      <formula>#REF!="IO"</formula>
    </cfRule>
    <cfRule type="expression" dxfId="10724" priority="2157">
      <formula>#REF!="L"</formula>
    </cfRule>
    <cfRule type="expression" dxfId="10723" priority="2158">
      <formula>#REF!="TO"</formula>
    </cfRule>
    <cfRule type="expression" dxfId="10722" priority="2159">
      <formula>#REF!="IO"</formula>
    </cfRule>
    <cfRule type="expression" dxfId="10721" priority="2160">
      <formula>#REF!="L"</formula>
    </cfRule>
  </conditionalFormatting>
  <conditionalFormatting sqref="Q32">
    <cfRule type="expression" dxfId="10720" priority="2068">
      <formula>#REF!="TO"</formula>
    </cfRule>
    <cfRule type="expression" dxfId="10719" priority="2069">
      <formula>#REF!="IO"</formula>
    </cfRule>
    <cfRule type="expression" dxfId="10718" priority="2070">
      <formula>#REF!="L"</formula>
    </cfRule>
    <cfRule type="expression" dxfId="10717" priority="2065">
      <formula>#REF!="TO"</formula>
    </cfRule>
    <cfRule type="expression" dxfId="10716" priority="2066">
      <formula>#REF!="IO"</formula>
    </cfRule>
    <cfRule type="expression" dxfId="10715" priority="2067">
      <formula>#REF!="L"</formula>
    </cfRule>
    <cfRule type="expression" dxfId="10714" priority="2152">
      <formula>#REF!="TO"</formula>
    </cfRule>
    <cfRule type="expression" dxfId="10713" priority="2153">
      <formula>#REF!="IO"</formula>
    </cfRule>
    <cfRule type="expression" dxfId="10712" priority="2154">
      <formula>#REF!="L"</formula>
    </cfRule>
    <cfRule type="expression" dxfId="10711" priority="2149">
      <formula>#REF!="TO"</formula>
    </cfRule>
    <cfRule type="expression" dxfId="10710" priority="2150">
      <formula>#REF!="IO"</formula>
    </cfRule>
    <cfRule type="expression" dxfId="10709" priority="2151">
      <formula>#REF!="L"</formula>
    </cfRule>
  </conditionalFormatting>
  <conditionalFormatting sqref="S32">
    <cfRule type="expression" dxfId="10708" priority="2083">
      <formula>#REF!="TO"</formula>
    </cfRule>
    <cfRule type="expression" dxfId="10707" priority="2084">
      <formula>#REF!="IO"</formula>
    </cfRule>
    <cfRule type="expression" dxfId="10706" priority="2085">
      <formula>#REF!="L"</formula>
    </cfRule>
    <cfRule type="expression" dxfId="10705" priority="2164">
      <formula>#REF!="TO"</formula>
    </cfRule>
    <cfRule type="expression" dxfId="10704" priority="2165">
      <formula>#REF!="IO"</formula>
    </cfRule>
    <cfRule type="expression" dxfId="10703" priority="2166">
      <formula>#REF!="L"</formula>
    </cfRule>
  </conditionalFormatting>
  <conditionalFormatting sqref="C32">
    <cfRule type="expression" dxfId="10702" priority="2032">
      <formula>#REF!="TO"</formula>
    </cfRule>
    <cfRule type="expression" dxfId="10701" priority="2033">
      <formula>#REF!="IO"</formula>
    </cfRule>
    <cfRule type="expression" dxfId="10700" priority="2034">
      <formula>#REF!="L"</formula>
    </cfRule>
    <cfRule type="expression" dxfId="10699" priority="2038">
      <formula>#REF!="TO"</formula>
    </cfRule>
    <cfRule type="expression" dxfId="10698" priority="2039">
      <formula>#REF!="IO"</formula>
    </cfRule>
    <cfRule type="expression" dxfId="10697" priority="2040">
      <formula>#REF!="L"</formula>
    </cfRule>
    <cfRule type="expression" dxfId="10696" priority="2035">
      <formula>#REF!="TO"</formula>
    </cfRule>
    <cfRule type="expression" dxfId="10695" priority="2036">
      <formula>#REF!="IO"</formula>
    </cfRule>
    <cfRule type="expression" dxfId="10694" priority="2037">
      <formula>#REF!="L"</formula>
    </cfRule>
    <cfRule type="expression" dxfId="10693" priority="2029">
      <formula>#REF!="TO"</formula>
    </cfRule>
    <cfRule type="expression" dxfId="10692" priority="2030">
      <formula>#REF!="IO"</formula>
    </cfRule>
    <cfRule type="expression" dxfId="10691" priority="2031">
      <formula>#REF!="L"</formula>
    </cfRule>
  </conditionalFormatting>
  <conditionalFormatting sqref="AA32">
    <cfRule type="expression" dxfId="10690" priority="2059">
      <formula>#REF!="TO"</formula>
    </cfRule>
    <cfRule type="expression" dxfId="10689" priority="2060">
      <formula>#REF!="IO"</formula>
    </cfRule>
    <cfRule type="expression" dxfId="10688" priority="2061">
      <formula>#REF!="L"</formula>
    </cfRule>
    <cfRule type="expression" dxfId="10687" priority="2062">
      <formula>#REF!="TO"</formula>
    </cfRule>
    <cfRule type="expression" dxfId="10686" priority="2063">
      <formula>#REF!="IO"</formula>
    </cfRule>
    <cfRule type="expression" dxfId="10685" priority="2064">
      <formula>#REF!="L"</formula>
    </cfRule>
    <cfRule type="expression" dxfId="10684" priority="2053">
      <formula>#REF!="TO"</formula>
    </cfRule>
    <cfRule type="expression" dxfId="10683" priority="2054">
      <formula>#REF!="IO"</formula>
    </cfRule>
    <cfRule type="expression" dxfId="10682" priority="2055">
      <formula>#REF!="L"</formula>
    </cfRule>
    <cfRule type="expression" dxfId="10681" priority="2056">
      <formula>#REF!="TO"</formula>
    </cfRule>
    <cfRule type="expression" dxfId="10680" priority="2057">
      <formula>#REF!="IO"</formula>
    </cfRule>
    <cfRule type="expression" dxfId="10679" priority="2058">
      <formula>#REF!="L"</formula>
    </cfRule>
  </conditionalFormatting>
  <conditionalFormatting sqref="Z32">
    <cfRule type="expression" dxfId="10678" priority="2050">
      <formula>#REF!="TO"</formula>
    </cfRule>
    <cfRule type="expression" dxfId="10677" priority="2051">
      <formula>#REF!="IO"</formula>
    </cfRule>
    <cfRule type="expression" dxfId="10676" priority="2052">
      <formula>#REF!="L"</formula>
    </cfRule>
    <cfRule type="expression" dxfId="10675" priority="2047">
      <formula>#REF!="TO"</formula>
    </cfRule>
    <cfRule type="expression" dxfId="10674" priority="2048">
      <formula>#REF!="IO"</formula>
    </cfRule>
    <cfRule type="expression" dxfId="10673" priority="2049">
      <formula>#REF!="L"</formula>
    </cfRule>
    <cfRule type="expression" dxfId="10672" priority="2044">
      <formula>#REF!="TO"</formula>
    </cfRule>
    <cfRule type="expression" dxfId="10671" priority="2045">
      <formula>#REF!="IO"</formula>
    </cfRule>
    <cfRule type="expression" dxfId="10670" priority="2046">
      <formula>#REF!="L"</formula>
    </cfRule>
    <cfRule type="expression" dxfId="10669" priority="2041">
      <formula>#REF!="TO"</formula>
    </cfRule>
    <cfRule type="expression" dxfId="10668" priority="2042">
      <formula>#REF!="IO"</formula>
    </cfRule>
    <cfRule type="expression" dxfId="10667" priority="2043">
      <formula>#REF!="L"</formula>
    </cfRule>
  </conditionalFormatting>
  <conditionalFormatting sqref="L32 O32:Q32">
    <cfRule type="expression" dxfId="10666" priority="2011">
      <formula>#REF!="TO"</formula>
    </cfRule>
    <cfRule type="expression" dxfId="10665" priority="2012">
      <formula>#REF!="IO"</formula>
    </cfRule>
    <cfRule type="expression" dxfId="10664" priority="2013">
      <formula>#REF!="L"</formula>
    </cfRule>
    <cfRule type="expression" dxfId="10663" priority="2005">
      <formula>#REF!="TO"</formula>
    </cfRule>
    <cfRule type="expression" dxfId="10662" priority="2006">
      <formula>#REF!="IO"</formula>
    </cfRule>
    <cfRule type="expression" dxfId="10661" priority="2007">
      <formula>#REF!="L"</formula>
    </cfRule>
    <cfRule type="expression" dxfId="10660" priority="2008">
      <formula>#REF!="TO"</formula>
    </cfRule>
    <cfRule type="expression" dxfId="10659" priority="2009">
      <formula>#REF!="IO"</formula>
    </cfRule>
    <cfRule type="expression" dxfId="10658" priority="2010">
      <formula>#REF!="L"</formula>
    </cfRule>
    <cfRule type="expression" dxfId="10657" priority="2014">
      <formula>#REF!="TO"</formula>
    </cfRule>
    <cfRule type="expression" dxfId="10656" priority="2015">
      <formula>#REF!="IO"</formula>
    </cfRule>
    <cfRule type="expression" dxfId="10655" priority="2016">
      <formula>#REF!="L"</formula>
    </cfRule>
  </conditionalFormatting>
  <conditionalFormatting sqref="BA32">
    <cfRule type="expression" dxfId="10654" priority="2002">
      <formula>#REF!="TO"</formula>
    </cfRule>
    <cfRule type="expression" dxfId="10653" priority="2003">
      <formula>#REF!="IO"</formula>
    </cfRule>
    <cfRule type="expression" dxfId="10652" priority="2004">
      <formula>#REF!="L"</formula>
    </cfRule>
    <cfRule type="expression" dxfId="10651" priority="1999">
      <formula>#REF!="TO"</formula>
    </cfRule>
    <cfRule type="expression" dxfId="10650" priority="2000">
      <formula>#REF!="IO"</formula>
    </cfRule>
    <cfRule type="expression" dxfId="10649" priority="2001">
      <formula>#REF!="L"</formula>
    </cfRule>
  </conditionalFormatting>
  <conditionalFormatting sqref="AW32:AZ32">
    <cfRule type="expression" dxfId="10648" priority="1996">
      <formula>#REF!="TO"</formula>
    </cfRule>
    <cfRule type="expression" dxfId="10647" priority="1997">
      <formula>#REF!="IO"</formula>
    </cfRule>
    <cfRule type="expression" dxfId="10646" priority="1998">
      <formula>#REF!="L"</formula>
    </cfRule>
    <cfRule type="expression" dxfId="10645" priority="1993">
      <formula>#REF!="TO"</formula>
    </cfRule>
    <cfRule type="expression" dxfId="10644" priority="1994">
      <formula>#REF!="IO"</formula>
    </cfRule>
    <cfRule type="expression" dxfId="10643" priority="1995">
      <formula>#REF!="L"</formula>
    </cfRule>
    <cfRule type="expression" dxfId="10642" priority="1990">
      <formula>#REF!="TO"</formula>
    </cfRule>
    <cfRule type="expression" dxfId="10641" priority="1991">
      <formula>#REF!="IO"</formula>
    </cfRule>
    <cfRule type="expression" dxfId="10640" priority="1992">
      <formula>#REF!="L"</formula>
    </cfRule>
    <cfRule type="expression" dxfId="10639" priority="1987">
      <formula>#REF!="TO"</formula>
    </cfRule>
    <cfRule type="expression" dxfId="10638" priority="1988">
      <formula>#REF!="IO"</formula>
    </cfRule>
    <cfRule type="expression" dxfId="10637" priority="1989">
      <formula>#REF!="L"</formula>
    </cfRule>
  </conditionalFormatting>
  <conditionalFormatting sqref="BC32">
    <cfRule type="expression" dxfId="10636" priority="1981">
      <formula>#REF!="TO"</formula>
    </cfRule>
    <cfRule type="expression" dxfId="10635" priority="1982">
      <formula>#REF!="IO"</formula>
    </cfRule>
    <cfRule type="expression" dxfId="10634" priority="1983">
      <formula>#REF!="L"</formula>
    </cfRule>
    <cfRule type="expression" dxfId="10633" priority="1984">
      <formula>#REF!="TO"</formula>
    </cfRule>
    <cfRule type="expression" dxfId="10632" priority="1985">
      <formula>#REF!="IO"</formula>
    </cfRule>
    <cfRule type="expression" dxfId="10631" priority="1986">
      <formula>#REF!="L"</formula>
    </cfRule>
  </conditionalFormatting>
  <conditionalFormatting sqref="J32">
    <cfRule type="expression" dxfId="10630" priority="1978">
      <formula>#REF!="TO"</formula>
    </cfRule>
    <cfRule type="expression" dxfId="10629" priority="1979">
      <formula>#REF!="IO"</formula>
    </cfRule>
    <cfRule type="expression" dxfId="10628" priority="1980">
      <formula>#REF!="L"</formula>
    </cfRule>
    <cfRule type="expression" dxfId="10627" priority="1975">
      <formula>#REF!="TO"</formula>
    </cfRule>
    <cfRule type="expression" dxfId="10626" priority="1976">
      <formula>#REF!="IO"</formula>
    </cfRule>
    <cfRule type="expression" dxfId="10625" priority="1977">
      <formula>#REF!="L"</formula>
    </cfRule>
    <cfRule type="expression" dxfId="10624" priority="1969">
      <formula>#REF!="TO"</formula>
    </cfRule>
    <cfRule type="expression" dxfId="10623" priority="1970">
      <formula>#REF!="IO"</formula>
    </cfRule>
    <cfRule type="expression" dxfId="10622" priority="1971">
      <formula>#REF!="L"</formula>
    </cfRule>
    <cfRule type="expression" dxfId="10621" priority="1972">
      <formula>#REF!="TO"</formula>
    </cfRule>
    <cfRule type="expression" dxfId="10620" priority="1973">
      <formula>#REF!="IO"</formula>
    </cfRule>
    <cfRule type="expression" dxfId="10619" priority="1974">
      <formula>#REF!="L"</formula>
    </cfRule>
  </conditionalFormatting>
  <conditionalFormatting sqref="G32 I32">
    <cfRule type="expression" dxfId="10618" priority="1966">
      <formula>#REF!="TO"</formula>
    </cfRule>
    <cfRule type="expression" dxfId="10617" priority="1967">
      <formula>#REF!="IO"</formula>
    </cfRule>
    <cfRule type="expression" dxfId="10616" priority="1968">
      <formula>#REF!="L"</formula>
    </cfRule>
    <cfRule type="expression" dxfId="10615" priority="1963">
      <formula>#REF!="TO"</formula>
    </cfRule>
    <cfRule type="expression" dxfId="10614" priority="1964">
      <formula>#REF!="IO"</formula>
    </cfRule>
    <cfRule type="expression" dxfId="10613" priority="1965">
      <formula>#REF!="L"</formula>
    </cfRule>
  </conditionalFormatting>
  <conditionalFormatting sqref="AL32">
    <cfRule type="expression" dxfId="10612" priority="2095">
      <formula>#REF!="TO"</formula>
    </cfRule>
    <cfRule type="expression" dxfId="10611" priority="2096">
      <formula>#REF!="IO"</formula>
    </cfRule>
    <cfRule type="expression" dxfId="10610" priority="2097">
      <formula>#REF!="L"</formula>
    </cfRule>
    <cfRule type="expression" dxfId="10609" priority="2209">
      <formula>#REF!="TO"</formula>
    </cfRule>
    <cfRule type="expression" dxfId="10608" priority="2210">
      <formula>#REF!="IO"</formula>
    </cfRule>
    <cfRule type="expression" dxfId="10607" priority="2211">
      <formula>#REF!="L"</formula>
    </cfRule>
    <cfRule type="expression" dxfId="10606" priority="2176">
      <formula>#REF!="TO"</formula>
    </cfRule>
    <cfRule type="expression" dxfId="10605" priority="2177">
      <formula>#REF!="IO"</formula>
    </cfRule>
    <cfRule type="expression" dxfId="10604" priority="2178">
      <formula>#REF!="L"</formula>
    </cfRule>
    <cfRule type="expression" dxfId="10603" priority="2128">
      <formula>#REF!="TO"</formula>
    </cfRule>
    <cfRule type="expression" dxfId="10602" priority="2129">
      <formula>#REF!="IO"</formula>
    </cfRule>
    <cfRule type="expression" dxfId="10601" priority="2130">
      <formula>#REF!="L"</formula>
    </cfRule>
  </conditionalFormatting>
  <conditionalFormatting sqref="H32">
    <cfRule type="expression" dxfId="10600" priority="1957">
      <formula>#REF!="TO"</formula>
    </cfRule>
    <cfRule type="expression" dxfId="10599" priority="1958">
      <formula>#REF!="IO"</formula>
    </cfRule>
    <cfRule type="expression" dxfId="10598" priority="1959">
      <formula>#REF!="L"</formula>
    </cfRule>
    <cfRule type="expression" dxfId="10597" priority="1951">
      <formula>#REF!="TO"</formula>
    </cfRule>
    <cfRule type="expression" dxfId="10596" priority="1952">
      <formula>#REF!="IO"</formula>
    </cfRule>
    <cfRule type="expression" dxfId="10595" priority="1953">
      <formula>#REF!="L"</formula>
    </cfRule>
    <cfRule type="expression" dxfId="10594" priority="1960">
      <formula>XEY32="TO"</formula>
    </cfRule>
    <cfRule type="expression" dxfId="10593" priority="1961">
      <formula>XEY32="IO"</formula>
    </cfRule>
    <cfRule type="expression" dxfId="10592" priority="1962">
      <formula>XEY32="L"</formula>
    </cfRule>
    <cfRule type="expression" dxfId="10591" priority="1954">
      <formula>XEY32="TO"</formula>
    </cfRule>
    <cfRule type="expression" dxfId="10590" priority="1955">
      <formula>XEY32="IO"</formula>
    </cfRule>
    <cfRule type="expression" dxfId="10589" priority="1956">
      <formula>XEY32="L"</formula>
    </cfRule>
  </conditionalFormatting>
  <conditionalFormatting sqref="M32">
    <cfRule type="expression" dxfId="10588" priority="1948">
      <formula>#REF!="TO"</formula>
    </cfRule>
    <cfRule type="expression" dxfId="10587" priority="1949">
      <formula>#REF!="IO"</formula>
    </cfRule>
    <cfRule type="expression" dxfId="10586" priority="1950">
      <formula>#REF!="L"</formula>
    </cfRule>
    <cfRule type="expression" dxfId="10585" priority="1942">
      <formula>#REF!="TO"</formula>
    </cfRule>
    <cfRule type="expression" dxfId="10584" priority="1943">
      <formula>#REF!="IO"</formula>
    </cfRule>
    <cfRule type="expression" dxfId="10583" priority="1944">
      <formula>#REF!="L"</formula>
    </cfRule>
    <cfRule type="expression" dxfId="10582" priority="1945">
      <formula>#REF!="TO"</formula>
    </cfRule>
    <cfRule type="expression" dxfId="10581" priority="1946">
      <formula>#REF!="IO"</formula>
    </cfRule>
    <cfRule type="expression" dxfId="10580" priority="1947">
      <formula>#REF!="L"</formula>
    </cfRule>
    <cfRule type="expression" dxfId="10579" priority="1939">
      <formula>#REF!="TO"</formula>
    </cfRule>
    <cfRule type="expression" dxfId="10578" priority="1940">
      <formula>#REF!="IO"</formula>
    </cfRule>
    <cfRule type="expression" dxfId="10577" priority="1941">
      <formula>#REF!="L"</formula>
    </cfRule>
  </conditionalFormatting>
  <conditionalFormatting sqref="N32">
    <cfRule type="expression" dxfId="10576" priority="1936">
      <formula>#REF!="TO"</formula>
    </cfRule>
    <cfRule type="expression" dxfId="10575" priority="1937">
      <formula>#REF!="IO"</formula>
    </cfRule>
    <cfRule type="expression" dxfId="10574" priority="1938">
      <formula>#REF!="L"</formula>
    </cfRule>
    <cfRule type="expression" dxfId="10573" priority="1933">
      <formula>#REF!="TO"</formula>
    </cfRule>
    <cfRule type="expression" dxfId="10572" priority="1934">
      <formula>#REF!="IO"</formula>
    </cfRule>
    <cfRule type="expression" dxfId="10571" priority="1935">
      <formula>#REF!="L"</formula>
    </cfRule>
  </conditionalFormatting>
  <conditionalFormatting sqref="AP32">
    <cfRule type="expression" dxfId="10570" priority="1927">
      <formula>#REF!="TO"</formula>
    </cfRule>
    <cfRule type="expression" dxfId="10569" priority="1928">
      <formula>#REF!="IO"</formula>
    </cfRule>
    <cfRule type="expression" dxfId="10568" priority="1929">
      <formula>#REF!="L"</formula>
    </cfRule>
    <cfRule type="expression" dxfId="10567" priority="1930">
      <formula>#REF!="TO"</formula>
    </cfRule>
    <cfRule type="expression" dxfId="10566" priority="1931">
      <formula>#REF!="IO"</formula>
    </cfRule>
    <cfRule type="expression" dxfId="10565" priority="1932">
      <formula>#REF!="L"</formula>
    </cfRule>
  </conditionalFormatting>
  <conditionalFormatting sqref="AU32:BA32">
    <cfRule type="expression" dxfId="10564" priority="2191">
      <formula>#REF!="TO"</formula>
    </cfRule>
    <cfRule type="expression" dxfId="10563" priority="2192">
      <formula>#REF!="IO"</formula>
    </cfRule>
    <cfRule type="expression" dxfId="10562" priority="2193">
      <formula>#REF!="L"</formula>
    </cfRule>
    <cfRule type="expression" dxfId="10561" priority="2110">
      <formula>#REF!="TO"</formula>
    </cfRule>
    <cfRule type="expression" dxfId="10560" priority="2111">
      <formula>#REF!="IO"</formula>
    </cfRule>
    <cfRule type="expression" dxfId="10559" priority="2112">
      <formula>#REF!="L"</formula>
    </cfRule>
  </conditionalFormatting>
  <conditionalFormatting sqref="B32">
    <cfRule type="expression" dxfId="10558" priority="2104">
      <formula>#REF!="TO"</formula>
    </cfRule>
    <cfRule type="expression" dxfId="10557" priority="2105">
      <formula>#REF!="IO"</formula>
    </cfRule>
    <cfRule type="expression" dxfId="10556" priority="2106">
      <formula>#REF!="L"</formula>
    </cfRule>
    <cfRule type="expression" dxfId="10555" priority="2227">
      <formula>#REF!="TO"</formula>
    </cfRule>
    <cfRule type="expression" dxfId="10554" priority="2228">
      <formula>#REF!="IO"</formula>
    </cfRule>
    <cfRule type="expression" dxfId="10553" priority="2229">
      <formula>#REF!="L"</formula>
    </cfRule>
    <cfRule type="expression" dxfId="10552" priority="2185">
      <formula>#REF!="TO"</formula>
    </cfRule>
    <cfRule type="expression" dxfId="10551" priority="2186">
      <formula>#REF!="IO"</formula>
    </cfRule>
    <cfRule type="expression" dxfId="10550" priority="2187">
      <formula>#REF!="L"</formula>
    </cfRule>
    <cfRule type="expression" dxfId="10549" priority="2143">
      <formula>#REF!="TO"</formula>
    </cfRule>
    <cfRule type="expression" dxfId="10548" priority="2144">
      <formula>#REF!="IO"</formula>
    </cfRule>
    <cfRule type="expression" dxfId="10547" priority="2145">
      <formula>#REF!="L"</formula>
    </cfRule>
  </conditionalFormatting>
  <conditionalFormatting sqref="V32:Y32">
    <cfRule type="expression" dxfId="10546" priority="2197">
      <formula>#REF!="TO"</formula>
    </cfRule>
    <cfRule type="expression" dxfId="10545" priority="2198">
      <formula>#REF!="IO"</formula>
    </cfRule>
    <cfRule type="expression" dxfId="10544" priority="2199">
      <formula>#REF!="L"</formula>
    </cfRule>
  </conditionalFormatting>
  <conditionalFormatting sqref="A32">
    <cfRule type="expression" dxfId="10543" priority="2230">
      <formula>#REF!="TO"</formula>
    </cfRule>
    <cfRule type="expression" dxfId="10542" priority="2231">
      <formula>#REF!="IO"</formula>
    </cfRule>
    <cfRule type="expression" dxfId="10541" priority="2232">
      <formula>#REF!="L"</formula>
    </cfRule>
    <cfRule type="expression" dxfId="10540" priority="2146">
      <formula>#REF!="TO"</formula>
    </cfRule>
    <cfRule type="expression" dxfId="10539" priority="2147">
      <formula>#REF!="IO"</formula>
    </cfRule>
    <cfRule type="expression" dxfId="10538" priority="2148">
      <formula>#REF!="L"</formula>
    </cfRule>
  </conditionalFormatting>
  <conditionalFormatting sqref="AB32:AD32">
    <cfRule type="expression" dxfId="10537" priority="2221">
      <formula>#REF!="TO"</formula>
    </cfRule>
    <cfRule type="expression" dxfId="10536" priority="2222">
      <formula>#REF!="IO"</formula>
    </cfRule>
    <cfRule type="expression" dxfId="10535" priority="2223">
      <formula>#REF!="L"</formula>
    </cfRule>
    <cfRule type="expression" dxfId="10534" priority="2137">
      <formula>#REF!="TO"</formula>
    </cfRule>
    <cfRule type="expression" dxfId="10533" priority="2138">
      <formula>#REF!="IO"</formula>
    </cfRule>
    <cfRule type="expression" dxfId="10532" priority="2139">
      <formula>#REF!="L"</formula>
    </cfRule>
  </conditionalFormatting>
  <conditionalFormatting sqref="AR32">
    <cfRule type="expression" dxfId="10531" priority="2218">
      <formula>#REF!="TO"</formula>
    </cfRule>
    <cfRule type="expression" dxfId="10530" priority="2219">
      <formula>#REF!="IO"</formula>
    </cfRule>
    <cfRule type="expression" dxfId="10529" priority="2220">
      <formula>#REF!="L"</formula>
    </cfRule>
    <cfRule type="expression" dxfId="10528" priority="2203">
      <formula>#REF!="TO"</formula>
    </cfRule>
    <cfRule type="expression" dxfId="10527" priority="2204">
      <formula>#REF!="IO"</formula>
    </cfRule>
    <cfRule type="expression" dxfId="10526" priority="2205">
      <formula>#REF!="L"</formula>
    </cfRule>
    <cfRule type="expression" dxfId="10525" priority="2122">
      <formula>#REF!="TO"</formula>
    </cfRule>
    <cfRule type="expression" dxfId="10524" priority="2123">
      <formula>#REF!="IO"</formula>
    </cfRule>
    <cfRule type="expression" dxfId="10523" priority="2124">
      <formula>#REF!="L"</formula>
    </cfRule>
    <cfRule type="expression" dxfId="10522" priority="2119">
      <formula>#REF!="TO"</formula>
    </cfRule>
    <cfRule type="expression" dxfId="10521" priority="2120">
      <formula>#REF!="IO"</formula>
    </cfRule>
    <cfRule type="expression" dxfId="10520" priority="2121">
      <formula>#REF!="L"</formula>
    </cfRule>
  </conditionalFormatting>
  <conditionalFormatting sqref="AH32">
    <cfRule type="expression" dxfId="10519" priority="2215">
      <formula>#REF!="TO"</formula>
    </cfRule>
    <cfRule type="expression" dxfId="10518" priority="2216">
      <formula>#REF!="IO"</formula>
    </cfRule>
    <cfRule type="expression" dxfId="10517" priority="2217">
      <formula>#REF!="L"</formula>
    </cfRule>
    <cfRule type="expression" dxfId="10516" priority="2134">
      <formula>#REF!="TO"</formula>
    </cfRule>
    <cfRule type="expression" dxfId="10515" priority="2135">
      <formula>#REF!="IO"</formula>
    </cfRule>
    <cfRule type="expression" dxfId="10514" priority="2136">
      <formula>#REF!="L"</formula>
    </cfRule>
  </conditionalFormatting>
  <conditionalFormatting sqref="AJ32:AK32">
    <cfRule type="expression" dxfId="10513" priority="2212">
      <formula>#REF!="TO"</formula>
    </cfRule>
    <cfRule type="expression" dxfId="10512" priority="2213">
      <formula>#REF!="IO"</formula>
    </cfRule>
    <cfRule type="expression" dxfId="10511" priority="2214">
      <formula>#REF!="L"</formula>
    </cfRule>
    <cfRule type="expression" dxfId="10510" priority="2179">
      <formula>#REF!="TO"</formula>
    </cfRule>
    <cfRule type="expression" dxfId="10509" priority="2180">
      <formula>#REF!="IO"</formula>
    </cfRule>
    <cfRule type="expression" dxfId="10508" priority="2181">
      <formula>#REF!="L"</formula>
    </cfRule>
    <cfRule type="expression" dxfId="10507" priority="2131">
      <formula>#REF!="TO"</formula>
    </cfRule>
    <cfRule type="expression" dxfId="10506" priority="2132">
      <formula>#REF!="IO"</formula>
    </cfRule>
    <cfRule type="expression" dxfId="10505" priority="2133">
      <formula>#REF!="L"</formula>
    </cfRule>
    <cfRule type="expression" dxfId="10504" priority="2098">
      <formula>#REF!="TO"</formula>
    </cfRule>
    <cfRule type="expression" dxfId="10503" priority="2099">
      <formula>#REF!="IO"</formula>
    </cfRule>
    <cfRule type="expression" dxfId="10502" priority="2100">
      <formula>#REF!="L"</formula>
    </cfRule>
  </conditionalFormatting>
  <conditionalFormatting sqref="AN32">
    <cfRule type="expression" dxfId="10501" priority="2206">
      <formula>#REF!="TO"</formula>
    </cfRule>
    <cfRule type="expression" dxfId="10500" priority="2207">
      <formula>#REF!="IO"</formula>
    </cfRule>
    <cfRule type="expression" dxfId="10499" priority="2208">
      <formula>#REF!="L"</formula>
    </cfRule>
    <cfRule type="expression" dxfId="10498" priority="2125">
      <formula>#REF!="TO"</formula>
    </cfRule>
    <cfRule type="expression" dxfId="10497" priority="2126">
      <formula>#REF!="IO"</formula>
    </cfRule>
    <cfRule type="expression" dxfId="10496" priority="2127">
      <formula>#REF!="L"</formula>
    </cfRule>
  </conditionalFormatting>
  <conditionalFormatting sqref="AS32">
    <cfRule type="expression" dxfId="10495" priority="2200">
      <formula>#REF!="TO"</formula>
    </cfRule>
    <cfRule type="expression" dxfId="10494" priority="2201">
      <formula>#REF!="IO"</formula>
    </cfRule>
    <cfRule type="expression" dxfId="10493" priority="2202">
      <formula>#REF!="L"</formula>
    </cfRule>
    <cfRule type="expression" dxfId="10492" priority="2116">
      <formula>#REF!="TO"</formula>
    </cfRule>
    <cfRule type="expression" dxfId="10491" priority="2117">
      <formula>#REF!="IO"</formula>
    </cfRule>
    <cfRule type="expression" dxfId="10490" priority="2118">
      <formula>#REF!="L"</formula>
    </cfRule>
  </conditionalFormatting>
  <conditionalFormatting sqref="Y32">
    <cfRule type="expression" dxfId="10489" priority="2194">
      <formula>#REF!="TO"</formula>
    </cfRule>
    <cfRule type="expression" dxfId="10488" priority="2195">
      <formula>#REF!="IO"</formula>
    </cfRule>
    <cfRule type="expression" dxfId="10487" priority="2196">
      <formula>#REF!="L"</formula>
    </cfRule>
    <cfRule type="expression" dxfId="10486" priority="2113">
      <formula>#REF!="TO"</formula>
    </cfRule>
    <cfRule type="expression" dxfId="10485" priority="2114">
      <formula>#REF!="IO"</formula>
    </cfRule>
    <cfRule type="expression" dxfId="10484" priority="2115">
      <formula>#REF!="L"</formula>
    </cfRule>
  </conditionalFormatting>
  <conditionalFormatting sqref="AE32">
    <cfRule type="expression" dxfId="10483" priority="2170">
      <formula>#REF!="TO"</formula>
    </cfRule>
    <cfRule type="expression" dxfId="10482" priority="2171">
      <formula>#REF!="IO"</formula>
    </cfRule>
    <cfRule type="expression" dxfId="10481" priority="2172">
      <formula>#REF!="L"</formula>
    </cfRule>
    <cfRule type="expression" dxfId="10480" priority="2173">
      <formula>E32="TO"</formula>
    </cfRule>
    <cfRule type="expression" dxfId="10479" priority="2174">
      <formula>E32="IO"</formula>
    </cfRule>
    <cfRule type="expression" dxfId="10478" priority="2175">
      <formula>E32="L"</formula>
    </cfRule>
    <cfRule type="expression" dxfId="10477" priority="2089">
      <formula>#REF!="TO"</formula>
    </cfRule>
    <cfRule type="expression" dxfId="10476" priority="2090">
      <formula>#REF!="IO"</formula>
    </cfRule>
    <cfRule type="expression" dxfId="10475" priority="2091">
      <formula>#REF!="L"</formula>
    </cfRule>
    <cfRule type="expression" dxfId="10474" priority="2092">
      <formula>E32="TO"</formula>
    </cfRule>
    <cfRule type="expression" dxfId="10473" priority="2093">
      <formula>E32="IO"</formula>
    </cfRule>
    <cfRule type="expression" dxfId="10472" priority="2094">
      <formula>E32="L"</formula>
    </cfRule>
  </conditionalFormatting>
  <conditionalFormatting sqref="AD33">
    <cfRule type="expression" dxfId="10471" priority="1540">
      <formula>#REF!="TO"</formula>
    </cfRule>
    <cfRule type="expression" dxfId="10470" priority="1541">
      <formula>#REF!="IO"</formula>
    </cfRule>
    <cfRule type="expression" dxfId="10469" priority="1542">
      <formula>#REF!="L"</formula>
    </cfRule>
    <cfRule type="expression" dxfId="10468" priority="1546">
      <formula>#REF!="TO"</formula>
    </cfRule>
    <cfRule type="expression" dxfId="10467" priority="1547">
      <formula>#REF!="IO"</formula>
    </cfRule>
    <cfRule type="expression" dxfId="10466" priority="1548">
      <formula>#REF!="L"</formula>
    </cfRule>
    <cfRule type="expression" dxfId="10465" priority="1543">
      <formula>#REF!="TO"</formula>
    </cfRule>
    <cfRule type="expression" dxfId="10464" priority="1544">
      <formula>#REF!="IO"</formula>
    </cfRule>
    <cfRule type="expression" dxfId="10463" priority="1545">
      <formula>#REF!="L"</formula>
    </cfRule>
    <cfRule type="expression" dxfId="10462" priority="1537">
      <formula>#REF!="TO"</formula>
    </cfRule>
    <cfRule type="expression" dxfId="10461" priority="1538">
      <formula>#REF!="IO"</formula>
    </cfRule>
    <cfRule type="expression" dxfId="10460" priority="1539">
      <formula>#REF!="L"</formula>
    </cfRule>
  </conditionalFormatting>
  <conditionalFormatting sqref="AF33">
    <cfRule type="expression" dxfId="10459" priority="1606">
      <formula>#REF!="TO"</formula>
    </cfRule>
    <cfRule type="expression" dxfId="10458" priority="1607">
      <formula>#REF!="IO"</formula>
    </cfRule>
    <cfRule type="expression" dxfId="10457" priority="1608">
      <formula>#REF!="L"</formula>
    </cfRule>
    <cfRule type="expression" dxfId="10456" priority="1708">
      <formula>#REF!="TO"</formula>
    </cfRule>
    <cfRule type="expression" dxfId="10455" priority="1709">
      <formula>#REF!="IO"</formula>
    </cfRule>
    <cfRule type="expression" dxfId="10454" priority="1710">
      <formula>#REF!="L"</formula>
    </cfRule>
    <cfRule type="expression" dxfId="10453" priority="1687">
      <formula>#REF!="TO"</formula>
    </cfRule>
    <cfRule type="expression" dxfId="10452" priority="1688">
      <formula>#REF!="IO"</formula>
    </cfRule>
    <cfRule type="expression" dxfId="10451" priority="1689">
      <formula>#REF!="L"</formula>
    </cfRule>
    <cfRule type="expression" dxfId="10450" priority="1627">
      <formula>#REF!="TO"</formula>
    </cfRule>
    <cfRule type="expression" dxfId="10449" priority="1628">
      <formula>#REF!="IO"</formula>
    </cfRule>
    <cfRule type="expression" dxfId="10448" priority="1629">
      <formula>#REF!="L"</formula>
    </cfRule>
  </conditionalFormatting>
  <conditionalFormatting sqref="T33:U33">
    <cfRule type="expression" dxfId="10447" priority="1600">
      <formula>#REF!="TO"</formula>
    </cfRule>
    <cfRule type="expression" dxfId="10446" priority="1601">
      <formula>#REF!="IO"</formula>
    </cfRule>
    <cfRule type="expression" dxfId="10445" priority="1602">
      <formula>#REF!="L"</formula>
    </cfRule>
    <cfRule type="expression" dxfId="10444" priority="1681">
      <formula>#REF!="TO"</formula>
    </cfRule>
    <cfRule type="expression" dxfId="10443" priority="1682">
      <formula>#REF!="IO"</formula>
    </cfRule>
    <cfRule type="expression" dxfId="10442" priority="1683">
      <formula>#REF!="L"</formula>
    </cfRule>
  </conditionalFormatting>
  <conditionalFormatting sqref="V33:X33">
    <cfRule type="expression" dxfId="10441" priority="1597">
      <formula>#REF!="TO"</formula>
    </cfRule>
    <cfRule type="expression" dxfId="10440" priority="1598">
      <formula>#REF!="IO"</formula>
    </cfRule>
    <cfRule type="expression" dxfId="10439" priority="1599">
      <formula>#REF!="L"</formula>
    </cfRule>
  </conditionalFormatting>
  <conditionalFormatting sqref="P33">
    <cfRule type="expression" dxfId="10438" priority="1594">
      <formula>#REF!="TO"</formula>
    </cfRule>
    <cfRule type="expression" dxfId="10437" priority="1595">
      <formula>#REF!="IO"</formula>
    </cfRule>
    <cfRule type="expression" dxfId="10436" priority="1596">
      <formula>#REF!="L"</formula>
    </cfRule>
    <cfRule type="expression" dxfId="10435" priority="1591">
      <formula>#REF!="TO"</formula>
    </cfRule>
    <cfRule type="expression" dxfId="10434" priority="1592">
      <formula>#REF!="IO"</formula>
    </cfRule>
    <cfRule type="expression" dxfId="10433" priority="1593">
      <formula>#REF!="L"</formula>
    </cfRule>
    <cfRule type="expression" dxfId="10432" priority="1675">
      <formula>#REF!="TO"</formula>
    </cfRule>
    <cfRule type="expression" dxfId="10431" priority="1676">
      <formula>#REF!="IO"</formula>
    </cfRule>
    <cfRule type="expression" dxfId="10430" priority="1677">
      <formula>#REF!="L"</formula>
    </cfRule>
    <cfRule type="expression" dxfId="10429" priority="1678">
      <formula>#REF!="TO"</formula>
    </cfRule>
    <cfRule type="expression" dxfId="10428" priority="1679">
      <formula>#REF!="IO"</formula>
    </cfRule>
    <cfRule type="expression" dxfId="10427" priority="1680">
      <formula>#REF!="L"</formula>
    </cfRule>
  </conditionalFormatting>
  <conditionalFormatting sqref="Q33">
    <cfRule type="expression" dxfId="10426" priority="1588">
      <formula>#REF!="TO"</formula>
    </cfRule>
    <cfRule type="expression" dxfId="10425" priority="1589">
      <formula>#REF!="IO"</formula>
    </cfRule>
    <cfRule type="expression" dxfId="10424" priority="1590">
      <formula>#REF!="L"</formula>
    </cfRule>
    <cfRule type="expression" dxfId="10423" priority="1585">
      <formula>#REF!="TO"</formula>
    </cfRule>
    <cfRule type="expression" dxfId="10422" priority="1586">
      <formula>#REF!="IO"</formula>
    </cfRule>
    <cfRule type="expression" dxfId="10421" priority="1587">
      <formula>#REF!="L"</formula>
    </cfRule>
    <cfRule type="expression" dxfId="10420" priority="1672">
      <formula>#REF!="TO"</formula>
    </cfRule>
    <cfRule type="expression" dxfId="10419" priority="1673">
      <formula>#REF!="IO"</formula>
    </cfRule>
    <cfRule type="expression" dxfId="10418" priority="1674">
      <formula>#REF!="L"</formula>
    </cfRule>
    <cfRule type="expression" dxfId="10417" priority="1669">
      <formula>#REF!="TO"</formula>
    </cfRule>
    <cfRule type="expression" dxfId="10416" priority="1670">
      <formula>#REF!="IO"</formula>
    </cfRule>
    <cfRule type="expression" dxfId="10415" priority="1671">
      <formula>#REF!="L"</formula>
    </cfRule>
  </conditionalFormatting>
  <conditionalFormatting sqref="S33">
    <cfRule type="expression" dxfId="10414" priority="1603">
      <formula>#REF!="TO"</formula>
    </cfRule>
    <cfRule type="expression" dxfId="10413" priority="1604">
      <formula>#REF!="IO"</formula>
    </cfRule>
    <cfRule type="expression" dxfId="10412" priority="1605">
      <formula>#REF!="L"</formula>
    </cfRule>
    <cfRule type="expression" dxfId="10411" priority="1684">
      <formula>#REF!="TO"</formula>
    </cfRule>
    <cfRule type="expression" dxfId="10410" priority="1685">
      <formula>#REF!="IO"</formula>
    </cfRule>
    <cfRule type="expression" dxfId="10409" priority="1686">
      <formula>#REF!="L"</formula>
    </cfRule>
  </conditionalFormatting>
  <conditionalFormatting sqref="C33">
    <cfRule type="expression" dxfId="10408" priority="1552">
      <formula>#REF!="TO"</formula>
    </cfRule>
    <cfRule type="expression" dxfId="10407" priority="1553">
      <formula>#REF!="IO"</formula>
    </cfRule>
    <cfRule type="expression" dxfId="10406" priority="1554">
      <formula>#REF!="L"</formula>
    </cfRule>
    <cfRule type="expression" dxfId="10405" priority="1558">
      <formula>#REF!="TO"</formula>
    </cfRule>
    <cfRule type="expression" dxfId="10404" priority="1559">
      <formula>#REF!="IO"</formula>
    </cfRule>
    <cfRule type="expression" dxfId="10403" priority="1560">
      <formula>#REF!="L"</formula>
    </cfRule>
    <cfRule type="expression" dxfId="10402" priority="1555">
      <formula>#REF!="TO"</formula>
    </cfRule>
    <cfRule type="expression" dxfId="10401" priority="1556">
      <formula>#REF!="IO"</formula>
    </cfRule>
    <cfRule type="expression" dxfId="10400" priority="1557">
      <formula>#REF!="L"</formula>
    </cfRule>
    <cfRule type="expression" dxfId="10399" priority="1549">
      <formula>#REF!="TO"</formula>
    </cfRule>
    <cfRule type="expression" dxfId="10398" priority="1550">
      <formula>#REF!="IO"</formula>
    </cfRule>
    <cfRule type="expression" dxfId="10397" priority="1551">
      <formula>#REF!="L"</formula>
    </cfRule>
  </conditionalFormatting>
  <conditionalFormatting sqref="AA33">
    <cfRule type="expression" dxfId="10396" priority="1579">
      <formula>#REF!="TO"</formula>
    </cfRule>
    <cfRule type="expression" dxfId="10395" priority="1580">
      <formula>#REF!="IO"</formula>
    </cfRule>
    <cfRule type="expression" dxfId="10394" priority="1581">
      <formula>#REF!="L"</formula>
    </cfRule>
    <cfRule type="expression" dxfId="10393" priority="1582">
      <formula>#REF!="TO"</formula>
    </cfRule>
    <cfRule type="expression" dxfId="10392" priority="1583">
      <formula>#REF!="IO"</formula>
    </cfRule>
    <cfRule type="expression" dxfId="10391" priority="1584">
      <formula>#REF!="L"</formula>
    </cfRule>
    <cfRule type="expression" dxfId="10390" priority="1573">
      <formula>#REF!="TO"</formula>
    </cfRule>
    <cfRule type="expression" dxfId="10389" priority="1574">
      <formula>#REF!="IO"</formula>
    </cfRule>
    <cfRule type="expression" dxfId="10388" priority="1575">
      <formula>#REF!="L"</formula>
    </cfRule>
    <cfRule type="expression" dxfId="10387" priority="1576">
      <formula>#REF!="TO"</formula>
    </cfRule>
    <cfRule type="expression" dxfId="10386" priority="1577">
      <formula>#REF!="IO"</formula>
    </cfRule>
    <cfRule type="expression" dxfId="10385" priority="1578">
      <formula>#REF!="L"</formula>
    </cfRule>
  </conditionalFormatting>
  <conditionalFormatting sqref="Z33">
    <cfRule type="expression" dxfId="10384" priority="1570">
      <formula>#REF!="TO"</formula>
    </cfRule>
    <cfRule type="expression" dxfId="10383" priority="1571">
      <formula>#REF!="IO"</formula>
    </cfRule>
    <cfRule type="expression" dxfId="10382" priority="1572">
      <formula>#REF!="L"</formula>
    </cfRule>
    <cfRule type="expression" dxfId="10381" priority="1567">
      <formula>#REF!="TO"</formula>
    </cfRule>
    <cfRule type="expression" dxfId="10380" priority="1568">
      <formula>#REF!="IO"</formula>
    </cfRule>
    <cfRule type="expression" dxfId="10379" priority="1569">
      <formula>#REF!="L"</formula>
    </cfRule>
    <cfRule type="expression" dxfId="10378" priority="1564">
      <formula>#REF!="TO"</formula>
    </cfRule>
    <cfRule type="expression" dxfId="10377" priority="1565">
      <formula>#REF!="IO"</formula>
    </cfRule>
    <cfRule type="expression" dxfId="10376" priority="1566">
      <formula>#REF!="L"</formula>
    </cfRule>
    <cfRule type="expression" dxfId="10375" priority="1561">
      <formula>#REF!="TO"</formula>
    </cfRule>
    <cfRule type="expression" dxfId="10374" priority="1562">
      <formula>#REF!="IO"</formula>
    </cfRule>
    <cfRule type="expression" dxfId="10373" priority="1563">
      <formula>#REF!="L"</formula>
    </cfRule>
  </conditionalFormatting>
  <conditionalFormatting sqref="L33 O33:Q33">
    <cfRule type="expression" dxfId="10372" priority="1531">
      <formula>#REF!="TO"</formula>
    </cfRule>
    <cfRule type="expression" dxfId="10371" priority="1532">
      <formula>#REF!="IO"</formula>
    </cfRule>
    <cfRule type="expression" dxfId="10370" priority="1533">
      <formula>#REF!="L"</formula>
    </cfRule>
    <cfRule type="expression" dxfId="10369" priority="1525">
      <formula>#REF!="TO"</formula>
    </cfRule>
    <cfRule type="expression" dxfId="10368" priority="1526">
      <formula>#REF!="IO"</formula>
    </cfRule>
    <cfRule type="expression" dxfId="10367" priority="1527">
      <formula>#REF!="L"</formula>
    </cfRule>
    <cfRule type="expression" dxfId="10366" priority="1528">
      <formula>#REF!="TO"</formula>
    </cfRule>
    <cfRule type="expression" dxfId="10365" priority="1529">
      <formula>#REF!="IO"</formula>
    </cfRule>
    <cfRule type="expression" dxfId="10364" priority="1530">
      <formula>#REF!="L"</formula>
    </cfRule>
    <cfRule type="expression" dxfId="10363" priority="1534">
      <formula>#REF!="TO"</formula>
    </cfRule>
    <cfRule type="expression" dxfId="10362" priority="1535">
      <formula>#REF!="IO"</formula>
    </cfRule>
    <cfRule type="expression" dxfId="10361" priority="1536">
      <formula>#REF!="L"</formula>
    </cfRule>
  </conditionalFormatting>
  <conditionalFormatting sqref="BA33">
    <cfRule type="expression" dxfId="10360" priority="1522">
      <formula>#REF!="TO"</formula>
    </cfRule>
    <cfRule type="expression" dxfId="10359" priority="1523">
      <formula>#REF!="IO"</formula>
    </cfRule>
    <cfRule type="expression" dxfId="10358" priority="1524">
      <formula>#REF!="L"</formula>
    </cfRule>
    <cfRule type="expression" dxfId="10357" priority="1519">
      <formula>#REF!="TO"</formula>
    </cfRule>
    <cfRule type="expression" dxfId="10356" priority="1520">
      <formula>#REF!="IO"</formula>
    </cfRule>
    <cfRule type="expression" dxfId="10355" priority="1521">
      <formula>#REF!="L"</formula>
    </cfRule>
  </conditionalFormatting>
  <conditionalFormatting sqref="AW33:AZ33">
    <cfRule type="expression" dxfId="10354" priority="1516">
      <formula>#REF!="TO"</formula>
    </cfRule>
    <cfRule type="expression" dxfId="10353" priority="1517">
      <formula>#REF!="IO"</formula>
    </cfRule>
    <cfRule type="expression" dxfId="10352" priority="1518">
      <formula>#REF!="L"</formula>
    </cfRule>
    <cfRule type="expression" dxfId="10351" priority="1513">
      <formula>#REF!="TO"</formula>
    </cfRule>
    <cfRule type="expression" dxfId="10350" priority="1514">
      <formula>#REF!="IO"</formula>
    </cfRule>
    <cfRule type="expression" dxfId="10349" priority="1515">
      <formula>#REF!="L"</formula>
    </cfRule>
    <cfRule type="expression" dxfId="10348" priority="1510">
      <formula>#REF!="TO"</formula>
    </cfRule>
    <cfRule type="expression" dxfId="10347" priority="1511">
      <formula>#REF!="IO"</formula>
    </cfRule>
    <cfRule type="expression" dxfId="10346" priority="1512">
      <formula>#REF!="L"</formula>
    </cfRule>
    <cfRule type="expression" dxfId="10345" priority="1507">
      <formula>#REF!="TO"</formula>
    </cfRule>
    <cfRule type="expression" dxfId="10344" priority="1508">
      <formula>#REF!="IO"</formula>
    </cfRule>
    <cfRule type="expression" dxfId="10343" priority="1509">
      <formula>#REF!="L"</formula>
    </cfRule>
  </conditionalFormatting>
  <conditionalFormatting sqref="BC33">
    <cfRule type="expression" dxfId="10342" priority="1501">
      <formula>#REF!="TO"</formula>
    </cfRule>
    <cfRule type="expression" dxfId="10341" priority="1502">
      <formula>#REF!="IO"</formula>
    </cfRule>
    <cfRule type="expression" dxfId="10340" priority="1503">
      <formula>#REF!="L"</formula>
    </cfRule>
    <cfRule type="expression" dxfId="10339" priority="1504">
      <formula>#REF!="TO"</formula>
    </cfRule>
    <cfRule type="expression" dxfId="10338" priority="1505">
      <formula>#REF!="IO"</formula>
    </cfRule>
    <cfRule type="expression" dxfId="10337" priority="1506">
      <formula>#REF!="L"</formula>
    </cfRule>
  </conditionalFormatting>
  <conditionalFormatting sqref="J33">
    <cfRule type="expression" dxfId="10336" priority="1498">
      <formula>#REF!="TO"</formula>
    </cfRule>
    <cfRule type="expression" dxfId="10335" priority="1499">
      <formula>#REF!="IO"</formula>
    </cfRule>
    <cfRule type="expression" dxfId="10334" priority="1500">
      <formula>#REF!="L"</formula>
    </cfRule>
    <cfRule type="expression" dxfId="10333" priority="1495">
      <formula>#REF!="TO"</formula>
    </cfRule>
    <cfRule type="expression" dxfId="10332" priority="1496">
      <formula>#REF!="IO"</formula>
    </cfRule>
    <cfRule type="expression" dxfId="10331" priority="1497">
      <formula>#REF!="L"</formula>
    </cfRule>
    <cfRule type="expression" dxfId="10330" priority="1489">
      <formula>#REF!="TO"</formula>
    </cfRule>
    <cfRule type="expression" dxfId="10329" priority="1490">
      <formula>#REF!="IO"</formula>
    </cfRule>
    <cfRule type="expression" dxfId="10328" priority="1491">
      <formula>#REF!="L"</formula>
    </cfRule>
    <cfRule type="expression" dxfId="10327" priority="1492">
      <formula>#REF!="TO"</formula>
    </cfRule>
    <cfRule type="expression" dxfId="10326" priority="1493">
      <formula>#REF!="IO"</formula>
    </cfRule>
    <cfRule type="expression" dxfId="10325" priority="1494">
      <formula>#REF!="L"</formula>
    </cfRule>
  </conditionalFormatting>
  <conditionalFormatting sqref="G33 I33">
    <cfRule type="expression" dxfId="10324" priority="1486">
      <formula>#REF!="TO"</formula>
    </cfRule>
    <cfRule type="expression" dxfId="10323" priority="1487">
      <formula>#REF!="IO"</formula>
    </cfRule>
    <cfRule type="expression" dxfId="10322" priority="1488">
      <formula>#REF!="L"</formula>
    </cfRule>
    <cfRule type="expression" dxfId="10321" priority="1483">
      <formula>#REF!="TO"</formula>
    </cfRule>
    <cfRule type="expression" dxfId="10320" priority="1484">
      <formula>#REF!="IO"</formula>
    </cfRule>
    <cfRule type="expression" dxfId="10319" priority="1485">
      <formula>#REF!="L"</formula>
    </cfRule>
  </conditionalFormatting>
  <conditionalFormatting sqref="AL33">
    <cfRule type="expression" dxfId="10318" priority="1615">
      <formula>#REF!="TO"</formula>
    </cfRule>
    <cfRule type="expression" dxfId="10317" priority="1616">
      <formula>#REF!="IO"</formula>
    </cfRule>
    <cfRule type="expression" dxfId="10316" priority="1617">
      <formula>#REF!="L"</formula>
    </cfRule>
    <cfRule type="expression" dxfId="10315" priority="1729">
      <formula>#REF!="TO"</formula>
    </cfRule>
    <cfRule type="expression" dxfId="10314" priority="1730">
      <formula>#REF!="IO"</formula>
    </cfRule>
    <cfRule type="expression" dxfId="10313" priority="1731">
      <formula>#REF!="L"</formula>
    </cfRule>
    <cfRule type="expression" dxfId="10312" priority="1696">
      <formula>#REF!="TO"</formula>
    </cfRule>
    <cfRule type="expression" dxfId="10311" priority="1697">
      <formula>#REF!="IO"</formula>
    </cfRule>
    <cfRule type="expression" dxfId="10310" priority="1698">
      <formula>#REF!="L"</formula>
    </cfRule>
    <cfRule type="expression" dxfId="10309" priority="1648">
      <formula>#REF!="TO"</formula>
    </cfRule>
    <cfRule type="expression" dxfId="10308" priority="1649">
      <formula>#REF!="IO"</formula>
    </cfRule>
    <cfRule type="expression" dxfId="10307" priority="1650">
      <formula>#REF!="L"</formula>
    </cfRule>
  </conditionalFormatting>
  <conditionalFormatting sqref="H33">
    <cfRule type="expression" dxfId="10306" priority="1477">
      <formula>#REF!="TO"</formula>
    </cfRule>
    <cfRule type="expression" dxfId="10305" priority="1478">
      <formula>#REF!="IO"</formula>
    </cfRule>
    <cfRule type="expression" dxfId="10304" priority="1479">
      <formula>#REF!="L"</formula>
    </cfRule>
    <cfRule type="expression" dxfId="10303" priority="1471">
      <formula>#REF!="TO"</formula>
    </cfRule>
    <cfRule type="expression" dxfId="10302" priority="1472">
      <formula>#REF!="IO"</formula>
    </cfRule>
    <cfRule type="expression" dxfId="10301" priority="1473">
      <formula>#REF!="L"</formula>
    </cfRule>
    <cfRule type="expression" dxfId="10300" priority="1480">
      <formula>XEY33="TO"</formula>
    </cfRule>
    <cfRule type="expression" dxfId="10299" priority="1481">
      <formula>XEY33="IO"</formula>
    </cfRule>
    <cfRule type="expression" dxfId="10298" priority="1482">
      <formula>XEY33="L"</formula>
    </cfRule>
    <cfRule type="expression" dxfId="10297" priority="1474">
      <formula>XEY33="TO"</formula>
    </cfRule>
    <cfRule type="expression" dxfId="10296" priority="1475">
      <formula>XEY33="IO"</formula>
    </cfRule>
    <cfRule type="expression" dxfId="10295" priority="1476">
      <formula>XEY33="L"</formula>
    </cfRule>
  </conditionalFormatting>
  <conditionalFormatting sqref="M33">
    <cfRule type="expression" dxfId="10294" priority="1468">
      <formula>#REF!="TO"</formula>
    </cfRule>
    <cfRule type="expression" dxfId="10293" priority="1469">
      <formula>#REF!="IO"</formula>
    </cfRule>
    <cfRule type="expression" dxfId="10292" priority="1470">
      <formula>#REF!="L"</formula>
    </cfRule>
    <cfRule type="expression" dxfId="10291" priority="1462">
      <formula>#REF!="TO"</formula>
    </cfRule>
    <cfRule type="expression" dxfId="10290" priority="1463">
      <formula>#REF!="IO"</formula>
    </cfRule>
    <cfRule type="expression" dxfId="10289" priority="1464">
      <formula>#REF!="L"</formula>
    </cfRule>
    <cfRule type="expression" dxfId="10288" priority="1465">
      <formula>#REF!="TO"</formula>
    </cfRule>
    <cfRule type="expression" dxfId="10287" priority="1466">
      <formula>#REF!="IO"</formula>
    </cfRule>
    <cfRule type="expression" dxfId="10286" priority="1467">
      <formula>#REF!="L"</formula>
    </cfRule>
    <cfRule type="expression" dxfId="10285" priority="1459">
      <formula>#REF!="TO"</formula>
    </cfRule>
    <cfRule type="expression" dxfId="10284" priority="1460">
      <formula>#REF!="IO"</formula>
    </cfRule>
    <cfRule type="expression" dxfId="10283" priority="1461">
      <formula>#REF!="L"</formula>
    </cfRule>
  </conditionalFormatting>
  <conditionalFormatting sqref="N33">
    <cfRule type="expression" dxfId="10282" priority="1456">
      <formula>#REF!="TO"</formula>
    </cfRule>
    <cfRule type="expression" dxfId="10281" priority="1457">
      <formula>#REF!="IO"</formula>
    </cfRule>
    <cfRule type="expression" dxfId="10280" priority="1458">
      <formula>#REF!="L"</formula>
    </cfRule>
    <cfRule type="expression" dxfId="10279" priority="1453">
      <formula>#REF!="TO"</formula>
    </cfRule>
    <cfRule type="expression" dxfId="10278" priority="1454">
      <formula>#REF!="IO"</formula>
    </cfRule>
    <cfRule type="expression" dxfId="10277" priority="1455">
      <formula>#REF!="L"</formula>
    </cfRule>
  </conditionalFormatting>
  <conditionalFormatting sqref="AP33">
    <cfRule type="expression" dxfId="10276" priority="1447">
      <formula>#REF!="TO"</formula>
    </cfRule>
    <cfRule type="expression" dxfId="10275" priority="1448">
      <formula>#REF!="IO"</formula>
    </cfRule>
    <cfRule type="expression" dxfId="10274" priority="1449">
      <formula>#REF!="L"</formula>
    </cfRule>
    <cfRule type="expression" dxfId="10273" priority="1450">
      <formula>#REF!="TO"</formula>
    </cfRule>
    <cfRule type="expression" dxfId="10272" priority="1451">
      <formula>#REF!="IO"</formula>
    </cfRule>
    <cfRule type="expression" dxfId="10271" priority="1452">
      <formula>#REF!="L"</formula>
    </cfRule>
  </conditionalFormatting>
  <conditionalFormatting sqref="E33:F33">
    <cfRule type="expression" dxfId="10270" priority="1621">
      <formula>#REF!="TO"</formula>
    </cfRule>
    <cfRule type="expression" dxfId="10269" priority="1622">
      <formula>#REF!="IO"</formula>
    </cfRule>
    <cfRule type="expression" dxfId="10268" priority="1623">
      <formula>#REF!="L"</formula>
    </cfRule>
    <cfRule type="expression" dxfId="10267" priority="1744">
      <formula>#REF!="TO"</formula>
    </cfRule>
    <cfRule type="expression" dxfId="10266" priority="1745">
      <formula>#REF!="IO"</formula>
    </cfRule>
    <cfRule type="expression" dxfId="10265" priority="1746">
      <formula>#REF!="L"</formula>
    </cfRule>
    <cfRule type="expression" dxfId="10264" priority="1702">
      <formula>#REF!="TO"</formula>
    </cfRule>
    <cfRule type="expression" dxfId="10263" priority="1703">
      <formula>#REF!="IO"</formula>
    </cfRule>
    <cfRule type="expression" dxfId="10262" priority="1704">
      <formula>#REF!="L"</formula>
    </cfRule>
    <cfRule type="expression" dxfId="10261" priority="1660">
      <formula>#REF!="TO"</formula>
    </cfRule>
    <cfRule type="expression" dxfId="10260" priority="1661">
      <formula>#REF!="IO"</formula>
    </cfRule>
    <cfRule type="expression" dxfId="10259" priority="1662">
      <formula>#REF!="L"</formula>
    </cfRule>
  </conditionalFormatting>
  <conditionalFormatting sqref="AU33:BA33">
    <cfRule type="expression" dxfId="10258" priority="1711">
      <formula>#REF!="TO"</formula>
    </cfRule>
    <cfRule type="expression" dxfId="10257" priority="1712">
      <formula>#REF!="IO"</formula>
    </cfRule>
    <cfRule type="expression" dxfId="10256" priority="1713">
      <formula>#REF!="L"</formula>
    </cfRule>
    <cfRule type="expression" dxfId="10255" priority="1630">
      <formula>#REF!="TO"</formula>
    </cfRule>
    <cfRule type="expression" dxfId="10254" priority="1631">
      <formula>#REF!="IO"</formula>
    </cfRule>
    <cfRule type="expression" dxfId="10253" priority="1632">
      <formula>#REF!="L"</formula>
    </cfRule>
  </conditionalFormatting>
  <conditionalFormatting sqref="B33">
    <cfRule type="expression" dxfId="10252" priority="1624">
      <formula>#REF!="TO"</formula>
    </cfRule>
    <cfRule type="expression" dxfId="10251" priority="1625">
      <formula>#REF!="IO"</formula>
    </cfRule>
    <cfRule type="expression" dxfId="10250" priority="1626">
      <formula>#REF!="L"</formula>
    </cfRule>
    <cfRule type="expression" dxfId="10249" priority="1747">
      <formula>#REF!="TO"</formula>
    </cfRule>
    <cfRule type="expression" dxfId="10248" priority="1748">
      <formula>#REF!="IO"</formula>
    </cfRule>
    <cfRule type="expression" dxfId="10247" priority="1749">
      <formula>#REF!="L"</formula>
    </cfRule>
    <cfRule type="expression" dxfId="10246" priority="1705">
      <formula>#REF!="TO"</formula>
    </cfRule>
    <cfRule type="expression" dxfId="10245" priority="1706">
      <formula>#REF!="IO"</formula>
    </cfRule>
    <cfRule type="expression" dxfId="10244" priority="1707">
      <formula>#REF!="L"</formula>
    </cfRule>
    <cfRule type="expression" dxfId="10243" priority="1663">
      <formula>#REF!="TO"</formula>
    </cfRule>
    <cfRule type="expression" dxfId="10242" priority="1664">
      <formula>#REF!="IO"</formula>
    </cfRule>
    <cfRule type="expression" dxfId="10241" priority="1665">
      <formula>#REF!="L"</formula>
    </cfRule>
  </conditionalFormatting>
  <conditionalFormatting sqref="V33:Y33">
    <cfRule type="expression" dxfId="10240" priority="1717">
      <formula>#REF!="TO"</formula>
    </cfRule>
    <cfRule type="expression" dxfId="10239" priority="1718">
      <formula>#REF!="IO"</formula>
    </cfRule>
    <cfRule type="expression" dxfId="10238" priority="1719">
      <formula>#REF!="L"</formula>
    </cfRule>
  </conditionalFormatting>
  <conditionalFormatting sqref="A33">
    <cfRule type="expression" dxfId="10237" priority="1750">
      <formula>#REF!="TO"</formula>
    </cfRule>
    <cfRule type="expression" dxfId="10236" priority="1751">
      <formula>#REF!="IO"</formula>
    </cfRule>
    <cfRule type="expression" dxfId="10235" priority="1752">
      <formula>#REF!="L"</formula>
    </cfRule>
    <cfRule type="expression" dxfId="10234" priority="1666">
      <formula>#REF!="TO"</formula>
    </cfRule>
    <cfRule type="expression" dxfId="10233" priority="1667">
      <formula>#REF!="IO"</formula>
    </cfRule>
    <cfRule type="expression" dxfId="10232" priority="1668">
      <formula>#REF!="L"</formula>
    </cfRule>
  </conditionalFormatting>
  <conditionalFormatting sqref="AB33:AD33">
    <cfRule type="expression" dxfId="10231" priority="1741">
      <formula>#REF!="TO"</formula>
    </cfRule>
    <cfRule type="expression" dxfId="10230" priority="1742">
      <formula>#REF!="IO"</formula>
    </cfRule>
    <cfRule type="expression" dxfId="10229" priority="1743">
      <formula>#REF!="L"</formula>
    </cfRule>
    <cfRule type="expression" dxfId="10228" priority="1657">
      <formula>#REF!="TO"</formula>
    </cfRule>
    <cfRule type="expression" dxfId="10227" priority="1658">
      <formula>#REF!="IO"</formula>
    </cfRule>
    <cfRule type="expression" dxfId="10226" priority="1659">
      <formula>#REF!="L"</formula>
    </cfRule>
  </conditionalFormatting>
  <conditionalFormatting sqref="AR33">
    <cfRule type="expression" dxfId="10225" priority="1738">
      <formula>#REF!="TO"</formula>
    </cfRule>
    <cfRule type="expression" dxfId="10224" priority="1739">
      <formula>#REF!="IO"</formula>
    </cfRule>
    <cfRule type="expression" dxfId="10223" priority="1740">
      <formula>#REF!="L"</formula>
    </cfRule>
    <cfRule type="expression" dxfId="10222" priority="1723">
      <formula>#REF!="TO"</formula>
    </cfRule>
    <cfRule type="expression" dxfId="10221" priority="1724">
      <formula>#REF!="IO"</formula>
    </cfRule>
    <cfRule type="expression" dxfId="10220" priority="1725">
      <formula>#REF!="L"</formula>
    </cfRule>
    <cfRule type="expression" dxfId="10219" priority="1642">
      <formula>#REF!="TO"</formula>
    </cfRule>
    <cfRule type="expression" dxfId="10218" priority="1643">
      <formula>#REF!="IO"</formula>
    </cfRule>
    <cfRule type="expression" dxfId="10217" priority="1644">
      <formula>#REF!="L"</formula>
    </cfRule>
    <cfRule type="expression" dxfId="10216" priority="1639">
      <formula>#REF!="TO"</formula>
    </cfRule>
    <cfRule type="expression" dxfId="10215" priority="1640">
      <formula>#REF!="IO"</formula>
    </cfRule>
    <cfRule type="expression" dxfId="10214" priority="1641">
      <formula>#REF!="L"</formula>
    </cfRule>
  </conditionalFormatting>
  <conditionalFormatting sqref="AH33">
    <cfRule type="expression" dxfId="10213" priority="1735">
      <formula>#REF!="TO"</formula>
    </cfRule>
    <cfRule type="expression" dxfId="10212" priority="1736">
      <formula>#REF!="IO"</formula>
    </cfRule>
    <cfRule type="expression" dxfId="10211" priority="1737">
      <formula>#REF!="L"</formula>
    </cfRule>
    <cfRule type="expression" dxfId="10210" priority="1654">
      <formula>#REF!="TO"</formula>
    </cfRule>
    <cfRule type="expression" dxfId="10209" priority="1655">
      <formula>#REF!="IO"</formula>
    </cfRule>
    <cfRule type="expression" dxfId="10208" priority="1656">
      <formula>#REF!="L"</formula>
    </cfRule>
  </conditionalFormatting>
  <conditionalFormatting sqref="AJ33:AK33">
    <cfRule type="expression" dxfId="10207" priority="1732">
      <formula>#REF!="TO"</formula>
    </cfRule>
    <cfRule type="expression" dxfId="10206" priority="1733">
      <formula>#REF!="IO"</formula>
    </cfRule>
    <cfRule type="expression" dxfId="10205" priority="1734">
      <formula>#REF!="L"</formula>
    </cfRule>
    <cfRule type="expression" dxfId="10204" priority="1699">
      <formula>#REF!="TO"</formula>
    </cfRule>
    <cfRule type="expression" dxfId="10203" priority="1700">
      <formula>#REF!="IO"</formula>
    </cfRule>
    <cfRule type="expression" dxfId="10202" priority="1701">
      <formula>#REF!="L"</formula>
    </cfRule>
    <cfRule type="expression" dxfId="10201" priority="1651">
      <formula>#REF!="TO"</formula>
    </cfRule>
    <cfRule type="expression" dxfId="10200" priority="1652">
      <formula>#REF!="IO"</formula>
    </cfRule>
    <cfRule type="expression" dxfId="10199" priority="1653">
      <formula>#REF!="L"</formula>
    </cfRule>
    <cfRule type="expression" dxfId="10198" priority="1618">
      <formula>#REF!="TO"</formula>
    </cfRule>
    <cfRule type="expression" dxfId="10197" priority="1619">
      <formula>#REF!="IO"</formula>
    </cfRule>
    <cfRule type="expression" dxfId="10196" priority="1620">
      <formula>#REF!="L"</formula>
    </cfRule>
  </conditionalFormatting>
  <conditionalFormatting sqref="AN33">
    <cfRule type="expression" dxfId="10195" priority="1726">
      <formula>#REF!="TO"</formula>
    </cfRule>
    <cfRule type="expression" dxfId="10194" priority="1727">
      <formula>#REF!="IO"</formula>
    </cfRule>
    <cfRule type="expression" dxfId="10193" priority="1728">
      <formula>#REF!="L"</formula>
    </cfRule>
    <cfRule type="expression" dxfId="10192" priority="1645">
      <formula>#REF!="TO"</formula>
    </cfRule>
    <cfRule type="expression" dxfId="10191" priority="1646">
      <formula>#REF!="IO"</formula>
    </cfRule>
    <cfRule type="expression" dxfId="10190" priority="1647">
      <formula>#REF!="L"</formula>
    </cfRule>
  </conditionalFormatting>
  <conditionalFormatting sqref="AS33">
    <cfRule type="expression" dxfId="10189" priority="1720">
      <formula>#REF!="TO"</formula>
    </cfRule>
    <cfRule type="expression" dxfId="10188" priority="1721">
      <formula>#REF!="IO"</formula>
    </cfRule>
    <cfRule type="expression" dxfId="10187" priority="1722">
      <formula>#REF!="L"</formula>
    </cfRule>
    <cfRule type="expression" dxfId="10186" priority="1636">
      <formula>#REF!="TO"</formula>
    </cfRule>
    <cfRule type="expression" dxfId="10185" priority="1637">
      <formula>#REF!="IO"</formula>
    </cfRule>
    <cfRule type="expression" dxfId="10184" priority="1638">
      <formula>#REF!="L"</formula>
    </cfRule>
  </conditionalFormatting>
  <conditionalFormatting sqref="Y33">
    <cfRule type="expression" dxfId="10183" priority="1714">
      <formula>#REF!="TO"</formula>
    </cfRule>
    <cfRule type="expression" dxfId="10182" priority="1715">
      <formula>#REF!="IO"</formula>
    </cfRule>
    <cfRule type="expression" dxfId="10181" priority="1716">
      <formula>#REF!="L"</formula>
    </cfRule>
    <cfRule type="expression" dxfId="10180" priority="1633">
      <formula>#REF!="TO"</formula>
    </cfRule>
    <cfRule type="expression" dxfId="10179" priority="1634">
      <formula>#REF!="IO"</formula>
    </cfRule>
    <cfRule type="expression" dxfId="10178" priority="1635">
      <formula>#REF!="L"</formula>
    </cfRule>
  </conditionalFormatting>
  <conditionalFormatting sqref="AE33">
    <cfRule type="expression" dxfId="10177" priority="1690">
      <formula>#REF!="TO"</formula>
    </cfRule>
    <cfRule type="expression" dxfId="10176" priority="1691">
      <formula>#REF!="IO"</formula>
    </cfRule>
    <cfRule type="expression" dxfId="10175" priority="1692">
      <formula>#REF!="L"</formula>
    </cfRule>
    <cfRule type="expression" dxfId="10174" priority="1693">
      <formula>E33="TO"</formula>
    </cfRule>
    <cfRule type="expression" dxfId="10173" priority="1694">
      <formula>E33="IO"</formula>
    </cfRule>
    <cfRule type="expression" dxfId="10172" priority="1695">
      <formula>E33="L"</formula>
    </cfRule>
    <cfRule type="expression" dxfId="10171" priority="1609">
      <formula>#REF!="TO"</formula>
    </cfRule>
    <cfRule type="expression" dxfId="10170" priority="1610">
      <formula>#REF!="IO"</formula>
    </cfRule>
    <cfRule type="expression" dxfId="10169" priority="1611">
      <formula>#REF!="L"</formula>
    </cfRule>
    <cfRule type="expression" dxfId="10168" priority="1612">
      <formula>E33="TO"</formula>
    </cfRule>
    <cfRule type="expression" dxfId="10167" priority="1613">
      <formula>E33="IO"</formula>
    </cfRule>
    <cfRule type="expression" dxfId="10166" priority="1614">
      <formula>E33="L"</formula>
    </cfRule>
  </conditionalFormatting>
  <conditionalFormatting sqref="AD34">
    <cfRule type="expression" dxfId="10165" priority="1060">
      <formula>#REF!="TO"</formula>
    </cfRule>
    <cfRule type="expression" dxfId="10164" priority="1061">
      <formula>#REF!="IO"</formula>
    </cfRule>
    <cfRule type="expression" dxfId="10163" priority="1062">
      <formula>#REF!="L"</formula>
    </cfRule>
    <cfRule type="expression" dxfId="10162" priority="1066">
      <formula>#REF!="TO"</formula>
    </cfRule>
    <cfRule type="expression" dxfId="10161" priority="1067">
      <formula>#REF!="IO"</formula>
    </cfRule>
    <cfRule type="expression" dxfId="10160" priority="1068">
      <formula>#REF!="L"</formula>
    </cfRule>
    <cfRule type="expression" dxfId="10159" priority="1063">
      <formula>#REF!="TO"</formula>
    </cfRule>
    <cfRule type="expression" dxfId="10158" priority="1064">
      <formula>#REF!="IO"</formula>
    </cfRule>
    <cfRule type="expression" dxfId="10157" priority="1065">
      <formula>#REF!="L"</formula>
    </cfRule>
    <cfRule type="expression" dxfId="10156" priority="1057">
      <formula>#REF!="TO"</formula>
    </cfRule>
    <cfRule type="expression" dxfId="10155" priority="1058">
      <formula>#REF!="IO"</formula>
    </cfRule>
    <cfRule type="expression" dxfId="10154" priority="1059">
      <formula>#REF!="L"</formula>
    </cfRule>
  </conditionalFormatting>
  <conditionalFormatting sqref="AF34">
    <cfRule type="expression" dxfId="10153" priority="1126">
      <formula>#REF!="TO"</formula>
    </cfRule>
    <cfRule type="expression" dxfId="10152" priority="1127">
      <formula>#REF!="IO"</formula>
    </cfRule>
    <cfRule type="expression" dxfId="10151" priority="1128">
      <formula>#REF!="L"</formula>
    </cfRule>
    <cfRule type="expression" dxfId="10150" priority="1228">
      <formula>#REF!="TO"</formula>
    </cfRule>
    <cfRule type="expression" dxfId="10149" priority="1229">
      <formula>#REF!="IO"</formula>
    </cfRule>
    <cfRule type="expression" dxfId="10148" priority="1230">
      <formula>#REF!="L"</formula>
    </cfRule>
    <cfRule type="expression" dxfId="10147" priority="1207">
      <formula>#REF!="TO"</formula>
    </cfRule>
    <cfRule type="expression" dxfId="10146" priority="1208">
      <formula>#REF!="IO"</formula>
    </cfRule>
    <cfRule type="expression" dxfId="10145" priority="1209">
      <formula>#REF!="L"</formula>
    </cfRule>
    <cfRule type="expression" dxfId="10144" priority="1147">
      <formula>#REF!="TO"</formula>
    </cfRule>
    <cfRule type="expression" dxfId="10143" priority="1148">
      <formula>#REF!="IO"</formula>
    </cfRule>
    <cfRule type="expression" dxfId="10142" priority="1149">
      <formula>#REF!="L"</formula>
    </cfRule>
  </conditionalFormatting>
  <conditionalFormatting sqref="T34:U34">
    <cfRule type="expression" dxfId="10141" priority="1120">
      <formula>#REF!="TO"</formula>
    </cfRule>
    <cfRule type="expression" dxfId="10140" priority="1121">
      <formula>#REF!="IO"</formula>
    </cfRule>
    <cfRule type="expression" dxfId="10139" priority="1122">
      <formula>#REF!="L"</formula>
    </cfRule>
    <cfRule type="expression" dxfId="10138" priority="1201">
      <formula>#REF!="TO"</formula>
    </cfRule>
    <cfRule type="expression" dxfId="10137" priority="1202">
      <formula>#REF!="IO"</formula>
    </cfRule>
    <cfRule type="expression" dxfId="10136" priority="1203">
      <formula>#REF!="L"</formula>
    </cfRule>
  </conditionalFormatting>
  <conditionalFormatting sqref="V34:X34">
    <cfRule type="expression" dxfId="10135" priority="1117">
      <formula>#REF!="TO"</formula>
    </cfRule>
    <cfRule type="expression" dxfId="10134" priority="1118">
      <formula>#REF!="IO"</formula>
    </cfRule>
    <cfRule type="expression" dxfId="10133" priority="1119">
      <formula>#REF!="L"</formula>
    </cfRule>
  </conditionalFormatting>
  <conditionalFormatting sqref="P34">
    <cfRule type="expression" dxfId="10132" priority="1114">
      <formula>#REF!="TO"</formula>
    </cfRule>
    <cfRule type="expression" dxfId="10131" priority="1115">
      <formula>#REF!="IO"</formula>
    </cfRule>
    <cfRule type="expression" dxfId="10130" priority="1116">
      <formula>#REF!="L"</formula>
    </cfRule>
    <cfRule type="expression" dxfId="10129" priority="1111">
      <formula>#REF!="TO"</formula>
    </cfRule>
    <cfRule type="expression" dxfId="10128" priority="1112">
      <formula>#REF!="IO"</formula>
    </cfRule>
    <cfRule type="expression" dxfId="10127" priority="1113">
      <formula>#REF!="L"</formula>
    </cfRule>
    <cfRule type="expression" dxfId="10126" priority="1195">
      <formula>#REF!="TO"</formula>
    </cfRule>
    <cfRule type="expression" dxfId="10125" priority="1196">
      <formula>#REF!="IO"</formula>
    </cfRule>
    <cfRule type="expression" dxfId="10124" priority="1197">
      <formula>#REF!="L"</formula>
    </cfRule>
    <cfRule type="expression" dxfId="10123" priority="1198">
      <formula>#REF!="TO"</formula>
    </cfRule>
    <cfRule type="expression" dxfId="10122" priority="1199">
      <formula>#REF!="IO"</formula>
    </cfRule>
    <cfRule type="expression" dxfId="10121" priority="1200">
      <formula>#REF!="L"</formula>
    </cfRule>
  </conditionalFormatting>
  <conditionalFormatting sqref="Q34">
    <cfRule type="expression" dxfId="10120" priority="1108">
      <formula>#REF!="TO"</formula>
    </cfRule>
    <cfRule type="expression" dxfId="10119" priority="1109">
      <formula>#REF!="IO"</formula>
    </cfRule>
    <cfRule type="expression" dxfId="10118" priority="1110">
      <formula>#REF!="L"</formula>
    </cfRule>
    <cfRule type="expression" dxfId="10117" priority="1105">
      <formula>#REF!="TO"</formula>
    </cfRule>
    <cfRule type="expression" dxfId="10116" priority="1106">
      <formula>#REF!="IO"</formula>
    </cfRule>
    <cfRule type="expression" dxfId="10115" priority="1107">
      <formula>#REF!="L"</formula>
    </cfRule>
    <cfRule type="expression" dxfId="10114" priority="1192">
      <formula>#REF!="TO"</formula>
    </cfRule>
    <cfRule type="expression" dxfId="10113" priority="1193">
      <formula>#REF!="IO"</formula>
    </cfRule>
    <cfRule type="expression" dxfId="10112" priority="1194">
      <formula>#REF!="L"</formula>
    </cfRule>
    <cfRule type="expression" dxfId="10111" priority="1189">
      <formula>#REF!="TO"</formula>
    </cfRule>
    <cfRule type="expression" dxfId="10110" priority="1190">
      <formula>#REF!="IO"</formula>
    </cfRule>
    <cfRule type="expression" dxfId="10109" priority="1191">
      <formula>#REF!="L"</formula>
    </cfRule>
  </conditionalFormatting>
  <conditionalFormatting sqref="S34">
    <cfRule type="expression" dxfId="10108" priority="1123">
      <formula>#REF!="TO"</formula>
    </cfRule>
    <cfRule type="expression" dxfId="10107" priority="1124">
      <formula>#REF!="IO"</formula>
    </cfRule>
    <cfRule type="expression" dxfId="10106" priority="1125">
      <formula>#REF!="L"</formula>
    </cfRule>
    <cfRule type="expression" dxfId="10105" priority="1204">
      <formula>#REF!="TO"</formula>
    </cfRule>
    <cfRule type="expression" dxfId="10104" priority="1205">
      <formula>#REF!="IO"</formula>
    </cfRule>
    <cfRule type="expression" dxfId="10103" priority="1206">
      <formula>#REF!="L"</formula>
    </cfRule>
  </conditionalFormatting>
  <conditionalFormatting sqref="C34">
    <cfRule type="expression" dxfId="10102" priority="1072">
      <formula>#REF!="TO"</formula>
    </cfRule>
    <cfRule type="expression" dxfId="10101" priority="1073">
      <formula>#REF!="IO"</formula>
    </cfRule>
    <cfRule type="expression" dxfId="10100" priority="1074">
      <formula>#REF!="L"</formula>
    </cfRule>
    <cfRule type="expression" dxfId="10099" priority="1078">
      <formula>#REF!="TO"</formula>
    </cfRule>
    <cfRule type="expression" dxfId="10098" priority="1079">
      <formula>#REF!="IO"</formula>
    </cfRule>
    <cfRule type="expression" dxfId="10097" priority="1080">
      <formula>#REF!="L"</formula>
    </cfRule>
    <cfRule type="expression" dxfId="10096" priority="1075">
      <formula>#REF!="TO"</formula>
    </cfRule>
    <cfRule type="expression" dxfId="10095" priority="1076">
      <formula>#REF!="IO"</formula>
    </cfRule>
    <cfRule type="expression" dxfId="10094" priority="1077">
      <formula>#REF!="L"</formula>
    </cfRule>
    <cfRule type="expression" dxfId="10093" priority="1069">
      <formula>#REF!="TO"</formula>
    </cfRule>
    <cfRule type="expression" dxfId="10092" priority="1070">
      <formula>#REF!="IO"</formula>
    </cfRule>
    <cfRule type="expression" dxfId="10091" priority="1071">
      <formula>#REF!="L"</formula>
    </cfRule>
  </conditionalFormatting>
  <conditionalFormatting sqref="AA34">
    <cfRule type="expression" dxfId="10090" priority="1099">
      <formula>#REF!="TO"</formula>
    </cfRule>
    <cfRule type="expression" dxfId="10089" priority="1100">
      <formula>#REF!="IO"</formula>
    </cfRule>
    <cfRule type="expression" dxfId="10088" priority="1101">
      <formula>#REF!="L"</formula>
    </cfRule>
    <cfRule type="expression" dxfId="10087" priority="1102">
      <formula>#REF!="TO"</formula>
    </cfRule>
    <cfRule type="expression" dxfId="10086" priority="1103">
      <formula>#REF!="IO"</formula>
    </cfRule>
    <cfRule type="expression" dxfId="10085" priority="1104">
      <formula>#REF!="L"</formula>
    </cfRule>
    <cfRule type="expression" dxfId="10084" priority="1093">
      <formula>#REF!="TO"</formula>
    </cfRule>
    <cfRule type="expression" dxfId="10083" priority="1094">
      <formula>#REF!="IO"</formula>
    </cfRule>
    <cfRule type="expression" dxfId="10082" priority="1095">
      <formula>#REF!="L"</formula>
    </cfRule>
    <cfRule type="expression" dxfId="10081" priority="1096">
      <formula>#REF!="TO"</formula>
    </cfRule>
    <cfRule type="expression" dxfId="10080" priority="1097">
      <formula>#REF!="IO"</formula>
    </cfRule>
    <cfRule type="expression" dxfId="10079" priority="1098">
      <formula>#REF!="L"</formula>
    </cfRule>
  </conditionalFormatting>
  <conditionalFormatting sqref="Z34">
    <cfRule type="expression" dxfId="10078" priority="1090">
      <formula>#REF!="TO"</formula>
    </cfRule>
    <cfRule type="expression" dxfId="10077" priority="1091">
      <formula>#REF!="IO"</formula>
    </cfRule>
    <cfRule type="expression" dxfId="10076" priority="1092">
      <formula>#REF!="L"</formula>
    </cfRule>
    <cfRule type="expression" dxfId="10075" priority="1087">
      <formula>#REF!="TO"</formula>
    </cfRule>
    <cfRule type="expression" dxfId="10074" priority="1088">
      <formula>#REF!="IO"</formula>
    </cfRule>
    <cfRule type="expression" dxfId="10073" priority="1089">
      <formula>#REF!="L"</formula>
    </cfRule>
    <cfRule type="expression" dxfId="10072" priority="1084">
      <formula>#REF!="TO"</formula>
    </cfRule>
    <cfRule type="expression" dxfId="10071" priority="1085">
      <formula>#REF!="IO"</formula>
    </cfRule>
    <cfRule type="expression" dxfId="10070" priority="1086">
      <formula>#REF!="L"</formula>
    </cfRule>
    <cfRule type="expression" dxfId="10069" priority="1081">
      <formula>#REF!="TO"</formula>
    </cfRule>
    <cfRule type="expression" dxfId="10068" priority="1082">
      <formula>#REF!="IO"</formula>
    </cfRule>
    <cfRule type="expression" dxfId="10067" priority="1083">
      <formula>#REF!="L"</formula>
    </cfRule>
  </conditionalFormatting>
  <conditionalFormatting sqref="L34 O34:Q34">
    <cfRule type="expression" dxfId="10066" priority="1051">
      <formula>#REF!="TO"</formula>
    </cfRule>
    <cfRule type="expression" dxfId="10065" priority="1052">
      <formula>#REF!="IO"</formula>
    </cfRule>
    <cfRule type="expression" dxfId="10064" priority="1053">
      <formula>#REF!="L"</formula>
    </cfRule>
    <cfRule type="expression" dxfId="10063" priority="1045">
      <formula>#REF!="TO"</formula>
    </cfRule>
    <cfRule type="expression" dxfId="10062" priority="1046">
      <formula>#REF!="IO"</formula>
    </cfRule>
    <cfRule type="expression" dxfId="10061" priority="1047">
      <formula>#REF!="L"</formula>
    </cfRule>
    <cfRule type="expression" dxfId="10060" priority="1048">
      <formula>#REF!="TO"</formula>
    </cfRule>
    <cfRule type="expression" dxfId="10059" priority="1049">
      <formula>#REF!="IO"</formula>
    </cfRule>
    <cfRule type="expression" dxfId="10058" priority="1050">
      <formula>#REF!="L"</formula>
    </cfRule>
    <cfRule type="expression" dxfId="10057" priority="1054">
      <formula>#REF!="TO"</formula>
    </cfRule>
    <cfRule type="expression" dxfId="10056" priority="1055">
      <formula>#REF!="IO"</formula>
    </cfRule>
    <cfRule type="expression" dxfId="10055" priority="1056">
      <formula>#REF!="L"</formula>
    </cfRule>
  </conditionalFormatting>
  <conditionalFormatting sqref="BA34">
    <cfRule type="expression" dxfId="10054" priority="1042">
      <formula>#REF!="TO"</formula>
    </cfRule>
    <cfRule type="expression" dxfId="10053" priority="1043">
      <formula>#REF!="IO"</formula>
    </cfRule>
    <cfRule type="expression" dxfId="10052" priority="1044">
      <formula>#REF!="L"</formula>
    </cfRule>
    <cfRule type="expression" dxfId="10051" priority="1039">
      <formula>#REF!="TO"</formula>
    </cfRule>
    <cfRule type="expression" dxfId="10050" priority="1040">
      <formula>#REF!="IO"</formula>
    </cfRule>
    <cfRule type="expression" dxfId="10049" priority="1041">
      <formula>#REF!="L"</formula>
    </cfRule>
  </conditionalFormatting>
  <conditionalFormatting sqref="AW34:AZ34">
    <cfRule type="expression" dxfId="10048" priority="1036">
      <formula>#REF!="TO"</formula>
    </cfRule>
    <cfRule type="expression" dxfId="10047" priority="1037">
      <formula>#REF!="IO"</formula>
    </cfRule>
    <cfRule type="expression" dxfId="10046" priority="1038">
      <formula>#REF!="L"</formula>
    </cfRule>
    <cfRule type="expression" dxfId="10045" priority="1033">
      <formula>#REF!="TO"</formula>
    </cfRule>
    <cfRule type="expression" dxfId="10044" priority="1034">
      <formula>#REF!="IO"</formula>
    </cfRule>
    <cfRule type="expression" dxfId="10043" priority="1035">
      <formula>#REF!="L"</formula>
    </cfRule>
    <cfRule type="expression" dxfId="10042" priority="1030">
      <formula>#REF!="TO"</formula>
    </cfRule>
    <cfRule type="expression" dxfId="10041" priority="1031">
      <formula>#REF!="IO"</formula>
    </cfRule>
    <cfRule type="expression" dxfId="10040" priority="1032">
      <formula>#REF!="L"</formula>
    </cfRule>
    <cfRule type="expression" dxfId="10039" priority="1027">
      <formula>#REF!="TO"</formula>
    </cfRule>
    <cfRule type="expression" dxfId="10038" priority="1028">
      <formula>#REF!="IO"</formula>
    </cfRule>
    <cfRule type="expression" dxfId="10037" priority="1029">
      <formula>#REF!="L"</formula>
    </cfRule>
  </conditionalFormatting>
  <conditionalFormatting sqref="BC34">
    <cfRule type="expression" dxfId="10036" priority="1021">
      <formula>#REF!="TO"</formula>
    </cfRule>
    <cfRule type="expression" dxfId="10035" priority="1022">
      <formula>#REF!="IO"</formula>
    </cfRule>
    <cfRule type="expression" dxfId="10034" priority="1023">
      <formula>#REF!="L"</formula>
    </cfRule>
    <cfRule type="expression" dxfId="10033" priority="1024">
      <formula>#REF!="TO"</formula>
    </cfRule>
    <cfRule type="expression" dxfId="10032" priority="1025">
      <formula>#REF!="IO"</formula>
    </cfRule>
    <cfRule type="expression" dxfId="10031" priority="1026">
      <formula>#REF!="L"</formula>
    </cfRule>
  </conditionalFormatting>
  <conditionalFormatting sqref="J34">
    <cfRule type="expression" dxfId="10030" priority="1018">
      <formula>#REF!="TO"</formula>
    </cfRule>
    <cfRule type="expression" dxfId="10029" priority="1019">
      <formula>#REF!="IO"</formula>
    </cfRule>
    <cfRule type="expression" dxfId="10028" priority="1020">
      <formula>#REF!="L"</formula>
    </cfRule>
    <cfRule type="expression" dxfId="10027" priority="1015">
      <formula>#REF!="TO"</formula>
    </cfRule>
    <cfRule type="expression" dxfId="10026" priority="1016">
      <formula>#REF!="IO"</formula>
    </cfRule>
    <cfRule type="expression" dxfId="10025" priority="1017">
      <formula>#REF!="L"</formula>
    </cfRule>
    <cfRule type="expression" dxfId="10024" priority="1009">
      <formula>#REF!="TO"</formula>
    </cfRule>
    <cfRule type="expression" dxfId="10023" priority="1010">
      <formula>#REF!="IO"</formula>
    </cfRule>
    <cfRule type="expression" dxfId="10022" priority="1011">
      <formula>#REF!="L"</formula>
    </cfRule>
    <cfRule type="expression" dxfId="10021" priority="1012">
      <formula>#REF!="TO"</formula>
    </cfRule>
    <cfRule type="expression" dxfId="10020" priority="1013">
      <formula>#REF!="IO"</formula>
    </cfRule>
    <cfRule type="expression" dxfId="10019" priority="1014">
      <formula>#REF!="L"</formula>
    </cfRule>
  </conditionalFormatting>
  <conditionalFormatting sqref="G34 I34">
    <cfRule type="expression" dxfId="10018" priority="1006">
      <formula>#REF!="TO"</formula>
    </cfRule>
    <cfRule type="expression" dxfId="10017" priority="1007">
      <formula>#REF!="IO"</formula>
    </cfRule>
    <cfRule type="expression" dxfId="10016" priority="1008">
      <formula>#REF!="L"</formula>
    </cfRule>
    <cfRule type="expression" dxfId="10015" priority="1003">
      <formula>#REF!="TO"</formula>
    </cfRule>
    <cfRule type="expression" dxfId="10014" priority="1004">
      <formula>#REF!="IO"</formula>
    </cfRule>
    <cfRule type="expression" dxfId="10013" priority="1005">
      <formula>#REF!="L"</formula>
    </cfRule>
  </conditionalFormatting>
  <conditionalFormatting sqref="AL34">
    <cfRule type="expression" dxfId="10012" priority="1135">
      <formula>#REF!="TO"</formula>
    </cfRule>
    <cfRule type="expression" dxfId="10011" priority="1136">
      <formula>#REF!="IO"</formula>
    </cfRule>
    <cfRule type="expression" dxfId="10010" priority="1137">
      <formula>#REF!="L"</formula>
    </cfRule>
    <cfRule type="expression" dxfId="10009" priority="1249">
      <formula>#REF!="TO"</formula>
    </cfRule>
    <cfRule type="expression" dxfId="10008" priority="1250">
      <formula>#REF!="IO"</formula>
    </cfRule>
    <cfRule type="expression" dxfId="10007" priority="1251">
      <formula>#REF!="L"</formula>
    </cfRule>
    <cfRule type="expression" dxfId="10006" priority="1216">
      <formula>#REF!="TO"</formula>
    </cfRule>
    <cfRule type="expression" dxfId="10005" priority="1217">
      <formula>#REF!="IO"</formula>
    </cfRule>
    <cfRule type="expression" dxfId="10004" priority="1218">
      <formula>#REF!="L"</formula>
    </cfRule>
    <cfRule type="expression" dxfId="10003" priority="1168">
      <formula>#REF!="TO"</formula>
    </cfRule>
    <cfRule type="expression" dxfId="10002" priority="1169">
      <formula>#REF!="IO"</formula>
    </cfRule>
    <cfRule type="expression" dxfId="10001" priority="1170">
      <formula>#REF!="L"</formula>
    </cfRule>
  </conditionalFormatting>
  <conditionalFormatting sqref="H34">
    <cfRule type="expression" dxfId="10000" priority="997">
      <formula>#REF!="TO"</formula>
    </cfRule>
    <cfRule type="expression" dxfId="9999" priority="998">
      <formula>#REF!="IO"</formula>
    </cfRule>
    <cfRule type="expression" dxfId="9998" priority="999">
      <formula>#REF!="L"</formula>
    </cfRule>
    <cfRule type="expression" dxfId="9997" priority="991">
      <formula>#REF!="TO"</formula>
    </cfRule>
    <cfRule type="expression" dxfId="9996" priority="992">
      <formula>#REF!="IO"</formula>
    </cfRule>
    <cfRule type="expression" dxfId="9995" priority="993">
      <formula>#REF!="L"</formula>
    </cfRule>
    <cfRule type="expression" dxfId="9994" priority="1000">
      <formula>XEY34="TO"</formula>
    </cfRule>
    <cfRule type="expression" dxfId="9993" priority="1001">
      <formula>XEY34="IO"</formula>
    </cfRule>
    <cfRule type="expression" dxfId="9992" priority="1002">
      <formula>XEY34="L"</formula>
    </cfRule>
    <cfRule type="expression" dxfId="9991" priority="994">
      <formula>XEY34="TO"</formula>
    </cfRule>
    <cfRule type="expression" dxfId="9990" priority="995">
      <formula>XEY34="IO"</formula>
    </cfRule>
    <cfRule type="expression" dxfId="9989" priority="996">
      <formula>XEY34="L"</formula>
    </cfRule>
  </conditionalFormatting>
  <conditionalFormatting sqref="M34">
    <cfRule type="expression" dxfId="9988" priority="988">
      <formula>#REF!="TO"</formula>
    </cfRule>
    <cfRule type="expression" dxfId="9987" priority="989">
      <formula>#REF!="IO"</formula>
    </cfRule>
    <cfRule type="expression" dxfId="9986" priority="990">
      <formula>#REF!="L"</formula>
    </cfRule>
    <cfRule type="expression" dxfId="9985" priority="982">
      <formula>#REF!="TO"</formula>
    </cfRule>
    <cfRule type="expression" dxfId="9984" priority="983">
      <formula>#REF!="IO"</formula>
    </cfRule>
    <cfRule type="expression" dxfId="9983" priority="984">
      <formula>#REF!="L"</formula>
    </cfRule>
    <cfRule type="expression" dxfId="9982" priority="985">
      <formula>#REF!="TO"</formula>
    </cfRule>
    <cfRule type="expression" dxfId="9981" priority="986">
      <formula>#REF!="IO"</formula>
    </cfRule>
    <cfRule type="expression" dxfId="9980" priority="987">
      <formula>#REF!="L"</formula>
    </cfRule>
    <cfRule type="expression" dxfId="9979" priority="979">
      <formula>#REF!="TO"</formula>
    </cfRule>
    <cfRule type="expression" dxfId="9978" priority="980">
      <formula>#REF!="IO"</formula>
    </cfRule>
    <cfRule type="expression" dxfId="9977" priority="981">
      <formula>#REF!="L"</formula>
    </cfRule>
  </conditionalFormatting>
  <conditionalFormatting sqref="N34">
    <cfRule type="expression" dxfId="9976" priority="976">
      <formula>#REF!="TO"</formula>
    </cfRule>
    <cfRule type="expression" dxfId="9975" priority="977">
      <formula>#REF!="IO"</formula>
    </cfRule>
    <cfRule type="expression" dxfId="9974" priority="978">
      <formula>#REF!="L"</formula>
    </cfRule>
    <cfRule type="expression" dxfId="9973" priority="973">
      <formula>#REF!="TO"</formula>
    </cfRule>
    <cfRule type="expression" dxfId="9972" priority="974">
      <formula>#REF!="IO"</formula>
    </cfRule>
    <cfRule type="expression" dxfId="9971" priority="975">
      <formula>#REF!="L"</formula>
    </cfRule>
  </conditionalFormatting>
  <conditionalFormatting sqref="AP34">
    <cfRule type="expression" dxfId="9970" priority="967">
      <formula>#REF!="TO"</formula>
    </cfRule>
    <cfRule type="expression" dxfId="9969" priority="968">
      <formula>#REF!="IO"</formula>
    </cfRule>
    <cfRule type="expression" dxfId="9968" priority="969">
      <formula>#REF!="L"</formula>
    </cfRule>
    <cfRule type="expression" dxfId="9967" priority="970">
      <formula>#REF!="TO"</formula>
    </cfRule>
    <cfRule type="expression" dxfId="9966" priority="971">
      <formula>#REF!="IO"</formula>
    </cfRule>
    <cfRule type="expression" dxfId="9965" priority="972">
      <formula>#REF!="L"</formula>
    </cfRule>
  </conditionalFormatting>
  <conditionalFormatting sqref="E34:F34">
    <cfRule type="expression" dxfId="9964" priority="1141">
      <formula>#REF!="TO"</formula>
    </cfRule>
    <cfRule type="expression" dxfId="9963" priority="1142">
      <formula>#REF!="IO"</formula>
    </cfRule>
    <cfRule type="expression" dxfId="9962" priority="1143">
      <formula>#REF!="L"</formula>
    </cfRule>
    <cfRule type="expression" dxfId="9961" priority="1264">
      <formula>#REF!="TO"</formula>
    </cfRule>
    <cfRule type="expression" dxfId="9960" priority="1265">
      <formula>#REF!="IO"</formula>
    </cfRule>
    <cfRule type="expression" dxfId="9959" priority="1266">
      <formula>#REF!="L"</formula>
    </cfRule>
    <cfRule type="expression" dxfId="9958" priority="1222">
      <formula>#REF!="TO"</formula>
    </cfRule>
    <cfRule type="expression" dxfId="9957" priority="1223">
      <formula>#REF!="IO"</formula>
    </cfRule>
    <cfRule type="expression" dxfId="9956" priority="1224">
      <formula>#REF!="L"</formula>
    </cfRule>
    <cfRule type="expression" dxfId="9955" priority="1180">
      <formula>#REF!="TO"</formula>
    </cfRule>
    <cfRule type="expression" dxfId="9954" priority="1181">
      <formula>#REF!="IO"</formula>
    </cfRule>
    <cfRule type="expression" dxfId="9953" priority="1182">
      <formula>#REF!="L"</formula>
    </cfRule>
  </conditionalFormatting>
  <conditionalFormatting sqref="AU34:BA34">
    <cfRule type="expression" dxfId="9952" priority="1231">
      <formula>#REF!="TO"</formula>
    </cfRule>
    <cfRule type="expression" dxfId="9951" priority="1232">
      <formula>#REF!="IO"</formula>
    </cfRule>
    <cfRule type="expression" dxfId="9950" priority="1233">
      <formula>#REF!="L"</formula>
    </cfRule>
    <cfRule type="expression" dxfId="9949" priority="1150">
      <formula>#REF!="TO"</formula>
    </cfRule>
    <cfRule type="expression" dxfId="9948" priority="1151">
      <formula>#REF!="IO"</formula>
    </cfRule>
    <cfRule type="expression" dxfId="9947" priority="1152">
      <formula>#REF!="L"</formula>
    </cfRule>
  </conditionalFormatting>
  <conditionalFormatting sqref="B34">
    <cfRule type="expression" dxfId="9946" priority="1144">
      <formula>#REF!="TO"</formula>
    </cfRule>
    <cfRule type="expression" dxfId="9945" priority="1145">
      <formula>#REF!="IO"</formula>
    </cfRule>
    <cfRule type="expression" dxfId="9944" priority="1146">
      <formula>#REF!="L"</formula>
    </cfRule>
    <cfRule type="expression" dxfId="9943" priority="1267">
      <formula>#REF!="TO"</formula>
    </cfRule>
    <cfRule type="expression" dxfId="9942" priority="1268">
      <formula>#REF!="IO"</formula>
    </cfRule>
    <cfRule type="expression" dxfId="9941" priority="1269">
      <formula>#REF!="L"</formula>
    </cfRule>
    <cfRule type="expression" dxfId="9940" priority="1225">
      <formula>#REF!="TO"</formula>
    </cfRule>
    <cfRule type="expression" dxfId="9939" priority="1226">
      <formula>#REF!="IO"</formula>
    </cfRule>
    <cfRule type="expression" dxfId="9938" priority="1227">
      <formula>#REF!="L"</formula>
    </cfRule>
    <cfRule type="expression" dxfId="9937" priority="1183">
      <formula>#REF!="TO"</formula>
    </cfRule>
    <cfRule type="expression" dxfId="9936" priority="1184">
      <formula>#REF!="IO"</formula>
    </cfRule>
    <cfRule type="expression" dxfId="9935" priority="1185">
      <formula>#REF!="L"</formula>
    </cfRule>
  </conditionalFormatting>
  <conditionalFormatting sqref="V34:Y34">
    <cfRule type="expression" dxfId="9934" priority="1237">
      <formula>#REF!="TO"</formula>
    </cfRule>
    <cfRule type="expression" dxfId="9933" priority="1238">
      <formula>#REF!="IO"</formula>
    </cfRule>
    <cfRule type="expression" dxfId="9932" priority="1239">
      <formula>#REF!="L"</formula>
    </cfRule>
  </conditionalFormatting>
  <conditionalFormatting sqref="A34">
    <cfRule type="expression" dxfId="9931" priority="1270">
      <formula>#REF!="TO"</formula>
    </cfRule>
    <cfRule type="expression" dxfId="9930" priority="1271">
      <formula>#REF!="IO"</formula>
    </cfRule>
    <cfRule type="expression" dxfId="9929" priority="1272">
      <formula>#REF!="L"</formula>
    </cfRule>
    <cfRule type="expression" dxfId="9928" priority="1186">
      <formula>#REF!="TO"</formula>
    </cfRule>
    <cfRule type="expression" dxfId="9927" priority="1187">
      <formula>#REF!="IO"</formula>
    </cfRule>
    <cfRule type="expression" dxfId="9926" priority="1188">
      <formula>#REF!="L"</formula>
    </cfRule>
  </conditionalFormatting>
  <conditionalFormatting sqref="AB34:AD34">
    <cfRule type="expression" dxfId="9925" priority="1261">
      <formula>#REF!="TO"</formula>
    </cfRule>
    <cfRule type="expression" dxfId="9924" priority="1262">
      <formula>#REF!="IO"</formula>
    </cfRule>
    <cfRule type="expression" dxfId="9923" priority="1263">
      <formula>#REF!="L"</formula>
    </cfRule>
    <cfRule type="expression" dxfId="9922" priority="1177">
      <formula>#REF!="TO"</formula>
    </cfRule>
    <cfRule type="expression" dxfId="9921" priority="1178">
      <formula>#REF!="IO"</formula>
    </cfRule>
    <cfRule type="expression" dxfId="9920" priority="1179">
      <formula>#REF!="L"</formula>
    </cfRule>
  </conditionalFormatting>
  <conditionalFormatting sqref="AR34">
    <cfRule type="expression" dxfId="9919" priority="1258">
      <formula>#REF!="TO"</formula>
    </cfRule>
    <cfRule type="expression" dxfId="9918" priority="1259">
      <formula>#REF!="IO"</formula>
    </cfRule>
    <cfRule type="expression" dxfId="9917" priority="1260">
      <formula>#REF!="L"</formula>
    </cfRule>
    <cfRule type="expression" dxfId="9916" priority="1243">
      <formula>#REF!="TO"</formula>
    </cfRule>
    <cfRule type="expression" dxfId="9915" priority="1244">
      <formula>#REF!="IO"</formula>
    </cfRule>
    <cfRule type="expression" dxfId="9914" priority="1245">
      <formula>#REF!="L"</formula>
    </cfRule>
    <cfRule type="expression" dxfId="9913" priority="1162">
      <formula>#REF!="TO"</formula>
    </cfRule>
    <cfRule type="expression" dxfId="9912" priority="1163">
      <formula>#REF!="IO"</formula>
    </cfRule>
    <cfRule type="expression" dxfId="9911" priority="1164">
      <formula>#REF!="L"</formula>
    </cfRule>
    <cfRule type="expression" dxfId="9910" priority="1159">
      <formula>#REF!="TO"</formula>
    </cfRule>
    <cfRule type="expression" dxfId="9909" priority="1160">
      <formula>#REF!="IO"</formula>
    </cfRule>
    <cfRule type="expression" dxfId="9908" priority="1161">
      <formula>#REF!="L"</formula>
    </cfRule>
  </conditionalFormatting>
  <conditionalFormatting sqref="AH34">
    <cfRule type="expression" dxfId="9907" priority="1255">
      <formula>#REF!="TO"</formula>
    </cfRule>
    <cfRule type="expression" dxfId="9906" priority="1256">
      <formula>#REF!="IO"</formula>
    </cfRule>
    <cfRule type="expression" dxfId="9905" priority="1257">
      <formula>#REF!="L"</formula>
    </cfRule>
    <cfRule type="expression" dxfId="9904" priority="1174">
      <formula>#REF!="TO"</formula>
    </cfRule>
    <cfRule type="expression" dxfId="9903" priority="1175">
      <formula>#REF!="IO"</formula>
    </cfRule>
    <cfRule type="expression" dxfId="9902" priority="1176">
      <formula>#REF!="L"</formula>
    </cfRule>
  </conditionalFormatting>
  <conditionalFormatting sqref="AJ34:AK34">
    <cfRule type="expression" dxfId="9901" priority="1252">
      <formula>#REF!="TO"</formula>
    </cfRule>
    <cfRule type="expression" dxfId="9900" priority="1253">
      <formula>#REF!="IO"</formula>
    </cfRule>
    <cfRule type="expression" dxfId="9899" priority="1254">
      <formula>#REF!="L"</formula>
    </cfRule>
    <cfRule type="expression" dxfId="9898" priority="1219">
      <formula>#REF!="TO"</formula>
    </cfRule>
    <cfRule type="expression" dxfId="9897" priority="1220">
      <formula>#REF!="IO"</formula>
    </cfRule>
    <cfRule type="expression" dxfId="9896" priority="1221">
      <formula>#REF!="L"</formula>
    </cfRule>
    <cfRule type="expression" dxfId="9895" priority="1171">
      <formula>#REF!="TO"</formula>
    </cfRule>
    <cfRule type="expression" dxfId="9894" priority="1172">
      <formula>#REF!="IO"</formula>
    </cfRule>
    <cfRule type="expression" dxfId="9893" priority="1173">
      <formula>#REF!="L"</formula>
    </cfRule>
    <cfRule type="expression" dxfId="9892" priority="1138">
      <formula>#REF!="TO"</formula>
    </cfRule>
    <cfRule type="expression" dxfId="9891" priority="1139">
      <formula>#REF!="IO"</formula>
    </cfRule>
    <cfRule type="expression" dxfId="9890" priority="1140">
      <formula>#REF!="L"</formula>
    </cfRule>
  </conditionalFormatting>
  <conditionalFormatting sqref="AN34">
    <cfRule type="expression" dxfId="9889" priority="1246">
      <formula>#REF!="TO"</formula>
    </cfRule>
    <cfRule type="expression" dxfId="9888" priority="1247">
      <formula>#REF!="IO"</formula>
    </cfRule>
    <cfRule type="expression" dxfId="9887" priority="1248">
      <formula>#REF!="L"</formula>
    </cfRule>
    <cfRule type="expression" dxfId="9886" priority="1165">
      <formula>#REF!="TO"</formula>
    </cfRule>
    <cfRule type="expression" dxfId="9885" priority="1166">
      <formula>#REF!="IO"</formula>
    </cfRule>
    <cfRule type="expression" dxfId="9884" priority="1167">
      <formula>#REF!="L"</formula>
    </cfRule>
  </conditionalFormatting>
  <conditionalFormatting sqref="AS34">
    <cfRule type="expression" dxfId="9883" priority="1240">
      <formula>#REF!="TO"</formula>
    </cfRule>
    <cfRule type="expression" dxfId="9882" priority="1241">
      <formula>#REF!="IO"</formula>
    </cfRule>
    <cfRule type="expression" dxfId="9881" priority="1242">
      <formula>#REF!="L"</formula>
    </cfRule>
    <cfRule type="expression" dxfId="9880" priority="1156">
      <formula>#REF!="TO"</formula>
    </cfRule>
    <cfRule type="expression" dxfId="9879" priority="1157">
      <formula>#REF!="IO"</formula>
    </cfRule>
    <cfRule type="expression" dxfId="9878" priority="1158">
      <formula>#REF!="L"</formula>
    </cfRule>
  </conditionalFormatting>
  <conditionalFormatting sqref="Y34">
    <cfRule type="expression" dxfId="9877" priority="1234">
      <formula>#REF!="TO"</formula>
    </cfRule>
    <cfRule type="expression" dxfId="9876" priority="1235">
      <formula>#REF!="IO"</formula>
    </cfRule>
    <cfRule type="expression" dxfId="9875" priority="1236">
      <formula>#REF!="L"</formula>
    </cfRule>
    <cfRule type="expression" dxfId="9874" priority="1153">
      <formula>#REF!="TO"</formula>
    </cfRule>
    <cfRule type="expression" dxfId="9873" priority="1154">
      <formula>#REF!="IO"</formula>
    </cfRule>
    <cfRule type="expression" dxfId="9872" priority="1155">
      <formula>#REF!="L"</formula>
    </cfRule>
  </conditionalFormatting>
  <conditionalFormatting sqref="AE34">
    <cfRule type="expression" dxfId="9871" priority="1210">
      <formula>#REF!="TO"</formula>
    </cfRule>
    <cfRule type="expression" dxfId="9870" priority="1211">
      <formula>#REF!="IO"</formula>
    </cfRule>
    <cfRule type="expression" dxfId="9869" priority="1212">
      <formula>#REF!="L"</formula>
    </cfRule>
    <cfRule type="expression" dxfId="9868" priority="1213">
      <formula>E34="TO"</formula>
    </cfRule>
    <cfRule type="expression" dxfId="9867" priority="1214">
      <formula>E34="IO"</formula>
    </cfRule>
    <cfRule type="expression" dxfId="9866" priority="1215">
      <formula>E34="L"</formula>
    </cfRule>
    <cfRule type="expression" dxfId="9865" priority="1129">
      <formula>#REF!="TO"</formula>
    </cfRule>
    <cfRule type="expression" dxfId="9864" priority="1130">
      <formula>#REF!="IO"</formula>
    </cfRule>
    <cfRule type="expression" dxfId="9863" priority="1131">
      <formula>#REF!="L"</formula>
    </cfRule>
    <cfRule type="expression" dxfId="9862" priority="1132">
      <formula>E34="TO"</formula>
    </cfRule>
    <cfRule type="expression" dxfId="9861" priority="1133">
      <formula>E34="IO"</formula>
    </cfRule>
    <cfRule type="expression" dxfId="9860" priority="1134">
      <formula>E34="L"</formula>
    </cfRule>
  </conditionalFormatting>
  <conditionalFormatting sqref="L35 O35:Q35">
    <cfRule type="expression" dxfId="9859" priority="574">
      <formula>#REF!="TO"</formula>
    </cfRule>
    <cfRule type="expression" dxfId="9858" priority="575">
      <formula>#REF!="IO"</formula>
    </cfRule>
    <cfRule type="expression" dxfId="9857" priority="576">
      <formula>#REF!="L"</formula>
    </cfRule>
    <cfRule type="expression" dxfId="9856" priority="571">
      <formula>#REF!="TO"</formula>
    </cfRule>
    <cfRule type="expression" dxfId="9855" priority="572">
      <formula>#REF!="IO"</formula>
    </cfRule>
    <cfRule type="expression" dxfId="9854" priority="573">
      <formula>#REF!="L"</formula>
    </cfRule>
    <cfRule type="expression" dxfId="9853" priority="565">
      <formula>#REF!="TO"</formula>
    </cfRule>
    <cfRule type="expression" dxfId="9852" priority="566">
      <formula>#REF!="IO"</formula>
    </cfRule>
    <cfRule type="expression" dxfId="9851" priority="567">
      <formula>#REF!="L"</formula>
    </cfRule>
    <cfRule type="expression" dxfId="9850" priority="568">
      <formula>#REF!="TO"</formula>
    </cfRule>
    <cfRule type="expression" dxfId="9849" priority="569">
      <formula>#REF!="IO"</formula>
    </cfRule>
    <cfRule type="expression" dxfId="9848" priority="570">
      <formula>#REF!="L"</formula>
    </cfRule>
  </conditionalFormatting>
  <conditionalFormatting sqref="P35">
    <cfRule type="expression" dxfId="9847" priority="634">
      <formula>#REF!="TO"</formula>
    </cfRule>
    <cfRule type="expression" dxfId="9846" priority="635">
      <formula>#REF!="IO"</formula>
    </cfRule>
    <cfRule type="expression" dxfId="9845" priority="636">
      <formula>#REF!="L"</formula>
    </cfRule>
    <cfRule type="expression" dxfId="9844" priority="631">
      <formula>#REF!="TO"</formula>
    </cfRule>
    <cfRule type="expression" dxfId="9843" priority="632">
      <formula>#REF!="IO"</formula>
    </cfRule>
    <cfRule type="expression" dxfId="9842" priority="633">
      <formula>#REF!="L"</formula>
    </cfRule>
    <cfRule type="expression" dxfId="9841" priority="715">
      <formula>#REF!="TO"</formula>
    </cfRule>
    <cfRule type="expression" dxfId="9840" priority="716">
      <formula>#REF!="IO"</formula>
    </cfRule>
    <cfRule type="expression" dxfId="9839" priority="717">
      <formula>#REF!="L"</formula>
    </cfRule>
    <cfRule type="expression" dxfId="9838" priority="718">
      <formula>#REF!="TO"</formula>
    </cfRule>
    <cfRule type="expression" dxfId="9837" priority="719">
      <formula>#REF!="IO"</formula>
    </cfRule>
    <cfRule type="expression" dxfId="9836" priority="720">
      <formula>#REF!="L"</formula>
    </cfRule>
  </conditionalFormatting>
  <conditionalFormatting sqref="Q35">
    <cfRule type="expression" dxfId="9835" priority="628">
      <formula>#REF!="TO"</formula>
    </cfRule>
    <cfRule type="expression" dxfId="9834" priority="629">
      <formula>#REF!="IO"</formula>
    </cfRule>
    <cfRule type="expression" dxfId="9833" priority="630">
      <formula>#REF!="L"</formula>
    </cfRule>
    <cfRule type="expression" dxfId="9832" priority="625">
      <formula>#REF!="TO"</formula>
    </cfRule>
    <cfRule type="expression" dxfId="9831" priority="626">
      <formula>#REF!="IO"</formula>
    </cfRule>
    <cfRule type="expression" dxfId="9830" priority="627">
      <formula>#REF!="L"</formula>
    </cfRule>
    <cfRule type="expression" dxfId="9829" priority="712">
      <formula>#REF!="TO"</formula>
    </cfRule>
    <cfRule type="expression" dxfId="9828" priority="713">
      <formula>#REF!="IO"</formula>
    </cfRule>
    <cfRule type="expression" dxfId="9827" priority="714">
      <formula>#REF!="L"</formula>
    </cfRule>
    <cfRule type="expression" dxfId="9826" priority="709">
      <formula>#REF!="TO"</formula>
    </cfRule>
    <cfRule type="expression" dxfId="9825" priority="710">
      <formula>#REF!="IO"</formula>
    </cfRule>
    <cfRule type="expression" dxfId="9824" priority="711">
      <formula>#REF!="L"</formula>
    </cfRule>
  </conditionalFormatting>
  <conditionalFormatting sqref="AA35">
    <cfRule type="expression" dxfId="9823" priority="622">
      <formula>#REF!="TO"</formula>
    </cfRule>
    <cfRule type="expression" dxfId="9822" priority="623">
      <formula>#REF!="IO"</formula>
    </cfRule>
    <cfRule type="expression" dxfId="9821" priority="624">
      <formula>#REF!="L"</formula>
    </cfRule>
    <cfRule type="expression" dxfId="9820" priority="619">
      <formula>#REF!="TO"</formula>
    </cfRule>
    <cfRule type="expression" dxfId="9819" priority="620">
      <formula>#REF!="IO"</formula>
    </cfRule>
    <cfRule type="expression" dxfId="9818" priority="621">
      <formula>#REF!="L"</formula>
    </cfRule>
    <cfRule type="expression" dxfId="9817" priority="613">
      <formula>#REF!="TO"</formula>
    </cfRule>
    <cfRule type="expression" dxfId="9816" priority="614">
      <formula>#REF!="IO"</formula>
    </cfRule>
    <cfRule type="expression" dxfId="9815" priority="615">
      <formula>#REF!="L"</formula>
    </cfRule>
    <cfRule type="expression" dxfId="9814" priority="616">
      <formula>#REF!="TO"</formula>
    </cfRule>
    <cfRule type="expression" dxfId="9813" priority="617">
      <formula>#REF!="IO"</formula>
    </cfRule>
    <cfRule type="expression" dxfId="9812" priority="618">
      <formula>#REF!="L"</formula>
    </cfRule>
  </conditionalFormatting>
  <conditionalFormatting sqref="V35:X35">
    <cfRule type="expression" dxfId="9811" priority="637">
      <formula>#REF!="TO"</formula>
    </cfRule>
    <cfRule type="expression" dxfId="9810" priority="638">
      <formula>#REF!="IO"</formula>
    </cfRule>
    <cfRule type="expression" dxfId="9809" priority="639">
      <formula>#REF!="L"</formula>
    </cfRule>
  </conditionalFormatting>
  <conditionalFormatting sqref="AD35">
    <cfRule type="expression" dxfId="9808" priority="586">
      <formula>#REF!="TO"</formula>
    </cfRule>
    <cfRule type="expression" dxfId="9807" priority="587">
      <formula>#REF!="IO"</formula>
    </cfRule>
    <cfRule type="expression" dxfId="9806" priority="588">
      <formula>#REF!="L"</formula>
    </cfRule>
    <cfRule type="expression" dxfId="9805" priority="583">
      <formula>#REF!="TO"</formula>
    </cfRule>
    <cfRule type="expression" dxfId="9804" priority="584">
      <formula>#REF!="IO"</formula>
    </cfRule>
    <cfRule type="expression" dxfId="9803" priority="585">
      <formula>#REF!="L"</formula>
    </cfRule>
    <cfRule type="expression" dxfId="9802" priority="580">
      <formula>#REF!="TO"</formula>
    </cfRule>
    <cfRule type="expression" dxfId="9801" priority="581">
      <formula>#REF!="IO"</formula>
    </cfRule>
    <cfRule type="expression" dxfId="9800" priority="582">
      <formula>#REF!="L"</formula>
    </cfRule>
    <cfRule type="expression" dxfId="9799" priority="577">
      <formula>#REF!="TO"</formula>
    </cfRule>
    <cfRule type="expression" dxfId="9798" priority="578">
      <formula>#REF!="IO"</formula>
    </cfRule>
    <cfRule type="expression" dxfId="9797" priority="579">
      <formula>#REF!="L"</formula>
    </cfRule>
  </conditionalFormatting>
  <conditionalFormatting sqref="Z35">
    <cfRule type="expression" dxfId="9796" priority="607">
      <formula>#REF!="TO"</formula>
    </cfRule>
    <cfRule type="expression" dxfId="9795" priority="608">
      <formula>#REF!="IO"</formula>
    </cfRule>
    <cfRule type="expression" dxfId="9794" priority="609">
      <formula>#REF!="L"</formula>
    </cfRule>
    <cfRule type="expression" dxfId="9793" priority="610">
      <formula>#REF!="TO"</formula>
    </cfRule>
    <cfRule type="expression" dxfId="9792" priority="611">
      <formula>#REF!="IO"</formula>
    </cfRule>
    <cfRule type="expression" dxfId="9791" priority="612">
      <formula>#REF!="L"</formula>
    </cfRule>
    <cfRule type="expression" dxfId="9790" priority="604">
      <formula>#REF!="TO"</formula>
    </cfRule>
    <cfRule type="expression" dxfId="9789" priority="605">
      <formula>#REF!="IO"</formula>
    </cfRule>
    <cfRule type="expression" dxfId="9788" priority="606">
      <formula>#REF!="L"</formula>
    </cfRule>
    <cfRule type="expression" dxfId="9787" priority="601">
      <formula>#REF!="TO"</formula>
    </cfRule>
    <cfRule type="expression" dxfId="9786" priority="602">
      <formula>#REF!="IO"</formula>
    </cfRule>
    <cfRule type="expression" dxfId="9785" priority="603">
      <formula>#REF!="L"</formula>
    </cfRule>
  </conditionalFormatting>
  <conditionalFormatting sqref="C35">
    <cfRule type="expression" dxfId="9784" priority="598">
      <formula>#REF!="TO"</formula>
    </cfRule>
    <cfRule type="expression" dxfId="9783" priority="599">
      <formula>#REF!="IO"</formula>
    </cfRule>
    <cfRule type="expression" dxfId="9782" priority="600">
      <formula>#REF!="L"</formula>
    </cfRule>
    <cfRule type="expression" dxfId="9781" priority="595">
      <formula>#REF!="TO"</formula>
    </cfRule>
    <cfRule type="expression" dxfId="9780" priority="596">
      <formula>#REF!="IO"</formula>
    </cfRule>
    <cfRule type="expression" dxfId="9779" priority="597">
      <formula>#REF!="L"</formula>
    </cfRule>
    <cfRule type="expression" dxfId="9778" priority="592">
      <formula>#REF!="TO"</formula>
    </cfRule>
    <cfRule type="expression" dxfId="9777" priority="593">
      <formula>#REF!="IO"</formula>
    </cfRule>
    <cfRule type="expression" dxfId="9776" priority="594">
      <formula>#REF!="L"</formula>
    </cfRule>
    <cfRule type="expression" dxfId="9775" priority="589">
      <formula>#REF!="TO"</formula>
    </cfRule>
    <cfRule type="expression" dxfId="9774" priority="590">
      <formula>#REF!="IO"</formula>
    </cfRule>
    <cfRule type="expression" dxfId="9773" priority="591">
      <formula>#REF!="L"</formula>
    </cfRule>
  </conditionalFormatting>
  <conditionalFormatting sqref="BA35">
    <cfRule type="expression" dxfId="9772" priority="559">
      <formula>#REF!="TO"</formula>
    </cfRule>
    <cfRule type="expression" dxfId="9771" priority="560">
      <formula>#REF!="IO"</formula>
    </cfRule>
    <cfRule type="expression" dxfId="9770" priority="561">
      <formula>#REF!="L"</formula>
    </cfRule>
    <cfRule type="expression" dxfId="9769" priority="562">
      <formula>#REF!="TO"</formula>
    </cfRule>
    <cfRule type="expression" dxfId="9768" priority="563">
      <formula>#REF!="IO"</formula>
    </cfRule>
    <cfRule type="expression" dxfId="9767" priority="564">
      <formula>#REF!="L"</formula>
    </cfRule>
  </conditionalFormatting>
  <conditionalFormatting sqref="AW35:AZ35">
    <cfRule type="expression" dxfId="9766" priority="556">
      <formula>#REF!="TO"</formula>
    </cfRule>
    <cfRule type="expression" dxfId="9765" priority="557">
      <formula>#REF!="IO"</formula>
    </cfRule>
    <cfRule type="expression" dxfId="9764" priority="558">
      <formula>#REF!="L"</formula>
    </cfRule>
    <cfRule type="expression" dxfId="9763" priority="553">
      <formula>#REF!="TO"</formula>
    </cfRule>
    <cfRule type="expression" dxfId="9762" priority="554">
      <formula>#REF!="IO"</formula>
    </cfRule>
    <cfRule type="expression" dxfId="9761" priority="555">
      <formula>#REF!="L"</formula>
    </cfRule>
    <cfRule type="expression" dxfId="9760" priority="550">
      <formula>#REF!="TO"</formula>
    </cfRule>
    <cfRule type="expression" dxfId="9759" priority="551">
      <formula>#REF!="IO"</formula>
    </cfRule>
    <cfRule type="expression" dxfId="9758" priority="552">
      <formula>#REF!="L"</formula>
    </cfRule>
    <cfRule type="expression" dxfId="9757" priority="547">
      <formula>#REF!="TO"</formula>
    </cfRule>
    <cfRule type="expression" dxfId="9756" priority="548">
      <formula>#REF!="IO"</formula>
    </cfRule>
    <cfRule type="expression" dxfId="9755" priority="549">
      <formula>#REF!="L"</formula>
    </cfRule>
  </conditionalFormatting>
  <conditionalFormatting sqref="BC35">
    <cfRule type="expression" dxfId="9754" priority="544">
      <formula>#REF!="TO"</formula>
    </cfRule>
    <cfRule type="expression" dxfId="9753" priority="545">
      <formula>#REF!="IO"</formula>
    </cfRule>
    <cfRule type="expression" dxfId="9752" priority="546">
      <formula>#REF!="L"</formula>
    </cfRule>
    <cfRule type="expression" dxfId="9751" priority="541">
      <formula>#REF!="TO"</formula>
    </cfRule>
    <cfRule type="expression" dxfId="9750" priority="542">
      <formula>#REF!="IO"</formula>
    </cfRule>
    <cfRule type="expression" dxfId="9749" priority="543">
      <formula>#REF!="L"</formula>
    </cfRule>
  </conditionalFormatting>
  <conditionalFormatting sqref="J35">
    <cfRule type="expression" dxfId="9748" priority="535">
      <formula>#REF!="TO"</formula>
    </cfRule>
    <cfRule type="expression" dxfId="9747" priority="536">
      <formula>#REF!="IO"</formula>
    </cfRule>
    <cfRule type="expression" dxfId="9746" priority="537">
      <formula>#REF!="L"</formula>
    </cfRule>
    <cfRule type="expression" dxfId="9745" priority="532">
      <formula>#REF!="TO"</formula>
    </cfRule>
    <cfRule type="expression" dxfId="9744" priority="533">
      <formula>#REF!="IO"</formula>
    </cfRule>
    <cfRule type="expression" dxfId="9743" priority="534">
      <formula>#REF!="L"</formula>
    </cfRule>
    <cfRule type="expression" dxfId="9742" priority="529">
      <formula>#REF!="TO"</formula>
    </cfRule>
    <cfRule type="expression" dxfId="9741" priority="530">
      <formula>#REF!="IO"</formula>
    </cfRule>
    <cfRule type="expression" dxfId="9740" priority="531">
      <formula>#REF!="L"</formula>
    </cfRule>
    <cfRule type="expression" dxfId="9739" priority="538">
      <formula>#REF!="TO"</formula>
    </cfRule>
    <cfRule type="expression" dxfId="9738" priority="539">
      <formula>#REF!="IO"</formula>
    </cfRule>
    <cfRule type="expression" dxfId="9737" priority="540">
      <formula>#REF!="L"</formula>
    </cfRule>
  </conditionalFormatting>
  <conditionalFormatting sqref="G35 I35">
    <cfRule type="expression" dxfId="9736" priority="523">
      <formula>#REF!="TO"</formula>
    </cfRule>
    <cfRule type="expression" dxfId="9735" priority="524">
      <formula>#REF!="IO"</formula>
    </cfRule>
    <cfRule type="expression" dxfId="9734" priority="525">
      <formula>#REF!="L"</formula>
    </cfRule>
    <cfRule type="expression" dxfId="9733" priority="526">
      <formula>#REF!="TO"</formula>
    </cfRule>
    <cfRule type="expression" dxfId="9732" priority="527">
      <formula>#REF!="IO"</formula>
    </cfRule>
    <cfRule type="expression" dxfId="9731" priority="528">
      <formula>#REF!="L"</formula>
    </cfRule>
  </conditionalFormatting>
  <conditionalFormatting sqref="H35">
    <cfRule type="expression" dxfId="9730" priority="517">
      <formula>#REF!="TO"</formula>
    </cfRule>
    <cfRule type="expression" dxfId="9729" priority="518">
      <formula>#REF!="IO"</formula>
    </cfRule>
    <cfRule type="expression" dxfId="9728" priority="519">
      <formula>#REF!="L"</formula>
    </cfRule>
    <cfRule type="expression" dxfId="9727" priority="511">
      <formula>#REF!="TO"</formula>
    </cfRule>
    <cfRule type="expression" dxfId="9726" priority="512">
      <formula>#REF!="IO"</formula>
    </cfRule>
    <cfRule type="expression" dxfId="9725" priority="513">
      <formula>#REF!="L"</formula>
    </cfRule>
    <cfRule type="expression" dxfId="9724" priority="520">
      <formula>XEY35="TO"</formula>
    </cfRule>
    <cfRule type="expression" dxfId="9723" priority="521">
      <formula>XEY35="IO"</formula>
    </cfRule>
    <cfRule type="expression" dxfId="9722" priority="522">
      <formula>XEY35="L"</formula>
    </cfRule>
    <cfRule type="expression" dxfId="9721" priority="514">
      <formula>XEY35="TO"</formula>
    </cfRule>
    <cfRule type="expression" dxfId="9720" priority="515">
      <formula>XEY35="IO"</formula>
    </cfRule>
    <cfRule type="expression" dxfId="9719" priority="516">
      <formula>XEY35="L"</formula>
    </cfRule>
  </conditionalFormatting>
  <conditionalFormatting sqref="AE35">
    <cfRule type="expression" dxfId="9718" priority="649">
      <formula>#REF!="TO"</formula>
    </cfRule>
    <cfRule type="expression" dxfId="9717" priority="650">
      <formula>#REF!="IO"</formula>
    </cfRule>
    <cfRule type="expression" dxfId="9716" priority="651">
      <formula>#REF!="L"</formula>
    </cfRule>
    <cfRule type="expression" dxfId="9715" priority="730">
      <formula>#REF!="TO"</formula>
    </cfRule>
    <cfRule type="expression" dxfId="9714" priority="731">
      <formula>#REF!="IO"</formula>
    </cfRule>
    <cfRule type="expression" dxfId="9713" priority="732">
      <formula>#REF!="L"</formula>
    </cfRule>
    <cfRule type="expression" dxfId="9712" priority="733">
      <formula>E35="TO"</formula>
    </cfRule>
    <cfRule type="expression" dxfId="9711" priority="734">
      <formula>E35="IO"</formula>
    </cfRule>
    <cfRule type="expression" dxfId="9710" priority="735">
      <formula>E35="L"</formula>
    </cfRule>
    <cfRule type="expression" dxfId="9709" priority="652">
      <formula>E35="TO"</formula>
    </cfRule>
    <cfRule type="expression" dxfId="9708" priority="653">
      <formula>E35="IO"</formula>
    </cfRule>
    <cfRule type="expression" dxfId="9707" priority="654">
      <formula>E35="L"</formula>
    </cfRule>
  </conditionalFormatting>
  <conditionalFormatting sqref="M35">
    <cfRule type="expression" dxfId="9706" priority="508">
      <formula>#REF!="TO"</formula>
    </cfRule>
    <cfRule type="expression" dxfId="9705" priority="509">
      <formula>#REF!="IO"</formula>
    </cfRule>
    <cfRule type="expression" dxfId="9704" priority="510">
      <formula>#REF!="L"</formula>
    </cfRule>
    <cfRule type="expression" dxfId="9703" priority="502">
      <formula>#REF!="TO"</formula>
    </cfRule>
    <cfRule type="expression" dxfId="9702" priority="503">
      <formula>#REF!="IO"</formula>
    </cfRule>
    <cfRule type="expression" dxfId="9701" priority="504">
      <formula>#REF!="L"</formula>
    </cfRule>
    <cfRule type="expression" dxfId="9700" priority="505">
      <formula>#REF!="TO"</formula>
    </cfRule>
    <cfRule type="expression" dxfId="9699" priority="506">
      <formula>#REF!="IO"</formula>
    </cfRule>
    <cfRule type="expression" dxfId="9698" priority="507">
      <formula>#REF!="L"</formula>
    </cfRule>
    <cfRule type="expression" dxfId="9697" priority="499">
      <formula>#REF!="TO"</formula>
    </cfRule>
    <cfRule type="expression" dxfId="9696" priority="500">
      <formula>#REF!="IO"</formula>
    </cfRule>
    <cfRule type="expression" dxfId="9695" priority="501">
      <formula>#REF!="L"</formula>
    </cfRule>
  </conditionalFormatting>
  <conditionalFormatting sqref="N35">
    <cfRule type="expression" dxfId="9694" priority="496">
      <formula>#REF!="TO"</formula>
    </cfRule>
    <cfRule type="expression" dxfId="9693" priority="497">
      <formula>#REF!="IO"</formula>
    </cfRule>
    <cfRule type="expression" dxfId="9692" priority="498">
      <formula>#REF!="L"</formula>
    </cfRule>
    <cfRule type="expression" dxfId="9691" priority="493">
      <formula>#REF!="TO"</formula>
    </cfRule>
    <cfRule type="expression" dxfId="9690" priority="494">
      <formula>#REF!="IO"</formula>
    </cfRule>
    <cfRule type="expression" dxfId="9689" priority="495">
      <formula>#REF!="L"</formula>
    </cfRule>
  </conditionalFormatting>
  <conditionalFormatting sqref="AP35">
    <cfRule type="expression" dxfId="9688" priority="490">
      <formula>#REF!="TO"</formula>
    </cfRule>
    <cfRule type="expression" dxfId="9687" priority="491">
      <formula>#REF!="IO"</formula>
    </cfRule>
    <cfRule type="expression" dxfId="9686" priority="492">
      <formula>#REF!="L"</formula>
    </cfRule>
    <cfRule type="expression" dxfId="9685" priority="487">
      <formula>#REF!="TO"</formula>
    </cfRule>
    <cfRule type="expression" dxfId="9684" priority="488">
      <formula>#REF!="IO"</formula>
    </cfRule>
    <cfRule type="expression" dxfId="9683" priority="489">
      <formula>#REF!="L"</formula>
    </cfRule>
  </conditionalFormatting>
  <conditionalFormatting sqref="D37">
    <cfRule type="expression" dxfId="9682" priority="481">
      <formula>#REF!="TO"</formula>
    </cfRule>
    <cfRule type="expression" dxfId="9681" priority="482">
      <formula>#REF!="IO"</formula>
    </cfRule>
    <cfRule type="expression" dxfId="9680" priority="483">
      <formula>#REF!="L"</formula>
    </cfRule>
    <cfRule type="expression" dxfId="9679" priority="463">
      <formula>#REF!="TO"</formula>
    </cfRule>
    <cfRule type="expression" dxfId="9678" priority="464">
      <formula>#REF!="IO"</formula>
    </cfRule>
    <cfRule type="expression" dxfId="9677" priority="465">
      <formula>#REF!="L"</formula>
    </cfRule>
  </conditionalFormatting>
  <conditionalFormatting sqref="E35:F35">
    <cfRule type="expression" dxfId="9676" priority="661">
      <formula>#REF!="TO"</formula>
    </cfRule>
    <cfRule type="expression" dxfId="9675" priority="662">
      <formula>#REF!="IO"</formula>
    </cfRule>
    <cfRule type="expression" dxfId="9674" priority="663">
      <formula>#REF!="L"</formula>
    </cfRule>
    <cfRule type="expression" dxfId="9673" priority="784">
      <formula>#REF!="TO"</formula>
    </cfRule>
    <cfRule type="expression" dxfId="9672" priority="785">
      <formula>#REF!="IO"</formula>
    </cfRule>
    <cfRule type="expression" dxfId="9671" priority="786">
      <formula>#REF!="L"</formula>
    </cfRule>
    <cfRule type="expression" dxfId="9670" priority="742">
      <formula>#REF!="TO"</formula>
    </cfRule>
    <cfRule type="expression" dxfId="9669" priority="743">
      <formula>#REF!="IO"</formula>
    </cfRule>
    <cfRule type="expression" dxfId="9668" priority="744">
      <formula>#REF!="L"</formula>
    </cfRule>
    <cfRule type="expression" dxfId="9667" priority="700">
      <formula>#REF!="TO"</formula>
    </cfRule>
    <cfRule type="expression" dxfId="9666" priority="701">
      <formula>#REF!="IO"</formula>
    </cfRule>
    <cfRule type="expression" dxfId="9665" priority="702">
      <formula>#REF!="L"</formula>
    </cfRule>
  </conditionalFormatting>
  <conditionalFormatting sqref="AU35:BA35">
    <cfRule type="expression" dxfId="9664" priority="751">
      <formula>#REF!="TO"</formula>
    </cfRule>
    <cfRule type="expression" dxfId="9663" priority="752">
      <formula>#REF!="IO"</formula>
    </cfRule>
    <cfRule type="expression" dxfId="9662" priority="753">
      <formula>#REF!="L"</formula>
    </cfRule>
    <cfRule type="expression" dxfId="9661" priority="670">
      <formula>#REF!="TO"</formula>
    </cfRule>
    <cfRule type="expression" dxfId="9660" priority="671">
      <formula>#REF!="IO"</formula>
    </cfRule>
    <cfRule type="expression" dxfId="9659" priority="672">
      <formula>#REF!="L"</formula>
    </cfRule>
  </conditionalFormatting>
  <conditionalFormatting sqref="B35">
    <cfRule type="expression" dxfId="9658" priority="664">
      <formula>#REF!="TO"</formula>
    </cfRule>
    <cfRule type="expression" dxfId="9657" priority="665">
      <formula>#REF!="IO"</formula>
    </cfRule>
    <cfRule type="expression" dxfId="9656" priority="666">
      <formula>#REF!="L"</formula>
    </cfRule>
    <cfRule type="expression" dxfId="9655" priority="787">
      <formula>#REF!="TO"</formula>
    </cfRule>
    <cfRule type="expression" dxfId="9654" priority="788">
      <formula>#REF!="IO"</formula>
    </cfRule>
    <cfRule type="expression" dxfId="9653" priority="789">
      <formula>#REF!="L"</formula>
    </cfRule>
    <cfRule type="expression" dxfId="9652" priority="745">
      <formula>#REF!="TO"</formula>
    </cfRule>
    <cfRule type="expression" dxfId="9651" priority="746">
      <formula>#REF!="IO"</formula>
    </cfRule>
    <cfRule type="expression" dxfId="9650" priority="747">
      <formula>#REF!="L"</formula>
    </cfRule>
    <cfRule type="expression" dxfId="9649" priority="703">
      <formula>#REF!="TO"</formula>
    </cfRule>
    <cfRule type="expression" dxfId="9648" priority="704">
      <formula>#REF!="IO"</formula>
    </cfRule>
    <cfRule type="expression" dxfId="9647" priority="705">
      <formula>#REF!="L"</formula>
    </cfRule>
  </conditionalFormatting>
  <conditionalFormatting sqref="V35:Y35">
    <cfRule type="expression" dxfId="9646" priority="757">
      <formula>#REF!="TO"</formula>
    </cfRule>
    <cfRule type="expression" dxfId="9645" priority="758">
      <formula>#REF!="IO"</formula>
    </cfRule>
    <cfRule type="expression" dxfId="9644" priority="759">
      <formula>#REF!="L"</formula>
    </cfRule>
  </conditionalFormatting>
  <conditionalFormatting sqref="A35">
    <cfRule type="expression" dxfId="9643" priority="790">
      <formula>#REF!="TO"</formula>
    </cfRule>
    <cfRule type="expression" dxfId="9642" priority="791">
      <formula>#REF!="IO"</formula>
    </cfRule>
    <cfRule type="expression" dxfId="9641" priority="792">
      <formula>#REF!="L"</formula>
    </cfRule>
    <cfRule type="expression" dxfId="9640" priority="706">
      <formula>#REF!="TO"</formula>
    </cfRule>
    <cfRule type="expression" dxfId="9639" priority="707">
      <formula>#REF!="IO"</formula>
    </cfRule>
    <cfRule type="expression" dxfId="9638" priority="708">
      <formula>#REF!="L"</formula>
    </cfRule>
  </conditionalFormatting>
  <conditionalFormatting sqref="AB35:AD35">
    <cfRule type="expression" dxfId="9637" priority="781">
      <formula>#REF!="TO"</formula>
    </cfRule>
    <cfRule type="expression" dxfId="9636" priority="782">
      <formula>#REF!="IO"</formula>
    </cfRule>
    <cfRule type="expression" dxfId="9635" priority="783">
      <formula>#REF!="L"</formula>
    </cfRule>
    <cfRule type="expression" dxfId="9634" priority="697">
      <formula>#REF!="TO"</formula>
    </cfRule>
    <cfRule type="expression" dxfId="9633" priority="698">
      <formula>#REF!="IO"</formula>
    </cfRule>
    <cfRule type="expression" dxfId="9632" priority="699">
      <formula>#REF!="L"</formula>
    </cfRule>
  </conditionalFormatting>
  <conditionalFormatting sqref="AR35">
    <cfRule type="expression" dxfId="9631" priority="778">
      <formula>#REF!="TO"</formula>
    </cfRule>
    <cfRule type="expression" dxfId="9630" priority="779">
      <formula>#REF!="IO"</formula>
    </cfRule>
    <cfRule type="expression" dxfId="9629" priority="780">
      <formula>#REF!="L"</formula>
    </cfRule>
    <cfRule type="expression" dxfId="9628" priority="763">
      <formula>#REF!="TO"</formula>
    </cfRule>
    <cfRule type="expression" dxfId="9627" priority="764">
      <formula>#REF!="IO"</formula>
    </cfRule>
    <cfRule type="expression" dxfId="9626" priority="765">
      <formula>#REF!="L"</formula>
    </cfRule>
    <cfRule type="expression" dxfId="9625" priority="682">
      <formula>#REF!="TO"</formula>
    </cfRule>
    <cfRule type="expression" dxfId="9624" priority="683">
      <formula>#REF!="IO"</formula>
    </cfRule>
    <cfRule type="expression" dxfId="9623" priority="684">
      <formula>#REF!="L"</formula>
    </cfRule>
    <cfRule type="expression" dxfId="9622" priority="679">
      <formula>#REF!="TO"</formula>
    </cfRule>
    <cfRule type="expression" dxfId="9621" priority="680">
      <formula>#REF!="IO"</formula>
    </cfRule>
    <cfRule type="expression" dxfId="9620" priority="681">
      <formula>#REF!="L"</formula>
    </cfRule>
  </conditionalFormatting>
  <conditionalFormatting sqref="AH35">
    <cfRule type="expression" dxfId="9619" priority="775">
      <formula>#REF!="TO"</formula>
    </cfRule>
    <cfRule type="expression" dxfId="9618" priority="776">
      <formula>#REF!="IO"</formula>
    </cfRule>
    <cfRule type="expression" dxfId="9617" priority="777">
      <formula>#REF!="L"</formula>
    </cfRule>
    <cfRule type="expression" dxfId="9616" priority="694">
      <formula>#REF!="TO"</formula>
    </cfRule>
    <cfRule type="expression" dxfId="9615" priority="695">
      <formula>#REF!="IO"</formula>
    </cfRule>
    <cfRule type="expression" dxfId="9614" priority="696">
      <formula>#REF!="L"</formula>
    </cfRule>
  </conditionalFormatting>
  <conditionalFormatting sqref="AJ35:AK35">
    <cfRule type="expression" dxfId="9613" priority="772">
      <formula>#REF!="TO"</formula>
    </cfRule>
    <cfRule type="expression" dxfId="9612" priority="773">
      <formula>#REF!="IO"</formula>
    </cfRule>
    <cfRule type="expression" dxfId="9611" priority="774">
      <formula>#REF!="L"</formula>
    </cfRule>
    <cfRule type="expression" dxfId="9610" priority="739">
      <formula>#REF!="TO"</formula>
    </cfRule>
    <cfRule type="expression" dxfId="9609" priority="740">
      <formula>#REF!="IO"</formula>
    </cfRule>
    <cfRule type="expression" dxfId="9608" priority="741">
      <formula>#REF!="L"</formula>
    </cfRule>
    <cfRule type="expression" dxfId="9607" priority="691">
      <formula>#REF!="TO"</formula>
    </cfRule>
    <cfRule type="expression" dxfId="9606" priority="692">
      <formula>#REF!="IO"</formula>
    </cfRule>
    <cfRule type="expression" dxfId="9605" priority="693">
      <formula>#REF!="L"</formula>
    </cfRule>
    <cfRule type="expression" dxfId="9604" priority="658">
      <formula>#REF!="TO"</formula>
    </cfRule>
    <cfRule type="expression" dxfId="9603" priority="659">
      <formula>#REF!="IO"</formula>
    </cfRule>
    <cfRule type="expression" dxfId="9602" priority="660">
      <formula>#REF!="L"</formula>
    </cfRule>
  </conditionalFormatting>
  <conditionalFormatting sqref="AL35">
    <cfRule type="expression" dxfId="9601" priority="769">
      <formula>#REF!="TO"</formula>
    </cfRule>
    <cfRule type="expression" dxfId="9600" priority="770">
      <formula>#REF!="IO"</formula>
    </cfRule>
    <cfRule type="expression" dxfId="9599" priority="771">
      <formula>#REF!="L"</formula>
    </cfRule>
    <cfRule type="expression" dxfId="9598" priority="736">
      <formula>#REF!="TO"</formula>
    </cfRule>
    <cfRule type="expression" dxfId="9597" priority="737">
      <formula>#REF!="IO"</formula>
    </cfRule>
    <cfRule type="expression" dxfId="9596" priority="738">
      <formula>#REF!="L"</formula>
    </cfRule>
    <cfRule type="expression" dxfId="9595" priority="688">
      <formula>#REF!="TO"</formula>
    </cfRule>
    <cfRule type="expression" dxfId="9594" priority="689">
      <formula>#REF!="IO"</formula>
    </cfRule>
    <cfRule type="expression" dxfId="9593" priority="690">
      <formula>#REF!="L"</formula>
    </cfRule>
    <cfRule type="expression" dxfId="9592" priority="655">
      <formula>#REF!="TO"</formula>
    </cfRule>
    <cfRule type="expression" dxfId="9591" priority="656">
      <formula>#REF!="IO"</formula>
    </cfRule>
    <cfRule type="expression" dxfId="9590" priority="657">
      <formula>#REF!="L"</formula>
    </cfRule>
  </conditionalFormatting>
  <conditionalFormatting sqref="AN35">
    <cfRule type="expression" dxfId="9589" priority="766">
      <formula>#REF!="TO"</formula>
    </cfRule>
    <cfRule type="expression" dxfId="9588" priority="767">
      <formula>#REF!="IO"</formula>
    </cfRule>
    <cfRule type="expression" dxfId="9587" priority="768">
      <formula>#REF!="L"</formula>
    </cfRule>
    <cfRule type="expression" dxfId="9586" priority="685">
      <formula>#REF!="TO"</formula>
    </cfRule>
    <cfRule type="expression" dxfId="9585" priority="686">
      <formula>#REF!="IO"</formula>
    </cfRule>
    <cfRule type="expression" dxfId="9584" priority="687">
      <formula>#REF!="L"</formula>
    </cfRule>
  </conditionalFormatting>
  <conditionalFormatting sqref="AS35">
    <cfRule type="expression" dxfId="9583" priority="760">
      <formula>#REF!="TO"</formula>
    </cfRule>
    <cfRule type="expression" dxfId="9582" priority="761">
      <formula>#REF!="IO"</formula>
    </cfRule>
    <cfRule type="expression" dxfId="9581" priority="762">
      <formula>#REF!="L"</formula>
    </cfRule>
    <cfRule type="expression" dxfId="9580" priority="676">
      <formula>#REF!="TO"</formula>
    </cfRule>
    <cfRule type="expression" dxfId="9579" priority="677">
      <formula>#REF!="IO"</formula>
    </cfRule>
    <cfRule type="expression" dxfId="9578" priority="678">
      <formula>#REF!="L"</formula>
    </cfRule>
  </conditionalFormatting>
  <conditionalFormatting sqref="Y35">
    <cfRule type="expression" dxfId="9577" priority="754">
      <formula>#REF!="TO"</formula>
    </cfRule>
    <cfRule type="expression" dxfId="9576" priority="755">
      <formula>#REF!="IO"</formula>
    </cfRule>
    <cfRule type="expression" dxfId="9575" priority="756">
      <formula>#REF!="L"</formula>
    </cfRule>
    <cfRule type="expression" dxfId="9574" priority="673">
      <formula>#REF!="TO"</formula>
    </cfRule>
    <cfRule type="expression" dxfId="9573" priority="674">
      <formula>#REF!="IO"</formula>
    </cfRule>
    <cfRule type="expression" dxfId="9572" priority="675">
      <formula>#REF!="L"</formula>
    </cfRule>
  </conditionalFormatting>
  <conditionalFormatting sqref="AF35">
    <cfRule type="expression" dxfId="9571" priority="748">
      <formula>#REF!="TO"</formula>
    </cfRule>
    <cfRule type="expression" dxfId="9570" priority="749">
      <formula>#REF!="IO"</formula>
    </cfRule>
    <cfRule type="expression" dxfId="9569" priority="750">
      <formula>#REF!="L"</formula>
    </cfRule>
    <cfRule type="expression" dxfId="9568" priority="727">
      <formula>#REF!="TO"</formula>
    </cfRule>
    <cfRule type="expression" dxfId="9567" priority="728">
      <formula>#REF!="IO"</formula>
    </cfRule>
    <cfRule type="expression" dxfId="9566" priority="729">
      <formula>#REF!="L"</formula>
    </cfRule>
    <cfRule type="expression" dxfId="9565" priority="667">
      <formula>#REF!="TO"</formula>
    </cfRule>
    <cfRule type="expression" dxfId="9564" priority="668">
      <formula>#REF!="IO"</formula>
    </cfRule>
    <cfRule type="expression" dxfId="9563" priority="669">
      <formula>#REF!="L"</formula>
    </cfRule>
    <cfRule type="expression" dxfId="9562" priority="646">
      <formula>#REF!="TO"</formula>
    </cfRule>
    <cfRule type="expression" dxfId="9561" priority="647">
      <formula>#REF!="IO"</formula>
    </cfRule>
    <cfRule type="expression" dxfId="9560" priority="648">
      <formula>#REF!="L"</formula>
    </cfRule>
  </conditionalFormatting>
  <conditionalFormatting sqref="S35">
    <cfRule type="expression" dxfId="9559" priority="724">
      <formula>#REF!="TO"</formula>
    </cfRule>
    <cfRule type="expression" dxfId="9558" priority="725">
      <formula>#REF!="IO"</formula>
    </cfRule>
    <cfRule type="expression" dxfId="9557" priority="726">
      <formula>#REF!="L"</formula>
    </cfRule>
    <cfRule type="expression" dxfId="9556" priority="643">
      <formula>#REF!="TO"</formula>
    </cfRule>
    <cfRule type="expression" dxfId="9555" priority="644">
      <formula>#REF!="IO"</formula>
    </cfRule>
    <cfRule type="expression" dxfId="9554" priority="645">
      <formula>#REF!="L"</formula>
    </cfRule>
  </conditionalFormatting>
  <conditionalFormatting sqref="T35:U35">
    <cfRule type="expression" dxfId="9553" priority="721">
      <formula>#REF!="TO"</formula>
    </cfRule>
    <cfRule type="expression" dxfId="9552" priority="722">
      <formula>#REF!="IO"</formula>
    </cfRule>
    <cfRule type="expression" dxfId="9551" priority="723">
      <formula>#REF!="L"</formula>
    </cfRule>
    <cfRule type="expression" dxfId="9550" priority="640">
      <formula>#REF!="TO"</formula>
    </cfRule>
    <cfRule type="expression" dxfId="9549" priority="641">
      <formula>#REF!="IO"</formula>
    </cfRule>
    <cfRule type="expression" dxfId="9548" priority="642">
      <formula>#REF!="L"</formula>
    </cfRule>
  </conditionalFormatting>
  <conditionalFormatting sqref="AT37">
    <cfRule type="expression" dxfId="9547" priority="406">
      <formula>#REF!="TO"</formula>
    </cfRule>
    <cfRule type="expression" dxfId="9546" priority="407">
      <formula>#REF!="IO"</formula>
    </cfRule>
    <cfRule type="expression" dxfId="9545" priority="408">
      <formula>#REF!="L"</formula>
    </cfRule>
    <cfRule type="expression" dxfId="9544" priority="409">
      <formula>#REF!="TO"</formula>
    </cfRule>
    <cfRule type="expression" dxfId="9543" priority="410">
      <formula>#REF!="IO"</formula>
    </cfRule>
    <cfRule type="expression" dxfId="9542" priority="411">
      <formula>#REF!="L"</formula>
    </cfRule>
  </conditionalFormatting>
  <conditionalFormatting sqref="AO37">
    <cfRule type="expression" dxfId="9541" priority="475">
      <formula>Z37="TO"</formula>
    </cfRule>
    <cfRule type="expression" dxfId="9540" priority="476">
      <formula>Z37="IO"</formula>
    </cfRule>
    <cfRule type="expression" dxfId="9539" priority="477">
      <formula>Z37="L"</formula>
    </cfRule>
  </conditionalFormatting>
  <conditionalFormatting sqref="AI37">
    <cfRule type="expression" dxfId="9538" priority="472">
      <formula>#REF!="TO"</formula>
    </cfRule>
    <cfRule type="expression" dxfId="9537" priority="473">
      <formula>#REF!="IO"</formula>
    </cfRule>
    <cfRule type="expression" dxfId="9536" priority="474">
      <formula>#REF!="L"</formula>
    </cfRule>
    <cfRule type="expression" dxfId="9535" priority="433">
      <formula>#REF!="TO"</formula>
    </cfRule>
    <cfRule type="expression" dxfId="9534" priority="434">
      <formula>#REF!="IO"</formula>
    </cfRule>
    <cfRule type="expression" dxfId="9533" priority="435">
      <formula>#REF!="L"</formula>
    </cfRule>
  </conditionalFormatting>
  <conditionalFormatting sqref="A37">
    <cfRule type="expression" dxfId="9532" priority="466">
      <formula>#REF!="TO"</formula>
    </cfRule>
    <cfRule type="expression" dxfId="9531" priority="467">
      <formula>#REF!="IO"</formula>
    </cfRule>
    <cfRule type="expression" dxfId="9530" priority="468">
      <formula>#REF!="L"</formula>
    </cfRule>
  </conditionalFormatting>
  <conditionalFormatting sqref="K37 R37">
    <cfRule type="expression" dxfId="9529" priority="460">
      <formula>#REF!="TO"</formula>
    </cfRule>
    <cfRule type="expression" dxfId="9528" priority="461">
      <formula>#REF!="IO"</formula>
    </cfRule>
    <cfRule type="expression" dxfId="9527" priority="462">
      <formula>#REF!="L"</formula>
    </cfRule>
    <cfRule type="expression" dxfId="9526" priority="478">
      <formula>#REF!="TO"</formula>
    </cfRule>
    <cfRule type="expression" dxfId="9525" priority="479">
      <formula>#REF!="IO"</formula>
    </cfRule>
    <cfRule type="expression" dxfId="9524" priority="480">
      <formula>#REF!="L"</formula>
    </cfRule>
  </conditionalFormatting>
  <conditionalFormatting sqref="E37">
    <cfRule type="expression" dxfId="9523" priority="457">
      <formula>#REF!="TO"</formula>
    </cfRule>
    <cfRule type="expression" dxfId="9522" priority="458">
      <formula>#REF!="IO"</formula>
    </cfRule>
    <cfRule type="expression" dxfId="9521" priority="459">
      <formula>#REF!="L"</formula>
    </cfRule>
  </conditionalFormatting>
  <conditionalFormatting sqref="S37">
    <cfRule type="expression" dxfId="9520" priority="454">
      <formula>#REF!="TO"</formula>
    </cfRule>
    <cfRule type="expression" dxfId="9519" priority="455">
      <formula>#REF!="IO"</formula>
    </cfRule>
    <cfRule type="expression" dxfId="9518" priority="456">
      <formula>#REF!="L"</formula>
    </cfRule>
  </conditionalFormatting>
  <conditionalFormatting sqref="AM37">
    <cfRule type="expression" dxfId="9517" priority="469">
      <formula>#REF!="TO"</formula>
    </cfRule>
    <cfRule type="expression" dxfId="9516" priority="470">
      <formula>#REF!="IO"</formula>
    </cfRule>
    <cfRule type="expression" dxfId="9515" priority="471">
      <formula>#REF!="L"</formula>
    </cfRule>
    <cfRule type="expression" dxfId="9514" priority="424">
      <formula>#REF!="TO"</formula>
    </cfRule>
    <cfRule type="expression" dxfId="9513" priority="425">
      <formula>#REF!="IO"</formula>
    </cfRule>
    <cfRule type="expression" dxfId="9512" priority="426">
      <formula>#REF!="L"</formula>
    </cfRule>
  </conditionalFormatting>
  <conditionalFormatting sqref="AO37 AQ37">
    <cfRule type="expression" dxfId="9511" priority="418">
      <formula>#REF!="TO"</formula>
    </cfRule>
    <cfRule type="expression" dxfId="9510" priority="419">
      <formula>#REF!="IO"</formula>
    </cfRule>
    <cfRule type="expression" dxfId="9509" priority="420">
      <formula>#REF!="L"</formula>
    </cfRule>
  </conditionalFormatting>
  <conditionalFormatting sqref="AB37:AD37">
    <cfRule type="expression" dxfId="9508" priority="451">
      <formula>#REF!="TO"</formula>
    </cfRule>
    <cfRule type="expression" dxfId="9507" priority="452">
      <formula>#REF!="IO"</formula>
    </cfRule>
    <cfRule type="expression" dxfId="9506" priority="453">
      <formula>#REF!="L"</formula>
    </cfRule>
  </conditionalFormatting>
  <conditionalFormatting sqref="O37">
    <cfRule type="expression" dxfId="9505" priority="445">
      <formula>#REF!="TO"</formula>
    </cfRule>
    <cfRule type="expression" dxfId="9504" priority="446">
      <formula>#REF!="IO"</formula>
    </cfRule>
    <cfRule type="expression" dxfId="9503" priority="447">
      <formula>#REF!="L"</formula>
    </cfRule>
    <cfRule type="expression" dxfId="9502" priority="448">
      <formula>#REF!="TO"</formula>
    </cfRule>
    <cfRule type="expression" dxfId="9501" priority="449">
      <formula>#REF!="IO"</formula>
    </cfRule>
    <cfRule type="expression" dxfId="9500" priority="450">
      <formula>#REF!="L"</formula>
    </cfRule>
    <cfRule type="expression" dxfId="9499" priority="367">
      <formula>#REF!="TO"</formula>
    </cfRule>
    <cfRule type="expression" dxfId="9498" priority="368">
      <formula>#REF!="IO"</formula>
    </cfRule>
    <cfRule type="expression" dxfId="9497" priority="369">
      <formula>#REF!="L"</formula>
    </cfRule>
  </conditionalFormatting>
  <conditionalFormatting sqref="AC37 AG37">
    <cfRule type="expression" dxfId="9496" priority="439">
      <formula>#REF!="TO"</formula>
    </cfRule>
    <cfRule type="expression" dxfId="9495" priority="440">
      <formula>#REF!="IO"</formula>
    </cfRule>
    <cfRule type="expression" dxfId="9494" priority="441">
      <formula>#REF!="L"</formula>
    </cfRule>
    <cfRule type="expression" dxfId="9493" priority="442">
      <formula>#REF!="TO"</formula>
    </cfRule>
    <cfRule type="expression" dxfId="9492" priority="443">
      <formula>#REF!="IO"</formula>
    </cfRule>
    <cfRule type="expression" dxfId="9491" priority="444">
      <formula>#REF!="L"</formula>
    </cfRule>
  </conditionalFormatting>
  <conditionalFormatting sqref="AH37">
    <cfRule type="expression" dxfId="9490" priority="436">
      <formula>#REF!="TO"</formula>
    </cfRule>
    <cfRule type="expression" dxfId="9489" priority="437">
      <formula>#REF!="IO"</formula>
    </cfRule>
    <cfRule type="expression" dxfId="9488" priority="438">
      <formula>#REF!="L"</formula>
    </cfRule>
  </conditionalFormatting>
  <conditionalFormatting sqref="AJ37:AK37">
    <cfRule type="expression" dxfId="9487" priority="430">
      <formula>#REF!="TO"</formula>
    </cfRule>
    <cfRule type="expression" dxfId="9486" priority="431">
      <formula>#REF!="IO"</formula>
    </cfRule>
    <cfRule type="expression" dxfId="9485" priority="432">
      <formula>#REF!="L"</formula>
    </cfRule>
  </conditionalFormatting>
  <conditionalFormatting sqref="AL37">
    <cfRule type="expression" dxfId="9484" priority="427">
      <formula>#REF!="TO"</formula>
    </cfRule>
    <cfRule type="expression" dxfId="9483" priority="428">
      <formula>#REF!="IO"</formula>
    </cfRule>
    <cfRule type="expression" dxfId="9482" priority="429">
      <formula>#REF!="L"</formula>
    </cfRule>
  </conditionalFormatting>
  <conditionalFormatting sqref="AN37">
    <cfRule type="expression" dxfId="9481" priority="421">
      <formula>#REF!="TO"</formula>
    </cfRule>
    <cfRule type="expression" dxfId="9480" priority="422">
      <formula>#REF!="IO"</formula>
    </cfRule>
    <cfRule type="expression" dxfId="9479" priority="423">
      <formula>#REF!="L"</formula>
    </cfRule>
  </conditionalFormatting>
  <conditionalFormatting sqref="AR37">
    <cfRule type="expression" dxfId="9478" priority="415">
      <formula>#REF!="TO"</formula>
    </cfRule>
    <cfRule type="expression" dxfId="9477" priority="416">
      <formula>#REF!="IO"</formula>
    </cfRule>
    <cfRule type="expression" dxfId="9476" priority="417">
      <formula>#REF!="L"</formula>
    </cfRule>
  </conditionalFormatting>
  <conditionalFormatting sqref="AS37">
    <cfRule type="expression" dxfId="9475" priority="412">
      <formula>#REF!="TO"</formula>
    </cfRule>
    <cfRule type="expression" dxfId="9474" priority="413">
      <formula>#REF!="IO"</formula>
    </cfRule>
    <cfRule type="expression" dxfId="9473" priority="414">
      <formula>#REF!="L"</formula>
    </cfRule>
  </conditionalFormatting>
  <conditionalFormatting sqref="AU37:BA37">
    <cfRule type="expression" dxfId="9472" priority="403">
      <formula>#REF!="TO"</formula>
    </cfRule>
    <cfRule type="expression" dxfId="9471" priority="404">
      <formula>#REF!="IO"</formula>
    </cfRule>
    <cfRule type="expression" dxfId="9470" priority="405">
      <formula>#REF!="L"</formula>
    </cfRule>
  </conditionalFormatting>
  <conditionalFormatting sqref="AE37">
    <cfRule type="expression" dxfId="9469" priority="397">
      <formula>#REF!="TO"</formula>
    </cfRule>
    <cfRule type="expression" dxfId="9468" priority="398">
      <formula>#REF!="IO"</formula>
    </cfRule>
    <cfRule type="expression" dxfId="9467" priority="399">
      <formula>#REF!="L"</formula>
    </cfRule>
    <cfRule type="expression" dxfId="9466" priority="400">
      <formula>E37="TO"</formula>
    </cfRule>
    <cfRule type="expression" dxfId="9465" priority="401">
      <formula>E37="IO"</formula>
    </cfRule>
    <cfRule type="expression" dxfId="9464" priority="402">
      <formula>E37="L"</formula>
    </cfRule>
  </conditionalFormatting>
  <conditionalFormatting sqref="AF37">
    <cfRule type="expression" dxfId="9463" priority="394">
      <formula>#REF!="TO"</formula>
    </cfRule>
    <cfRule type="expression" dxfId="9462" priority="395">
      <formula>#REF!="IO"</formula>
    </cfRule>
    <cfRule type="expression" dxfId="9461" priority="396">
      <formula>#REF!="L"</formula>
    </cfRule>
  </conditionalFormatting>
  <conditionalFormatting sqref="T37:U37">
    <cfRule type="expression" dxfId="9460" priority="391">
      <formula>#REF!="TO"</formula>
    </cfRule>
    <cfRule type="expression" dxfId="9459" priority="392">
      <formula>#REF!="IO"</formula>
    </cfRule>
    <cfRule type="expression" dxfId="9458" priority="393">
      <formula>#REF!="L"</formula>
    </cfRule>
  </conditionalFormatting>
  <conditionalFormatting sqref="V37:X37">
    <cfRule type="expression" dxfId="9457" priority="388">
      <formula>#REF!="TO"</formula>
    </cfRule>
    <cfRule type="expression" dxfId="9456" priority="389">
      <formula>#REF!="IO"</formula>
    </cfRule>
    <cfRule type="expression" dxfId="9455" priority="390">
      <formula>#REF!="L"</formula>
    </cfRule>
  </conditionalFormatting>
  <conditionalFormatting sqref="AA37">
    <cfRule type="expression" dxfId="9454" priority="385">
      <formula>#REF!="TO"</formula>
    </cfRule>
    <cfRule type="expression" dxfId="9453" priority="386">
      <formula>#REF!="IO"</formula>
    </cfRule>
    <cfRule type="expression" dxfId="9452" priority="387">
      <formula>#REF!="L"</formula>
    </cfRule>
  </conditionalFormatting>
  <conditionalFormatting sqref="Z37">
    <cfRule type="expression" dxfId="9451" priority="382">
      <formula>#REF!="TO"</formula>
    </cfRule>
    <cfRule type="expression" dxfId="9450" priority="383">
      <formula>#REF!="IO"</formula>
    </cfRule>
    <cfRule type="expression" dxfId="9449" priority="384">
      <formula>#REF!="L"</formula>
    </cfRule>
  </conditionalFormatting>
  <conditionalFormatting sqref="C37">
    <cfRule type="expression" dxfId="9448" priority="379">
      <formula>#REF!="TO"</formula>
    </cfRule>
    <cfRule type="expression" dxfId="9447" priority="380">
      <formula>#REF!="IO"</formula>
    </cfRule>
    <cfRule type="expression" dxfId="9446" priority="381">
      <formula>#REF!="L"</formula>
    </cfRule>
  </conditionalFormatting>
  <conditionalFormatting sqref="B37">
    <cfRule type="expression" dxfId="9445" priority="376">
      <formula>#REF!="TO"</formula>
    </cfRule>
    <cfRule type="expression" dxfId="9444" priority="377">
      <formula>#REF!="IO"</formula>
    </cfRule>
    <cfRule type="expression" dxfId="9443" priority="378">
      <formula>#REF!="L"</formula>
    </cfRule>
  </conditionalFormatting>
  <conditionalFormatting sqref="P37">
    <cfRule type="expression" dxfId="9442" priority="364">
      <formula>#REF!="TO"</formula>
    </cfRule>
    <cfRule type="expression" dxfId="9441" priority="365">
      <formula>#REF!="IO"</formula>
    </cfRule>
    <cfRule type="expression" dxfId="9440" priority="366">
      <formula>#REF!="L"</formula>
    </cfRule>
  </conditionalFormatting>
  <conditionalFormatting sqref="Q37">
    <cfRule type="expression" dxfId="9439" priority="361">
      <formula>#REF!="TO"</formula>
    </cfRule>
    <cfRule type="expression" dxfId="9438" priority="362">
      <formula>#REF!="IO"</formula>
    </cfRule>
    <cfRule type="expression" dxfId="9437" priority="363">
      <formula>#REF!="L"</formula>
    </cfRule>
  </conditionalFormatting>
  <conditionalFormatting sqref="F37">
    <cfRule type="expression" dxfId="9436" priority="373">
      <formula>#REF!="TO"</formula>
    </cfRule>
    <cfRule type="expression" dxfId="9435" priority="374">
      <formula>#REF!="IO"</formula>
    </cfRule>
    <cfRule type="expression" dxfId="9434" priority="375">
      <formula>#REF!="L"</formula>
    </cfRule>
  </conditionalFormatting>
  <conditionalFormatting sqref="AD37">
    <cfRule type="expression" dxfId="9433" priority="370">
      <formula>#REF!="TO"</formula>
    </cfRule>
    <cfRule type="expression" dxfId="9432" priority="371">
      <formula>#REF!="IO"</formula>
    </cfRule>
    <cfRule type="expression" dxfId="9431" priority="372">
      <formula>#REF!="L"</formula>
    </cfRule>
  </conditionalFormatting>
  <conditionalFormatting sqref="AV37">
    <cfRule type="expression" dxfId="9430" priority="355">
      <formula>#REF!="TO"</formula>
    </cfRule>
    <cfRule type="expression" dxfId="9429" priority="356">
      <formula>#REF!="IO"</formula>
    </cfRule>
    <cfRule type="expression" dxfId="9428" priority="357">
      <formula>#REF!="L"</formula>
    </cfRule>
    <cfRule type="expression" dxfId="9427" priority="358">
      <formula>#REF!="TO"</formula>
    </cfRule>
    <cfRule type="expression" dxfId="9426" priority="359">
      <formula>#REF!="IO"</formula>
    </cfRule>
    <cfRule type="expression" dxfId="9425" priority="360">
      <formula>#REF!="L"</formula>
    </cfRule>
  </conditionalFormatting>
  <conditionalFormatting sqref="BA37">
    <cfRule type="expression" dxfId="9424" priority="352">
      <formula>#REF!="TO"</formula>
    </cfRule>
    <cfRule type="expression" dxfId="9423" priority="353">
      <formula>#REF!="IO"</formula>
    </cfRule>
    <cfRule type="expression" dxfId="9422" priority="354">
      <formula>#REF!="L"</formula>
    </cfRule>
  </conditionalFormatting>
  <conditionalFormatting sqref="AW37:AZ37">
    <cfRule type="expression" dxfId="9421" priority="349">
      <formula>#REF!="TO"</formula>
    </cfRule>
    <cfRule type="expression" dxfId="9420" priority="350">
      <formula>#REF!="IO"</formula>
    </cfRule>
    <cfRule type="expression" dxfId="9419" priority="351">
      <formula>#REF!="L"</formula>
    </cfRule>
  </conditionalFormatting>
  <conditionalFormatting sqref="BB37">
    <cfRule type="expression" dxfId="9418" priority="343">
      <formula>#REF!="TO"</formula>
    </cfRule>
    <cfRule type="expression" dxfId="9417" priority="344">
      <formula>#REF!="IO"</formula>
    </cfRule>
    <cfRule type="expression" dxfId="9416" priority="345">
      <formula>#REF!="L"</formula>
    </cfRule>
    <cfRule type="expression" dxfId="9415" priority="346">
      <formula>#REF!="TO"</formula>
    </cfRule>
    <cfRule type="expression" dxfId="9414" priority="347">
      <formula>#REF!="IO"</formula>
    </cfRule>
    <cfRule type="expression" dxfId="9413" priority="348">
      <formula>#REF!="L"</formula>
    </cfRule>
  </conditionalFormatting>
  <conditionalFormatting sqref="BC37">
    <cfRule type="expression" dxfId="9412" priority="340">
      <formula>#REF!="TO"</formula>
    </cfRule>
    <cfRule type="expression" dxfId="9411" priority="341">
      <formula>#REF!="IO"</formula>
    </cfRule>
    <cfRule type="expression" dxfId="9410" priority="342">
      <formula>#REF!="L"</formula>
    </cfRule>
  </conditionalFormatting>
  <conditionalFormatting sqref="J37">
    <cfRule type="expression" dxfId="9409" priority="337">
      <formula>#REF!="TO"</formula>
    </cfRule>
    <cfRule type="expression" dxfId="9408" priority="338">
      <formula>#REF!="IO"</formula>
    </cfRule>
    <cfRule type="expression" dxfId="9407" priority="339">
      <formula>#REF!="L"</formula>
    </cfRule>
  </conditionalFormatting>
  <conditionalFormatting sqref="G37 I37">
    <cfRule type="expression" dxfId="9406" priority="334">
      <formula>#REF!="TO"</formula>
    </cfRule>
    <cfRule type="expression" dxfId="9405" priority="335">
      <formula>#REF!="IO"</formula>
    </cfRule>
    <cfRule type="expression" dxfId="9404" priority="336">
      <formula>#REF!="L"</formula>
    </cfRule>
  </conditionalFormatting>
  <conditionalFormatting sqref="H37">
    <cfRule type="expression" dxfId="9403" priority="328">
      <formula>#REF!="TO"</formula>
    </cfRule>
    <cfRule type="expression" dxfId="9402" priority="329">
      <formula>#REF!="IO"</formula>
    </cfRule>
    <cfRule type="expression" dxfId="9401" priority="330">
      <formula>#REF!="L"</formula>
    </cfRule>
    <cfRule type="expression" dxfId="9400" priority="331">
      <formula>XEY37="TO"</formula>
    </cfRule>
    <cfRule type="expression" dxfId="9399" priority="332">
      <formula>XEY37="IO"</formula>
    </cfRule>
    <cfRule type="expression" dxfId="9398" priority="333">
      <formula>XEY37="L"</formula>
    </cfRule>
  </conditionalFormatting>
  <conditionalFormatting sqref="M37">
    <cfRule type="expression" dxfId="9397" priority="325">
      <formula>#REF!="TO"</formula>
    </cfRule>
    <cfRule type="expression" dxfId="9396" priority="326">
      <formula>#REF!="IO"</formula>
    </cfRule>
    <cfRule type="expression" dxfId="9395" priority="327">
      <formula>#REF!="L"</formula>
    </cfRule>
  </conditionalFormatting>
  <conditionalFormatting sqref="L37">
    <cfRule type="expression" dxfId="9394" priority="322">
      <formula>#REF!="TO"</formula>
    </cfRule>
    <cfRule type="expression" dxfId="9393" priority="323">
      <formula>#REF!="IO"</formula>
    </cfRule>
    <cfRule type="expression" dxfId="9392" priority="324">
      <formula>#REF!="L"</formula>
    </cfRule>
  </conditionalFormatting>
  <conditionalFormatting sqref="N37">
    <cfRule type="expression" dxfId="9391" priority="319">
      <formula>#REF!="TO"</formula>
    </cfRule>
    <cfRule type="expression" dxfId="9390" priority="320">
      <formula>#REF!="IO"</formula>
    </cfRule>
    <cfRule type="expression" dxfId="9389" priority="321">
      <formula>#REF!="L"</formula>
    </cfRule>
  </conditionalFormatting>
  <conditionalFormatting sqref="AQ37">
    <cfRule type="expression" dxfId="9388" priority="484">
      <formula>AA37="TO"</formula>
    </cfRule>
    <cfRule type="expression" dxfId="9387" priority="485">
      <formula>AA37="IO"</formula>
    </cfRule>
    <cfRule type="expression" dxfId="9386" priority="486">
      <formula>AA37="L"</formula>
    </cfRule>
  </conditionalFormatting>
  <conditionalFormatting sqref="AP37">
    <cfRule type="expression" dxfId="9385" priority="316">
      <formula>#REF!="TO"</formula>
    </cfRule>
    <cfRule type="expression" dxfId="9384" priority="317">
      <formula>#REF!="IO"</formula>
    </cfRule>
    <cfRule type="expression" dxfId="9383" priority="318">
      <formula>#REF!="L"</formula>
    </cfRule>
  </conditionalFormatting>
  <conditionalFormatting sqref="Y37">
    <cfRule type="expression" dxfId="9382" priority="313">
      <formula>#REF!="TO"</formula>
    </cfRule>
    <cfRule type="expression" dxfId="9381" priority="314">
      <formula>#REF!="IO"</formula>
    </cfRule>
    <cfRule type="expression" dxfId="9380" priority="315">
      <formula>#REF!="L"</formula>
    </cfRule>
  </conditionalFormatting>
  <conditionalFormatting sqref="E36:F36">
    <cfRule type="expression" dxfId="9379" priority="181">
      <formula>#REF!="TO"</formula>
    </cfRule>
    <cfRule type="expression" dxfId="9378" priority="182">
      <formula>#REF!="IO"</formula>
    </cfRule>
    <cfRule type="expression" dxfId="9377" priority="183">
      <formula>#REF!="L"</formula>
    </cfRule>
    <cfRule type="expression" dxfId="9376" priority="304">
      <formula>#REF!="TO"</formula>
    </cfRule>
    <cfRule type="expression" dxfId="9375" priority="305">
      <formula>#REF!="IO"</formula>
    </cfRule>
    <cfRule type="expression" dxfId="9374" priority="306">
      <formula>#REF!="L"</formula>
    </cfRule>
    <cfRule type="expression" dxfId="9373" priority="262">
      <formula>#REF!="TO"</formula>
    </cfRule>
    <cfRule type="expression" dxfId="9372" priority="263">
      <formula>#REF!="IO"</formula>
    </cfRule>
    <cfRule type="expression" dxfId="9371" priority="264">
      <formula>#REF!="L"</formula>
    </cfRule>
    <cfRule type="expression" dxfId="9370" priority="220">
      <formula>#REF!="TO"</formula>
    </cfRule>
    <cfRule type="expression" dxfId="9369" priority="221">
      <formula>#REF!="IO"</formula>
    </cfRule>
    <cfRule type="expression" dxfId="9368" priority="222">
      <formula>#REF!="L"</formula>
    </cfRule>
  </conditionalFormatting>
  <conditionalFormatting sqref="AU36:BA36">
    <cfRule type="expression" dxfId="9367" priority="271">
      <formula>#REF!="TO"</formula>
    </cfRule>
    <cfRule type="expression" dxfId="9366" priority="272">
      <formula>#REF!="IO"</formula>
    </cfRule>
    <cfRule type="expression" dxfId="9365" priority="273">
      <formula>#REF!="L"</formula>
    </cfRule>
    <cfRule type="expression" dxfId="9364" priority="190">
      <formula>#REF!="TO"</formula>
    </cfRule>
    <cfRule type="expression" dxfId="9363" priority="191">
      <formula>#REF!="IO"</formula>
    </cfRule>
    <cfRule type="expression" dxfId="9362" priority="192">
      <formula>#REF!="L"</formula>
    </cfRule>
  </conditionalFormatting>
  <conditionalFormatting sqref="B36">
    <cfRule type="expression" dxfId="9361" priority="184">
      <formula>#REF!="TO"</formula>
    </cfRule>
    <cfRule type="expression" dxfId="9360" priority="185">
      <formula>#REF!="IO"</formula>
    </cfRule>
    <cfRule type="expression" dxfId="9359" priority="186">
      <formula>#REF!="L"</formula>
    </cfRule>
    <cfRule type="expression" dxfId="9358" priority="307">
      <formula>#REF!="TO"</formula>
    </cfRule>
    <cfRule type="expression" dxfId="9357" priority="308">
      <formula>#REF!="IO"</formula>
    </cfRule>
    <cfRule type="expression" dxfId="9356" priority="309">
      <formula>#REF!="L"</formula>
    </cfRule>
    <cfRule type="expression" dxfId="9355" priority="265">
      <formula>#REF!="TO"</formula>
    </cfRule>
    <cfRule type="expression" dxfId="9354" priority="266">
      <formula>#REF!="IO"</formula>
    </cfRule>
    <cfRule type="expression" dxfId="9353" priority="267">
      <formula>#REF!="L"</formula>
    </cfRule>
    <cfRule type="expression" dxfId="9352" priority="223">
      <formula>#REF!="TO"</formula>
    </cfRule>
    <cfRule type="expression" dxfId="9351" priority="224">
      <formula>#REF!="IO"</formula>
    </cfRule>
    <cfRule type="expression" dxfId="9350" priority="225">
      <formula>#REF!="L"</formula>
    </cfRule>
  </conditionalFormatting>
  <conditionalFormatting sqref="V36:Y36">
    <cfRule type="expression" dxfId="9349" priority="277">
      <formula>#REF!="TO"</formula>
    </cfRule>
    <cfRule type="expression" dxfId="9348" priority="278">
      <formula>#REF!="IO"</formula>
    </cfRule>
    <cfRule type="expression" dxfId="9347" priority="279">
      <formula>#REF!="L"</formula>
    </cfRule>
  </conditionalFormatting>
  <conditionalFormatting sqref="A36">
    <cfRule type="expression" dxfId="9346" priority="310">
      <formula>#REF!="TO"</formula>
    </cfRule>
    <cfRule type="expression" dxfId="9345" priority="311">
      <formula>#REF!="IO"</formula>
    </cfRule>
    <cfRule type="expression" dxfId="9344" priority="312">
      <formula>#REF!="L"</formula>
    </cfRule>
    <cfRule type="expression" dxfId="9343" priority="226">
      <formula>#REF!="TO"</formula>
    </cfRule>
    <cfRule type="expression" dxfId="9342" priority="227">
      <formula>#REF!="IO"</formula>
    </cfRule>
    <cfRule type="expression" dxfId="9341" priority="228">
      <formula>#REF!="L"</formula>
    </cfRule>
  </conditionalFormatting>
  <conditionalFormatting sqref="AB36:AD36">
    <cfRule type="expression" dxfId="9340" priority="301">
      <formula>#REF!="TO"</formula>
    </cfRule>
    <cfRule type="expression" dxfId="9339" priority="302">
      <formula>#REF!="IO"</formula>
    </cfRule>
    <cfRule type="expression" dxfId="9338" priority="303">
      <formula>#REF!="L"</formula>
    </cfRule>
    <cfRule type="expression" dxfId="9337" priority="217">
      <formula>#REF!="TO"</formula>
    </cfRule>
    <cfRule type="expression" dxfId="9336" priority="218">
      <formula>#REF!="IO"</formula>
    </cfRule>
    <cfRule type="expression" dxfId="9335" priority="219">
      <formula>#REF!="L"</formula>
    </cfRule>
  </conditionalFormatting>
  <conditionalFormatting sqref="AR36">
    <cfRule type="expression" dxfId="9334" priority="298">
      <formula>#REF!="TO"</formula>
    </cfRule>
    <cfRule type="expression" dxfId="9333" priority="299">
      <formula>#REF!="IO"</formula>
    </cfRule>
    <cfRule type="expression" dxfId="9332" priority="300">
      <formula>#REF!="L"</formula>
    </cfRule>
    <cfRule type="expression" dxfId="9331" priority="283">
      <formula>#REF!="TO"</formula>
    </cfRule>
    <cfRule type="expression" dxfId="9330" priority="284">
      <formula>#REF!="IO"</formula>
    </cfRule>
    <cfRule type="expression" dxfId="9329" priority="285">
      <formula>#REF!="L"</formula>
    </cfRule>
    <cfRule type="expression" dxfId="9328" priority="202">
      <formula>#REF!="TO"</formula>
    </cfRule>
    <cfRule type="expression" dxfId="9327" priority="203">
      <formula>#REF!="IO"</formula>
    </cfRule>
    <cfRule type="expression" dxfId="9326" priority="204">
      <formula>#REF!="L"</formula>
    </cfRule>
    <cfRule type="expression" dxfId="9325" priority="199">
      <formula>#REF!="TO"</formula>
    </cfRule>
    <cfRule type="expression" dxfId="9324" priority="200">
      <formula>#REF!="IO"</formula>
    </cfRule>
    <cfRule type="expression" dxfId="9323" priority="201">
      <formula>#REF!="L"</formula>
    </cfRule>
  </conditionalFormatting>
  <conditionalFormatting sqref="AH36">
    <cfRule type="expression" dxfId="9322" priority="295">
      <formula>#REF!="TO"</formula>
    </cfRule>
    <cfRule type="expression" dxfId="9321" priority="296">
      <formula>#REF!="IO"</formula>
    </cfRule>
    <cfRule type="expression" dxfId="9320" priority="297">
      <formula>#REF!="L"</formula>
    </cfRule>
    <cfRule type="expression" dxfId="9319" priority="214">
      <formula>#REF!="TO"</formula>
    </cfRule>
    <cfRule type="expression" dxfId="9318" priority="215">
      <formula>#REF!="IO"</formula>
    </cfRule>
    <cfRule type="expression" dxfId="9317" priority="216">
      <formula>#REF!="L"</formula>
    </cfRule>
  </conditionalFormatting>
  <conditionalFormatting sqref="AJ36:AK36">
    <cfRule type="expression" dxfId="9316" priority="292">
      <formula>#REF!="TO"</formula>
    </cfRule>
    <cfRule type="expression" dxfId="9315" priority="293">
      <formula>#REF!="IO"</formula>
    </cfRule>
    <cfRule type="expression" dxfId="9314" priority="294">
      <formula>#REF!="L"</formula>
    </cfRule>
    <cfRule type="expression" dxfId="9313" priority="259">
      <formula>#REF!="TO"</formula>
    </cfRule>
    <cfRule type="expression" dxfId="9312" priority="260">
      <formula>#REF!="IO"</formula>
    </cfRule>
    <cfRule type="expression" dxfId="9311" priority="261">
      <formula>#REF!="L"</formula>
    </cfRule>
    <cfRule type="expression" dxfId="9310" priority="211">
      <formula>#REF!="TO"</formula>
    </cfRule>
    <cfRule type="expression" dxfId="9309" priority="212">
      <formula>#REF!="IO"</formula>
    </cfRule>
    <cfRule type="expression" dxfId="9308" priority="213">
      <formula>#REF!="L"</formula>
    </cfRule>
    <cfRule type="expression" dxfId="9307" priority="178">
      <formula>#REF!="TO"</formula>
    </cfRule>
    <cfRule type="expression" dxfId="9306" priority="179">
      <formula>#REF!="IO"</formula>
    </cfRule>
    <cfRule type="expression" dxfId="9305" priority="180">
      <formula>#REF!="L"</formula>
    </cfRule>
  </conditionalFormatting>
  <conditionalFormatting sqref="AL36">
    <cfRule type="expression" dxfId="9304" priority="289">
      <formula>#REF!="TO"</formula>
    </cfRule>
    <cfRule type="expression" dxfId="9303" priority="290">
      <formula>#REF!="IO"</formula>
    </cfRule>
    <cfRule type="expression" dxfId="9302" priority="291">
      <formula>#REF!="L"</formula>
    </cfRule>
    <cfRule type="expression" dxfId="9301" priority="256">
      <formula>#REF!="TO"</formula>
    </cfRule>
    <cfRule type="expression" dxfId="9300" priority="257">
      <formula>#REF!="IO"</formula>
    </cfRule>
    <cfRule type="expression" dxfId="9299" priority="258">
      <formula>#REF!="L"</formula>
    </cfRule>
    <cfRule type="expression" dxfId="9298" priority="208">
      <formula>#REF!="TO"</formula>
    </cfRule>
    <cfRule type="expression" dxfId="9297" priority="209">
      <formula>#REF!="IO"</formula>
    </cfRule>
    <cfRule type="expression" dxfId="9296" priority="210">
      <formula>#REF!="L"</formula>
    </cfRule>
    <cfRule type="expression" dxfId="9295" priority="175">
      <formula>#REF!="TO"</formula>
    </cfRule>
    <cfRule type="expression" dxfId="9294" priority="176">
      <formula>#REF!="IO"</formula>
    </cfRule>
    <cfRule type="expression" dxfId="9293" priority="177">
      <formula>#REF!="L"</formula>
    </cfRule>
  </conditionalFormatting>
  <conditionalFormatting sqref="AN36">
    <cfRule type="expression" dxfId="9292" priority="286">
      <formula>#REF!="TO"</formula>
    </cfRule>
    <cfRule type="expression" dxfId="9291" priority="287">
      <formula>#REF!="IO"</formula>
    </cfRule>
    <cfRule type="expression" dxfId="9290" priority="288">
      <formula>#REF!="L"</formula>
    </cfRule>
    <cfRule type="expression" dxfId="9289" priority="205">
      <formula>#REF!="TO"</formula>
    </cfRule>
    <cfRule type="expression" dxfId="9288" priority="206">
      <formula>#REF!="IO"</formula>
    </cfRule>
    <cfRule type="expression" dxfId="9287" priority="207">
      <formula>#REF!="L"</formula>
    </cfRule>
  </conditionalFormatting>
  <conditionalFormatting sqref="AS36">
    <cfRule type="expression" dxfId="9286" priority="280">
      <formula>#REF!="TO"</formula>
    </cfRule>
    <cfRule type="expression" dxfId="9285" priority="281">
      <formula>#REF!="IO"</formula>
    </cfRule>
    <cfRule type="expression" dxfId="9284" priority="282">
      <formula>#REF!="L"</formula>
    </cfRule>
    <cfRule type="expression" dxfId="9283" priority="196">
      <formula>#REF!="TO"</formula>
    </cfRule>
    <cfRule type="expression" dxfId="9282" priority="197">
      <formula>#REF!="IO"</formula>
    </cfRule>
    <cfRule type="expression" dxfId="9281" priority="198">
      <formula>#REF!="L"</formula>
    </cfRule>
  </conditionalFormatting>
  <conditionalFormatting sqref="Y36">
    <cfRule type="expression" dxfId="9280" priority="274">
      <formula>#REF!="TO"</formula>
    </cfRule>
    <cfRule type="expression" dxfId="9279" priority="275">
      <formula>#REF!="IO"</formula>
    </cfRule>
    <cfRule type="expression" dxfId="9278" priority="276">
      <formula>#REF!="L"</formula>
    </cfRule>
    <cfRule type="expression" dxfId="9277" priority="193">
      <formula>#REF!="TO"</formula>
    </cfRule>
    <cfRule type="expression" dxfId="9276" priority="194">
      <formula>#REF!="IO"</formula>
    </cfRule>
    <cfRule type="expression" dxfId="9275" priority="195">
      <formula>#REF!="L"</formula>
    </cfRule>
  </conditionalFormatting>
  <conditionalFormatting sqref="AF36">
    <cfRule type="expression" dxfId="9274" priority="268">
      <formula>#REF!="TO"</formula>
    </cfRule>
    <cfRule type="expression" dxfId="9273" priority="269">
      <formula>#REF!="IO"</formula>
    </cfRule>
    <cfRule type="expression" dxfId="9272" priority="270">
      <formula>#REF!="L"</formula>
    </cfRule>
    <cfRule type="expression" dxfId="9271" priority="247">
      <formula>#REF!="TO"</formula>
    </cfRule>
    <cfRule type="expression" dxfId="9270" priority="248">
      <formula>#REF!="IO"</formula>
    </cfRule>
    <cfRule type="expression" dxfId="9269" priority="249">
      <formula>#REF!="L"</formula>
    </cfRule>
    <cfRule type="expression" dxfId="9268" priority="187">
      <formula>#REF!="TO"</formula>
    </cfRule>
    <cfRule type="expression" dxfId="9267" priority="188">
      <formula>#REF!="IO"</formula>
    </cfRule>
    <cfRule type="expression" dxfId="9266" priority="189">
      <formula>#REF!="L"</formula>
    </cfRule>
    <cfRule type="expression" dxfId="9265" priority="166">
      <formula>#REF!="TO"</formula>
    </cfRule>
    <cfRule type="expression" dxfId="9264" priority="167">
      <formula>#REF!="IO"</formula>
    </cfRule>
    <cfRule type="expression" dxfId="9263" priority="168">
      <formula>#REF!="L"</formula>
    </cfRule>
  </conditionalFormatting>
  <conditionalFormatting sqref="AE36">
    <cfRule type="expression" dxfId="9262" priority="250">
      <formula>#REF!="TO"</formula>
    </cfRule>
    <cfRule type="expression" dxfId="9261" priority="251">
      <formula>#REF!="IO"</formula>
    </cfRule>
    <cfRule type="expression" dxfId="9260" priority="252">
      <formula>#REF!="L"</formula>
    </cfRule>
    <cfRule type="expression" dxfId="9259" priority="253">
      <formula>E36="TO"</formula>
    </cfRule>
    <cfRule type="expression" dxfId="9258" priority="254">
      <formula>E36="IO"</formula>
    </cfRule>
    <cfRule type="expression" dxfId="9257" priority="255">
      <formula>E36="L"</formula>
    </cfRule>
    <cfRule type="expression" dxfId="9256" priority="169">
      <formula>#REF!="TO"</formula>
    </cfRule>
    <cfRule type="expression" dxfId="9255" priority="170">
      <formula>#REF!="IO"</formula>
    </cfRule>
    <cfRule type="expression" dxfId="9254" priority="171">
      <formula>#REF!="L"</formula>
    </cfRule>
    <cfRule type="expression" dxfId="9253" priority="172">
      <formula>E36="TO"</formula>
    </cfRule>
    <cfRule type="expression" dxfId="9252" priority="173">
      <formula>E36="IO"</formula>
    </cfRule>
    <cfRule type="expression" dxfId="9251" priority="174">
      <formula>E36="L"</formula>
    </cfRule>
  </conditionalFormatting>
  <conditionalFormatting sqref="S36">
    <cfRule type="expression" dxfId="9250" priority="244">
      <formula>#REF!="TO"</formula>
    </cfRule>
    <cfRule type="expression" dxfId="9249" priority="245">
      <formula>#REF!="IO"</formula>
    </cfRule>
    <cfRule type="expression" dxfId="9248" priority="246">
      <formula>#REF!="L"</formula>
    </cfRule>
    <cfRule type="expression" dxfId="9247" priority="163">
      <formula>#REF!="TO"</formula>
    </cfRule>
    <cfRule type="expression" dxfId="9246" priority="164">
      <formula>#REF!="IO"</formula>
    </cfRule>
    <cfRule type="expression" dxfId="9245" priority="165">
      <formula>#REF!="L"</formula>
    </cfRule>
  </conditionalFormatting>
  <conditionalFormatting sqref="T36:U36">
    <cfRule type="expression" dxfId="9244" priority="241">
      <formula>#REF!="TO"</formula>
    </cfRule>
    <cfRule type="expression" dxfId="9243" priority="242">
      <formula>#REF!="IO"</formula>
    </cfRule>
    <cfRule type="expression" dxfId="9242" priority="243">
      <formula>#REF!="L"</formula>
    </cfRule>
    <cfRule type="expression" dxfId="9241" priority="160">
      <formula>#REF!="TO"</formula>
    </cfRule>
    <cfRule type="expression" dxfId="9240" priority="161">
      <formula>#REF!="IO"</formula>
    </cfRule>
    <cfRule type="expression" dxfId="9239" priority="162">
      <formula>#REF!="L"</formula>
    </cfRule>
  </conditionalFormatting>
  <conditionalFormatting sqref="P36">
    <cfRule type="expression" dxfId="9238" priority="235">
      <formula>#REF!="TO"</formula>
    </cfRule>
    <cfRule type="expression" dxfId="9237" priority="236">
      <formula>#REF!="IO"</formula>
    </cfRule>
    <cfRule type="expression" dxfId="9236" priority="237">
      <formula>#REF!="L"</formula>
    </cfRule>
    <cfRule type="expression" dxfId="9235" priority="238">
      <formula>#REF!="TO"</formula>
    </cfRule>
    <cfRule type="expression" dxfId="9234" priority="239">
      <formula>#REF!="IO"</formula>
    </cfRule>
    <cfRule type="expression" dxfId="9233" priority="240">
      <formula>#REF!="L"</formula>
    </cfRule>
    <cfRule type="expression" dxfId="9232" priority="154">
      <formula>#REF!="TO"</formula>
    </cfRule>
    <cfRule type="expression" dxfId="9231" priority="155">
      <formula>#REF!="IO"</formula>
    </cfRule>
    <cfRule type="expression" dxfId="9230" priority="156">
      <formula>#REF!="L"</formula>
    </cfRule>
    <cfRule type="expression" dxfId="9229" priority="151">
      <formula>#REF!="TO"</formula>
    </cfRule>
    <cfRule type="expression" dxfId="9228" priority="152">
      <formula>#REF!="IO"</formula>
    </cfRule>
    <cfRule type="expression" dxfId="9227" priority="153">
      <formula>#REF!="L"</formula>
    </cfRule>
  </conditionalFormatting>
  <conditionalFormatting sqref="Q36">
    <cfRule type="expression" dxfId="9226" priority="232">
      <formula>#REF!="TO"</formula>
    </cfRule>
    <cfRule type="expression" dxfId="9225" priority="233">
      <formula>#REF!="IO"</formula>
    </cfRule>
    <cfRule type="expression" dxfId="9224" priority="234">
      <formula>#REF!="L"</formula>
    </cfRule>
    <cfRule type="expression" dxfId="9223" priority="229">
      <formula>#REF!="TO"</formula>
    </cfRule>
    <cfRule type="expression" dxfId="9222" priority="230">
      <formula>#REF!="IO"</formula>
    </cfRule>
    <cfRule type="expression" dxfId="9221" priority="231">
      <formula>#REF!="L"</formula>
    </cfRule>
    <cfRule type="expression" dxfId="9220" priority="148">
      <formula>#REF!="TO"</formula>
    </cfRule>
    <cfRule type="expression" dxfId="9219" priority="149">
      <formula>#REF!="IO"</formula>
    </cfRule>
    <cfRule type="expression" dxfId="9218" priority="150">
      <formula>#REF!="L"</formula>
    </cfRule>
    <cfRule type="expression" dxfId="9217" priority="145">
      <formula>#REF!="TO"</formula>
    </cfRule>
    <cfRule type="expression" dxfId="9216" priority="146">
      <formula>#REF!="IO"</formula>
    </cfRule>
    <cfRule type="expression" dxfId="9215" priority="147">
      <formula>#REF!="L"</formula>
    </cfRule>
  </conditionalFormatting>
  <conditionalFormatting sqref="V36:X36">
    <cfRule type="expression" dxfId="9214" priority="157">
      <formula>#REF!="TO"</formula>
    </cfRule>
    <cfRule type="expression" dxfId="9213" priority="158">
      <formula>#REF!="IO"</formula>
    </cfRule>
    <cfRule type="expression" dxfId="9212" priority="159">
      <formula>#REF!="L"</formula>
    </cfRule>
  </conditionalFormatting>
  <conditionalFormatting sqref="AA36">
    <cfRule type="expression" dxfId="9211" priority="142">
      <formula>#REF!="TO"</formula>
    </cfRule>
    <cfRule type="expression" dxfId="9210" priority="143">
      <formula>#REF!="IO"</formula>
    </cfRule>
    <cfRule type="expression" dxfId="9209" priority="144">
      <formula>#REF!="L"</formula>
    </cfRule>
    <cfRule type="expression" dxfId="9208" priority="139">
      <formula>#REF!="TO"</formula>
    </cfRule>
    <cfRule type="expression" dxfId="9207" priority="140">
      <formula>#REF!="IO"</formula>
    </cfRule>
    <cfRule type="expression" dxfId="9206" priority="141">
      <formula>#REF!="L"</formula>
    </cfRule>
    <cfRule type="expression" dxfId="9205" priority="136">
      <formula>#REF!="TO"</formula>
    </cfRule>
    <cfRule type="expression" dxfId="9204" priority="137">
      <formula>#REF!="IO"</formula>
    </cfRule>
    <cfRule type="expression" dxfId="9203" priority="138">
      <formula>#REF!="L"</formula>
    </cfRule>
    <cfRule type="expression" dxfId="9202" priority="133">
      <formula>#REF!="TO"</formula>
    </cfRule>
    <cfRule type="expression" dxfId="9201" priority="134">
      <formula>#REF!="IO"</formula>
    </cfRule>
    <cfRule type="expression" dxfId="9200" priority="135">
      <formula>#REF!="L"</formula>
    </cfRule>
  </conditionalFormatting>
  <conditionalFormatting sqref="Z36">
    <cfRule type="expression" dxfId="9199" priority="130">
      <formula>#REF!="TO"</formula>
    </cfRule>
    <cfRule type="expression" dxfId="9198" priority="131">
      <formula>#REF!="IO"</formula>
    </cfRule>
    <cfRule type="expression" dxfId="9197" priority="132">
      <formula>#REF!="L"</formula>
    </cfRule>
    <cfRule type="expression" dxfId="9196" priority="127">
      <formula>#REF!="TO"</formula>
    </cfRule>
    <cfRule type="expression" dxfId="9195" priority="128">
      <formula>#REF!="IO"</formula>
    </cfRule>
    <cfRule type="expression" dxfId="9194" priority="129">
      <formula>#REF!="L"</formula>
    </cfRule>
    <cfRule type="expression" dxfId="9193" priority="124">
      <formula>#REF!="TO"</formula>
    </cfRule>
    <cfRule type="expression" dxfId="9192" priority="125">
      <formula>#REF!="IO"</formula>
    </cfRule>
    <cfRule type="expression" dxfId="9191" priority="126">
      <formula>#REF!="L"</formula>
    </cfRule>
    <cfRule type="expression" dxfId="9190" priority="121">
      <formula>#REF!="TO"</formula>
    </cfRule>
    <cfRule type="expression" dxfId="9189" priority="122">
      <formula>#REF!="IO"</formula>
    </cfRule>
    <cfRule type="expression" dxfId="9188" priority="123">
      <formula>#REF!="L"</formula>
    </cfRule>
  </conditionalFormatting>
  <conditionalFormatting sqref="C36">
    <cfRule type="expression" dxfId="9187" priority="118">
      <formula>#REF!="TO"</formula>
    </cfRule>
    <cfRule type="expression" dxfId="9186" priority="119">
      <formula>#REF!="IO"</formula>
    </cfRule>
    <cfRule type="expression" dxfId="9185" priority="120">
      <formula>#REF!="L"</formula>
    </cfRule>
    <cfRule type="expression" dxfId="9184" priority="115">
      <formula>#REF!="TO"</formula>
    </cfRule>
    <cfRule type="expression" dxfId="9183" priority="116">
      <formula>#REF!="IO"</formula>
    </cfRule>
    <cfRule type="expression" dxfId="9182" priority="117">
      <formula>#REF!="L"</formula>
    </cfRule>
    <cfRule type="expression" dxfId="9181" priority="112">
      <formula>#REF!="TO"</formula>
    </cfRule>
    <cfRule type="expression" dxfId="9180" priority="113">
      <formula>#REF!="IO"</formula>
    </cfRule>
    <cfRule type="expression" dxfId="9179" priority="114">
      <formula>#REF!="L"</formula>
    </cfRule>
    <cfRule type="expression" dxfId="9178" priority="109">
      <formula>#REF!="TO"</formula>
    </cfRule>
    <cfRule type="expression" dxfId="9177" priority="110">
      <formula>#REF!="IO"</formula>
    </cfRule>
    <cfRule type="expression" dxfId="9176" priority="111">
      <formula>#REF!="L"</formula>
    </cfRule>
  </conditionalFormatting>
  <conditionalFormatting sqref="L36 O36:Q36">
    <cfRule type="expression" dxfId="9175" priority="91">
      <formula>#REF!="TO"</formula>
    </cfRule>
    <cfRule type="expression" dxfId="9174" priority="92">
      <formula>#REF!="IO"</formula>
    </cfRule>
    <cfRule type="expression" dxfId="9173" priority="93">
      <formula>#REF!="L"</formula>
    </cfRule>
    <cfRule type="expression" dxfId="9172" priority="88">
      <formula>#REF!="TO"</formula>
    </cfRule>
    <cfRule type="expression" dxfId="9171" priority="89">
      <formula>#REF!="IO"</formula>
    </cfRule>
    <cfRule type="expression" dxfId="9170" priority="90">
      <formula>#REF!="L"</formula>
    </cfRule>
    <cfRule type="expression" dxfId="9169" priority="85">
      <formula>#REF!="TO"</formula>
    </cfRule>
    <cfRule type="expression" dxfId="9168" priority="86">
      <formula>#REF!="IO"</formula>
    </cfRule>
    <cfRule type="expression" dxfId="9167" priority="87">
      <formula>#REF!="L"</formula>
    </cfRule>
    <cfRule type="expression" dxfId="9166" priority="94">
      <formula>#REF!="TO"</formula>
    </cfRule>
    <cfRule type="expression" dxfId="9165" priority="95">
      <formula>#REF!="IO"</formula>
    </cfRule>
    <cfRule type="expression" dxfId="9164" priority="96">
      <formula>#REF!="L"</formula>
    </cfRule>
  </conditionalFormatting>
  <conditionalFormatting sqref="AD36">
    <cfRule type="expression" dxfId="9163" priority="106">
      <formula>#REF!="TO"</formula>
    </cfRule>
    <cfRule type="expression" dxfId="9162" priority="107">
      <formula>#REF!="IO"</formula>
    </cfRule>
    <cfRule type="expression" dxfId="9161" priority="108">
      <formula>#REF!="L"</formula>
    </cfRule>
    <cfRule type="expression" dxfId="9160" priority="103">
      <formula>#REF!="TO"</formula>
    </cfRule>
    <cfRule type="expression" dxfId="9159" priority="104">
      <formula>#REF!="IO"</formula>
    </cfRule>
    <cfRule type="expression" dxfId="9158" priority="105">
      <formula>#REF!="L"</formula>
    </cfRule>
    <cfRule type="expression" dxfId="9157" priority="100">
      <formula>#REF!="TO"</formula>
    </cfRule>
    <cfRule type="expression" dxfId="9156" priority="101">
      <formula>#REF!="IO"</formula>
    </cfRule>
    <cfRule type="expression" dxfId="9155" priority="102">
      <formula>#REF!="L"</formula>
    </cfRule>
    <cfRule type="expression" dxfId="9154" priority="97">
      <formula>#REF!="TO"</formula>
    </cfRule>
    <cfRule type="expression" dxfId="9153" priority="98">
      <formula>#REF!="IO"</formula>
    </cfRule>
    <cfRule type="expression" dxfId="9152" priority="99">
      <formula>#REF!="L"</formula>
    </cfRule>
  </conditionalFormatting>
  <conditionalFormatting sqref="BA36">
    <cfRule type="expression" dxfId="9151" priority="82">
      <formula>#REF!="TO"</formula>
    </cfRule>
    <cfRule type="expression" dxfId="9150" priority="83">
      <formula>#REF!="IO"</formula>
    </cfRule>
    <cfRule type="expression" dxfId="9149" priority="84">
      <formula>#REF!="L"</formula>
    </cfRule>
    <cfRule type="expression" dxfId="9148" priority="79">
      <formula>#REF!="TO"</formula>
    </cfRule>
    <cfRule type="expression" dxfId="9147" priority="80">
      <formula>#REF!="IO"</formula>
    </cfRule>
    <cfRule type="expression" dxfId="9146" priority="81">
      <formula>#REF!="L"</formula>
    </cfRule>
  </conditionalFormatting>
  <conditionalFormatting sqref="AW36:AZ36">
    <cfRule type="expression" dxfId="9145" priority="70">
      <formula>#REF!="TO"</formula>
    </cfRule>
    <cfRule type="expression" dxfId="9144" priority="71">
      <formula>#REF!="IO"</formula>
    </cfRule>
    <cfRule type="expression" dxfId="9143" priority="72">
      <formula>#REF!="L"</formula>
    </cfRule>
    <cfRule type="expression" dxfId="9142" priority="67">
      <formula>#REF!="TO"</formula>
    </cfRule>
    <cfRule type="expression" dxfId="9141" priority="68">
      <formula>#REF!="IO"</formula>
    </cfRule>
    <cfRule type="expression" dxfId="9140" priority="69">
      <formula>#REF!="L"</formula>
    </cfRule>
    <cfRule type="expression" dxfId="9139" priority="76">
      <formula>#REF!="TO"</formula>
    </cfRule>
    <cfRule type="expression" dxfId="9138" priority="77">
      <formula>#REF!="IO"</formula>
    </cfRule>
    <cfRule type="expression" dxfId="9137" priority="78">
      <formula>#REF!="L"</formula>
    </cfRule>
    <cfRule type="expression" dxfId="9136" priority="73">
      <formula>#REF!="TO"</formula>
    </cfRule>
    <cfRule type="expression" dxfId="9135" priority="74">
      <formula>#REF!="IO"</formula>
    </cfRule>
    <cfRule type="expression" dxfId="9134" priority="75">
      <formula>#REF!="L"</formula>
    </cfRule>
  </conditionalFormatting>
  <conditionalFormatting sqref="BC36">
    <cfRule type="expression" dxfId="9133" priority="64">
      <formula>#REF!="TO"</formula>
    </cfRule>
    <cfRule type="expression" dxfId="9132" priority="65">
      <formula>#REF!="IO"</formula>
    </cfRule>
    <cfRule type="expression" dxfId="9131" priority="66">
      <formula>#REF!="L"</formula>
    </cfRule>
    <cfRule type="expression" dxfId="9130" priority="61">
      <formula>#REF!="TO"</formula>
    </cfRule>
    <cfRule type="expression" dxfId="9129" priority="62">
      <formula>#REF!="IO"</formula>
    </cfRule>
    <cfRule type="expression" dxfId="9128" priority="63">
      <formula>#REF!="L"</formula>
    </cfRule>
  </conditionalFormatting>
  <conditionalFormatting sqref="J36">
    <cfRule type="expression" dxfId="9127" priority="58">
      <formula>#REF!="TO"</formula>
    </cfRule>
    <cfRule type="expression" dxfId="9126" priority="59">
      <formula>#REF!="IO"</formula>
    </cfRule>
    <cfRule type="expression" dxfId="9125" priority="60">
      <formula>#REF!="L"</formula>
    </cfRule>
    <cfRule type="expression" dxfId="9124" priority="55">
      <formula>#REF!="TO"</formula>
    </cfRule>
    <cfRule type="expression" dxfId="9123" priority="56">
      <formula>#REF!="IO"</formula>
    </cfRule>
    <cfRule type="expression" dxfId="9122" priority="57">
      <formula>#REF!="L"</formula>
    </cfRule>
    <cfRule type="expression" dxfId="9121" priority="52">
      <formula>#REF!="TO"</formula>
    </cfRule>
    <cfRule type="expression" dxfId="9120" priority="53">
      <formula>#REF!="IO"</formula>
    </cfRule>
    <cfRule type="expression" dxfId="9119" priority="54">
      <formula>#REF!="L"</formula>
    </cfRule>
    <cfRule type="expression" dxfId="9118" priority="49">
      <formula>#REF!="TO"</formula>
    </cfRule>
    <cfRule type="expression" dxfId="9117" priority="50">
      <formula>#REF!="IO"</formula>
    </cfRule>
    <cfRule type="expression" dxfId="9116" priority="51">
      <formula>#REF!="L"</formula>
    </cfRule>
  </conditionalFormatting>
  <conditionalFormatting sqref="G36 I36">
    <cfRule type="expression" dxfId="9115" priority="46">
      <formula>#REF!="TO"</formula>
    </cfRule>
    <cfRule type="expression" dxfId="9114" priority="47">
      <formula>#REF!="IO"</formula>
    </cfRule>
    <cfRule type="expression" dxfId="9113" priority="48">
      <formula>#REF!="L"</formula>
    </cfRule>
    <cfRule type="expression" dxfId="9112" priority="43">
      <formula>#REF!="TO"</formula>
    </cfRule>
    <cfRule type="expression" dxfId="9111" priority="44">
      <formula>#REF!="IO"</formula>
    </cfRule>
    <cfRule type="expression" dxfId="9110" priority="45">
      <formula>#REF!="L"</formula>
    </cfRule>
  </conditionalFormatting>
  <conditionalFormatting sqref="H36">
    <cfRule type="expression" dxfId="9109" priority="37">
      <formula>#REF!="TO"</formula>
    </cfRule>
    <cfRule type="expression" dxfId="9108" priority="38">
      <formula>#REF!="IO"</formula>
    </cfRule>
    <cfRule type="expression" dxfId="9107" priority="39">
      <formula>#REF!="L"</formula>
    </cfRule>
    <cfRule type="expression" dxfId="9106" priority="31">
      <formula>#REF!="TO"</formula>
    </cfRule>
    <cfRule type="expression" dxfId="9105" priority="32">
      <formula>#REF!="IO"</formula>
    </cfRule>
    <cfRule type="expression" dxfId="9104" priority="33">
      <formula>#REF!="L"</formula>
    </cfRule>
    <cfRule type="expression" dxfId="9103" priority="40">
      <formula>XEY36="TO"</formula>
    </cfRule>
    <cfRule type="expression" dxfId="9102" priority="41">
      <formula>XEY36="IO"</formula>
    </cfRule>
    <cfRule type="expression" dxfId="9101" priority="42">
      <formula>XEY36="L"</formula>
    </cfRule>
    <cfRule type="expression" dxfId="9100" priority="34">
      <formula>XEY36="TO"</formula>
    </cfRule>
    <cfRule type="expression" dxfId="9099" priority="35">
      <formula>XEY36="IO"</formula>
    </cfRule>
    <cfRule type="expression" dxfId="9098" priority="36">
      <formula>XEY36="L"</formula>
    </cfRule>
  </conditionalFormatting>
  <conditionalFormatting sqref="M36">
    <cfRule type="expression" dxfId="9097" priority="25">
      <formula>#REF!="TO"</formula>
    </cfRule>
    <cfRule type="expression" dxfId="9096" priority="26">
      <formula>#REF!="IO"</formula>
    </cfRule>
    <cfRule type="expression" dxfId="9095" priority="27">
      <formula>#REF!="L"</formula>
    </cfRule>
    <cfRule type="expression" dxfId="9094" priority="22">
      <formula>#REF!="TO"</formula>
    </cfRule>
    <cfRule type="expression" dxfId="9093" priority="23">
      <formula>#REF!="IO"</formula>
    </cfRule>
    <cfRule type="expression" dxfId="9092" priority="24">
      <formula>#REF!="L"</formula>
    </cfRule>
    <cfRule type="expression" dxfId="9091" priority="19">
      <formula>#REF!="TO"</formula>
    </cfRule>
    <cfRule type="expression" dxfId="9090" priority="20">
      <formula>#REF!="IO"</formula>
    </cfRule>
    <cfRule type="expression" dxfId="9089" priority="21">
      <formula>#REF!="L"</formula>
    </cfRule>
    <cfRule type="expression" dxfId="9088" priority="28">
      <formula>#REF!="TO"</formula>
    </cfRule>
    <cfRule type="expression" dxfId="9087" priority="29">
      <formula>#REF!="IO"</formula>
    </cfRule>
    <cfRule type="expression" dxfId="9086" priority="30">
      <formula>#REF!="L"</formula>
    </cfRule>
  </conditionalFormatting>
  <conditionalFormatting sqref="N36">
    <cfRule type="expression" dxfId="9085" priority="16">
      <formula>#REF!="TO"</formula>
    </cfRule>
    <cfRule type="expression" dxfId="9084" priority="17">
      <formula>#REF!="IO"</formula>
    </cfRule>
    <cfRule type="expression" dxfId="9083" priority="18">
      <formula>#REF!="L"</formula>
    </cfRule>
    <cfRule type="expression" dxfId="9082" priority="13">
      <formula>#REF!="TO"</formula>
    </cfRule>
    <cfRule type="expression" dxfId="9081" priority="14">
      <formula>#REF!="IO"</formula>
    </cfRule>
    <cfRule type="expression" dxfId="9080" priority="15">
      <formula>#REF!="L"</formula>
    </cfRule>
  </conditionalFormatting>
  <conditionalFormatting sqref="AP36">
    <cfRule type="expression" dxfId="9079" priority="10">
      <formula>#REF!="TO"</formula>
    </cfRule>
    <cfRule type="expression" dxfId="9078" priority="11">
      <formula>#REF!="IO"</formula>
    </cfRule>
    <cfRule type="expression" dxfId="9077" priority="12">
      <formula>#REF!="L"</formula>
    </cfRule>
    <cfRule type="expression" dxfId="9076" priority="7">
      <formula>#REF!="TO"</formula>
    </cfRule>
    <cfRule type="expression" dxfId="9075" priority="8">
      <formula>#REF!="IO"</formula>
    </cfRule>
    <cfRule type="expression" dxfId="9074" priority="9">
      <formula>#REF!="L"</formula>
    </cfRule>
  </conditionalFormatting>
  <conditionalFormatting sqref="M7">
    <cfRule type="expression" dxfId="9073" priority="1">
      <formula>#REF!="TO"</formula>
    </cfRule>
    <cfRule type="expression" dxfId="9072" priority="2">
      <formula>#REF!="IO"</formula>
    </cfRule>
    <cfRule type="expression" dxfId="9071" priority="3">
      <formula>#REF!="L"</formula>
    </cfRule>
  </conditionalFormatting>
  <conditionalFormatting sqref="L7">
    <cfRule type="expression" dxfId="9070" priority="4">
      <formula>#REF!="TO"</formula>
    </cfRule>
    <cfRule type="expression" dxfId="9069" priority="5">
      <formula>#REF!="IO"</formula>
    </cfRule>
    <cfRule type="expression" dxfId="9068" priority="6">
      <formula>#REF!="L"</formula>
    </cfRule>
  </conditionalFormatting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AU9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5" x14ac:dyDescent="0.25"/>
  <cols>
    <col min="1" max="1" width="9.42578125" style="215" customWidth="1"/>
    <col min="2" max="3" width="12.7109375" style="186" customWidth="1"/>
    <col min="4" max="4" width="1.5703125" style="371" customWidth="1"/>
    <col min="5" max="6" width="14.5703125" style="186" customWidth="1"/>
    <col min="7" max="7" width="1.5703125" style="186" customWidth="1"/>
    <col min="8" max="8" width="14.5703125" style="186" customWidth="1"/>
    <col min="9" max="9" width="1.5703125" style="186" customWidth="1"/>
    <col min="10" max="10" width="14.5703125" style="186" customWidth="1"/>
    <col min="11" max="11" width="1.5703125" style="371" customWidth="1"/>
    <col min="12" max="23" width="12.7109375" style="186" customWidth="1"/>
    <col min="24" max="24" width="12.7109375" style="372" customWidth="1"/>
    <col min="25" max="25" width="14.5703125" style="372" customWidth="1"/>
    <col min="26" max="26" width="14.5703125" style="186" customWidth="1"/>
    <col min="27" max="27" width="14.5703125" style="213" customWidth="1"/>
    <col min="28" max="28" width="1.5703125" style="186" customWidth="1"/>
    <col min="29" max="30" width="14.5703125" style="186" customWidth="1"/>
    <col min="31" max="31" width="1.5703125" style="371" customWidth="1"/>
    <col min="32" max="33" width="14.5703125" style="186" customWidth="1"/>
    <col min="34" max="34" width="5" style="186" customWidth="1"/>
    <col min="35" max="47" width="12.7109375" style="186" customWidth="1"/>
  </cols>
  <sheetData>
    <row r="1" spans="1:47" s="40" customFormat="1" ht="24.75" customHeight="1" thickBot="1" x14ac:dyDescent="0.3">
      <c r="A1" s="373" t="s">
        <v>176</v>
      </c>
      <c r="B1" s="374" t="s">
        <v>177</v>
      </c>
      <c r="C1" s="375" t="s">
        <v>178</v>
      </c>
      <c r="D1" s="376"/>
      <c r="E1" s="381" t="s">
        <v>124</v>
      </c>
      <c r="F1" s="384" t="s">
        <v>223</v>
      </c>
      <c r="G1" s="376"/>
      <c r="H1" s="383" t="s">
        <v>224</v>
      </c>
      <c r="I1" s="376"/>
      <c r="J1" s="383" t="s">
        <v>225</v>
      </c>
      <c r="K1" s="376"/>
      <c r="L1" s="378" t="s">
        <v>138</v>
      </c>
      <c r="M1" s="379" t="s">
        <v>142</v>
      </c>
      <c r="N1" s="379" t="s">
        <v>147</v>
      </c>
      <c r="O1" s="379" t="s">
        <v>151</v>
      </c>
      <c r="P1" s="434" t="s">
        <v>156</v>
      </c>
      <c r="Q1" s="434" t="s">
        <v>159</v>
      </c>
      <c r="R1" s="434" t="s">
        <v>162</v>
      </c>
      <c r="S1" s="434" t="s">
        <v>165</v>
      </c>
      <c r="T1" s="379" t="s">
        <v>168</v>
      </c>
      <c r="U1" s="379" t="s">
        <v>170</v>
      </c>
      <c r="V1" s="379" t="s">
        <v>171</v>
      </c>
      <c r="W1" s="434" t="s">
        <v>172</v>
      </c>
      <c r="X1" s="422" t="s">
        <v>173</v>
      </c>
      <c r="Y1" s="422" t="s">
        <v>226</v>
      </c>
      <c r="Z1" s="379" t="s">
        <v>227</v>
      </c>
      <c r="AA1" s="422" t="s">
        <v>228</v>
      </c>
      <c r="AB1" s="376"/>
      <c r="AC1" s="381" t="s">
        <v>229</v>
      </c>
      <c r="AD1" s="384" t="s">
        <v>230</v>
      </c>
      <c r="AE1" s="376"/>
      <c r="AF1" s="385" t="s">
        <v>211</v>
      </c>
      <c r="AG1" s="385" t="s">
        <v>231</v>
      </c>
      <c r="AI1" s="378" t="s">
        <v>138</v>
      </c>
      <c r="AJ1" s="379" t="s">
        <v>142</v>
      </c>
      <c r="AK1" s="379" t="s">
        <v>147</v>
      </c>
      <c r="AL1" s="379" t="s">
        <v>151</v>
      </c>
      <c r="AM1" s="434" t="s">
        <v>156</v>
      </c>
      <c r="AN1" s="434" t="s">
        <v>159</v>
      </c>
      <c r="AO1" s="434" t="s">
        <v>162</v>
      </c>
      <c r="AP1" s="434" t="s">
        <v>165</v>
      </c>
      <c r="AQ1" s="379" t="s">
        <v>168</v>
      </c>
      <c r="AR1" s="379" t="s">
        <v>170</v>
      </c>
      <c r="AS1" s="379" t="s">
        <v>171</v>
      </c>
      <c r="AT1" s="434" t="s">
        <v>172</v>
      </c>
      <c r="AU1" s="422" t="s">
        <v>173</v>
      </c>
    </row>
    <row r="2" spans="1:47" x14ac:dyDescent="0.25">
      <c r="A2" s="197">
        <v>43070</v>
      </c>
      <c r="B2" s="388">
        <f>IF($A2&lt;=baseData, INDEX(Indicadores!B:B, MATCH($A2,Indicadores!A:A, 0)), INDEX(Indicadores!B:B, MATCH(baseData,Indicadores!A:A, 0)))</f>
        <v>718.27599999999995</v>
      </c>
      <c r="C2" s="389">
        <f>IF($A2&lt;=baseData, INDEX(Indicadores!E:E, MATCH($A2, Indicadores!A:A, 0)), INDEX(Indicadores!E:E, MATCH(baseData, Indicadores!A:A, 0)))</f>
        <v>4916.46</v>
      </c>
      <c r="D2" s="390"/>
      <c r="E2" s="392">
        <v>0</v>
      </c>
      <c r="F2" s="426">
        <v>0</v>
      </c>
      <c r="G2" s="390"/>
      <c r="H2" s="399">
        <v>0</v>
      </c>
      <c r="I2" s="390"/>
      <c r="J2" s="399">
        <v>0</v>
      </c>
      <c r="K2" s="390"/>
      <c r="L2" s="392">
        <v>0</v>
      </c>
      <c r="M2" s="425">
        <v>0</v>
      </c>
      <c r="N2" s="425">
        <v>0</v>
      </c>
      <c r="O2" s="425">
        <v>0</v>
      </c>
      <c r="P2" s="425">
        <v>0</v>
      </c>
      <c r="Q2" s="425">
        <v>0</v>
      </c>
      <c r="R2" s="425">
        <v>0</v>
      </c>
      <c r="S2" s="425">
        <v>0</v>
      </c>
      <c r="T2" s="425">
        <v>0</v>
      </c>
      <c r="U2" s="425">
        <v>0</v>
      </c>
      <c r="V2" s="425">
        <v>0</v>
      </c>
      <c r="W2" s="425">
        <v>0</v>
      </c>
      <c r="X2" s="435">
        <v>0</v>
      </c>
      <c r="Y2" s="424">
        <f t="shared" ref="Y2:Y33" si="0">-SUM(L2:X2)</f>
        <v>0</v>
      </c>
      <c r="Z2" s="397">
        <f>-INDEX('Fluxo Bandeira Co'!AZ:AZ, MATCH($A2, 'Fluxo Bandeira Co'!$A:$A, 0))</f>
        <v>0</v>
      </c>
      <c r="AA2" s="398">
        <f>INDEX('Fluxo Bandeira Co'!J:J, MATCH($A2, 'Fluxo Bandeira Co'!$A:$A, 0))+INDEX('Fluxo Bandeira Co'!AK:AK, MATCH($A2, 'Fluxo Bandeira Co'!$A:$A, 0))</f>
        <v>0</v>
      </c>
      <c r="AB2" s="390"/>
      <c r="AC2" s="397">
        <f>-INDEX('Fluxo Bandeira Co'!L:L, MATCH('Fluxo Investidores'!$A2, 'Fluxo Bandeira Co'!$A:$A, 0))</f>
        <v>0</v>
      </c>
      <c r="AD2" s="398">
        <f>-INDEX('Fluxo Bandeira Co'!M:M, MATCH('Fluxo Investidores'!$A2, 'Fluxo Bandeira Co'!$A:$A, 0))</f>
        <v>0</v>
      </c>
      <c r="AE2" s="390"/>
      <c r="AF2" s="397">
        <f t="shared" ref="AF2:AF33" si="1">E2-F2+H2+J2+AC2-AD2</f>
        <v>0</v>
      </c>
      <c r="AG2" s="398">
        <f>IFERROR(INDEX('Fluxo Projeto'!AQ:AQ, MATCH('Fluxo Investidores'!A2, 'Fluxo Projeto'!A:A, 0)), 0)</f>
        <v>0</v>
      </c>
      <c r="AI2" s="397">
        <f t="shared" ref="AI2:AI33" si="2">IF($A2&gt;baseData, 1, ipcaData/$C2)*L2</f>
        <v>0</v>
      </c>
      <c r="AJ2" s="390">
        <f t="shared" ref="AJ2:AJ33" si="3">IF($A2&gt;baseData, 1, ipcaData/$C2)*M2</f>
        <v>0</v>
      </c>
      <c r="AK2" s="390">
        <f t="shared" ref="AK2:AK33" si="4">IF($A2&gt;baseData, 1, ipcaData/$C2)*N2</f>
        <v>0</v>
      </c>
      <c r="AL2" s="390">
        <f t="shared" ref="AL2:AL33" si="5">IF($A2&gt;baseData, 1, ipcaData/$C2)*O2</f>
        <v>0</v>
      </c>
      <c r="AM2" s="390">
        <f t="shared" ref="AM2:AM33" si="6">IF($A2&gt;baseData, 1, ipcaData/$C2)*P2</f>
        <v>0</v>
      </c>
      <c r="AN2" s="390">
        <f t="shared" ref="AN2:AN33" si="7">IF($A2&gt;baseData, 1, ipcaData/$C2)*Q2</f>
        <v>0</v>
      </c>
      <c r="AO2" s="390">
        <f t="shared" ref="AO2:AO33" si="8">IF($A2&gt;baseData, 1, ipcaData/$C2)*R2</f>
        <v>0</v>
      </c>
      <c r="AP2" s="390">
        <f t="shared" ref="AP2:AP33" si="9">IF($A2&gt;baseData, 1, ipcaData/$C2)*S2</f>
        <v>0</v>
      </c>
      <c r="AQ2" s="390">
        <f t="shared" ref="AQ2:AQ33" si="10">IF($A2&gt;baseData, 1, ipcaData/$C2)*T2</f>
        <v>0</v>
      </c>
      <c r="AR2" s="390">
        <f t="shared" ref="AR2:AR33" si="11">IF($A2&gt;baseData, 1, ipcaData/$C2)*U2</f>
        <v>0</v>
      </c>
      <c r="AS2" s="390">
        <f t="shared" ref="AS2:AS33" si="12">IF($A2&gt;baseData, 1, ipcaData/$C2)*V2</f>
        <v>0</v>
      </c>
      <c r="AT2" s="390">
        <f t="shared" ref="AT2:AT33" si="13">IF($A2&gt;baseData, 1, ipcaData/$C2)*W2</f>
        <v>0</v>
      </c>
      <c r="AU2" s="436">
        <f t="shared" ref="AU2:AU33" si="14">IF($A2&gt;baseData, 1, ipcaData/$C2)*X2</f>
        <v>0</v>
      </c>
    </row>
    <row r="3" spans="1:47" x14ac:dyDescent="0.25">
      <c r="A3" s="197">
        <f t="shared" ref="A3:A34" si="15">DATE(YEAR(A2),MONTH(A2)+1,1)</f>
        <v>43101</v>
      </c>
      <c r="B3" s="388">
        <f>IF($A3&lt;=baseData, INDEX(Indicadores!B:B, MATCH($A3,Indicadores!A:A, 0)), INDEX(Indicadores!B:B, MATCH(baseData,Indicadores!A:A, 0)))</f>
        <v>720.495</v>
      </c>
      <c r="C3" s="389">
        <f>IF($A3&lt;=baseData, INDEX(Indicadores!E:E, MATCH($A3, Indicadores!A:A, 0)), INDEX(Indicadores!E:E, MATCH(baseData, Indicadores!A:A, 0)))</f>
        <v>4930.72</v>
      </c>
      <c r="D3" s="390"/>
      <c r="E3" s="392">
        <v>0</v>
      </c>
      <c r="F3" s="426">
        <v>0</v>
      </c>
      <c r="G3" s="390"/>
      <c r="H3" s="399">
        <v>0</v>
      </c>
      <c r="I3" s="390"/>
      <c r="J3" s="399">
        <v>0</v>
      </c>
      <c r="K3" s="390"/>
      <c r="L3" s="392">
        <v>0</v>
      </c>
      <c r="M3" s="425">
        <v>0</v>
      </c>
      <c r="N3" s="425">
        <v>0</v>
      </c>
      <c r="O3" s="425">
        <v>0</v>
      </c>
      <c r="P3" s="425">
        <v>0</v>
      </c>
      <c r="Q3" s="425">
        <v>0</v>
      </c>
      <c r="R3" s="425">
        <v>0</v>
      </c>
      <c r="S3" s="425">
        <v>0</v>
      </c>
      <c r="T3" s="425">
        <v>0</v>
      </c>
      <c r="U3" s="425">
        <v>0</v>
      </c>
      <c r="V3" s="425">
        <v>0</v>
      </c>
      <c r="W3" s="425">
        <v>0</v>
      </c>
      <c r="X3" s="435">
        <v>0</v>
      </c>
      <c r="Y3" s="424">
        <f t="shared" si="0"/>
        <v>0</v>
      </c>
      <c r="Z3" s="397">
        <f>-INDEX('Fluxo Bandeira Co'!AZ:AZ, MATCH($A3, 'Fluxo Bandeira Co'!$A:$A, 0))</f>
        <v>0</v>
      </c>
      <c r="AA3" s="398">
        <f>INDEX('Fluxo Bandeira Co'!J:J, MATCH($A3, 'Fluxo Bandeira Co'!$A:$A, 0))+INDEX('Fluxo Bandeira Co'!AK:AK, MATCH($A3, 'Fluxo Bandeira Co'!$A:$A, 0))</f>
        <v>0</v>
      </c>
      <c r="AB3" s="390"/>
      <c r="AC3" s="397">
        <f>-INDEX('Fluxo Bandeira Co'!L:L, MATCH('Fluxo Investidores'!$A3, 'Fluxo Bandeira Co'!$A:$A, 0))</f>
        <v>0</v>
      </c>
      <c r="AD3" s="398">
        <f>-INDEX('Fluxo Bandeira Co'!M:M, MATCH('Fluxo Investidores'!$A3, 'Fluxo Bandeira Co'!$A:$A, 0))</f>
        <v>0</v>
      </c>
      <c r="AE3" s="390"/>
      <c r="AF3" s="397">
        <f t="shared" si="1"/>
        <v>0</v>
      </c>
      <c r="AG3" s="398">
        <f>IFERROR(INDEX('Fluxo Projeto'!AQ:AQ, MATCH('Fluxo Investidores'!A3, 'Fluxo Projeto'!A:A, 0)), 0)</f>
        <v>0</v>
      </c>
      <c r="AI3" s="397">
        <f t="shared" si="2"/>
        <v>0</v>
      </c>
      <c r="AJ3" s="390">
        <f t="shared" si="3"/>
        <v>0</v>
      </c>
      <c r="AK3" s="390">
        <f t="shared" si="4"/>
        <v>0</v>
      </c>
      <c r="AL3" s="390">
        <f t="shared" si="5"/>
        <v>0</v>
      </c>
      <c r="AM3" s="390">
        <f t="shared" si="6"/>
        <v>0</v>
      </c>
      <c r="AN3" s="390">
        <f t="shared" si="7"/>
        <v>0</v>
      </c>
      <c r="AO3" s="390">
        <f t="shared" si="8"/>
        <v>0</v>
      </c>
      <c r="AP3" s="390">
        <f t="shared" si="9"/>
        <v>0</v>
      </c>
      <c r="AQ3" s="390">
        <f t="shared" si="10"/>
        <v>0</v>
      </c>
      <c r="AR3" s="390">
        <f t="shared" si="11"/>
        <v>0</v>
      </c>
      <c r="AS3" s="390">
        <f t="shared" si="12"/>
        <v>0</v>
      </c>
      <c r="AT3" s="390">
        <f t="shared" si="13"/>
        <v>0</v>
      </c>
      <c r="AU3" s="436">
        <f t="shared" si="14"/>
        <v>0</v>
      </c>
    </row>
    <row r="4" spans="1:47" x14ac:dyDescent="0.25">
      <c r="A4" s="197">
        <f t="shared" si="15"/>
        <v>43132</v>
      </c>
      <c r="B4" s="388">
        <f>IF($A4&lt;=baseData, INDEX(Indicadores!B:B, MATCH($A4,Indicadores!A:A, 0)), INDEX(Indicadores!B:B, MATCH(baseData,Indicadores!A:A, 0)))</f>
        <v>721.41399999999999</v>
      </c>
      <c r="C4" s="389">
        <f>IF($A4&lt;=baseData, INDEX(Indicadores!E:E, MATCH($A4, Indicadores!A:A, 0)), INDEX(Indicadores!E:E, MATCH(baseData, Indicadores!A:A, 0)))</f>
        <v>4946.5</v>
      </c>
      <c r="D4" s="390"/>
      <c r="E4" s="392">
        <v>-5775.88</v>
      </c>
      <c r="F4" s="426">
        <v>0</v>
      </c>
      <c r="G4" s="390"/>
      <c r="H4" s="399">
        <v>0</v>
      </c>
      <c r="I4" s="390"/>
      <c r="J4" s="399">
        <v>0</v>
      </c>
      <c r="K4" s="390"/>
      <c r="L4" s="392">
        <v>0</v>
      </c>
      <c r="M4" s="425">
        <v>0</v>
      </c>
      <c r="N4" s="425">
        <v>0</v>
      </c>
      <c r="O4" s="425">
        <v>0</v>
      </c>
      <c r="P4" s="425">
        <v>0</v>
      </c>
      <c r="Q4" s="425">
        <v>0</v>
      </c>
      <c r="R4" s="425">
        <v>0</v>
      </c>
      <c r="S4" s="425">
        <v>0</v>
      </c>
      <c r="T4" s="425">
        <v>0</v>
      </c>
      <c r="U4" s="425">
        <v>0</v>
      </c>
      <c r="V4" s="425">
        <v>0</v>
      </c>
      <c r="W4" s="425">
        <v>0</v>
      </c>
      <c r="X4" s="426">
        <v>0</v>
      </c>
      <c r="Y4" s="390">
        <f t="shared" si="0"/>
        <v>0</v>
      </c>
      <c r="Z4" s="397">
        <f>-INDEX('Fluxo Bandeira Co'!AZ:AZ, MATCH($A4, 'Fluxo Bandeira Co'!$A:$A, 0))</f>
        <v>0</v>
      </c>
      <c r="AA4" s="398">
        <f>INDEX('Fluxo Bandeira Co'!J:J, MATCH($A4, 'Fluxo Bandeira Co'!$A:$A, 0))+INDEX('Fluxo Bandeira Co'!AK:AK, MATCH($A4, 'Fluxo Bandeira Co'!$A:$A, 0))</f>
        <v>0</v>
      </c>
      <c r="AB4" s="390"/>
      <c r="AC4" s="397">
        <f>-INDEX('Fluxo Bandeira Co'!L:L, MATCH('Fluxo Investidores'!$A4, 'Fluxo Bandeira Co'!$A:$A, 0))</f>
        <v>0</v>
      </c>
      <c r="AD4" s="398">
        <f>-INDEX('Fluxo Bandeira Co'!M:M, MATCH('Fluxo Investidores'!$A4, 'Fluxo Bandeira Co'!$A:$A, 0))</f>
        <v>0</v>
      </c>
      <c r="AE4" s="390"/>
      <c r="AF4" s="397">
        <f t="shared" si="1"/>
        <v>-5775.88</v>
      </c>
      <c r="AG4" s="398">
        <f>IFERROR(INDEX('Fluxo Projeto'!AQ:AQ, MATCH('Fluxo Investidores'!A4, 'Fluxo Projeto'!A:A, 0)), 0)</f>
        <v>-5775.88</v>
      </c>
      <c r="AI4" s="397">
        <f t="shared" si="2"/>
        <v>0</v>
      </c>
      <c r="AJ4" s="390">
        <f t="shared" si="3"/>
        <v>0</v>
      </c>
      <c r="AK4" s="390">
        <f t="shared" si="4"/>
        <v>0</v>
      </c>
      <c r="AL4" s="390">
        <f t="shared" si="5"/>
        <v>0</v>
      </c>
      <c r="AM4" s="390">
        <f t="shared" si="6"/>
        <v>0</v>
      </c>
      <c r="AN4" s="390">
        <f t="shared" si="7"/>
        <v>0</v>
      </c>
      <c r="AO4" s="390">
        <f t="shared" si="8"/>
        <v>0</v>
      </c>
      <c r="AP4" s="390">
        <f t="shared" si="9"/>
        <v>0</v>
      </c>
      <c r="AQ4" s="390">
        <f t="shared" si="10"/>
        <v>0</v>
      </c>
      <c r="AR4" s="390">
        <f t="shared" si="11"/>
        <v>0</v>
      </c>
      <c r="AS4" s="390">
        <f t="shared" si="12"/>
        <v>0</v>
      </c>
      <c r="AT4" s="390">
        <f t="shared" si="13"/>
        <v>0</v>
      </c>
      <c r="AU4" s="398">
        <f t="shared" si="14"/>
        <v>0</v>
      </c>
    </row>
    <row r="5" spans="1:47" x14ac:dyDescent="0.25">
      <c r="A5" s="197">
        <f t="shared" si="15"/>
        <v>43160</v>
      </c>
      <c r="B5" s="388">
        <f>IF($A5&lt;=baseData, INDEX(Indicadores!B:B, MATCH($A5,Indicadores!A:A, 0)), INDEX(Indicadores!B:B, MATCH(baseData,Indicadores!A:A, 0)))</f>
        <v>723.16300000000001</v>
      </c>
      <c r="C5" s="389">
        <f>IF($A5&lt;=baseData, INDEX(Indicadores!E:E, MATCH($A5, Indicadores!A:A, 0)), INDEX(Indicadores!E:E, MATCH(baseData, Indicadores!A:A, 0)))</f>
        <v>4950.95</v>
      </c>
      <c r="D5" s="390"/>
      <c r="E5" s="392">
        <v>-3000</v>
      </c>
      <c r="F5" s="426">
        <v>0</v>
      </c>
      <c r="G5" s="390"/>
      <c r="H5" s="399">
        <v>0</v>
      </c>
      <c r="I5" s="390"/>
      <c r="J5" s="399">
        <v>0</v>
      </c>
      <c r="K5" s="390"/>
      <c r="L5" s="392">
        <v>0</v>
      </c>
      <c r="M5" s="425">
        <v>0</v>
      </c>
      <c r="N5" s="425">
        <v>0</v>
      </c>
      <c r="O5" s="425">
        <v>0</v>
      </c>
      <c r="P5" s="425">
        <v>0</v>
      </c>
      <c r="Q5" s="425">
        <v>0</v>
      </c>
      <c r="R5" s="425">
        <v>0</v>
      </c>
      <c r="S5" s="425">
        <v>0</v>
      </c>
      <c r="T5" s="425">
        <v>0</v>
      </c>
      <c r="U5" s="425">
        <v>0</v>
      </c>
      <c r="V5" s="425">
        <v>0</v>
      </c>
      <c r="W5" s="425">
        <v>0</v>
      </c>
      <c r="X5" s="426">
        <v>0</v>
      </c>
      <c r="Y5" s="390">
        <f t="shared" si="0"/>
        <v>0</v>
      </c>
      <c r="Z5" s="397">
        <f>-INDEX('Fluxo Bandeira Co'!AZ:AZ, MATCH($A5, 'Fluxo Bandeira Co'!$A:$A, 0))</f>
        <v>0</v>
      </c>
      <c r="AA5" s="398">
        <f>INDEX('Fluxo Bandeira Co'!J:J, MATCH($A5, 'Fluxo Bandeira Co'!$A:$A, 0))+INDEX('Fluxo Bandeira Co'!AK:AK, MATCH($A5, 'Fluxo Bandeira Co'!$A:$A, 0))</f>
        <v>0</v>
      </c>
      <c r="AB5" s="390"/>
      <c r="AC5" s="397">
        <f>-INDEX('Fluxo Bandeira Co'!L:L, MATCH('Fluxo Investidores'!$A5, 'Fluxo Bandeira Co'!$A:$A, 0))</f>
        <v>0</v>
      </c>
      <c r="AD5" s="398">
        <f>-INDEX('Fluxo Bandeira Co'!M:M, MATCH('Fluxo Investidores'!$A5, 'Fluxo Bandeira Co'!$A:$A, 0))</f>
        <v>0</v>
      </c>
      <c r="AE5" s="390"/>
      <c r="AF5" s="397">
        <f t="shared" si="1"/>
        <v>-3000</v>
      </c>
      <c r="AG5" s="398">
        <f>IFERROR(INDEX('Fluxo Projeto'!AQ:AQ, MATCH('Fluxo Investidores'!A5, 'Fluxo Projeto'!A:A, 0)), 0)</f>
        <v>-3000</v>
      </c>
      <c r="AI5" s="397">
        <f t="shared" si="2"/>
        <v>0</v>
      </c>
      <c r="AJ5" s="390">
        <f t="shared" si="3"/>
        <v>0</v>
      </c>
      <c r="AK5" s="390">
        <f t="shared" si="4"/>
        <v>0</v>
      </c>
      <c r="AL5" s="390">
        <f t="shared" si="5"/>
        <v>0</v>
      </c>
      <c r="AM5" s="390">
        <f t="shared" si="6"/>
        <v>0</v>
      </c>
      <c r="AN5" s="390">
        <f t="shared" si="7"/>
        <v>0</v>
      </c>
      <c r="AO5" s="390">
        <f t="shared" si="8"/>
        <v>0</v>
      </c>
      <c r="AP5" s="390">
        <f t="shared" si="9"/>
        <v>0</v>
      </c>
      <c r="AQ5" s="390">
        <f t="shared" si="10"/>
        <v>0</v>
      </c>
      <c r="AR5" s="390">
        <f t="shared" si="11"/>
        <v>0</v>
      </c>
      <c r="AS5" s="390">
        <f t="shared" si="12"/>
        <v>0</v>
      </c>
      <c r="AT5" s="390">
        <f t="shared" si="13"/>
        <v>0</v>
      </c>
      <c r="AU5" s="398">
        <f t="shared" si="14"/>
        <v>0</v>
      </c>
    </row>
    <row r="6" spans="1:47" x14ac:dyDescent="0.25">
      <c r="A6" s="197">
        <f t="shared" si="15"/>
        <v>43191</v>
      </c>
      <c r="B6" s="388">
        <f>IF($A6&lt;=baseData, INDEX(Indicadores!B:B, MATCH($A6,Indicadores!A:A, 0)), INDEX(Indicadores!B:B, MATCH(baseData,Indicadores!A:A, 0)))</f>
        <v>725.245</v>
      </c>
      <c r="C6" s="389">
        <f>IF($A6&lt;=baseData, INDEX(Indicadores!E:E, MATCH($A6, Indicadores!A:A, 0)), INDEX(Indicadores!E:E, MATCH(baseData, Indicadores!A:A, 0)))</f>
        <v>4961.84</v>
      </c>
      <c r="D6" s="390"/>
      <c r="E6" s="392">
        <v>-3112.059999999999</v>
      </c>
      <c r="F6" s="426">
        <v>0</v>
      </c>
      <c r="G6" s="390"/>
      <c r="H6" s="399">
        <v>0</v>
      </c>
      <c r="I6" s="390"/>
      <c r="J6" s="399">
        <v>0</v>
      </c>
      <c r="K6" s="390"/>
      <c r="L6" s="392">
        <v>0</v>
      </c>
      <c r="M6" s="425">
        <v>0</v>
      </c>
      <c r="N6" s="425">
        <v>0</v>
      </c>
      <c r="O6" s="425">
        <v>0</v>
      </c>
      <c r="P6" s="425">
        <v>0</v>
      </c>
      <c r="Q6" s="425">
        <v>0</v>
      </c>
      <c r="R6" s="425">
        <v>0</v>
      </c>
      <c r="S6" s="425">
        <v>0</v>
      </c>
      <c r="T6" s="425">
        <v>0</v>
      </c>
      <c r="U6" s="425">
        <v>0</v>
      </c>
      <c r="V6" s="425">
        <v>0</v>
      </c>
      <c r="W6" s="425">
        <v>0</v>
      </c>
      <c r="X6" s="426">
        <v>0</v>
      </c>
      <c r="Y6" s="390">
        <f t="shared" si="0"/>
        <v>0</v>
      </c>
      <c r="Z6" s="397">
        <f>-INDEX('Fluxo Bandeira Co'!AZ:AZ, MATCH($A6, 'Fluxo Bandeira Co'!$A:$A, 0))</f>
        <v>0</v>
      </c>
      <c r="AA6" s="398">
        <f>INDEX('Fluxo Bandeira Co'!J:J, MATCH($A6, 'Fluxo Bandeira Co'!$A:$A, 0))+INDEX('Fluxo Bandeira Co'!AK:AK, MATCH($A6, 'Fluxo Bandeira Co'!$A:$A, 0))</f>
        <v>0</v>
      </c>
      <c r="AB6" s="390"/>
      <c r="AC6" s="397">
        <f>-INDEX('Fluxo Bandeira Co'!L:L, MATCH('Fluxo Investidores'!$A6, 'Fluxo Bandeira Co'!$A:$A, 0))</f>
        <v>0</v>
      </c>
      <c r="AD6" s="398">
        <f>-INDEX('Fluxo Bandeira Co'!M:M, MATCH('Fluxo Investidores'!$A6, 'Fluxo Bandeira Co'!$A:$A, 0))</f>
        <v>0</v>
      </c>
      <c r="AE6" s="390"/>
      <c r="AF6" s="397">
        <f t="shared" si="1"/>
        <v>-3112.059999999999</v>
      </c>
      <c r="AG6" s="398">
        <f>IFERROR(INDEX('Fluxo Projeto'!AQ:AQ, MATCH('Fluxo Investidores'!A6, 'Fluxo Projeto'!A:A, 0)), 0)</f>
        <v>-337887.94</v>
      </c>
      <c r="AI6" s="397">
        <f t="shared" si="2"/>
        <v>0</v>
      </c>
      <c r="AJ6" s="390">
        <f t="shared" si="3"/>
        <v>0</v>
      </c>
      <c r="AK6" s="390">
        <f t="shared" si="4"/>
        <v>0</v>
      </c>
      <c r="AL6" s="390">
        <f t="shared" si="5"/>
        <v>0</v>
      </c>
      <c r="AM6" s="390">
        <f t="shared" si="6"/>
        <v>0</v>
      </c>
      <c r="AN6" s="390">
        <f t="shared" si="7"/>
        <v>0</v>
      </c>
      <c r="AO6" s="390">
        <f t="shared" si="8"/>
        <v>0</v>
      </c>
      <c r="AP6" s="390">
        <f t="shared" si="9"/>
        <v>0</v>
      </c>
      <c r="AQ6" s="390">
        <f t="shared" si="10"/>
        <v>0</v>
      </c>
      <c r="AR6" s="390">
        <f t="shared" si="11"/>
        <v>0</v>
      </c>
      <c r="AS6" s="390">
        <f t="shared" si="12"/>
        <v>0</v>
      </c>
      <c r="AT6" s="390">
        <f t="shared" si="13"/>
        <v>0</v>
      </c>
      <c r="AU6" s="398">
        <f t="shared" si="14"/>
        <v>0</v>
      </c>
    </row>
    <row r="7" spans="1:47" x14ac:dyDescent="0.25">
      <c r="A7" s="197">
        <f t="shared" si="15"/>
        <v>43221</v>
      </c>
      <c r="B7" s="388">
        <f>IF($A7&lt;=baseData, INDEX(Indicadores!B:B, MATCH($A7,Indicadores!A:A, 0)), INDEX(Indicadores!B:B, MATCH(baseData,Indicadores!A:A, 0)))</f>
        <v>726.923</v>
      </c>
      <c r="C7" s="389">
        <f>IF($A7&lt;=baseData, INDEX(Indicadores!E:E, MATCH($A7, Indicadores!A:A, 0)), INDEX(Indicadores!E:E, MATCH(baseData, Indicadores!A:A, 0)))</f>
        <v>4981.6899999999996</v>
      </c>
      <c r="D7" s="390"/>
      <c r="E7" s="392">
        <v>-311000</v>
      </c>
      <c r="F7" s="426">
        <v>0</v>
      </c>
      <c r="G7" s="390"/>
      <c r="H7" s="399">
        <v>0</v>
      </c>
      <c r="I7" s="390"/>
      <c r="J7" s="399">
        <v>0</v>
      </c>
      <c r="K7" s="390"/>
      <c r="L7" s="392">
        <v>0</v>
      </c>
      <c r="M7" s="425">
        <v>0</v>
      </c>
      <c r="N7" s="425">
        <v>0</v>
      </c>
      <c r="O7" s="425">
        <v>0</v>
      </c>
      <c r="P7" s="425">
        <v>0</v>
      </c>
      <c r="Q7" s="425">
        <v>0</v>
      </c>
      <c r="R7" s="425">
        <v>0</v>
      </c>
      <c r="S7" s="425">
        <v>0</v>
      </c>
      <c r="T7" s="425">
        <v>0</v>
      </c>
      <c r="U7" s="425">
        <v>0</v>
      </c>
      <c r="V7" s="425">
        <v>0</v>
      </c>
      <c r="W7" s="425">
        <v>0</v>
      </c>
      <c r="X7" s="426">
        <v>0</v>
      </c>
      <c r="Y7" s="390">
        <f t="shared" si="0"/>
        <v>0</v>
      </c>
      <c r="Z7" s="397">
        <f>-INDEX('Fluxo Bandeira Co'!AZ:AZ, MATCH($A7, 'Fluxo Bandeira Co'!$A:$A, 0))</f>
        <v>0</v>
      </c>
      <c r="AA7" s="398">
        <f>INDEX('Fluxo Bandeira Co'!J:J, MATCH($A7, 'Fluxo Bandeira Co'!$A:$A, 0))+INDEX('Fluxo Bandeira Co'!AK:AK, MATCH($A7, 'Fluxo Bandeira Co'!$A:$A, 0))</f>
        <v>0</v>
      </c>
      <c r="AB7" s="390"/>
      <c r="AC7" s="397">
        <f>-INDEX('Fluxo Bandeira Co'!L:L, MATCH('Fluxo Investidores'!$A7, 'Fluxo Bandeira Co'!$A:$A, 0))</f>
        <v>-112500</v>
      </c>
      <c r="AD7" s="398">
        <f>-INDEX('Fluxo Bandeira Co'!M:M, MATCH('Fluxo Investidores'!$A7, 'Fluxo Bandeira Co'!$A:$A, 0))</f>
        <v>0</v>
      </c>
      <c r="AE7" s="390"/>
      <c r="AF7" s="397">
        <f t="shared" si="1"/>
        <v>-423500</v>
      </c>
      <c r="AG7" s="398">
        <f>IFERROR(INDEX('Fluxo Projeto'!AQ:AQ, MATCH('Fluxo Investidores'!A7, 'Fluxo Projeto'!A:A, 0)), 0)</f>
        <v>-538500</v>
      </c>
      <c r="AI7" s="397">
        <f t="shared" si="2"/>
        <v>0</v>
      </c>
      <c r="AJ7" s="390">
        <f t="shared" si="3"/>
        <v>0</v>
      </c>
      <c r="AK7" s="390">
        <f t="shared" si="4"/>
        <v>0</v>
      </c>
      <c r="AL7" s="390">
        <f t="shared" si="5"/>
        <v>0</v>
      </c>
      <c r="AM7" s="390">
        <f t="shared" si="6"/>
        <v>0</v>
      </c>
      <c r="AN7" s="390">
        <f t="shared" si="7"/>
        <v>0</v>
      </c>
      <c r="AO7" s="390">
        <f t="shared" si="8"/>
        <v>0</v>
      </c>
      <c r="AP7" s="390">
        <f t="shared" si="9"/>
        <v>0</v>
      </c>
      <c r="AQ7" s="390">
        <f t="shared" si="10"/>
        <v>0</v>
      </c>
      <c r="AR7" s="390">
        <f t="shared" si="11"/>
        <v>0</v>
      </c>
      <c r="AS7" s="390">
        <f t="shared" si="12"/>
        <v>0</v>
      </c>
      <c r="AT7" s="390">
        <f t="shared" si="13"/>
        <v>0</v>
      </c>
      <c r="AU7" s="398">
        <f t="shared" si="14"/>
        <v>0</v>
      </c>
    </row>
    <row r="8" spans="1:47" x14ac:dyDescent="0.25">
      <c r="A8" s="197">
        <f t="shared" si="15"/>
        <v>43252</v>
      </c>
      <c r="B8" s="388">
        <f>IF($A8&lt;=baseData, INDEX(Indicadores!B:B, MATCH($A8,Indicadores!A:A, 0)), INDEX(Indicadores!B:B, MATCH(baseData,Indicadores!A:A, 0)))</f>
        <v>733.98400000000004</v>
      </c>
      <c r="C8" s="389">
        <f>IF($A8&lt;=baseData, INDEX(Indicadores!E:E, MATCH($A8, Indicadores!A:A, 0)), INDEX(Indicadores!E:E, MATCH(baseData, Indicadores!A:A, 0)))</f>
        <v>5044.46</v>
      </c>
      <c r="D8" s="390"/>
      <c r="E8" s="392">
        <v>-36000</v>
      </c>
      <c r="F8" s="426">
        <v>0</v>
      </c>
      <c r="G8" s="390"/>
      <c r="H8" s="399">
        <v>0</v>
      </c>
      <c r="I8" s="390"/>
      <c r="J8" s="399">
        <v>0</v>
      </c>
      <c r="K8" s="390"/>
      <c r="L8" s="392">
        <v>0</v>
      </c>
      <c r="M8" s="425">
        <v>0</v>
      </c>
      <c r="N8" s="425">
        <v>0</v>
      </c>
      <c r="O8" s="425">
        <v>0</v>
      </c>
      <c r="P8" s="425">
        <v>0</v>
      </c>
      <c r="Q8" s="425">
        <v>0</v>
      </c>
      <c r="R8" s="425">
        <v>0</v>
      </c>
      <c r="S8" s="425">
        <v>0</v>
      </c>
      <c r="T8" s="425">
        <v>0</v>
      </c>
      <c r="U8" s="425">
        <v>0</v>
      </c>
      <c r="V8" s="425">
        <v>0</v>
      </c>
      <c r="W8" s="425">
        <v>0</v>
      </c>
      <c r="X8" s="426">
        <v>0</v>
      </c>
      <c r="Y8" s="390">
        <f t="shared" si="0"/>
        <v>0</v>
      </c>
      <c r="Z8" s="397">
        <f>-INDEX('Fluxo Bandeira Co'!AZ:AZ, MATCH($A8, 'Fluxo Bandeira Co'!$A:$A, 0))</f>
        <v>0</v>
      </c>
      <c r="AA8" s="398">
        <f>INDEX('Fluxo Bandeira Co'!J:J, MATCH($A8, 'Fluxo Bandeira Co'!$A:$A, 0))+INDEX('Fluxo Bandeira Co'!AK:AK, MATCH($A8, 'Fluxo Bandeira Co'!$A:$A, 0))</f>
        <v>0</v>
      </c>
      <c r="AB8" s="390"/>
      <c r="AC8" s="397">
        <f>-INDEX('Fluxo Bandeira Co'!L:L, MATCH('Fluxo Investidores'!$A8, 'Fluxo Bandeira Co'!$A:$A, 0))</f>
        <v>0</v>
      </c>
      <c r="AD8" s="398">
        <f>-INDEX('Fluxo Bandeira Co'!M:M, MATCH('Fluxo Investidores'!$A8, 'Fluxo Bandeira Co'!$A:$A, 0))</f>
        <v>0</v>
      </c>
      <c r="AE8" s="390"/>
      <c r="AF8" s="397">
        <f t="shared" si="1"/>
        <v>-36000</v>
      </c>
      <c r="AG8" s="398">
        <f>IFERROR(INDEX('Fluxo Projeto'!AQ:AQ, MATCH('Fluxo Investidores'!A8, 'Fluxo Projeto'!A:A, 0)), 0)</f>
        <v>-69500</v>
      </c>
      <c r="AI8" s="397">
        <f t="shared" si="2"/>
        <v>0</v>
      </c>
      <c r="AJ8" s="390">
        <f t="shared" si="3"/>
        <v>0</v>
      </c>
      <c r="AK8" s="390">
        <f t="shared" si="4"/>
        <v>0</v>
      </c>
      <c r="AL8" s="390">
        <f t="shared" si="5"/>
        <v>0</v>
      </c>
      <c r="AM8" s="390">
        <f t="shared" si="6"/>
        <v>0</v>
      </c>
      <c r="AN8" s="390">
        <f t="shared" si="7"/>
        <v>0</v>
      </c>
      <c r="AO8" s="390">
        <f t="shared" si="8"/>
        <v>0</v>
      </c>
      <c r="AP8" s="390">
        <f t="shared" si="9"/>
        <v>0</v>
      </c>
      <c r="AQ8" s="390">
        <f t="shared" si="10"/>
        <v>0</v>
      </c>
      <c r="AR8" s="390">
        <f t="shared" si="11"/>
        <v>0</v>
      </c>
      <c r="AS8" s="390">
        <f t="shared" si="12"/>
        <v>0</v>
      </c>
      <c r="AT8" s="390">
        <f t="shared" si="13"/>
        <v>0</v>
      </c>
      <c r="AU8" s="398">
        <f t="shared" si="14"/>
        <v>0</v>
      </c>
    </row>
    <row r="9" spans="1:47" x14ac:dyDescent="0.25">
      <c r="A9" s="197">
        <f t="shared" si="15"/>
        <v>43282</v>
      </c>
      <c r="B9" s="388">
        <f>IF($A9&lt;=baseData, INDEX(Indicadores!B:B, MATCH($A9,Indicadores!A:A, 0)), INDEX(Indicadores!B:B, MATCH(baseData,Indicadores!A:A, 0)))</f>
        <v>738.48699999999997</v>
      </c>
      <c r="C9" s="389">
        <f>IF($A9&lt;=baseData, INDEX(Indicadores!E:E, MATCH($A9, Indicadores!A:A, 0)), INDEX(Indicadores!E:E, MATCH(baseData, Indicadores!A:A, 0)))</f>
        <v>5061.1099999999997</v>
      </c>
      <c r="D9" s="390"/>
      <c r="E9" s="392">
        <v>0</v>
      </c>
      <c r="F9" s="426">
        <v>0</v>
      </c>
      <c r="G9" s="390"/>
      <c r="H9" s="399">
        <v>0</v>
      </c>
      <c r="I9" s="390"/>
      <c r="J9" s="399">
        <v>0</v>
      </c>
      <c r="K9" s="390"/>
      <c r="L9" s="392">
        <v>0</v>
      </c>
      <c r="M9" s="425">
        <v>0</v>
      </c>
      <c r="N9" s="425">
        <v>0</v>
      </c>
      <c r="O9" s="425">
        <v>0</v>
      </c>
      <c r="P9" s="425">
        <v>0</v>
      </c>
      <c r="Q9" s="425">
        <v>0</v>
      </c>
      <c r="R9" s="425">
        <v>0</v>
      </c>
      <c r="S9" s="425">
        <v>0</v>
      </c>
      <c r="T9" s="425">
        <v>0</v>
      </c>
      <c r="U9" s="425">
        <v>0</v>
      </c>
      <c r="V9" s="425">
        <v>0</v>
      </c>
      <c r="W9" s="425">
        <v>0</v>
      </c>
      <c r="X9" s="426">
        <v>0</v>
      </c>
      <c r="Y9" s="390">
        <f t="shared" si="0"/>
        <v>0</v>
      </c>
      <c r="Z9" s="397">
        <f>-INDEX('Fluxo Bandeira Co'!AZ:AZ, MATCH($A9, 'Fluxo Bandeira Co'!$A:$A, 0))</f>
        <v>0</v>
      </c>
      <c r="AA9" s="398">
        <f>INDEX('Fluxo Bandeira Co'!J:J, MATCH($A9, 'Fluxo Bandeira Co'!$A:$A, 0))+INDEX('Fluxo Bandeira Co'!AK:AK, MATCH($A9, 'Fluxo Bandeira Co'!$A:$A, 0))</f>
        <v>0</v>
      </c>
      <c r="AB9" s="390"/>
      <c r="AC9" s="397">
        <f>-INDEX('Fluxo Bandeira Co'!L:L, MATCH('Fluxo Investidores'!$A9, 'Fluxo Bandeira Co'!$A:$A, 0))</f>
        <v>0</v>
      </c>
      <c r="AD9" s="398">
        <f>-INDEX('Fluxo Bandeira Co'!M:M, MATCH('Fluxo Investidores'!$A9, 'Fluxo Bandeira Co'!$A:$A, 0))</f>
        <v>0</v>
      </c>
      <c r="AE9" s="390"/>
      <c r="AF9" s="397">
        <f t="shared" si="1"/>
        <v>0</v>
      </c>
      <c r="AG9" s="398">
        <f>IFERROR(INDEX('Fluxo Projeto'!AQ:AQ, MATCH('Fluxo Investidores'!A9, 'Fluxo Projeto'!A:A, 0)), 0)</f>
        <v>0</v>
      </c>
      <c r="AI9" s="397">
        <f t="shared" si="2"/>
        <v>0</v>
      </c>
      <c r="AJ9" s="390">
        <f t="shared" si="3"/>
        <v>0</v>
      </c>
      <c r="AK9" s="390">
        <f t="shared" si="4"/>
        <v>0</v>
      </c>
      <c r="AL9" s="390">
        <f t="shared" si="5"/>
        <v>0</v>
      </c>
      <c r="AM9" s="390">
        <f t="shared" si="6"/>
        <v>0</v>
      </c>
      <c r="AN9" s="390">
        <f t="shared" si="7"/>
        <v>0</v>
      </c>
      <c r="AO9" s="390">
        <f t="shared" si="8"/>
        <v>0</v>
      </c>
      <c r="AP9" s="390">
        <f t="shared" si="9"/>
        <v>0</v>
      </c>
      <c r="AQ9" s="390">
        <f t="shared" si="10"/>
        <v>0</v>
      </c>
      <c r="AR9" s="390">
        <f t="shared" si="11"/>
        <v>0</v>
      </c>
      <c r="AS9" s="390">
        <f t="shared" si="12"/>
        <v>0</v>
      </c>
      <c r="AT9" s="390">
        <f t="shared" si="13"/>
        <v>0</v>
      </c>
      <c r="AU9" s="398">
        <f t="shared" si="14"/>
        <v>0</v>
      </c>
    </row>
    <row r="10" spans="1:47" x14ac:dyDescent="0.25">
      <c r="A10" s="197">
        <f t="shared" si="15"/>
        <v>43313</v>
      </c>
      <c r="B10" s="388">
        <f>IF($A10&lt;=baseData, INDEX(Indicadores!B:B, MATCH($A10,Indicadores!A:A, 0)), INDEX(Indicadores!B:B, MATCH(baseData,Indicadores!A:A, 0)))</f>
        <v>739.58299999999997</v>
      </c>
      <c r="C10" s="389">
        <f>IF($A10&lt;=baseData, INDEX(Indicadores!E:E, MATCH($A10, Indicadores!A:A, 0)), INDEX(Indicadores!E:E, MATCH(baseData, Indicadores!A:A, 0)))</f>
        <v>5056.5600000000004</v>
      </c>
      <c r="D10" s="390"/>
      <c r="E10" s="392">
        <v>-14000</v>
      </c>
      <c r="F10" s="426">
        <v>0</v>
      </c>
      <c r="G10" s="390"/>
      <c r="H10" s="399">
        <v>0</v>
      </c>
      <c r="I10" s="390"/>
      <c r="J10" s="399">
        <v>0</v>
      </c>
      <c r="K10" s="390"/>
      <c r="L10" s="392">
        <v>0</v>
      </c>
      <c r="M10" s="425">
        <v>0</v>
      </c>
      <c r="N10" s="425">
        <v>0</v>
      </c>
      <c r="O10" s="425">
        <v>0</v>
      </c>
      <c r="P10" s="425">
        <v>0</v>
      </c>
      <c r="Q10" s="425">
        <v>0</v>
      </c>
      <c r="R10" s="425">
        <v>0</v>
      </c>
      <c r="S10" s="425">
        <v>0</v>
      </c>
      <c r="T10" s="425">
        <v>0</v>
      </c>
      <c r="U10" s="425">
        <v>0</v>
      </c>
      <c r="V10" s="425">
        <v>0</v>
      </c>
      <c r="W10" s="425">
        <v>0</v>
      </c>
      <c r="X10" s="426">
        <v>0</v>
      </c>
      <c r="Y10" s="390">
        <f t="shared" si="0"/>
        <v>0</v>
      </c>
      <c r="Z10" s="397">
        <f>-INDEX('Fluxo Bandeira Co'!AZ:AZ, MATCH($A10, 'Fluxo Bandeira Co'!$A:$A, 0))</f>
        <v>0</v>
      </c>
      <c r="AA10" s="398">
        <f>INDEX('Fluxo Bandeira Co'!J:J, MATCH($A10, 'Fluxo Bandeira Co'!$A:$A, 0))+INDEX('Fluxo Bandeira Co'!AK:AK, MATCH($A10, 'Fluxo Bandeira Co'!$A:$A, 0))</f>
        <v>0</v>
      </c>
      <c r="AB10" s="390"/>
      <c r="AC10" s="397">
        <f>-INDEX('Fluxo Bandeira Co'!L:L, MATCH('Fluxo Investidores'!$A10, 'Fluxo Bandeira Co'!$A:$A, 0))</f>
        <v>0</v>
      </c>
      <c r="AD10" s="398">
        <f>-INDEX('Fluxo Bandeira Co'!M:M, MATCH('Fluxo Investidores'!$A10, 'Fluxo Bandeira Co'!$A:$A, 0))</f>
        <v>0</v>
      </c>
      <c r="AE10" s="390"/>
      <c r="AF10" s="397">
        <f t="shared" si="1"/>
        <v>-14000</v>
      </c>
      <c r="AG10" s="398">
        <f>IFERROR(INDEX('Fluxo Projeto'!AQ:AQ, MATCH('Fluxo Investidores'!A10, 'Fluxo Projeto'!A:A, 0)), 0)</f>
        <v>-28000</v>
      </c>
      <c r="AI10" s="397">
        <f t="shared" si="2"/>
        <v>0</v>
      </c>
      <c r="AJ10" s="390">
        <f t="shared" si="3"/>
        <v>0</v>
      </c>
      <c r="AK10" s="390">
        <f t="shared" si="4"/>
        <v>0</v>
      </c>
      <c r="AL10" s="390">
        <f t="shared" si="5"/>
        <v>0</v>
      </c>
      <c r="AM10" s="390">
        <f t="shared" si="6"/>
        <v>0</v>
      </c>
      <c r="AN10" s="390">
        <f t="shared" si="7"/>
        <v>0</v>
      </c>
      <c r="AO10" s="390">
        <f t="shared" si="8"/>
        <v>0</v>
      </c>
      <c r="AP10" s="390">
        <f t="shared" si="9"/>
        <v>0</v>
      </c>
      <c r="AQ10" s="390">
        <f t="shared" si="10"/>
        <v>0</v>
      </c>
      <c r="AR10" s="390">
        <f t="shared" si="11"/>
        <v>0</v>
      </c>
      <c r="AS10" s="390">
        <f t="shared" si="12"/>
        <v>0</v>
      </c>
      <c r="AT10" s="390">
        <f t="shared" si="13"/>
        <v>0</v>
      </c>
      <c r="AU10" s="398">
        <f t="shared" si="14"/>
        <v>0</v>
      </c>
    </row>
    <row r="11" spans="1:47" x14ac:dyDescent="0.25">
      <c r="A11" s="197">
        <f t="shared" si="15"/>
        <v>43344</v>
      </c>
      <c r="B11" s="388">
        <f>IF($A11&lt;=baseData, INDEX(Indicadores!B:B, MATCH($A11,Indicadores!A:A, 0)), INDEX(Indicadores!B:B, MATCH(baseData,Indicadores!A:A, 0)))</f>
        <v>741.30499999999995</v>
      </c>
      <c r="C11" s="389">
        <f>IF($A11&lt;=baseData, INDEX(Indicadores!E:E, MATCH($A11, Indicadores!A:A, 0)), INDEX(Indicadores!E:E, MATCH(baseData, Indicadores!A:A, 0)))</f>
        <v>5080.83</v>
      </c>
      <c r="D11" s="390"/>
      <c r="E11" s="392">
        <v>-24000</v>
      </c>
      <c r="F11" s="426">
        <v>0</v>
      </c>
      <c r="G11" s="390"/>
      <c r="H11" s="399">
        <v>0</v>
      </c>
      <c r="I11" s="390"/>
      <c r="J11" s="399">
        <v>0</v>
      </c>
      <c r="K11" s="390"/>
      <c r="L11" s="392">
        <v>0</v>
      </c>
      <c r="M11" s="425">
        <v>0</v>
      </c>
      <c r="N11" s="425">
        <v>0</v>
      </c>
      <c r="O11" s="425">
        <v>0</v>
      </c>
      <c r="P11" s="425">
        <v>0</v>
      </c>
      <c r="Q11" s="425">
        <v>0</v>
      </c>
      <c r="R11" s="425">
        <v>0</v>
      </c>
      <c r="S11" s="425">
        <v>0</v>
      </c>
      <c r="T11" s="425">
        <v>0</v>
      </c>
      <c r="U11" s="425">
        <v>0</v>
      </c>
      <c r="V11" s="425">
        <v>0</v>
      </c>
      <c r="W11" s="425">
        <v>0</v>
      </c>
      <c r="X11" s="426">
        <v>0</v>
      </c>
      <c r="Y11" s="390">
        <f t="shared" si="0"/>
        <v>0</v>
      </c>
      <c r="Z11" s="397">
        <f>-INDEX('Fluxo Bandeira Co'!AZ:AZ, MATCH($A11, 'Fluxo Bandeira Co'!$A:$A, 0))</f>
        <v>0</v>
      </c>
      <c r="AA11" s="398">
        <f>INDEX('Fluxo Bandeira Co'!J:J, MATCH($A11, 'Fluxo Bandeira Co'!$A:$A, 0))+INDEX('Fluxo Bandeira Co'!AK:AK, MATCH($A11, 'Fluxo Bandeira Co'!$A:$A, 0))</f>
        <v>0</v>
      </c>
      <c r="AB11" s="390"/>
      <c r="AC11" s="397">
        <f>-INDEX('Fluxo Bandeira Co'!L:L, MATCH('Fluxo Investidores'!$A11, 'Fluxo Bandeira Co'!$A:$A, 0))</f>
        <v>0</v>
      </c>
      <c r="AD11" s="398">
        <f>-INDEX('Fluxo Bandeira Co'!M:M, MATCH('Fluxo Investidores'!$A11, 'Fluxo Bandeira Co'!$A:$A, 0))</f>
        <v>0</v>
      </c>
      <c r="AE11" s="390"/>
      <c r="AF11" s="397">
        <f t="shared" si="1"/>
        <v>-24000</v>
      </c>
      <c r="AG11" s="398">
        <f>IFERROR(INDEX('Fluxo Projeto'!AQ:AQ, MATCH('Fluxo Investidores'!A11, 'Fluxo Projeto'!A:A, 0)), 0)</f>
        <v>-36112.06</v>
      </c>
      <c r="AI11" s="397">
        <f t="shared" si="2"/>
        <v>0</v>
      </c>
      <c r="AJ11" s="390">
        <f t="shared" si="3"/>
        <v>0</v>
      </c>
      <c r="AK11" s="390">
        <f t="shared" si="4"/>
        <v>0</v>
      </c>
      <c r="AL11" s="390">
        <f t="shared" si="5"/>
        <v>0</v>
      </c>
      <c r="AM11" s="390">
        <f t="shared" si="6"/>
        <v>0</v>
      </c>
      <c r="AN11" s="390">
        <f t="shared" si="7"/>
        <v>0</v>
      </c>
      <c r="AO11" s="390">
        <f t="shared" si="8"/>
        <v>0</v>
      </c>
      <c r="AP11" s="390">
        <f t="shared" si="9"/>
        <v>0</v>
      </c>
      <c r="AQ11" s="390">
        <f t="shared" si="10"/>
        <v>0</v>
      </c>
      <c r="AR11" s="390">
        <f t="shared" si="11"/>
        <v>0</v>
      </c>
      <c r="AS11" s="390">
        <f t="shared" si="12"/>
        <v>0</v>
      </c>
      <c r="AT11" s="390">
        <f t="shared" si="13"/>
        <v>0</v>
      </c>
      <c r="AU11" s="398">
        <f t="shared" si="14"/>
        <v>0</v>
      </c>
    </row>
    <row r="12" spans="1:47" x14ac:dyDescent="0.25">
      <c r="A12" s="197">
        <f t="shared" si="15"/>
        <v>43374</v>
      </c>
      <c r="B12" s="388">
        <f>IF($A12&lt;=baseData, INDEX(Indicadores!B:B, MATCH($A12,Indicadores!A:A, 0)), INDEX(Indicadores!B:B, MATCH(baseData,Indicadores!A:A, 0)))</f>
        <v>743.86599999999999</v>
      </c>
      <c r="C12" s="389">
        <f>IF($A12&lt;=baseData, INDEX(Indicadores!E:E, MATCH($A12, Indicadores!A:A, 0)), INDEX(Indicadores!E:E, MATCH(baseData, Indicadores!A:A, 0)))</f>
        <v>5103.6899999999996</v>
      </c>
      <c r="D12" s="390"/>
      <c r="E12" s="392">
        <v>-26000</v>
      </c>
      <c r="F12" s="426">
        <v>0</v>
      </c>
      <c r="G12" s="390"/>
      <c r="H12" s="399">
        <v>0</v>
      </c>
      <c r="I12" s="390"/>
      <c r="J12" s="399">
        <v>0</v>
      </c>
      <c r="K12" s="390"/>
      <c r="L12" s="392">
        <v>0</v>
      </c>
      <c r="M12" s="425">
        <v>0</v>
      </c>
      <c r="N12" s="425">
        <v>0</v>
      </c>
      <c r="O12" s="425">
        <v>0</v>
      </c>
      <c r="P12" s="425">
        <v>0</v>
      </c>
      <c r="Q12" s="425">
        <v>0</v>
      </c>
      <c r="R12" s="425">
        <v>0</v>
      </c>
      <c r="S12" s="425">
        <v>0</v>
      </c>
      <c r="T12" s="425">
        <v>0</v>
      </c>
      <c r="U12" s="425">
        <v>0</v>
      </c>
      <c r="V12" s="425">
        <v>0</v>
      </c>
      <c r="W12" s="425">
        <v>0</v>
      </c>
      <c r="X12" s="426">
        <v>0</v>
      </c>
      <c r="Y12" s="390">
        <f t="shared" si="0"/>
        <v>0</v>
      </c>
      <c r="Z12" s="397">
        <f>-INDEX('Fluxo Bandeira Co'!AZ:AZ, MATCH($A12, 'Fluxo Bandeira Co'!$A:$A, 0))</f>
        <v>0</v>
      </c>
      <c r="AA12" s="398">
        <f>INDEX('Fluxo Bandeira Co'!J:J, MATCH($A12, 'Fluxo Bandeira Co'!$A:$A, 0))+INDEX('Fluxo Bandeira Co'!AK:AK, MATCH($A12, 'Fluxo Bandeira Co'!$A:$A, 0))</f>
        <v>0</v>
      </c>
      <c r="AB12" s="390"/>
      <c r="AC12" s="397">
        <f>-INDEX('Fluxo Bandeira Co'!L:L, MATCH('Fluxo Investidores'!$A12, 'Fluxo Bandeira Co'!$A:$A, 0))</f>
        <v>0</v>
      </c>
      <c r="AD12" s="398">
        <f>-INDEX('Fluxo Bandeira Co'!M:M, MATCH('Fluxo Investidores'!$A12, 'Fluxo Bandeira Co'!$A:$A, 0))</f>
        <v>0</v>
      </c>
      <c r="AE12" s="390"/>
      <c r="AF12" s="397">
        <f t="shared" si="1"/>
        <v>-26000</v>
      </c>
      <c r="AG12" s="398">
        <f>IFERROR(INDEX('Fluxo Projeto'!AQ:AQ, MATCH('Fluxo Investidores'!A12, 'Fluxo Projeto'!A:A, 0)), 0)</f>
        <v>-52000</v>
      </c>
      <c r="AI12" s="397">
        <f t="shared" si="2"/>
        <v>0</v>
      </c>
      <c r="AJ12" s="390">
        <f t="shared" si="3"/>
        <v>0</v>
      </c>
      <c r="AK12" s="390">
        <f t="shared" si="4"/>
        <v>0</v>
      </c>
      <c r="AL12" s="390">
        <f t="shared" si="5"/>
        <v>0</v>
      </c>
      <c r="AM12" s="390">
        <f t="shared" si="6"/>
        <v>0</v>
      </c>
      <c r="AN12" s="390">
        <f t="shared" si="7"/>
        <v>0</v>
      </c>
      <c r="AO12" s="390">
        <f t="shared" si="8"/>
        <v>0</v>
      </c>
      <c r="AP12" s="390">
        <f t="shared" si="9"/>
        <v>0</v>
      </c>
      <c r="AQ12" s="390">
        <f t="shared" si="10"/>
        <v>0</v>
      </c>
      <c r="AR12" s="390">
        <f t="shared" si="11"/>
        <v>0</v>
      </c>
      <c r="AS12" s="390">
        <f t="shared" si="12"/>
        <v>0</v>
      </c>
      <c r="AT12" s="390">
        <f t="shared" si="13"/>
        <v>0</v>
      </c>
      <c r="AU12" s="398">
        <f t="shared" si="14"/>
        <v>0</v>
      </c>
    </row>
    <row r="13" spans="1:47" x14ac:dyDescent="0.25">
      <c r="A13" s="197">
        <f t="shared" si="15"/>
        <v>43405</v>
      </c>
      <c r="B13" s="388">
        <f>IF($A13&lt;=baseData, INDEX(Indicadores!B:B, MATCH($A13,Indicadores!A:A, 0)), INDEX(Indicadores!B:B, MATCH(baseData,Indicadores!A:A, 0)))</f>
        <v>744.86500000000001</v>
      </c>
      <c r="C13" s="389">
        <f>IF($A13&lt;=baseData, INDEX(Indicadores!E:E, MATCH($A13, Indicadores!A:A, 0)), INDEX(Indicadores!E:E, MATCH(baseData, Indicadores!A:A, 0)))</f>
        <v>5092.97</v>
      </c>
      <c r="D13" s="390"/>
      <c r="E13" s="392">
        <v>-34500</v>
      </c>
      <c r="F13" s="426">
        <v>0</v>
      </c>
      <c r="G13" s="390"/>
      <c r="H13" s="399">
        <v>0</v>
      </c>
      <c r="I13" s="390"/>
      <c r="J13" s="399">
        <v>0</v>
      </c>
      <c r="K13" s="390"/>
      <c r="L13" s="392">
        <v>0</v>
      </c>
      <c r="M13" s="425">
        <v>0</v>
      </c>
      <c r="N13" s="425">
        <v>0</v>
      </c>
      <c r="O13" s="425">
        <v>0</v>
      </c>
      <c r="P13" s="425">
        <v>0</v>
      </c>
      <c r="Q13" s="425">
        <v>0</v>
      </c>
      <c r="R13" s="425">
        <v>0</v>
      </c>
      <c r="S13" s="425">
        <v>0</v>
      </c>
      <c r="T13" s="425">
        <v>0</v>
      </c>
      <c r="U13" s="425">
        <v>0</v>
      </c>
      <c r="V13" s="425">
        <v>0</v>
      </c>
      <c r="W13" s="425">
        <v>0</v>
      </c>
      <c r="X13" s="426">
        <v>0</v>
      </c>
      <c r="Y13" s="390">
        <f t="shared" si="0"/>
        <v>0</v>
      </c>
      <c r="Z13" s="397">
        <f>-INDEX('Fluxo Bandeira Co'!AZ:AZ, MATCH($A13, 'Fluxo Bandeira Co'!$A:$A, 0))</f>
        <v>0</v>
      </c>
      <c r="AA13" s="398">
        <f>INDEX('Fluxo Bandeira Co'!J:J, MATCH($A13, 'Fluxo Bandeira Co'!$A:$A, 0))+INDEX('Fluxo Bandeira Co'!AK:AK, MATCH($A13, 'Fluxo Bandeira Co'!$A:$A, 0))</f>
        <v>0</v>
      </c>
      <c r="AB13" s="390"/>
      <c r="AC13" s="397">
        <f>-INDEX('Fluxo Bandeira Co'!L:L, MATCH('Fluxo Investidores'!$A13, 'Fluxo Bandeira Co'!$A:$A, 0))</f>
        <v>0</v>
      </c>
      <c r="AD13" s="398">
        <f>-INDEX('Fluxo Bandeira Co'!M:M, MATCH('Fluxo Investidores'!$A13, 'Fluxo Bandeira Co'!$A:$A, 0))</f>
        <v>0</v>
      </c>
      <c r="AE13" s="390"/>
      <c r="AF13" s="397">
        <f t="shared" si="1"/>
        <v>-34500</v>
      </c>
      <c r="AG13" s="398">
        <f>IFERROR(INDEX('Fluxo Projeto'!AQ:AQ, MATCH('Fluxo Investidores'!A13, 'Fluxo Projeto'!A:A, 0)), 0)</f>
        <v>-69000</v>
      </c>
      <c r="AI13" s="397">
        <f t="shared" si="2"/>
        <v>0</v>
      </c>
      <c r="AJ13" s="390">
        <f t="shared" si="3"/>
        <v>0</v>
      </c>
      <c r="AK13" s="390">
        <f t="shared" si="4"/>
        <v>0</v>
      </c>
      <c r="AL13" s="390">
        <f t="shared" si="5"/>
        <v>0</v>
      </c>
      <c r="AM13" s="390">
        <f t="shared" si="6"/>
        <v>0</v>
      </c>
      <c r="AN13" s="390">
        <f t="shared" si="7"/>
        <v>0</v>
      </c>
      <c r="AO13" s="390">
        <f t="shared" si="8"/>
        <v>0</v>
      </c>
      <c r="AP13" s="390">
        <f t="shared" si="9"/>
        <v>0</v>
      </c>
      <c r="AQ13" s="390">
        <f t="shared" si="10"/>
        <v>0</v>
      </c>
      <c r="AR13" s="390">
        <f t="shared" si="11"/>
        <v>0</v>
      </c>
      <c r="AS13" s="390">
        <f t="shared" si="12"/>
        <v>0</v>
      </c>
      <c r="AT13" s="390">
        <f t="shared" si="13"/>
        <v>0</v>
      </c>
      <c r="AU13" s="398">
        <f t="shared" si="14"/>
        <v>0</v>
      </c>
    </row>
    <row r="14" spans="1:47" x14ac:dyDescent="0.25">
      <c r="A14" s="197">
        <f t="shared" si="15"/>
        <v>43435</v>
      </c>
      <c r="B14" s="388">
        <f>IF($A14&lt;=baseData, INDEX(Indicadores!B:B, MATCH($A14,Indicadores!A:A, 0)), INDEX(Indicadores!B:B, MATCH(baseData,Indicadores!A:A, 0)))</f>
        <v>745.85599999999999</v>
      </c>
      <c r="C14" s="389">
        <f>IF($A14&lt;=baseData, INDEX(Indicadores!E:E, MATCH($A14, Indicadores!A:A, 0)), INDEX(Indicadores!E:E, MATCH(baseData, Indicadores!A:A, 0)))</f>
        <v>5100.6099999999997</v>
      </c>
      <c r="D14" s="390"/>
      <c r="E14" s="392">
        <v>-169000</v>
      </c>
      <c r="F14" s="426">
        <v>0</v>
      </c>
      <c r="G14" s="390"/>
      <c r="H14" s="399">
        <v>0</v>
      </c>
      <c r="I14" s="390"/>
      <c r="J14" s="399">
        <v>0</v>
      </c>
      <c r="K14" s="390"/>
      <c r="L14" s="392">
        <v>0</v>
      </c>
      <c r="M14" s="425">
        <v>0</v>
      </c>
      <c r="N14" s="425">
        <v>0</v>
      </c>
      <c r="O14" s="425">
        <v>0</v>
      </c>
      <c r="P14" s="425">
        <v>0</v>
      </c>
      <c r="Q14" s="425">
        <v>0</v>
      </c>
      <c r="R14" s="425">
        <v>0</v>
      </c>
      <c r="S14" s="425">
        <v>0</v>
      </c>
      <c r="T14" s="425">
        <v>0</v>
      </c>
      <c r="U14" s="425">
        <v>0</v>
      </c>
      <c r="V14" s="425">
        <v>0</v>
      </c>
      <c r="W14" s="425">
        <v>0</v>
      </c>
      <c r="X14" s="426">
        <v>0</v>
      </c>
      <c r="Y14" s="390">
        <f t="shared" si="0"/>
        <v>0</v>
      </c>
      <c r="Z14" s="397">
        <f>-INDEX('Fluxo Bandeira Co'!AZ:AZ, MATCH($A14, 'Fluxo Bandeira Co'!$A:$A, 0))</f>
        <v>0</v>
      </c>
      <c r="AA14" s="398">
        <f>INDEX('Fluxo Bandeira Co'!J:J, MATCH($A14, 'Fluxo Bandeira Co'!$A:$A, 0))+INDEX('Fluxo Bandeira Co'!AK:AK, MATCH($A14, 'Fluxo Bandeira Co'!$A:$A, 0))</f>
        <v>0</v>
      </c>
      <c r="AB14" s="390"/>
      <c r="AC14" s="397">
        <f>-INDEX('Fluxo Bandeira Co'!L:L, MATCH('Fluxo Investidores'!$A14, 'Fluxo Bandeira Co'!$A:$A, 0))</f>
        <v>112500</v>
      </c>
      <c r="AD14" s="398">
        <f>-INDEX('Fluxo Bandeira Co'!M:M, MATCH('Fluxo Investidores'!$A14, 'Fluxo Bandeira Co'!$A:$A, 0))</f>
        <v>0</v>
      </c>
      <c r="AE14" s="390"/>
      <c r="AF14" s="397">
        <f t="shared" si="1"/>
        <v>-56500</v>
      </c>
      <c r="AG14" s="398">
        <f>IFERROR(INDEX('Fluxo Projeto'!AQ:AQ, MATCH('Fluxo Investidores'!A14, 'Fluxo Projeto'!A:A, 0)), 0)</f>
        <v>-113000</v>
      </c>
      <c r="AI14" s="397">
        <f t="shared" si="2"/>
        <v>0</v>
      </c>
      <c r="AJ14" s="390">
        <f t="shared" si="3"/>
        <v>0</v>
      </c>
      <c r="AK14" s="390">
        <f t="shared" si="4"/>
        <v>0</v>
      </c>
      <c r="AL14" s="390">
        <f t="shared" si="5"/>
        <v>0</v>
      </c>
      <c r="AM14" s="390">
        <f t="shared" si="6"/>
        <v>0</v>
      </c>
      <c r="AN14" s="390">
        <f t="shared" si="7"/>
        <v>0</v>
      </c>
      <c r="AO14" s="390">
        <f t="shared" si="8"/>
        <v>0</v>
      </c>
      <c r="AP14" s="390">
        <f t="shared" si="9"/>
        <v>0</v>
      </c>
      <c r="AQ14" s="390">
        <f t="shared" si="10"/>
        <v>0</v>
      </c>
      <c r="AR14" s="390">
        <f t="shared" si="11"/>
        <v>0</v>
      </c>
      <c r="AS14" s="390">
        <f t="shared" si="12"/>
        <v>0</v>
      </c>
      <c r="AT14" s="390">
        <f t="shared" si="13"/>
        <v>0</v>
      </c>
      <c r="AU14" s="398">
        <f t="shared" si="14"/>
        <v>0</v>
      </c>
    </row>
    <row r="15" spans="1:47" x14ac:dyDescent="0.25">
      <c r="A15" s="197">
        <f t="shared" si="15"/>
        <v>43466</v>
      </c>
      <c r="B15" s="388">
        <f>IF($A15&lt;=baseData, INDEX(Indicadores!B:B, MATCH($A15,Indicadores!A:A, 0)), INDEX(Indicadores!B:B, MATCH(baseData,Indicadores!A:A, 0)))</f>
        <v>749.51700000000005</v>
      </c>
      <c r="C15" s="389">
        <f>IF($A15&lt;=baseData, INDEX(Indicadores!E:E, MATCH($A15, Indicadores!A:A, 0)), INDEX(Indicadores!E:E, MATCH(baseData, Indicadores!A:A, 0)))</f>
        <v>5116.93</v>
      </c>
      <c r="D15" s="390"/>
      <c r="E15" s="392">
        <v>-1826387.94</v>
      </c>
      <c r="F15" s="426">
        <v>0</v>
      </c>
      <c r="G15" s="390"/>
      <c r="H15" s="399">
        <v>0</v>
      </c>
      <c r="I15" s="390"/>
      <c r="J15" s="399">
        <v>0</v>
      </c>
      <c r="K15" s="390"/>
      <c r="L15" s="392">
        <v>0</v>
      </c>
      <c r="M15" s="425">
        <v>0</v>
      </c>
      <c r="N15" s="425">
        <v>0</v>
      </c>
      <c r="O15" s="425">
        <v>0</v>
      </c>
      <c r="P15" s="425">
        <v>0</v>
      </c>
      <c r="Q15" s="425">
        <v>0</v>
      </c>
      <c r="R15" s="425">
        <v>0</v>
      </c>
      <c r="S15" s="425">
        <v>0</v>
      </c>
      <c r="T15" s="425">
        <v>0</v>
      </c>
      <c r="U15" s="425">
        <v>0</v>
      </c>
      <c r="V15" s="425">
        <v>0</v>
      </c>
      <c r="W15" s="425">
        <v>0</v>
      </c>
      <c r="X15" s="426">
        <v>0</v>
      </c>
      <c r="Y15" s="390">
        <f t="shared" si="0"/>
        <v>0</v>
      </c>
      <c r="Z15" s="397">
        <f>-INDEX('Fluxo Bandeira Co'!AZ:AZ, MATCH($A15, 'Fluxo Bandeira Co'!$A:$A, 0))</f>
        <v>0</v>
      </c>
      <c r="AA15" s="398">
        <f>INDEX('Fluxo Bandeira Co'!J:J, MATCH($A15, 'Fluxo Bandeira Co'!$A:$A, 0))+INDEX('Fluxo Bandeira Co'!AK:AK, MATCH($A15, 'Fluxo Bandeira Co'!$A:$A, 0))</f>
        <v>0</v>
      </c>
      <c r="AB15" s="390"/>
      <c r="AC15" s="397">
        <f>-INDEX('Fluxo Bandeira Co'!L:L, MATCH('Fluxo Investidores'!$A15, 'Fluxo Bandeira Co'!$A:$A, 0))</f>
        <v>0</v>
      </c>
      <c r="AD15" s="398">
        <f>-INDEX('Fluxo Bandeira Co'!M:M, MATCH('Fluxo Investidores'!$A15, 'Fluxo Bandeira Co'!$A:$A, 0))</f>
        <v>0</v>
      </c>
      <c r="AE15" s="390"/>
      <c r="AF15" s="397">
        <f t="shared" si="1"/>
        <v>-1826387.94</v>
      </c>
      <c r="AG15" s="398">
        <f>IFERROR(INDEX('Fluxo Projeto'!AQ:AQ, MATCH('Fluxo Investidores'!A15, 'Fluxo Projeto'!A:A, 0)), 0)</f>
        <v>-1200000</v>
      </c>
      <c r="AI15" s="397">
        <f t="shared" si="2"/>
        <v>0</v>
      </c>
      <c r="AJ15" s="390">
        <f t="shared" si="3"/>
        <v>0</v>
      </c>
      <c r="AK15" s="390">
        <f t="shared" si="4"/>
        <v>0</v>
      </c>
      <c r="AL15" s="390">
        <f t="shared" si="5"/>
        <v>0</v>
      </c>
      <c r="AM15" s="390">
        <f t="shared" si="6"/>
        <v>0</v>
      </c>
      <c r="AN15" s="390">
        <f t="shared" si="7"/>
        <v>0</v>
      </c>
      <c r="AO15" s="390">
        <f t="shared" si="8"/>
        <v>0</v>
      </c>
      <c r="AP15" s="390">
        <f t="shared" si="9"/>
        <v>0</v>
      </c>
      <c r="AQ15" s="390">
        <f t="shared" si="10"/>
        <v>0</v>
      </c>
      <c r="AR15" s="390">
        <f t="shared" si="11"/>
        <v>0</v>
      </c>
      <c r="AS15" s="390">
        <f t="shared" si="12"/>
        <v>0</v>
      </c>
      <c r="AT15" s="390">
        <f t="shared" si="13"/>
        <v>0</v>
      </c>
      <c r="AU15" s="398">
        <f t="shared" si="14"/>
        <v>0</v>
      </c>
    </row>
    <row r="16" spans="1:47" x14ac:dyDescent="0.25">
      <c r="A16" s="197">
        <f t="shared" si="15"/>
        <v>43497</v>
      </c>
      <c r="B16" s="388">
        <f>IF($A16&lt;=baseData, INDEX(Indicadores!B:B, MATCH($A16,Indicadores!A:A, 0)), INDEX(Indicadores!B:B, MATCH(baseData,Indicadores!A:A, 0)))</f>
        <v>750.18</v>
      </c>
      <c r="C16" s="389">
        <f>IF($A16&lt;=baseData, INDEX(Indicadores!E:E, MATCH($A16, Indicadores!A:A, 0)), INDEX(Indicadores!E:E, MATCH(baseData, Indicadores!A:A, 0)))</f>
        <v>5138.93</v>
      </c>
      <c r="D16" s="390"/>
      <c r="E16" s="392">
        <v>-1170000</v>
      </c>
      <c r="F16" s="426">
        <v>0</v>
      </c>
      <c r="G16" s="390"/>
      <c r="H16" s="399">
        <v>-72453.279999999999</v>
      </c>
      <c r="I16" s="390"/>
      <c r="J16" s="399">
        <v>-1775105.36</v>
      </c>
      <c r="K16" s="390"/>
      <c r="L16" s="392">
        <v>0</v>
      </c>
      <c r="M16" s="425">
        <v>0</v>
      </c>
      <c r="N16" s="425">
        <v>0</v>
      </c>
      <c r="O16" s="425">
        <v>0</v>
      </c>
      <c r="P16" s="425">
        <v>0</v>
      </c>
      <c r="Q16" s="425">
        <v>0</v>
      </c>
      <c r="R16" s="425">
        <v>0</v>
      </c>
      <c r="S16" s="425">
        <v>0</v>
      </c>
      <c r="T16" s="425">
        <v>0</v>
      </c>
      <c r="U16" s="425">
        <v>0</v>
      </c>
      <c r="V16" s="425">
        <v>0</v>
      </c>
      <c r="W16" s="425">
        <v>0</v>
      </c>
      <c r="X16" s="426">
        <v>0</v>
      </c>
      <c r="Y16" s="390">
        <f t="shared" si="0"/>
        <v>0</v>
      </c>
      <c r="Z16" s="397">
        <f>-INDEX('Fluxo Bandeira Co'!AZ:AZ, MATCH($A16, 'Fluxo Bandeira Co'!$A:$A, 0))</f>
        <v>0</v>
      </c>
      <c r="AA16" s="398">
        <f>INDEX('Fluxo Bandeira Co'!J:J, MATCH($A16, 'Fluxo Bandeira Co'!$A:$A, 0))+INDEX('Fluxo Bandeira Co'!AK:AK, MATCH($A16, 'Fluxo Bandeira Co'!$A:$A, 0))</f>
        <v>0</v>
      </c>
      <c r="AB16" s="390"/>
      <c r="AC16" s="397">
        <f>-INDEX('Fluxo Bandeira Co'!L:L, MATCH('Fluxo Investidores'!$A16, 'Fluxo Bandeira Co'!$A:$A, 0))</f>
        <v>0</v>
      </c>
      <c r="AD16" s="398">
        <f>-INDEX('Fluxo Bandeira Co'!M:M, MATCH('Fluxo Investidores'!$A16, 'Fluxo Bandeira Co'!$A:$A, 0))</f>
        <v>0</v>
      </c>
      <c r="AE16" s="390"/>
      <c r="AF16" s="397">
        <f t="shared" si="1"/>
        <v>-3017558.64</v>
      </c>
      <c r="AG16" s="398">
        <f>IFERROR(INDEX('Fluxo Projeto'!AQ:AQ, MATCH('Fluxo Investidores'!A16, 'Fluxo Projeto'!A:A, 0)), 0)</f>
        <v>-1170000</v>
      </c>
      <c r="AI16" s="397">
        <f t="shared" si="2"/>
        <v>0</v>
      </c>
      <c r="AJ16" s="390">
        <f t="shared" si="3"/>
        <v>0</v>
      </c>
      <c r="AK16" s="390">
        <f t="shared" si="4"/>
        <v>0</v>
      </c>
      <c r="AL16" s="390">
        <f t="shared" si="5"/>
        <v>0</v>
      </c>
      <c r="AM16" s="390">
        <f t="shared" si="6"/>
        <v>0</v>
      </c>
      <c r="AN16" s="390">
        <f t="shared" si="7"/>
        <v>0</v>
      </c>
      <c r="AO16" s="390">
        <f t="shared" si="8"/>
        <v>0</v>
      </c>
      <c r="AP16" s="390">
        <f t="shared" si="9"/>
        <v>0</v>
      </c>
      <c r="AQ16" s="390">
        <f t="shared" si="10"/>
        <v>0</v>
      </c>
      <c r="AR16" s="390">
        <f t="shared" si="11"/>
        <v>0</v>
      </c>
      <c r="AS16" s="390">
        <f t="shared" si="12"/>
        <v>0</v>
      </c>
      <c r="AT16" s="390">
        <f t="shared" si="13"/>
        <v>0</v>
      </c>
      <c r="AU16" s="398">
        <f t="shared" si="14"/>
        <v>0</v>
      </c>
    </row>
    <row r="17" spans="1:47" x14ac:dyDescent="0.25">
      <c r="A17" s="197">
        <f t="shared" si="15"/>
        <v>43525</v>
      </c>
      <c r="B17" s="388">
        <f>IF($A17&lt;=baseData, INDEX(Indicadores!B:B, MATCH($A17,Indicadores!A:A, 0)), INDEX(Indicadores!B:B, MATCH(baseData,Indicadores!A:A, 0)))</f>
        <v>752.524</v>
      </c>
      <c r="C17" s="389">
        <f>IF($A17&lt;=baseData, INDEX(Indicadores!E:E, MATCH($A17, Indicadores!A:A, 0)), INDEX(Indicadores!E:E, MATCH(baseData, Indicadores!A:A, 0)))</f>
        <v>5177.47</v>
      </c>
      <c r="D17" s="390"/>
      <c r="E17" s="392">
        <v>1737615.6987999999</v>
      </c>
      <c r="F17" s="426">
        <v>0</v>
      </c>
      <c r="G17" s="390"/>
      <c r="H17" s="399">
        <v>0</v>
      </c>
      <c r="I17" s="390"/>
      <c r="J17" s="399">
        <v>0</v>
      </c>
      <c r="K17" s="390"/>
      <c r="L17" s="392">
        <v>0</v>
      </c>
      <c r="M17" s="425">
        <v>0</v>
      </c>
      <c r="N17" s="425">
        <v>0</v>
      </c>
      <c r="O17" s="425">
        <v>0</v>
      </c>
      <c r="P17" s="425">
        <v>0</v>
      </c>
      <c r="Q17" s="425">
        <v>0</v>
      </c>
      <c r="R17" s="425">
        <v>0</v>
      </c>
      <c r="S17" s="425">
        <v>0</v>
      </c>
      <c r="T17" s="425">
        <v>0</v>
      </c>
      <c r="U17" s="425">
        <v>0</v>
      </c>
      <c r="V17" s="425">
        <v>0</v>
      </c>
      <c r="W17" s="425">
        <v>0</v>
      </c>
      <c r="X17" s="426">
        <v>0</v>
      </c>
      <c r="Y17" s="390">
        <f t="shared" si="0"/>
        <v>0</v>
      </c>
      <c r="Z17" s="397">
        <f>-INDEX('Fluxo Bandeira Co'!AZ:AZ, MATCH($A17, 'Fluxo Bandeira Co'!$A:$A, 0))</f>
        <v>0</v>
      </c>
      <c r="AA17" s="398">
        <f>INDEX('Fluxo Bandeira Co'!J:J, MATCH($A17, 'Fluxo Bandeira Co'!$A:$A, 0))+INDEX('Fluxo Bandeira Co'!AK:AK, MATCH($A17, 'Fluxo Bandeira Co'!$A:$A, 0))</f>
        <v>0</v>
      </c>
      <c r="AB17" s="390"/>
      <c r="AC17" s="397">
        <f>-INDEX('Fluxo Bandeira Co'!L:L, MATCH('Fluxo Investidores'!$A17, 'Fluxo Bandeira Co'!$A:$A, 0))</f>
        <v>0</v>
      </c>
      <c r="AD17" s="398">
        <f>-INDEX('Fluxo Bandeira Co'!M:M, MATCH('Fluxo Investidores'!$A17, 'Fluxo Bandeira Co'!$A:$A, 0))</f>
        <v>0</v>
      </c>
      <c r="AE17" s="390"/>
      <c r="AF17" s="397">
        <f t="shared" si="1"/>
        <v>1737615.6987999999</v>
      </c>
      <c r="AG17" s="398">
        <f>IFERROR(INDEX('Fluxo Projeto'!AQ:AQ, MATCH('Fluxo Investidores'!A17, 'Fluxo Projeto'!A:A, 0)), 0)</f>
        <v>-110000.0000000001</v>
      </c>
      <c r="AI17" s="397">
        <f t="shared" si="2"/>
        <v>0</v>
      </c>
      <c r="AJ17" s="390">
        <f t="shared" si="3"/>
        <v>0</v>
      </c>
      <c r="AK17" s="390">
        <f t="shared" si="4"/>
        <v>0</v>
      </c>
      <c r="AL17" s="390">
        <f t="shared" si="5"/>
        <v>0</v>
      </c>
      <c r="AM17" s="390">
        <f t="shared" si="6"/>
        <v>0</v>
      </c>
      <c r="AN17" s="390">
        <f t="shared" si="7"/>
        <v>0</v>
      </c>
      <c r="AO17" s="390">
        <f t="shared" si="8"/>
        <v>0</v>
      </c>
      <c r="AP17" s="390">
        <f t="shared" si="9"/>
        <v>0</v>
      </c>
      <c r="AQ17" s="390">
        <f t="shared" si="10"/>
        <v>0</v>
      </c>
      <c r="AR17" s="390">
        <f t="shared" si="11"/>
        <v>0</v>
      </c>
      <c r="AS17" s="390">
        <f t="shared" si="12"/>
        <v>0</v>
      </c>
      <c r="AT17" s="390">
        <f t="shared" si="13"/>
        <v>0</v>
      </c>
      <c r="AU17" s="398">
        <f t="shared" si="14"/>
        <v>0</v>
      </c>
    </row>
    <row r="18" spans="1:47" x14ac:dyDescent="0.25">
      <c r="A18" s="197">
        <f t="shared" si="15"/>
        <v>43556</v>
      </c>
      <c r="B18" s="388">
        <f>IF($A18&lt;=baseData, INDEX(Indicadores!B:B, MATCH($A18,Indicadores!A:A, 0)), INDEX(Indicadores!B:B, MATCH(baseData,Indicadores!A:A, 0)))</f>
        <v>755.37300000000005</v>
      </c>
      <c r="C18" s="389">
        <f>IF($A18&lt;=baseData, INDEX(Indicadores!E:E, MATCH($A18, Indicadores!A:A, 0)), INDEX(Indicadores!E:E, MATCH(baseData, Indicadores!A:A, 0)))</f>
        <v>5206.9799999999996</v>
      </c>
      <c r="D18" s="390"/>
      <c r="E18" s="392">
        <v>110000</v>
      </c>
      <c r="F18" s="426">
        <v>0</v>
      </c>
      <c r="G18" s="390"/>
      <c r="H18" s="399">
        <v>0</v>
      </c>
      <c r="I18" s="390"/>
      <c r="J18" s="399">
        <v>0</v>
      </c>
      <c r="K18" s="390"/>
      <c r="L18" s="392">
        <v>-1000000</v>
      </c>
      <c r="M18" s="425">
        <v>-1000000</v>
      </c>
      <c r="N18" s="425">
        <v>-1000000</v>
      </c>
      <c r="O18" s="425">
        <v>-1000000</v>
      </c>
      <c r="P18" s="425">
        <v>-400000</v>
      </c>
      <c r="Q18" s="425">
        <v>-400000</v>
      </c>
      <c r="R18" s="425">
        <v>-1000000</v>
      </c>
      <c r="S18" s="425">
        <v>-400000</v>
      </c>
      <c r="T18" s="425">
        <v>-1000000</v>
      </c>
      <c r="U18" s="425">
        <v>-1000000</v>
      </c>
      <c r="V18" s="425">
        <v>-1000000</v>
      </c>
      <c r="W18" s="425">
        <v>-1000000</v>
      </c>
      <c r="X18" s="426">
        <v>-1000000</v>
      </c>
      <c r="Y18" s="390">
        <f t="shared" si="0"/>
        <v>11200000</v>
      </c>
      <c r="Z18" s="397">
        <f>-INDEX('Fluxo Bandeira Co'!AZ:AZ, MATCH($A18, 'Fluxo Bandeira Co'!$A:$A, 0))</f>
        <v>9090263.8661209121</v>
      </c>
      <c r="AA18" s="398">
        <f>INDEX('Fluxo Bandeira Co'!J:J, MATCH($A18, 'Fluxo Bandeira Co'!$A:$A, 0))+INDEX('Fluxo Bandeira Co'!AK:AK, MATCH($A18, 'Fluxo Bandeira Co'!$A:$A, 0))</f>
        <v>2109736.1338790888</v>
      </c>
      <c r="AB18" s="390"/>
      <c r="AC18" s="397">
        <f>-INDEX('Fluxo Bandeira Co'!L:L, MATCH('Fluxo Investidores'!$A18, 'Fluxo Bandeira Co'!$A:$A, 0))</f>
        <v>-7560682.2650081497</v>
      </c>
      <c r="AD18" s="398">
        <f>-INDEX('Fluxo Bandeira Co'!M:M, MATCH('Fluxo Investidores'!$A18, 'Fluxo Bandeira Co'!$A:$A, 0))</f>
        <v>-1754739.4449918512</v>
      </c>
      <c r="AE18" s="390"/>
      <c r="AF18" s="397">
        <f t="shared" si="1"/>
        <v>-5695942.8200162984</v>
      </c>
      <c r="AG18" s="398">
        <f>IFERROR(INDEX('Fluxo Projeto'!AQ:AQ, MATCH('Fluxo Investidores'!A18, 'Fluxo Projeto'!A:A, 0)), 0)</f>
        <v>-7450682.2650081497</v>
      </c>
      <c r="AI18" s="397">
        <f t="shared" si="2"/>
        <v>-1053685.6296740146</v>
      </c>
      <c r="AJ18" s="390">
        <f t="shared" si="3"/>
        <v>-1053685.6296740146</v>
      </c>
      <c r="AK18" s="390">
        <f t="shared" si="4"/>
        <v>-1053685.6296740146</v>
      </c>
      <c r="AL18" s="390">
        <f t="shared" si="5"/>
        <v>-1053685.6296740146</v>
      </c>
      <c r="AM18" s="390">
        <f t="shared" si="6"/>
        <v>-421474.25186960585</v>
      </c>
      <c r="AN18" s="390">
        <f t="shared" si="7"/>
        <v>-421474.25186960585</v>
      </c>
      <c r="AO18" s="390">
        <f t="shared" si="8"/>
        <v>-1053685.6296740146</v>
      </c>
      <c r="AP18" s="390">
        <f t="shared" si="9"/>
        <v>-421474.25186960585</v>
      </c>
      <c r="AQ18" s="390">
        <f t="shared" si="10"/>
        <v>-1053685.6296740146</v>
      </c>
      <c r="AR18" s="390">
        <f t="shared" si="11"/>
        <v>-1053685.6296740146</v>
      </c>
      <c r="AS18" s="390">
        <f t="shared" si="12"/>
        <v>-1053685.6296740146</v>
      </c>
      <c r="AT18" s="390">
        <f t="shared" si="13"/>
        <v>-1053685.6296740146</v>
      </c>
      <c r="AU18" s="398">
        <f t="shared" si="14"/>
        <v>-1053685.6296740146</v>
      </c>
    </row>
    <row r="19" spans="1:47" x14ac:dyDescent="0.25">
      <c r="A19" s="197">
        <f t="shared" si="15"/>
        <v>43586</v>
      </c>
      <c r="B19" s="388">
        <f>IF($A19&lt;=baseData, INDEX(Indicadores!B:B, MATCH($A19,Indicadores!A:A, 0)), INDEX(Indicadores!B:B, MATCH(baseData,Indicadores!A:A, 0)))</f>
        <v>755.625</v>
      </c>
      <c r="C19" s="389">
        <f>IF($A19&lt;=baseData, INDEX(Indicadores!E:E, MATCH($A19, Indicadores!A:A, 0)), INDEX(Indicadores!E:E, MATCH(baseData, Indicadores!A:A, 0)))</f>
        <v>5213.75</v>
      </c>
      <c r="D19" s="390"/>
      <c r="E19" s="392">
        <v>0</v>
      </c>
      <c r="F19" s="426">
        <v>0</v>
      </c>
      <c r="G19" s="390"/>
      <c r="H19" s="399">
        <v>0</v>
      </c>
      <c r="I19" s="390"/>
      <c r="J19" s="399">
        <v>0</v>
      </c>
      <c r="K19" s="390"/>
      <c r="L19" s="392">
        <v>0</v>
      </c>
      <c r="M19" s="425">
        <v>0</v>
      </c>
      <c r="N19" s="425">
        <v>0</v>
      </c>
      <c r="O19" s="425">
        <v>0</v>
      </c>
      <c r="P19" s="425">
        <v>0</v>
      </c>
      <c r="Q19" s="425">
        <v>0</v>
      </c>
      <c r="R19" s="425">
        <v>0</v>
      </c>
      <c r="S19" s="425">
        <v>0</v>
      </c>
      <c r="T19" s="425">
        <v>0</v>
      </c>
      <c r="U19" s="425">
        <v>0</v>
      </c>
      <c r="V19" s="425">
        <v>0</v>
      </c>
      <c r="W19" s="425">
        <v>0</v>
      </c>
      <c r="X19" s="426">
        <v>0</v>
      </c>
      <c r="Y19" s="390">
        <f t="shared" si="0"/>
        <v>0</v>
      </c>
      <c r="Z19" s="397">
        <f>-INDEX('Fluxo Bandeira Co'!AZ:AZ, MATCH($A19, 'Fluxo Bandeira Co'!$A:$A, 0))</f>
        <v>0</v>
      </c>
      <c r="AA19" s="398">
        <f>INDEX('Fluxo Bandeira Co'!J:J, MATCH($A19, 'Fluxo Bandeira Co'!$A:$A, 0))+INDEX('Fluxo Bandeira Co'!AK:AK, MATCH($A19, 'Fluxo Bandeira Co'!$A:$A, 0))</f>
        <v>0</v>
      </c>
      <c r="AB19" s="390"/>
      <c r="AC19" s="397">
        <f>-INDEX('Fluxo Bandeira Co'!L:L, MATCH('Fluxo Investidores'!$A19, 'Fluxo Bandeira Co'!$A:$A, 0))</f>
        <v>0</v>
      </c>
      <c r="AD19" s="398">
        <f>-INDEX('Fluxo Bandeira Co'!M:M, MATCH('Fluxo Investidores'!$A19, 'Fluxo Bandeira Co'!$A:$A, 0))</f>
        <v>0</v>
      </c>
      <c r="AE19" s="390"/>
      <c r="AF19" s="397">
        <f t="shared" si="1"/>
        <v>0</v>
      </c>
      <c r="AG19" s="398">
        <f>IFERROR(INDEX('Fluxo Projeto'!AQ:AQ, MATCH('Fluxo Investidores'!A19, 'Fluxo Projeto'!A:A, 0)), 0)</f>
        <v>0</v>
      </c>
      <c r="AI19" s="397">
        <f t="shared" si="2"/>
        <v>0</v>
      </c>
      <c r="AJ19" s="390">
        <f t="shared" si="3"/>
        <v>0</v>
      </c>
      <c r="AK19" s="390">
        <f t="shared" si="4"/>
        <v>0</v>
      </c>
      <c r="AL19" s="390">
        <f t="shared" si="5"/>
        <v>0</v>
      </c>
      <c r="AM19" s="390">
        <f t="shared" si="6"/>
        <v>0</v>
      </c>
      <c r="AN19" s="390">
        <f t="shared" si="7"/>
        <v>0</v>
      </c>
      <c r="AO19" s="390">
        <f t="shared" si="8"/>
        <v>0</v>
      </c>
      <c r="AP19" s="390">
        <f t="shared" si="9"/>
        <v>0</v>
      </c>
      <c r="AQ19" s="390">
        <f t="shared" si="10"/>
        <v>0</v>
      </c>
      <c r="AR19" s="390">
        <f t="shared" si="11"/>
        <v>0</v>
      </c>
      <c r="AS19" s="390">
        <f t="shared" si="12"/>
        <v>0</v>
      </c>
      <c r="AT19" s="390">
        <f t="shared" si="13"/>
        <v>0</v>
      </c>
      <c r="AU19" s="398">
        <f t="shared" si="14"/>
        <v>0</v>
      </c>
    </row>
    <row r="20" spans="1:47" x14ac:dyDescent="0.25">
      <c r="A20" s="197">
        <f t="shared" si="15"/>
        <v>43617</v>
      </c>
      <c r="B20" s="388">
        <f>IF($A20&lt;=baseData, INDEX(Indicadores!B:B, MATCH($A20,Indicadores!A:A, 0)), INDEX(Indicadores!B:B, MATCH(baseData,Indicadores!A:A, 0)))</f>
        <v>762.30399999999997</v>
      </c>
      <c r="C20" s="389">
        <f>IF($A20&lt;=baseData, INDEX(Indicadores!E:E, MATCH($A20, Indicadores!A:A, 0)), INDEX(Indicadores!E:E, MATCH(baseData, Indicadores!A:A, 0)))</f>
        <v>5214.2700000000004</v>
      </c>
      <c r="D20" s="390"/>
      <c r="E20" s="392">
        <v>0</v>
      </c>
      <c r="F20" s="426">
        <v>0</v>
      </c>
      <c r="G20" s="390"/>
      <c r="H20" s="399">
        <v>0</v>
      </c>
      <c r="I20" s="390"/>
      <c r="J20" s="399">
        <v>0</v>
      </c>
      <c r="K20" s="390"/>
      <c r="L20" s="392">
        <v>0</v>
      </c>
      <c r="M20" s="425">
        <v>0</v>
      </c>
      <c r="N20" s="425">
        <v>0</v>
      </c>
      <c r="O20" s="425">
        <v>0</v>
      </c>
      <c r="P20" s="425">
        <v>0</v>
      </c>
      <c r="Q20" s="425">
        <v>0</v>
      </c>
      <c r="R20" s="425">
        <v>0</v>
      </c>
      <c r="S20" s="425">
        <v>0</v>
      </c>
      <c r="T20" s="425">
        <v>0</v>
      </c>
      <c r="U20" s="425">
        <v>0</v>
      </c>
      <c r="V20" s="425">
        <v>0</v>
      </c>
      <c r="W20" s="425">
        <v>0</v>
      </c>
      <c r="X20" s="426">
        <v>0</v>
      </c>
      <c r="Y20" s="390">
        <f t="shared" si="0"/>
        <v>0</v>
      </c>
      <c r="Z20" s="397">
        <f>-INDEX('Fluxo Bandeira Co'!AZ:AZ, MATCH($A20, 'Fluxo Bandeira Co'!$A:$A, 0))</f>
        <v>0</v>
      </c>
      <c r="AA20" s="398">
        <f>INDEX('Fluxo Bandeira Co'!J:J, MATCH($A20, 'Fluxo Bandeira Co'!$A:$A, 0))+INDEX('Fluxo Bandeira Co'!AK:AK, MATCH($A20, 'Fluxo Bandeira Co'!$A:$A, 0))</f>
        <v>0</v>
      </c>
      <c r="AB20" s="390"/>
      <c r="AC20" s="397">
        <f>-INDEX('Fluxo Bandeira Co'!L:L, MATCH('Fluxo Investidores'!$A20, 'Fluxo Bandeira Co'!$A:$A, 0))</f>
        <v>0</v>
      </c>
      <c r="AD20" s="398">
        <f>-INDEX('Fluxo Bandeira Co'!M:M, MATCH('Fluxo Investidores'!$A20, 'Fluxo Bandeira Co'!$A:$A, 0))</f>
        <v>0</v>
      </c>
      <c r="AE20" s="390"/>
      <c r="AF20" s="397">
        <f t="shared" si="1"/>
        <v>0</v>
      </c>
      <c r="AG20" s="398">
        <f>IFERROR(INDEX('Fluxo Projeto'!AQ:AQ, MATCH('Fluxo Investidores'!A20, 'Fluxo Projeto'!A:A, 0)), 0)</f>
        <v>0</v>
      </c>
      <c r="AI20" s="397">
        <f t="shared" si="2"/>
        <v>0</v>
      </c>
      <c r="AJ20" s="390">
        <f t="shared" si="3"/>
        <v>0</v>
      </c>
      <c r="AK20" s="390">
        <f t="shared" si="4"/>
        <v>0</v>
      </c>
      <c r="AL20" s="390">
        <f t="shared" si="5"/>
        <v>0</v>
      </c>
      <c r="AM20" s="390">
        <f t="shared" si="6"/>
        <v>0</v>
      </c>
      <c r="AN20" s="390">
        <f t="shared" si="7"/>
        <v>0</v>
      </c>
      <c r="AO20" s="390">
        <f t="shared" si="8"/>
        <v>0</v>
      </c>
      <c r="AP20" s="390">
        <f t="shared" si="9"/>
        <v>0</v>
      </c>
      <c r="AQ20" s="390">
        <f t="shared" si="10"/>
        <v>0</v>
      </c>
      <c r="AR20" s="390">
        <f t="shared" si="11"/>
        <v>0</v>
      </c>
      <c r="AS20" s="390">
        <f t="shared" si="12"/>
        <v>0</v>
      </c>
      <c r="AT20" s="390">
        <f t="shared" si="13"/>
        <v>0</v>
      </c>
      <c r="AU20" s="398">
        <f t="shared" si="14"/>
        <v>0</v>
      </c>
    </row>
    <row r="21" spans="1:47" x14ac:dyDescent="0.25">
      <c r="A21" s="197">
        <f t="shared" si="15"/>
        <v>43647</v>
      </c>
      <c r="B21" s="388">
        <f>IF($A21&lt;=baseData, INDEX(Indicadores!B:B, MATCH($A21,Indicadores!A:A, 0)), INDEX(Indicadores!B:B, MATCH(baseData,Indicadores!A:A, 0)))</f>
        <v>766.69899999999996</v>
      </c>
      <c r="C21" s="389">
        <f>IF($A21&lt;=baseData, INDEX(Indicadores!E:E, MATCH($A21, Indicadores!A:A, 0)), INDEX(Indicadores!E:E, MATCH(baseData, Indicadores!A:A, 0)))</f>
        <v>5224.18</v>
      </c>
      <c r="D21" s="390"/>
      <c r="E21" s="392">
        <v>0</v>
      </c>
      <c r="F21" s="426">
        <v>0</v>
      </c>
      <c r="G21" s="390"/>
      <c r="H21" s="399">
        <v>-50400</v>
      </c>
      <c r="I21" s="390"/>
      <c r="J21" s="399">
        <v>0</v>
      </c>
      <c r="K21" s="390"/>
      <c r="L21" s="392">
        <v>0</v>
      </c>
      <c r="M21" s="425">
        <v>0</v>
      </c>
      <c r="N21" s="425">
        <v>0</v>
      </c>
      <c r="O21" s="425">
        <v>0</v>
      </c>
      <c r="P21" s="425">
        <v>0</v>
      </c>
      <c r="Q21" s="425">
        <v>0</v>
      </c>
      <c r="R21" s="425">
        <v>0</v>
      </c>
      <c r="S21" s="425">
        <v>0</v>
      </c>
      <c r="T21" s="425">
        <v>0</v>
      </c>
      <c r="U21" s="425">
        <v>0</v>
      </c>
      <c r="V21" s="425">
        <v>0</v>
      </c>
      <c r="W21" s="425">
        <v>0</v>
      </c>
      <c r="X21" s="426">
        <v>0</v>
      </c>
      <c r="Y21" s="390">
        <f t="shared" si="0"/>
        <v>0</v>
      </c>
      <c r="Z21" s="397">
        <f>-INDEX('Fluxo Bandeira Co'!AZ:AZ, MATCH($A21, 'Fluxo Bandeira Co'!$A:$A, 0))</f>
        <v>0</v>
      </c>
      <c r="AA21" s="398">
        <f>INDEX('Fluxo Bandeira Co'!J:J, MATCH($A21, 'Fluxo Bandeira Co'!$A:$A, 0))+INDEX('Fluxo Bandeira Co'!AK:AK, MATCH($A21, 'Fluxo Bandeira Co'!$A:$A, 0))</f>
        <v>0</v>
      </c>
      <c r="AB21" s="390"/>
      <c r="AC21" s="397">
        <f>-INDEX('Fluxo Bandeira Co'!L:L, MATCH('Fluxo Investidores'!$A21, 'Fluxo Bandeira Co'!$A:$A, 0))</f>
        <v>0</v>
      </c>
      <c r="AD21" s="398">
        <f>-INDEX('Fluxo Bandeira Co'!M:M, MATCH('Fluxo Investidores'!$A21, 'Fluxo Bandeira Co'!$A:$A, 0))</f>
        <v>0</v>
      </c>
      <c r="AE21" s="390"/>
      <c r="AF21" s="397">
        <f t="shared" si="1"/>
        <v>-50400</v>
      </c>
      <c r="AG21" s="398">
        <f>IFERROR(INDEX('Fluxo Projeto'!AQ:AQ, MATCH('Fluxo Investidores'!A21, 'Fluxo Projeto'!A:A, 0)), 0)</f>
        <v>0</v>
      </c>
      <c r="AI21" s="397">
        <f t="shared" si="2"/>
        <v>0</v>
      </c>
      <c r="AJ21" s="390">
        <f t="shared" si="3"/>
        <v>0</v>
      </c>
      <c r="AK21" s="390">
        <f t="shared" si="4"/>
        <v>0</v>
      </c>
      <c r="AL21" s="390">
        <f t="shared" si="5"/>
        <v>0</v>
      </c>
      <c r="AM21" s="390">
        <f t="shared" si="6"/>
        <v>0</v>
      </c>
      <c r="AN21" s="390">
        <f t="shared" si="7"/>
        <v>0</v>
      </c>
      <c r="AO21" s="390">
        <f t="shared" si="8"/>
        <v>0</v>
      </c>
      <c r="AP21" s="390">
        <f t="shared" si="9"/>
        <v>0</v>
      </c>
      <c r="AQ21" s="390">
        <f t="shared" si="10"/>
        <v>0</v>
      </c>
      <c r="AR21" s="390">
        <f t="shared" si="11"/>
        <v>0</v>
      </c>
      <c r="AS21" s="390">
        <f t="shared" si="12"/>
        <v>0</v>
      </c>
      <c r="AT21" s="390">
        <f t="shared" si="13"/>
        <v>0</v>
      </c>
      <c r="AU21" s="398">
        <f t="shared" si="14"/>
        <v>0</v>
      </c>
    </row>
    <row r="22" spans="1:47" x14ac:dyDescent="0.25">
      <c r="A22" s="197">
        <f t="shared" si="15"/>
        <v>43678</v>
      </c>
      <c r="B22" s="388">
        <f>IF($A22&lt;=baseData, INDEX(Indicadores!B:B, MATCH($A22,Indicadores!A:A, 0)), INDEX(Indicadores!B:B, MATCH(baseData,Indicadores!A:A, 0)))</f>
        <v>769.95100000000002</v>
      </c>
      <c r="C22" s="389">
        <f>IF($A22&lt;=baseData, INDEX(Indicadores!E:E, MATCH($A22, Indicadores!A:A, 0)), INDEX(Indicadores!E:E, MATCH(baseData, Indicadores!A:A, 0)))</f>
        <v>5229.93</v>
      </c>
      <c r="D22" s="390"/>
      <c r="E22" s="392">
        <v>-1234800</v>
      </c>
      <c r="F22" s="426">
        <v>0</v>
      </c>
      <c r="G22" s="390"/>
      <c r="H22" s="399">
        <v>0</v>
      </c>
      <c r="I22" s="390"/>
      <c r="J22" s="399">
        <v>-1234800</v>
      </c>
      <c r="K22" s="390"/>
      <c r="L22" s="392">
        <v>-587500</v>
      </c>
      <c r="M22" s="425">
        <v>-587500</v>
      </c>
      <c r="N22" s="425">
        <v>-587500</v>
      </c>
      <c r="O22" s="425">
        <v>-587500</v>
      </c>
      <c r="P22" s="425">
        <v>-235000</v>
      </c>
      <c r="Q22" s="425">
        <v>-235000</v>
      </c>
      <c r="R22" s="425">
        <v>-587500</v>
      </c>
      <c r="S22" s="425">
        <v>-235000</v>
      </c>
      <c r="T22" s="425">
        <v>-587500</v>
      </c>
      <c r="U22" s="425">
        <v>-587500</v>
      </c>
      <c r="V22" s="425">
        <v>-587500</v>
      </c>
      <c r="W22" s="425">
        <v>-587500</v>
      </c>
      <c r="X22" s="426">
        <v>-587500</v>
      </c>
      <c r="Y22" s="390">
        <f t="shared" si="0"/>
        <v>6580000</v>
      </c>
      <c r="Z22" s="397">
        <f>-INDEX('Fluxo Bandeira Co'!AZ:AZ, MATCH($A22, 'Fluxo Bandeira Co'!$A:$A, 0))</f>
        <v>5340530.0213460354</v>
      </c>
      <c r="AA22" s="398">
        <f>INDEX('Fluxo Bandeira Co'!J:J, MATCH($A22, 'Fluxo Bandeira Co'!$A:$A, 0))+INDEX('Fluxo Bandeira Co'!AK:AK, MATCH($A22, 'Fluxo Bandeira Co'!$A:$A, 0))</f>
        <v>1239469.9786539646</v>
      </c>
      <c r="AB22" s="390"/>
      <c r="AC22" s="397">
        <f>-INDEX('Fluxo Bandeira Co'!L:L, MATCH('Fluxo Investidores'!$A22, 'Fluxo Bandeira Co'!$A:$A, 0))</f>
        <v>-5259366.9511128124</v>
      </c>
      <c r="AD22" s="398">
        <f>-INDEX('Fluxo Bandeira Co'!M:M, MATCH('Fluxo Investidores'!$A22, 'Fluxo Bandeira Co'!$A:$A, 0))</f>
        <v>-1220633.0488871871</v>
      </c>
      <c r="AE22" s="390"/>
      <c r="AF22" s="397">
        <f t="shared" si="1"/>
        <v>-6508333.9022256248</v>
      </c>
      <c r="AG22" s="398">
        <f>IFERROR(INDEX('Fluxo Projeto'!AQ:AQ, MATCH('Fluxo Investidores'!A22, 'Fluxo Projeto'!A:A, 0)), 0)</f>
        <v>-6544566.9511128124</v>
      </c>
      <c r="AI22" s="397">
        <f t="shared" si="2"/>
        <v>-616323.8322501448</v>
      </c>
      <c r="AJ22" s="390">
        <f t="shared" si="3"/>
        <v>-616323.8322501448</v>
      </c>
      <c r="AK22" s="390">
        <f t="shared" si="4"/>
        <v>-616323.8322501448</v>
      </c>
      <c r="AL22" s="390">
        <f t="shared" si="5"/>
        <v>-616323.8322501448</v>
      </c>
      <c r="AM22" s="390">
        <f t="shared" si="6"/>
        <v>-246529.53290005794</v>
      </c>
      <c r="AN22" s="390">
        <f t="shared" si="7"/>
        <v>-246529.53290005794</v>
      </c>
      <c r="AO22" s="390">
        <f t="shared" si="8"/>
        <v>-616323.8322501448</v>
      </c>
      <c r="AP22" s="390">
        <f t="shared" si="9"/>
        <v>-246529.53290005794</v>
      </c>
      <c r="AQ22" s="390">
        <f t="shared" si="10"/>
        <v>-616323.8322501448</v>
      </c>
      <c r="AR22" s="390">
        <f t="shared" si="11"/>
        <v>-616323.8322501448</v>
      </c>
      <c r="AS22" s="390">
        <f t="shared" si="12"/>
        <v>-616323.8322501448</v>
      </c>
      <c r="AT22" s="390">
        <f t="shared" si="13"/>
        <v>-616323.8322501448</v>
      </c>
      <c r="AU22" s="398">
        <f t="shared" si="14"/>
        <v>-616323.8322501448</v>
      </c>
    </row>
    <row r="23" spans="1:47" x14ac:dyDescent="0.25">
      <c r="A23" s="197">
        <f t="shared" si="15"/>
        <v>43709</v>
      </c>
      <c r="B23" s="388">
        <f>IF($A23&lt;=baseData, INDEX(Indicadores!B:B, MATCH($A23,Indicadores!A:A, 0)), INDEX(Indicadores!B:B, MATCH(baseData,Indicadores!A:A, 0)))</f>
        <v>773.52</v>
      </c>
      <c r="C23" s="389">
        <f>IF($A23&lt;=baseData, INDEX(Indicadores!E:E, MATCH($A23, Indicadores!A:A, 0)), INDEX(Indicadores!E:E, MATCH(baseData, Indicadores!A:A, 0)))</f>
        <v>5227.84</v>
      </c>
      <c r="E23" s="392">
        <v>0</v>
      </c>
      <c r="F23" s="426">
        <v>0</v>
      </c>
      <c r="G23" s="371"/>
      <c r="H23" s="399">
        <v>-81200</v>
      </c>
      <c r="I23" s="371"/>
      <c r="J23" s="399">
        <v>-1989400</v>
      </c>
      <c r="L23" s="392">
        <v>0</v>
      </c>
      <c r="M23" s="425">
        <v>0</v>
      </c>
      <c r="N23" s="425">
        <v>0</v>
      </c>
      <c r="O23" s="425">
        <v>0</v>
      </c>
      <c r="P23" s="425">
        <v>0</v>
      </c>
      <c r="Q23" s="425">
        <v>0</v>
      </c>
      <c r="R23" s="425">
        <v>0</v>
      </c>
      <c r="S23" s="425">
        <v>0</v>
      </c>
      <c r="T23" s="425">
        <v>0</v>
      </c>
      <c r="U23" s="425">
        <v>0</v>
      </c>
      <c r="V23" s="425">
        <v>0</v>
      </c>
      <c r="W23" s="425">
        <v>0</v>
      </c>
      <c r="X23" s="426">
        <v>0</v>
      </c>
      <c r="Y23" s="390">
        <f t="shared" si="0"/>
        <v>0</v>
      </c>
      <c r="Z23" s="397">
        <f>-INDEX('Fluxo Bandeira Co'!AZ:AZ, MATCH($A23, 'Fluxo Bandeira Co'!$A:$A, 0))</f>
        <v>0</v>
      </c>
      <c r="AA23" s="398">
        <f>INDEX('Fluxo Bandeira Co'!J:J, MATCH($A23, 'Fluxo Bandeira Co'!$A:$A, 0))+INDEX('Fluxo Bandeira Co'!AK:AK, MATCH($A23, 'Fluxo Bandeira Co'!$A:$A, 0))</f>
        <v>0</v>
      </c>
      <c r="AB23" s="371"/>
      <c r="AC23" s="397">
        <f>-INDEX('Fluxo Bandeira Co'!L:L, MATCH('Fluxo Investidores'!$A23, 'Fluxo Bandeira Co'!$A:$A, 0))</f>
        <v>0</v>
      </c>
      <c r="AD23" s="398">
        <f>-INDEX('Fluxo Bandeira Co'!M:M, MATCH('Fluxo Investidores'!$A23, 'Fluxo Bandeira Co'!$A:$A, 0))</f>
        <v>0</v>
      </c>
      <c r="AF23" s="397">
        <f t="shared" si="1"/>
        <v>-2070600</v>
      </c>
      <c r="AG23" s="398">
        <f>IFERROR(INDEX('Fluxo Projeto'!AQ:AQ, MATCH('Fluxo Investidores'!A23, 'Fluxo Projeto'!A:A, 0)), 0)</f>
        <v>-1234800</v>
      </c>
      <c r="AI23" s="397">
        <f t="shared" si="2"/>
        <v>0</v>
      </c>
      <c r="AJ23" s="390">
        <f t="shared" si="3"/>
        <v>0</v>
      </c>
      <c r="AK23" s="390">
        <f t="shared" si="4"/>
        <v>0</v>
      </c>
      <c r="AL23" s="390">
        <f t="shared" si="5"/>
        <v>0</v>
      </c>
      <c r="AM23" s="390">
        <f t="shared" si="6"/>
        <v>0</v>
      </c>
      <c r="AN23" s="390">
        <f t="shared" si="7"/>
        <v>0</v>
      </c>
      <c r="AO23" s="390">
        <f t="shared" si="8"/>
        <v>0</v>
      </c>
      <c r="AP23" s="390">
        <f t="shared" si="9"/>
        <v>0</v>
      </c>
      <c r="AQ23" s="390">
        <f t="shared" si="10"/>
        <v>0</v>
      </c>
      <c r="AR23" s="390">
        <f t="shared" si="11"/>
        <v>0</v>
      </c>
      <c r="AS23" s="390">
        <f t="shared" si="12"/>
        <v>0</v>
      </c>
      <c r="AT23" s="390">
        <f t="shared" si="13"/>
        <v>0</v>
      </c>
      <c r="AU23" s="398">
        <f t="shared" si="14"/>
        <v>0</v>
      </c>
    </row>
    <row r="24" spans="1:47" x14ac:dyDescent="0.25">
      <c r="A24" s="197">
        <f t="shared" si="15"/>
        <v>43739</v>
      </c>
      <c r="B24" s="388">
        <f>IF($A24&lt;=baseData, INDEX(Indicadores!B:B, MATCH($A24,Indicadores!A:A, 0)), INDEX(Indicadores!B:B, MATCH(baseData,Indicadores!A:A, 0)))</f>
        <v>774.93899999999996</v>
      </c>
      <c r="C24" s="389">
        <f>IF($A24&lt;=baseData, INDEX(Indicadores!E:E, MATCH($A24, Indicadores!A:A, 0)), INDEX(Indicadores!E:E, MATCH(baseData, Indicadores!A:A, 0)))</f>
        <v>5233.07</v>
      </c>
      <c r="E24" s="392">
        <v>0</v>
      </c>
      <c r="F24" s="426">
        <v>0</v>
      </c>
      <c r="G24" s="371"/>
      <c r="H24" s="399">
        <v>0</v>
      </c>
      <c r="I24" s="371"/>
      <c r="J24" s="399">
        <v>0</v>
      </c>
      <c r="L24" s="392">
        <v>-975000</v>
      </c>
      <c r="M24" s="425">
        <v>-975000</v>
      </c>
      <c r="N24" s="425">
        <v>-975000</v>
      </c>
      <c r="O24" s="425">
        <v>-975000</v>
      </c>
      <c r="P24" s="425">
        <v>-390000</v>
      </c>
      <c r="Q24" s="425">
        <v>-390000</v>
      </c>
      <c r="R24" s="425">
        <v>-975000</v>
      </c>
      <c r="S24" s="425">
        <v>-390000</v>
      </c>
      <c r="T24" s="425">
        <v>-975000</v>
      </c>
      <c r="U24" s="425">
        <v>-975000</v>
      </c>
      <c r="V24" s="425">
        <v>-975000</v>
      </c>
      <c r="W24" s="425">
        <v>-975000</v>
      </c>
      <c r="X24" s="426">
        <v>-975000</v>
      </c>
      <c r="Y24" s="390">
        <f t="shared" si="0"/>
        <v>10920000</v>
      </c>
      <c r="Z24" s="397">
        <f>-INDEX('Fluxo Bandeira Co'!AZ:AZ, MATCH($A24, 'Fluxo Bandeira Co'!$A:$A, 0))</f>
        <v>8863007.2694678884</v>
      </c>
      <c r="AA24" s="398">
        <f>INDEX('Fluxo Bandeira Co'!J:J, MATCH($A24, 'Fluxo Bandeira Co'!$A:$A, 0))+INDEX('Fluxo Bandeira Co'!AK:AK, MATCH($A24, 'Fluxo Bandeira Co'!$A:$A, 0))</f>
        <v>2056992.7305321116</v>
      </c>
      <c r="AB24" s="371"/>
      <c r="AC24" s="397">
        <f>-INDEX('Fluxo Bandeira Co'!L:L, MATCH('Fluxo Investidores'!$A24, 'Fluxo Bandeira Co'!$A:$A, 0))</f>
        <v>-8473424.5323484205</v>
      </c>
      <c r="AD24" s="398">
        <f>-INDEX('Fluxo Bandeira Co'!M:M, MATCH('Fluxo Investidores'!$A24, 'Fluxo Bandeira Co'!$A:$A, 0))</f>
        <v>-1966575.4676515795</v>
      </c>
      <c r="AF24" s="397">
        <f t="shared" si="1"/>
        <v>-6506849.0646968409</v>
      </c>
      <c r="AG24" s="398">
        <f>IFERROR(INDEX('Fluxo Projeto'!AQ:AQ, MATCH('Fluxo Investidores'!A24, 'Fluxo Projeto'!A:A, 0)), 0)</f>
        <v>-10544024.53234842</v>
      </c>
      <c r="AI24" s="397">
        <f t="shared" si="2"/>
        <v>-1022221.5640150048</v>
      </c>
      <c r="AJ24" s="390">
        <f t="shared" si="3"/>
        <v>-1022221.5640150048</v>
      </c>
      <c r="AK24" s="390">
        <f t="shared" si="4"/>
        <v>-1022221.5640150048</v>
      </c>
      <c r="AL24" s="390">
        <f t="shared" si="5"/>
        <v>-1022221.5640150048</v>
      </c>
      <c r="AM24" s="390">
        <f t="shared" si="6"/>
        <v>-408888.62560600194</v>
      </c>
      <c r="AN24" s="390">
        <f t="shared" si="7"/>
        <v>-408888.62560600194</v>
      </c>
      <c r="AO24" s="390">
        <f t="shared" si="8"/>
        <v>-1022221.5640150048</v>
      </c>
      <c r="AP24" s="390">
        <f t="shared" si="9"/>
        <v>-408888.62560600194</v>
      </c>
      <c r="AQ24" s="390">
        <f t="shared" si="10"/>
        <v>-1022221.5640150048</v>
      </c>
      <c r="AR24" s="390">
        <f t="shared" si="11"/>
        <v>-1022221.5640150048</v>
      </c>
      <c r="AS24" s="390">
        <f t="shared" si="12"/>
        <v>-1022221.5640150048</v>
      </c>
      <c r="AT24" s="390">
        <f t="shared" si="13"/>
        <v>-1022221.5640150048</v>
      </c>
      <c r="AU24" s="398">
        <f t="shared" si="14"/>
        <v>-1022221.5640150048</v>
      </c>
    </row>
    <row r="25" spans="1:47" x14ac:dyDescent="0.25">
      <c r="A25" s="197">
        <f t="shared" si="15"/>
        <v>43770</v>
      </c>
      <c r="B25" s="388">
        <f>IF($A25&lt;=baseData, INDEX(Indicadores!B:B, MATCH($A25,Indicadores!A:A, 0)), INDEX(Indicadores!B:B, MATCH(baseData,Indicadores!A:A, 0)))</f>
        <v>775.22500000000002</v>
      </c>
      <c r="C25" s="389">
        <f>IF($A25&lt;=baseData, INDEX(Indicadores!E:E, MATCH($A25, Indicadores!A:A, 0)), INDEX(Indicadores!E:E, MATCH(baseData, Indicadores!A:A, 0)))</f>
        <v>5259.76</v>
      </c>
      <c r="E25" s="392">
        <v>-1989400</v>
      </c>
      <c r="F25" s="426">
        <v>0</v>
      </c>
      <c r="G25" s="371"/>
      <c r="H25" s="399">
        <v>-36233.300000000003</v>
      </c>
      <c r="I25" s="371"/>
      <c r="J25" s="399">
        <v>-887716</v>
      </c>
      <c r="L25" s="392">
        <v>0</v>
      </c>
      <c r="M25" s="425">
        <v>0</v>
      </c>
      <c r="N25" s="425">
        <v>0</v>
      </c>
      <c r="O25" s="425">
        <v>0</v>
      </c>
      <c r="P25" s="425">
        <v>0</v>
      </c>
      <c r="Q25" s="425">
        <v>0</v>
      </c>
      <c r="R25" s="425">
        <v>0</v>
      </c>
      <c r="S25" s="425">
        <v>0</v>
      </c>
      <c r="T25" s="425">
        <v>0</v>
      </c>
      <c r="U25" s="425">
        <v>0</v>
      </c>
      <c r="V25" s="425">
        <v>0</v>
      </c>
      <c r="W25" s="425">
        <v>0</v>
      </c>
      <c r="X25" s="426">
        <v>0</v>
      </c>
      <c r="Y25" s="390">
        <f t="shared" si="0"/>
        <v>0</v>
      </c>
      <c r="Z25" s="397">
        <f>-INDEX('Fluxo Bandeira Co'!AZ:AZ, MATCH($A25, 'Fluxo Bandeira Co'!$A:$A, 0))</f>
        <v>0</v>
      </c>
      <c r="AA25" s="398">
        <f>INDEX('Fluxo Bandeira Co'!J:J, MATCH($A25, 'Fluxo Bandeira Co'!$A:$A, 0))+INDEX('Fluxo Bandeira Co'!AK:AK, MATCH($A25, 'Fluxo Bandeira Co'!$A:$A, 0))</f>
        <v>0</v>
      </c>
      <c r="AB25" s="371"/>
      <c r="AC25" s="397">
        <f>-INDEX('Fluxo Bandeira Co'!L:L, MATCH('Fluxo Investidores'!$A25, 'Fluxo Bandeira Co'!$A:$A, 0))</f>
        <v>0</v>
      </c>
      <c r="AD25" s="398">
        <f>-INDEX('Fluxo Bandeira Co'!M:M, MATCH('Fluxo Investidores'!$A25, 'Fluxo Bandeira Co'!$A:$A, 0))</f>
        <v>0</v>
      </c>
      <c r="AF25" s="397">
        <f t="shared" si="1"/>
        <v>-2913349.3</v>
      </c>
      <c r="AG25" s="398">
        <f>IFERROR(INDEX('Fluxo Projeto'!AQ:AQ, MATCH('Fluxo Investidores'!A25, 'Fluxo Projeto'!A:A, 0)), 0)</f>
        <v>-1989400</v>
      </c>
      <c r="AI25" s="397">
        <f t="shared" si="2"/>
        <v>0</v>
      </c>
      <c r="AJ25" s="390">
        <f t="shared" si="3"/>
        <v>0</v>
      </c>
      <c r="AK25" s="390">
        <f t="shared" si="4"/>
        <v>0</v>
      </c>
      <c r="AL25" s="390">
        <f t="shared" si="5"/>
        <v>0</v>
      </c>
      <c r="AM25" s="390">
        <f t="shared" si="6"/>
        <v>0</v>
      </c>
      <c r="AN25" s="390">
        <f t="shared" si="7"/>
        <v>0</v>
      </c>
      <c r="AO25" s="390">
        <f t="shared" si="8"/>
        <v>0</v>
      </c>
      <c r="AP25" s="390">
        <f t="shared" si="9"/>
        <v>0</v>
      </c>
      <c r="AQ25" s="390">
        <f t="shared" si="10"/>
        <v>0</v>
      </c>
      <c r="AR25" s="390">
        <f t="shared" si="11"/>
        <v>0</v>
      </c>
      <c r="AS25" s="390">
        <f t="shared" si="12"/>
        <v>0</v>
      </c>
      <c r="AT25" s="390">
        <f t="shared" si="13"/>
        <v>0</v>
      </c>
      <c r="AU25" s="398">
        <f t="shared" si="14"/>
        <v>0</v>
      </c>
    </row>
    <row r="26" spans="1:47" x14ac:dyDescent="0.25">
      <c r="A26" s="197">
        <f t="shared" si="15"/>
        <v>43800</v>
      </c>
      <c r="B26" s="388">
        <f>IF($A26&lt;=baseData, INDEX(Indicadores!B:B, MATCH($A26,Indicadores!A:A, 0)), INDEX(Indicadores!B:B, MATCH(baseData,Indicadores!A:A, 0)))</f>
        <v>776.83900000000006</v>
      </c>
      <c r="C26" s="389">
        <f>IF($A26&lt;=baseData, INDEX(Indicadores!E:E, MATCH($A26, Indicadores!A:A, 0)), INDEX(Indicadores!E:E, MATCH(baseData, Indicadores!A:A, 0)))</f>
        <v>5320.25</v>
      </c>
      <c r="E26" s="392">
        <v>0</v>
      </c>
      <c r="F26" s="426">
        <v>-2025040</v>
      </c>
      <c r="G26" s="371"/>
      <c r="H26" s="399">
        <v>0</v>
      </c>
      <c r="I26" s="371"/>
      <c r="J26" s="399">
        <v>0</v>
      </c>
      <c r="L26" s="392">
        <v>-320200</v>
      </c>
      <c r="M26" s="425">
        <v>-320200</v>
      </c>
      <c r="N26" s="425">
        <v>-320200</v>
      </c>
      <c r="O26" s="425">
        <v>-320200</v>
      </c>
      <c r="P26" s="425">
        <v>-128100</v>
      </c>
      <c r="Q26" s="425">
        <v>-128100</v>
      </c>
      <c r="R26" s="425">
        <v>-320200</v>
      </c>
      <c r="S26" s="425">
        <v>-128100</v>
      </c>
      <c r="T26" s="425">
        <v>-320200</v>
      </c>
      <c r="U26" s="425">
        <v>-320200</v>
      </c>
      <c r="V26" s="425">
        <v>-320200</v>
      </c>
      <c r="W26" s="425">
        <v>-320200</v>
      </c>
      <c r="X26" s="426">
        <v>-320200</v>
      </c>
      <c r="Y26" s="390">
        <f t="shared" si="0"/>
        <v>3586300</v>
      </c>
      <c r="Z26" s="397">
        <f>-INDEX('Fluxo Bandeira Co'!AZ:AZ, MATCH($A26, 'Fluxo Bandeira Co'!$A:$A, 0))</f>
        <v>2910702.4899319159</v>
      </c>
      <c r="AA26" s="398">
        <f>INDEX('Fluxo Bandeira Co'!J:J, MATCH($A26, 'Fluxo Bandeira Co'!$A:$A, 0))+INDEX('Fluxo Bandeira Co'!AK:AK, MATCH($A26, 'Fluxo Bandeira Co'!$A:$A, 0))</f>
        <v>675597.51006808423</v>
      </c>
      <c r="AB26" s="371"/>
      <c r="AC26" s="397">
        <f>-INDEX('Fluxo Bandeira Co'!L:L, MATCH('Fluxo Investidores'!$A26, 'Fluxo Bandeira Co'!$A:$A, 0))</f>
        <v>-3780972.780537812</v>
      </c>
      <c r="AD26" s="398">
        <f>-INDEX('Fluxo Bandeira Co'!M:M, MATCH('Fluxo Investidores'!$A26, 'Fluxo Bandeira Co'!$A:$A, 0))</f>
        <v>-877594.25946218811</v>
      </c>
      <c r="AF26" s="397">
        <f t="shared" si="1"/>
        <v>-878338.52107562392</v>
      </c>
      <c r="AG26" s="398">
        <f>IFERROR(INDEX('Fluxo Projeto'!AQ:AQ, MATCH('Fluxo Investidores'!A26, 'Fluxo Projeto'!A:A, 0)), 0)</f>
        <v>-2679882.0805378119</v>
      </c>
      <c r="AI26" s="397">
        <f t="shared" si="2"/>
        <v>-330206.98350641422</v>
      </c>
      <c r="AJ26" s="390">
        <f t="shared" si="3"/>
        <v>-330206.98350641422</v>
      </c>
      <c r="AK26" s="390">
        <f t="shared" si="4"/>
        <v>-330206.98350641422</v>
      </c>
      <c r="AL26" s="390">
        <f t="shared" si="5"/>
        <v>-330206.98350641422</v>
      </c>
      <c r="AM26" s="390">
        <f t="shared" si="6"/>
        <v>-132103.41844838118</v>
      </c>
      <c r="AN26" s="390">
        <f t="shared" si="7"/>
        <v>-132103.41844838118</v>
      </c>
      <c r="AO26" s="390">
        <f t="shared" si="8"/>
        <v>-330206.98350641422</v>
      </c>
      <c r="AP26" s="390">
        <f t="shared" si="9"/>
        <v>-132103.41844838118</v>
      </c>
      <c r="AQ26" s="390">
        <f t="shared" si="10"/>
        <v>-330206.98350641422</v>
      </c>
      <c r="AR26" s="390">
        <f t="shared" si="11"/>
        <v>-330206.98350641422</v>
      </c>
      <c r="AS26" s="390">
        <f t="shared" si="12"/>
        <v>-330206.98350641422</v>
      </c>
      <c r="AT26" s="390">
        <f t="shared" si="13"/>
        <v>-330206.98350641422</v>
      </c>
      <c r="AU26" s="398">
        <f t="shared" si="14"/>
        <v>-330206.98350641422</v>
      </c>
    </row>
    <row r="27" spans="1:47" x14ac:dyDescent="0.25">
      <c r="A27" s="197">
        <f t="shared" si="15"/>
        <v>43831</v>
      </c>
      <c r="B27" s="388">
        <f>IF($A27&lt;=baseData, INDEX(Indicadores!B:B, MATCH($A27,Indicadores!A:A, 0)), INDEX(Indicadores!B:B, MATCH(baseData,Indicadores!A:A, 0)))</f>
        <v>779.76599999999996</v>
      </c>
      <c r="C27" s="389">
        <f>IF($A27&lt;=baseData, INDEX(Indicadores!E:E, MATCH($A27, Indicadores!A:A, 0)), INDEX(Indicadores!E:E, MATCH(baseData, Indicadores!A:A, 0)))</f>
        <v>5331.42</v>
      </c>
      <c r="E27" s="392">
        <v>0</v>
      </c>
      <c r="F27" s="426">
        <v>0</v>
      </c>
      <c r="G27" s="371"/>
      <c r="H27" s="399">
        <v>0</v>
      </c>
      <c r="I27" s="371"/>
      <c r="J27" s="399">
        <v>0</v>
      </c>
      <c r="L27" s="392">
        <v>0</v>
      </c>
      <c r="M27" s="425">
        <v>0</v>
      </c>
      <c r="N27" s="425">
        <v>0</v>
      </c>
      <c r="O27" s="425">
        <v>0</v>
      </c>
      <c r="P27" s="425">
        <v>0</v>
      </c>
      <c r="Q27" s="425">
        <v>0</v>
      </c>
      <c r="R27" s="425">
        <v>0</v>
      </c>
      <c r="S27" s="425">
        <v>0</v>
      </c>
      <c r="T27" s="425">
        <v>0</v>
      </c>
      <c r="U27" s="425">
        <v>0</v>
      </c>
      <c r="V27" s="425">
        <v>0</v>
      </c>
      <c r="W27" s="425">
        <v>0</v>
      </c>
      <c r="X27" s="426">
        <v>0</v>
      </c>
      <c r="Y27" s="390">
        <f t="shared" si="0"/>
        <v>0</v>
      </c>
      <c r="Z27" s="397">
        <f>-INDEX('Fluxo Bandeira Co'!AZ:AZ, MATCH($A27, 'Fluxo Bandeira Co'!$A:$A, 0))</f>
        <v>0</v>
      </c>
      <c r="AA27" s="398">
        <f>INDEX('Fluxo Bandeira Co'!J:J, MATCH($A27, 'Fluxo Bandeira Co'!$A:$A, 0))+INDEX('Fluxo Bandeira Co'!AK:AK, MATCH($A27, 'Fluxo Bandeira Co'!$A:$A, 0))</f>
        <v>0</v>
      </c>
      <c r="AB27" s="371"/>
      <c r="AC27" s="397">
        <f>-INDEX('Fluxo Bandeira Co'!L:L, MATCH('Fluxo Investidores'!$A27, 'Fluxo Bandeira Co'!$A:$A, 0))</f>
        <v>0</v>
      </c>
      <c r="AD27" s="398">
        <f>-INDEX('Fluxo Bandeira Co'!M:M, MATCH('Fluxo Investidores'!$A27, 'Fluxo Bandeira Co'!$A:$A, 0))</f>
        <v>0</v>
      </c>
      <c r="AF27" s="397">
        <f t="shared" si="1"/>
        <v>0</v>
      </c>
      <c r="AG27" s="398">
        <f>IFERROR(INDEX('Fluxo Projeto'!AQ:AQ, MATCH('Fluxo Investidores'!A27, 'Fluxo Projeto'!A:A, 0)), 0)</f>
        <v>0</v>
      </c>
      <c r="AI27" s="397">
        <f t="shared" si="2"/>
        <v>0</v>
      </c>
      <c r="AJ27" s="390">
        <f t="shared" si="3"/>
        <v>0</v>
      </c>
      <c r="AK27" s="390">
        <f t="shared" si="4"/>
        <v>0</v>
      </c>
      <c r="AL27" s="390">
        <f t="shared" si="5"/>
        <v>0</v>
      </c>
      <c r="AM27" s="390">
        <f t="shared" si="6"/>
        <v>0</v>
      </c>
      <c r="AN27" s="390">
        <f t="shared" si="7"/>
        <v>0</v>
      </c>
      <c r="AO27" s="390">
        <f t="shared" si="8"/>
        <v>0</v>
      </c>
      <c r="AP27" s="390">
        <f t="shared" si="9"/>
        <v>0</v>
      </c>
      <c r="AQ27" s="390">
        <f t="shared" si="10"/>
        <v>0</v>
      </c>
      <c r="AR27" s="390">
        <f t="shared" si="11"/>
        <v>0</v>
      </c>
      <c r="AS27" s="390">
        <f t="shared" si="12"/>
        <v>0</v>
      </c>
      <c r="AT27" s="390">
        <f t="shared" si="13"/>
        <v>0</v>
      </c>
      <c r="AU27" s="398">
        <f t="shared" si="14"/>
        <v>0</v>
      </c>
    </row>
    <row r="28" spans="1:47" x14ac:dyDescent="0.25">
      <c r="A28" s="197">
        <f t="shared" si="15"/>
        <v>43862</v>
      </c>
      <c r="B28" s="388">
        <f>IF($A28&lt;=baseData, INDEX(Indicadores!B:B, MATCH($A28,Indicadores!A:A, 0)), INDEX(Indicadores!B:B, MATCH(baseData,Indicadores!A:A, 0)))</f>
        <v>782.33600000000001</v>
      </c>
      <c r="C28" s="389">
        <f>IF($A28&lt;=baseData, INDEX(Indicadores!E:E, MATCH($A28, Indicadores!A:A, 0)), INDEX(Indicadores!E:E, MATCH(baseData, Indicadores!A:A, 0)))</f>
        <v>5344.75</v>
      </c>
      <c r="E28" s="392">
        <v>0</v>
      </c>
      <c r="F28" s="426">
        <v>0</v>
      </c>
      <c r="G28" s="371"/>
      <c r="H28" s="399">
        <v>0</v>
      </c>
      <c r="I28" s="371"/>
      <c r="J28" s="399">
        <v>0</v>
      </c>
      <c r="L28" s="392">
        <v>0</v>
      </c>
      <c r="M28" s="425">
        <v>0</v>
      </c>
      <c r="N28" s="425">
        <v>0</v>
      </c>
      <c r="O28" s="425">
        <v>0</v>
      </c>
      <c r="P28" s="425">
        <v>0</v>
      </c>
      <c r="Q28" s="425">
        <v>0</v>
      </c>
      <c r="R28" s="425">
        <v>0</v>
      </c>
      <c r="S28" s="425">
        <v>0</v>
      </c>
      <c r="T28" s="425">
        <v>0</v>
      </c>
      <c r="U28" s="425">
        <v>0</v>
      </c>
      <c r="V28" s="425">
        <v>0</v>
      </c>
      <c r="W28" s="425">
        <v>0</v>
      </c>
      <c r="X28" s="426">
        <v>0</v>
      </c>
      <c r="Y28" s="390">
        <f t="shared" si="0"/>
        <v>0</v>
      </c>
      <c r="Z28" s="397">
        <f>-INDEX('Fluxo Bandeira Co'!AZ:AZ, MATCH($A28, 'Fluxo Bandeira Co'!$A:$A, 0))</f>
        <v>0</v>
      </c>
      <c r="AA28" s="398">
        <f>INDEX('Fluxo Bandeira Co'!J:J, MATCH($A28, 'Fluxo Bandeira Co'!$A:$A, 0))+INDEX('Fluxo Bandeira Co'!AK:AK, MATCH($A28, 'Fluxo Bandeira Co'!$A:$A, 0))</f>
        <v>0</v>
      </c>
      <c r="AB28" s="371"/>
      <c r="AC28" s="397">
        <f>-INDEX('Fluxo Bandeira Co'!L:L, MATCH('Fluxo Investidores'!$A28, 'Fluxo Bandeira Co'!$A:$A, 0))</f>
        <v>0</v>
      </c>
      <c r="AD28" s="398">
        <f>-INDEX('Fluxo Bandeira Co'!M:M, MATCH('Fluxo Investidores'!$A28, 'Fluxo Bandeira Co'!$A:$A, 0))</f>
        <v>0</v>
      </c>
      <c r="AF28" s="397">
        <f t="shared" si="1"/>
        <v>0</v>
      </c>
      <c r="AG28" s="398">
        <f>IFERROR(INDEX('Fluxo Projeto'!AQ:AQ, MATCH('Fluxo Investidores'!A28, 'Fluxo Projeto'!A:A, 0)), 0)</f>
        <v>0</v>
      </c>
      <c r="AI28" s="397">
        <f t="shared" si="2"/>
        <v>0</v>
      </c>
      <c r="AJ28" s="390">
        <f t="shared" si="3"/>
        <v>0</v>
      </c>
      <c r="AK28" s="390">
        <f t="shared" si="4"/>
        <v>0</v>
      </c>
      <c r="AL28" s="390">
        <f t="shared" si="5"/>
        <v>0</v>
      </c>
      <c r="AM28" s="390">
        <f t="shared" si="6"/>
        <v>0</v>
      </c>
      <c r="AN28" s="390">
        <f t="shared" si="7"/>
        <v>0</v>
      </c>
      <c r="AO28" s="390">
        <f t="shared" si="8"/>
        <v>0</v>
      </c>
      <c r="AP28" s="390">
        <f t="shared" si="9"/>
        <v>0</v>
      </c>
      <c r="AQ28" s="390">
        <f t="shared" si="10"/>
        <v>0</v>
      </c>
      <c r="AR28" s="390">
        <f t="shared" si="11"/>
        <v>0</v>
      </c>
      <c r="AS28" s="390">
        <f t="shared" si="12"/>
        <v>0</v>
      </c>
      <c r="AT28" s="390">
        <f t="shared" si="13"/>
        <v>0</v>
      </c>
      <c r="AU28" s="398">
        <f t="shared" si="14"/>
        <v>0</v>
      </c>
    </row>
    <row r="29" spans="1:47" x14ac:dyDescent="0.25">
      <c r="A29" s="197">
        <f t="shared" si="15"/>
        <v>43891</v>
      </c>
      <c r="B29" s="388">
        <f>IF($A29&lt;=baseData, INDEX(Indicadores!B:B, MATCH($A29,Indicadores!A:A, 0)), INDEX(Indicadores!B:B, MATCH(baseData,Indicadores!A:A, 0)))</f>
        <v>784.33799999999997</v>
      </c>
      <c r="C29" s="389">
        <f>IF($A29&lt;=baseData, INDEX(Indicadores!E:E, MATCH($A29, Indicadores!A:A, 0)), INDEX(Indicadores!E:E, MATCH(baseData, Indicadores!A:A, 0)))</f>
        <v>5348.491325</v>
      </c>
      <c r="E29" s="392">
        <v>-887716</v>
      </c>
      <c r="F29" s="426">
        <v>0</v>
      </c>
      <c r="G29" s="371"/>
      <c r="H29" s="399">
        <v>0</v>
      </c>
      <c r="I29" s="371"/>
      <c r="J29" s="399">
        <v>0</v>
      </c>
      <c r="L29" s="392">
        <v>0</v>
      </c>
      <c r="M29" s="425">
        <v>0</v>
      </c>
      <c r="N29" s="425">
        <v>0</v>
      </c>
      <c r="O29" s="425">
        <v>0</v>
      </c>
      <c r="P29" s="425">
        <v>0</v>
      </c>
      <c r="Q29" s="425">
        <v>0</v>
      </c>
      <c r="R29" s="425">
        <v>0</v>
      </c>
      <c r="S29" s="425">
        <v>0</v>
      </c>
      <c r="T29" s="425">
        <v>0</v>
      </c>
      <c r="U29" s="425">
        <v>0</v>
      </c>
      <c r="V29" s="425">
        <v>0</v>
      </c>
      <c r="W29" s="425">
        <v>0</v>
      </c>
      <c r="X29" s="426">
        <v>0</v>
      </c>
      <c r="Y29" s="390">
        <f t="shared" si="0"/>
        <v>0</v>
      </c>
      <c r="Z29" s="397">
        <f>-INDEX('Fluxo Bandeira Co'!AZ:AZ, MATCH($A29, 'Fluxo Bandeira Co'!$A:$A, 0))</f>
        <v>0</v>
      </c>
      <c r="AA29" s="398">
        <f>INDEX('Fluxo Bandeira Co'!J:J, MATCH($A29, 'Fluxo Bandeira Co'!$A:$A, 0))+INDEX('Fluxo Bandeira Co'!AK:AK, MATCH($A29, 'Fluxo Bandeira Co'!$A:$A, 0))</f>
        <v>0</v>
      </c>
      <c r="AB29" s="371"/>
      <c r="AC29" s="397">
        <f>-INDEX('Fluxo Bandeira Co'!L:L, MATCH('Fluxo Investidores'!$A29, 'Fluxo Bandeira Co'!$A:$A, 0))</f>
        <v>0</v>
      </c>
      <c r="AD29" s="398">
        <f>-INDEX('Fluxo Bandeira Co'!M:M, MATCH('Fluxo Investidores'!$A29, 'Fluxo Bandeira Co'!$A:$A, 0))</f>
        <v>0</v>
      </c>
      <c r="AF29" s="397">
        <f t="shared" si="1"/>
        <v>-887716</v>
      </c>
      <c r="AG29" s="398">
        <f>IFERROR(INDEX('Fluxo Projeto'!AQ:AQ, MATCH('Fluxo Investidores'!A29, 'Fluxo Projeto'!A:A, 0)), 0)</f>
        <v>-887716</v>
      </c>
      <c r="AI29" s="397">
        <f t="shared" si="2"/>
        <v>0</v>
      </c>
      <c r="AJ29" s="390">
        <f t="shared" si="3"/>
        <v>0</v>
      </c>
      <c r="AK29" s="390">
        <f t="shared" si="4"/>
        <v>0</v>
      </c>
      <c r="AL29" s="390">
        <f t="shared" si="5"/>
        <v>0</v>
      </c>
      <c r="AM29" s="390">
        <f t="shared" si="6"/>
        <v>0</v>
      </c>
      <c r="AN29" s="390">
        <f t="shared" si="7"/>
        <v>0</v>
      </c>
      <c r="AO29" s="390">
        <f t="shared" si="8"/>
        <v>0</v>
      </c>
      <c r="AP29" s="390">
        <f t="shared" si="9"/>
        <v>0</v>
      </c>
      <c r="AQ29" s="390">
        <f t="shared" si="10"/>
        <v>0</v>
      </c>
      <c r="AR29" s="390">
        <f t="shared" si="11"/>
        <v>0</v>
      </c>
      <c r="AS29" s="390">
        <f t="shared" si="12"/>
        <v>0</v>
      </c>
      <c r="AT29" s="390">
        <f t="shared" si="13"/>
        <v>0</v>
      </c>
      <c r="AU29" s="398">
        <f t="shared" si="14"/>
        <v>0</v>
      </c>
    </row>
    <row r="30" spans="1:47" x14ac:dyDescent="0.25">
      <c r="A30" s="197">
        <f t="shared" si="15"/>
        <v>43922</v>
      </c>
      <c r="B30" s="388">
        <f>IF($A30&lt;=baseData, INDEX(Indicadores!B:B, MATCH($A30,Indicadores!A:A, 0)), INDEX(Indicadores!B:B, MATCH(baseData,Indicadores!A:A, 0)))</f>
        <v>786.07</v>
      </c>
      <c r="C30" s="389">
        <f>IF($A30&lt;=baseData, INDEX(Indicadores!E:E, MATCH($A30, Indicadores!A:A, 0)), INDEX(Indicadores!E:E, MATCH(baseData, Indicadores!A:A, 0)))</f>
        <v>5331.9110018925003</v>
      </c>
      <c r="E30" s="392">
        <v>0</v>
      </c>
      <c r="F30" s="426">
        <v>0</v>
      </c>
      <c r="G30" s="371"/>
      <c r="H30" s="399">
        <v>0</v>
      </c>
      <c r="I30" s="371"/>
      <c r="J30" s="399">
        <v>0</v>
      </c>
      <c r="L30" s="392">
        <v>0</v>
      </c>
      <c r="M30" s="425">
        <v>0</v>
      </c>
      <c r="N30" s="425">
        <v>0</v>
      </c>
      <c r="O30" s="425">
        <v>0</v>
      </c>
      <c r="P30" s="425">
        <v>0</v>
      </c>
      <c r="Q30" s="425">
        <v>0</v>
      </c>
      <c r="R30" s="425">
        <v>0</v>
      </c>
      <c r="S30" s="425">
        <v>0</v>
      </c>
      <c r="T30" s="425">
        <v>0</v>
      </c>
      <c r="U30" s="425">
        <v>0</v>
      </c>
      <c r="V30" s="425">
        <v>0</v>
      </c>
      <c r="W30" s="425">
        <v>0</v>
      </c>
      <c r="X30" s="426">
        <v>0</v>
      </c>
      <c r="Y30" s="390">
        <f t="shared" si="0"/>
        <v>0</v>
      </c>
      <c r="Z30" s="397">
        <f>-INDEX('Fluxo Bandeira Co'!AZ:AZ, MATCH($A30, 'Fluxo Bandeira Co'!$A:$A, 0))</f>
        <v>0</v>
      </c>
      <c r="AA30" s="398">
        <f>INDEX('Fluxo Bandeira Co'!J:J, MATCH($A30, 'Fluxo Bandeira Co'!$A:$A, 0))+INDEX('Fluxo Bandeira Co'!AK:AK, MATCH($A30, 'Fluxo Bandeira Co'!$A:$A, 0))</f>
        <v>0</v>
      </c>
      <c r="AB30" s="371"/>
      <c r="AC30" s="397">
        <f>-INDEX('Fluxo Bandeira Co'!L:L, MATCH('Fluxo Investidores'!$A30, 'Fluxo Bandeira Co'!$A:$A, 0))</f>
        <v>0</v>
      </c>
      <c r="AD30" s="398">
        <f>-INDEX('Fluxo Bandeira Co'!M:M, MATCH('Fluxo Investidores'!$A30, 'Fluxo Bandeira Co'!$A:$A, 0))</f>
        <v>0</v>
      </c>
      <c r="AF30" s="397">
        <f t="shared" si="1"/>
        <v>0</v>
      </c>
      <c r="AG30" s="398">
        <f>IFERROR(INDEX('Fluxo Projeto'!AQ:AQ, MATCH('Fluxo Investidores'!A30, 'Fluxo Projeto'!A:A, 0)), 0)</f>
        <v>0</v>
      </c>
      <c r="AI30" s="397">
        <f t="shared" si="2"/>
        <v>0</v>
      </c>
      <c r="AJ30" s="390">
        <f t="shared" si="3"/>
        <v>0</v>
      </c>
      <c r="AK30" s="390">
        <f t="shared" si="4"/>
        <v>0</v>
      </c>
      <c r="AL30" s="390">
        <f t="shared" si="5"/>
        <v>0</v>
      </c>
      <c r="AM30" s="390">
        <f t="shared" si="6"/>
        <v>0</v>
      </c>
      <c r="AN30" s="390">
        <f t="shared" si="7"/>
        <v>0</v>
      </c>
      <c r="AO30" s="390">
        <f t="shared" si="8"/>
        <v>0</v>
      </c>
      <c r="AP30" s="390">
        <f t="shared" si="9"/>
        <v>0</v>
      </c>
      <c r="AQ30" s="390">
        <f t="shared" si="10"/>
        <v>0</v>
      </c>
      <c r="AR30" s="390">
        <f t="shared" si="11"/>
        <v>0</v>
      </c>
      <c r="AS30" s="390">
        <f t="shared" si="12"/>
        <v>0</v>
      </c>
      <c r="AT30" s="390">
        <f t="shared" si="13"/>
        <v>0</v>
      </c>
      <c r="AU30" s="398">
        <f t="shared" si="14"/>
        <v>0</v>
      </c>
    </row>
    <row r="31" spans="1:47" x14ac:dyDescent="0.25">
      <c r="A31" s="197">
        <f t="shared" si="15"/>
        <v>43952</v>
      </c>
      <c r="B31" s="388">
        <f>IF($A31&lt;=baseData, INDEX(Indicadores!B:B, MATCH($A31,Indicadores!A:A, 0)), INDEX(Indicadores!B:B, MATCH(baseData,Indicadores!A:A, 0)))</f>
        <v>787.66600000000005</v>
      </c>
      <c r="C31" s="389">
        <f>IF($A31&lt;=baseData, INDEX(Indicadores!E:E, MATCH($A31, Indicadores!A:A, 0)), INDEX(Indicadores!E:E, MATCH(baseData, Indicadores!A:A, 0)))</f>
        <v>5311.6497400853086</v>
      </c>
      <c r="E31" s="392">
        <f>-31160-10000</f>
        <v>-41160</v>
      </c>
      <c r="F31" s="426">
        <v>0</v>
      </c>
      <c r="G31" s="371"/>
      <c r="H31" s="399">
        <v>-1680</v>
      </c>
      <c r="I31" s="371"/>
      <c r="J31" s="399">
        <v>-41160</v>
      </c>
      <c r="L31" s="392">
        <v>0</v>
      </c>
      <c r="M31" s="425">
        <v>0</v>
      </c>
      <c r="N31" s="425">
        <v>0</v>
      </c>
      <c r="O31" s="425">
        <v>0</v>
      </c>
      <c r="P31" s="425">
        <v>0</v>
      </c>
      <c r="Q31" s="425">
        <v>0</v>
      </c>
      <c r="R31" s="425">
        <v>0</v>
      </c>
      <c r="S31" s="425">
        <v>0</v>
      </c>
      <c r="T31" s="425">
        <v>0</v>
      </c>
      <c r="U31" s="425">
        <v>0</v>
      </c>
      <c r="V31" s="425">
        <v>0</v>
      </c>
      <c r="W31" s="425">
        <v>0</v>
      </c>
      <c r="X31" s="426">
        <v>0</v>
      </c>
      <c r="Y31" s="390">
        <f t="shared" si="0"/>
        <v>0</v>
      </c>
      <c r="Z31" s="397">
        <f>-INDEX('Fluxo Bandeira Co'!AZ:AZ, MATCH($A31, 'Fluxo Bandeira Co'!$A:$A, 0))</f>
        <v>0</v>
      </c>
      <c r="AA31" s="398">
        <f>INDEX('Fluxo Bandeira Co'!J:J, MATCH($A31, 'Fluxo Bandeira Co'!$A:$A, 0))+INDEX('Fluxo Bandeira Co'!AK:AK, MATCH($A31, 'Fluxo Bandeira Co'!$A:$A, 0))</f>
        <v>0</v>
      </c>
      <c r="AB31" s="371"/>
      <c r="AC31" s="397">
        <f>-INDEX('Fluxo Bandeira Co'!L:L, MATCH('Fluxo Investidores'!$A31, 'Fluxo Bandeira Co'!$A:$A, 0))</f>
        <v>-216000</v>
      </c>
      <c r="AD31" s="398">
        <f>-INDEX('Fluxo Bandeira Co'!M:M, MATCH('Fluxo Investidores'!$A31, 'Fluxo Bandeira Co'!$A:$A, 0))</f>
        <v>0</v>
      </c>
      <c r="AF31" s="397">
        <f t="shared" si="1"/>
        <v>-300000</v>
      </c>
      <c r="AG31" s="398">
        <f>IFERROR(INDEX('Fluxo Projeto'!AQ:AQ, MATCH('Fluxo Investidores'!A31, 'Fluxo Projeto'!A:A, 0)), 0)</f>
        <v>-300000</v>
      </c>
      <c r="AI31" s="397">
        <f t="shared" si="2"/>
        <v>0</v>
      </c>
      <c r="AJ31" s="390">
        <f t="shared" si="3"/>
        <v>0</v>
      </c>
      <c r="AK31" s="390">
        <f t="shared" si="4"/>
        <v>0</v>
      </c>
      <c r="AL31" s="390">
        <f t="shared" si="5"/>
        <v>0</v>
      </c>
      <c r="AM31" s="390">
        <f t="shared" si="6"/>
        <v>0</v>
      </c>
      <c r="AN31" s="390">
        <f t="shared" si="7"/>
        <v>0</v>
      </c>
      <c r="AO31" s="390">
        <f t="shared" si="8"/>
        <v>0</v>
      </c>
      <c r="AP31" s="390">
        <f t="shared" si="9"/>
        <v>0</v>
      </c>
      <c r="AQ31" s="390">
        <f t="shared" si="10"/>
        <v>0</v>
      </c>
      <c r="AR31" s="390">
        <f t="shared" si="11"/>
        <v>0</v>
      </c>
      <c r="AS31" s="390">
        <f t="shared" si="12"/>
        <v>0</v>
      </c>
      <c r="AT31" s="390">
        <f t="shared" si="13"/>
        <v>0</v>
      </c>
      <c r="AU31" s="398">
        <f t="shared" si="14"/>
        <v>0</v>
      </c>
    </row>
    <row r="32" spans="1:47" x14ac:dyDescent="0.25">
      <c r="A32" s="197">
        <f t="shared" si="15"/>
        <v>43983</v>
      </c>
      <c r="B32" s="388">
        <f>IF($A32&lt;=baseData, INDEX(Indicadores!B:B, MATCH($A32,Indicadores!A:A, 0)), INDEX(Indicadores!B:B, MATCH(baseData,Indicadores!A:A, 0)))</f>
        <v>790.33100000000002</v>
      </c>
      <c r="C32" s="389">
        <f>IF($A32&lt;=baseData, INDEX(Indicadores!E:E, MATCH($A32, Indicadores!A:A, 0)), INDEX(Indicadores!E:E, MATCH(baseData, Indicadores!A:A, 0)))</f>
        <v>5325.46</v>
      </c>
      <c r="E32" s="392">
        <v>-13720</v>
      </c>
      <c r="F32" s="426">
        <v>0</v>
      </c>
      <c r="G32" s="371"/>
      <c r="H32" s="399">
        <v>-560</v>
      </c>
      <c r="I32" s="371"/>
      <c r="J32" s="399">
        <v>-13720</v>
      </c>
      <c r="L32" s="392">
        <v>0</v>
      </c>
      <c r="M32" s="425">
        <v>0</v>
      </c>
      <c r="N32" s="425">
        <v>0</v>
      </c>
      <c r="O32" s="425">
        <v>0</v>
      </c>
      <c r="P32" s="425">
        <v>0</v>
      </c>
      <c r="Q32" s="425">
        <v>0</v>
      </c>
      <c r="R32" s="425">
        <v>0</v>
      </c>
      <c r="S32" s="425">
        <v>0</v>
      </c>
      <c r="T32" s="425">
        <v>0</v>
      </c>
      <c r="U32" s="425">
        <v>0</v>
      </c>
      <c r="V32" s="425">
        <v>0</v>
      </c>
      <c r="W32" s="425">
        <v>0</v>
      </c>
      <c r="X32" s="426">
        <v>0</v>
      </c>
      <c r="Y32" s="390">
        <f t="shared" si="0"/>
        <v>0</v>
      </c>
      <c r="Z32" s="397">
        <f>-INDEX('Fluxo Bandeira Co'!AZ:AZ, MATCH($A32, 'Fluxo Bandeira Co'!$A:$A, 0))</f>
        <v>0</v>
      </c>
      <c r="AA32" s="398">
        <f>INDEX('Fluxo Bandeira Co'!J:J, MATCH($A32, 'Fluxo Bandeira Co'!$A:$A, 0))+INDEX('Fluxo Bandeira Co'!AK:AK, MATCH($A32, 'Fluxo Bandeira Co'!$A:$A, 0))</f>
        <v>0</v>
      </c>
      <c r="AB32" s="371"/>
      <c r="AC32" s="397">
        <f>-INDEX('Fluxo Bandeira Co'!L:L, MATCH('Fluxo Investidores'!$A32, 'Fluxo Bandeira Co'!$A:$A, 0))</f>
        <v>-72000</v>
      </c>
      <c r="AD32" s="398">
        <f>-INDEX('Fluxo Bandeira Co'!M:M, MATCH('Fluxo Investidores'!$A32, 'Fluxo Bandeira Co'!$A:$A, 0))</f>
        <v>0</v>
      </c>
      <c r="AF32" s="397">
        <f t="shared" si="1"/>
        <v>-100000</v>
      </c>
      <c r="AG32" s="398">
        <f>IFERROR(INDEX('Fluxo Projeto'!AQ:AQ, MATCH('Fluxo Investidores'!A32, 'Fluxo Projeto'!A:A, 0)), 0)</f>
        <v>-100000</v>
      </c>
      <c r="AI32" s="397">
        <f t="shared" si="2"/>
        <v>0</v>
      </c>
      <c r="AJ32" s="390">
        <f t="shared" si="3"/>
        <v>0</v>
      </c>
      <c r="AK32" s="390">
        <f t="shared" si="4"/>
        <v>0</v>
      </c>
      <c r="AL32" s="390">
        <f t="shared" si="5"/>
        <v>0</v>
      </c>
      <c r="AM32" s="390">
        <f t="shared" si="6"/>
        <v>0</v>
      </c>
      <c r="AN32" s="390">
        <f t="shared" si="7"/>
        <v>0</v>
      </c>
      <c r="AO32" s="390">
        <f t="shared" si="8"/>
        <v>0</v>
      </c>
      <c r="AP32" s="390">
        <f t="shared" si="9"/>
        <v>0</v>
      </c>
      <c r="AQ32" s="390">
        <f t="shared" si="10"/>
        <v>0</v>
      </c>
      <c r="AR32" s="390">
        <f t="shared" si="11"/>
        <v>0</v>
      </c>
      <c r="AS32" s="390">
        <f t="shared" si="12"/>
        <v>0</v>
      </c>
      <c r="AT32" s="390">
        <f t="shared" si="13"/>
        <v>0</v>
      </c>
      <c r="AU32" s="398">
        <f t="shared" si="14"/>
        <v>0</v>
      </c>
    </row>
    <row r="33" spans="1:47" x14ac:dyDescent="0.25">
      <c r="A33" s="197">
        <f t="shared" si="15"/>
        <v>44013</v>
      </c>
      <c r="B33" s="388">
        <f>IF($A33&lt;=baseData, INDEX(Indicadores!B:B, MATCH($A33,Indicadores!A:A, 0)), INDEX(Indicadores!B:B, MATCH(baseData,Indicadores!A:A, 0)))</f>
        <v>799.58900000000006</v>
      </c>
      <c r="C33" s="389">
        <f>IF($A33&lt;=baseData, INDEX(Indicadores!E:E, MATCH($A33, Indicadores!A:A, 0)), INDEX(Indicadores!E:E, MATCH(baseData, Indicadores!A:A, 0)))</f>
        <v>5344.63</v>
      </c>
      <c r="E33" s="392">
        <v>0</v>
      </c>
      <c r="F33" s="426">
        <v>0</v>
      </c>
      <c r="G33" s="371"/>
      <c r="H33" s="399">
        <v>0</v>
      </c>
      <c r="I33" s="371"/>
      <c r="J33" s="399">
        <v>0</v>
      </c>
      <c r="L33" s="392">
        <v>0</v>
      </c>
      <c r="M33" s="425">
        <v>0</v>
      </c>
      <c r="N33" s="425">
        <v>0</v>
      </c>
      <c r="O33" s="425">
        <v>0</v>
      </c>
      <c r="P33" s="425">
        <v>0</v>
      </c>
      <c r="Q33" s="425">
        <v>0</v>
      </c>
      <c r="R33" s="425">
        <v>0</v>
      </c>
      <c r="S33" s="425">
        <v>0</v>
      </c>
      <c r="T33" s="425">
        <v>0</v>
      </c>
      <c r="U33" s="425">
        <v>0</v>
      </c>
      <c r="V33" s="425">
        <v>0</v>
      </c>
      <c r="W33" s="425">
        <v>0</v>
      </c>
      <c r="X33" s="426">
        <v>0</v>
      </c>
      <c r="Y33" s="390">
        <f t="shared" si="0"/>
        <v>0</v>
      </c>
      <c r="Z33" s="397">
        <f>-INDEX('Fluxo Bandeira Co'!AZ:AZ, MATCH($A33, 'Fluxo Bandeira Co'!$A:$A, 0))</f>
        <v>0</v>
      </c>
      <c r="AA33" s="398">
        <f>INDEX('Fluxo Bandeira Co'!J:J, MATCH($A33, 'Fluxo Bandeira Co'!$A:$A, 0))+INDEX('Fluxo Bandeira Co'!AK:AK, MATCH($A33, 'Fluxo Bandeira Co'!$A:$A, 0))</f>
        <v>0</v>
      </c>
      <c r="AB33" s="371"/>
      <c r="AC33" s="397">
        <f>-INDEX('Fluxo Bandeira Co'!L:L, MATCH('Fluxo Investidores'!$A33, 'Fluxo Bandeira Co'!$A:$A, 0))</f>
        <v>0</v>
      </c>
      <c r="AD33" s="398">
        <f>-INDEX('Fluxo Bandeira Co'!M:M, MATCH('Fluxo Investidores'!$A33, 'Fluxo Bandeira Co'!$A:$A, 0))</f>
        <v>0</v>
      </c>
      <c r="AF33" s="397">
        <f t="shared" si="1"/>
        <v>0</v>
      </c>
      <c r="AG33" s="398">
        <f>IFERROR(INDEX('Fluxo Projeto'!AQ:AQ, MATCH('Fluxo Investidores'!A33, 'Fluxo Projeto'!A:A, 0)), 0)</f>
        <v>0</v>
      </c>
      <c r="AI33" s="397">
        <f t="shared" si="2"/>
        <v>0</v>
      </c>
      <c r="AJ33" s="390">
        <f t="shared" si="3"/>
        <v>0</v>
      </c>
      <c r="AK33" s="390">
        <f t="shared" si="4"/>
        <v>0</v>
      </c>
      <c r="AL33" s="390">
        <f t="shared" si="5"/>
        <v>0</v>
      </c>
      <c r="AM33" s="390">
        <f t="shared" si="6"/>
        <v>0</v>
      </c>
      <c r="AN33" s="390">
        <f t="shared" si="7"/>
        <v>0</v>
      </c>
      <c r="AO33" s="390">
        <f t="shared" si="8"/>
        <v>0</v>
      </c>
      <c r="AP33" s="390">
        <f t="shared" si="9"/>
        <v>0</v>
      </c>
      <c r="AQ33" s="390">
        <f t="shared" si="10"/>
        <v>0</v>
      </c>
      <c r="AR33" s="390">
        <f t="shared" si="11"/>
        <v>0</v>
      </c>
      <c r="AS33" s="390">
        <f t="shared" si="12"/>
        <v>0</v>
      </c>
      <c r="AT33" s="390">
        <f t="shared" si="13"/>
        <v>0</v>
      </c>
      <c r="AU33" s="398">
        <f t="shared" si="14"/>
        <v>0</v>
      </c>
    </row>
    <row r="34" spans="1:47" x14ac:dyDescent="0.25">
      <c r="A34" s="197">
        <f t="shared" si="15"/>
        <v>44044</v>
      </c>
      <c r="B34" s="388">
        <f>IF($A34&lt;=baseData, INDEX(Indicadores!B:B, MATCH($A34,Indicadores!A:A, 0)), INDEX(Indicadores!B:B, MATCH(baseData,Indicadores!A:A, 0)))</f>
        <v>805.35599999999999</v>
      </c>
      <c r="C34" s="389">
        <f>IF($A34&lt;=baseData, INDEX(Indicadores!E:E, MATCH($A34, Indicadores!A:A, 0)), INDEX(Indicadores!E:E, MATCH(baseData, Indicadores!A:A, 0)))</f>
        <v>5357.46</v>
      </c>
      <c r="E34" s="392">
        <v>0</v>
      </c>
      <c r="F34" s="426">
        <v>0</v>
      </c>
      <c r="G34" s="371"/>
      <c r="H34" s="399">
        <v>0</v>
      </c>
      <c r="I34" s="371"/>
      <c r="J34" s="399">
        <v>0</v>
      </c>
      <c r="L34" s="392">
        <v>0</v>
      </c>
      <c r="M34" s="425">
        <v>0</v>
      </c>
      <c r="N34" s="425">
        <v>0</v>
      </c>
      <c r="O34" s="425">
        <v>0</v>
      </c>
      <c r="P34" s="425">
        <v>0</v>
      </c>
      <c r="Q34" s="425">
        <v>0</v>
      </c>
      <c r="R34" s="425">
        <v>0</v>
      </c>
      <c r="S34" s="425">
        <v>0</v>
      </c>
      <c r="T34" s="425">
        <v>0</v>
      </c>
      <c r="U34" s="425">
        <v>0</v>
      </c>
      <c r="V34" s="425">
        <v>0</v>
      </c>
      <c r="W34" s="425">
        <v>0</v>
      </c>
      <c r="X34" s="426">
        <v>0</v>
      </c>
      <c r="Y34" s="390">
        <f t="shared" ref="Y34:Y65" si="16">-SUM(L34:X34)</f>
        <v>0</v>
      </c>
      <c r="Z34" s="397">
        <f>-INDEX('Fluxo Bandeira Co'!AZ:AZ, MATCH($A34, 'Fluxo Bandeira Co'!$A:$A, 0))</f>
        <v>0</v>
      </c>
      <c r="AA34" s="398">
        <f>INDEX('Fluxo Bandeira Co'!J:J, MATCH($A34, 'Fluxo Bandeira Co'!$A:$A, 0))+INDEX('Fluxo Bandeira Co'!AK:AK, MATCH($A34, 'Fluxo Bandeira Co'!$A:$A, 0))</f>
        <v>0</v>
      </c>
      <c r="AB34" s="371"/>
      <c r="AC34" s="397">
        <f>-INDEX('Fluxo Bandeira Co'!L:L, MATCH('Fluxo Investidores'!$A34, 'Fluxo Bandeira Co'!$A:$A, 0))</f>
        <v>0</v>
      </c>
      <c r="AD34" s="398">
        <f>-INDEX('Fluxo Bandeira Co'!M:M, MATCH('Fluxo Investidores'!$A34, 'Fluxo Bandeira Co'!$A:$A, 0))</f>
        <v>0</v>
      </c>
      <c r="AF34" s="397">
        <f t="shared" ref="AF34:AF65" si="17">E34-F34+H34+J34+AC34-AD34</f>
        <v>0</v>
      </c>
      <c r="AG34" s="398">
        <f>IFERROR(INDEX('Fluxo Projeto'!AQ:AQ, MATCH('Fluxo Investidores'!A34, 'Fluxo Projeto'!A:A, 0)), 0)</f>
        <v>0</v>
      </c>
      <c r="AI34" s="397">
        <f t="shared" ref="AI34:AI65" si="18">IF($A34&gt;baseData, 1, ipcaData/$C34)*L34</f>
        <v>0</v>
      </c>
      <c r="AJ34" s="390">
        <f t="shared" ref="AJ34:AJ65" si="19">IF($A34&gt;baseData, 1, ipcaData/$C34)*M34</f>
        <v>0</v>
      </c>
      <c r="AK34" s="390">
        <f t="shared" ref="AK34:AK65" si="20">IF($A34&gt;baseData, 1, ipcaData/$C34)*N34</f>
        <v>0</v>
      </c>
      <c r="AL34" s="390">
        <f t="shared" ref="AL34:AL65" si="21">IF($A34&gt;baseData, 1, ipcaData/$C34)*O34</f>
        <v>0</v>
      </c>
      <c r="AM34" s="390">
        <f t="shared" ref="AM34:AM65" si="22">IF($A34&gt;baseData, 1, ipcaData/$C34)*P34</f>
        <v>0</v>
      </c>
      <c r="AN34" s="390">
        <f t="shared" ref="AN34:AN65" si="23">IF($A34&gt;baseData, 1, ipcaData/$C34)*Q34</f>
        <v>0</v>
      </c>
      <c r="AO34" s="390">
        <f t="shared" ref="AO34:AO65" si="24">IF($A34&gt;baseData, 1, ipcaData/$C34)*R34</f>
        <v>0</v>
      </c>
      <c r="AP34" s="390">
        <f t="shared" ref="AP34:AP65" si="25">IF($A34&gt;baseData, 1, ipcaData/$C34)*S34</f>
        <v>0</v>
      </c>
      <c r="AQ34" s="390">
        <f t="shared" ref="AQ34:AQ65" si="26">IF($A34&gt;baseData, 1, ipcaData/$C34)*T34</f>
        <v>0</v>
      </c>
      <c r="AR34" s="390">
        <f t="shared" ref="AR34:AR65" si="27">IF($A34&gt;baseData, 1, ipcaData/$C34)*U34</f>
        <v>0</v>
      </c>
      <c r="AS34" s="390">
        <f t="shared" ref="AS34:AS65" si="28">IF($A34&gt;baseData, 1, ipcaData/$C34)*V34</f>
        <v>0</v>
      </c>
      <c r="AT34" s="390">
        <f t="shared" ref="AT34:AT65" si="29">IF($A34&gt;baseData, 1, ipcaData/$C34)*W34</f>
        <v>0</v>
      </c>
      <c r="AU34" s="398">
        <f t="shared" ref="AU34:AU65" si="30">IF($A34&gt;baseData, 1, ipcaData/$C34)*X34</f>
        <v>0</v>
      </c>
    </row>
    <row r="35" spans="1:47" x14ac:dyDescent="0.25">
      <c r="A35" s="197">
        <f t="shared" ref="A35:A66" si="31">DATE(YEAR(A34),MONTH(A34)+1,1)</f>
        <v>44075</v>
      </c>
      <c r="B35" s="388">
        <f>IF($A35&lt;=baseData, INDEX(Indicadores!B:B, MATCH($A35,Indicadores!A:A, 0)), INDEX(Indicadores!B:B, MATCH(baseData,Indicadores!A:A, 0)))</f>
        <v>814.70100000000002</v>
      </c>
      <c r="C35" s="389">
        <f>IF($A35&lt;=baseData, INDEX(Indicadores!E:E, MATCH($A35, Indicadores!A:A, 0)), INDEX(Indicadores!E:E, MATCH(baseData, Indicadores!A:A, 0)))</f>
        <v>5391.75</v>
      </c>
      <c r="E35" s="392">
        <v>0</v>
      </c>
      <c r="F35" s="426">
        <v>0</v>
      </c>
      <c r="G35" s="371"/>
      <c r="H35" s="399">
        <v>0</v>
      </c>
      <c r="I35" s="371"/>
      <c r="J35" s="399">
        <v>0</v>
      </c>
      <c r="L35" s="392">
        <v>0</v>
      </c>
      <c r="M35" s="425">
        <v>0</v>
      </c>
      <c r="N35" s="425">
        <v>0</v>
      </c>
      <c r="O35" s="425">
        <v>0</v>
      </c>
      <c r="P35" s="425">
        <v>0</v>
      </c>
      <c r="Q35" s="425">
        <v>0</v>
      </c>
      <c r="R35" s="425">
        <v>0</v>
      </c>
      <c r="S35" s="425">
        <v>0</v>
      </c>
      <c r="T35" s="425">
        <v>0</v>
      </c>
      <c r="U35" s="425">
        <v>0</v>
      </c>
      <c r="V35" s="425">
        <v>0</v>
      </c>
      <c r="W35" s="425">
        <v>0</v>
      </c>
      <c r="X35" s="426">
        <v>0</v>
      </c>
      <c r="Y35" s="390">
        <f t="shared" si="16"/>
        <v>0</v>
      </c>
      <c r="Z35" s="397">
        <f>-INDEX('Fluxo Bandeira Co'!AZ:AZ, MATCH($A35, 'Fluxo Bandeira Co'!$A:$A, 0))</f>
        <v>0</v>
      </c>
      <c r="AA35" s="398">
        <f>INDEX('Fluxo Bandeira Co'!J:J, MATCH($A35, 'Fluxo Bandeira Co'!$A:$A, 0))+INDEX('Fluxo Bandeira Co'!AK:AK, MATCH($A35, 'Fluxo Bandeira Co'!$A:$A, 0))</f>
        <v>0</v>
      </c>
      <c r="AB35" s="371"/>
      <c r="AC35" s="397">
        <f>-INDEX('Fluxo Bandeira Co'!L:L, MATCH('Fluxo Investidores'!$A35, 'Fluxo Bandeira Co'!$A:$A, 0))</f>
        <v>0</v>
      </c>
      <c r="AD35" s="398">
        <f>-INDEX('Fluxo Bandeira Co'!M:M, MATCH('Fluxo Investidores'!$A35, 'Fluxo Bandeira Co'!$A:$A, 0))</f>
        <v>0</v>
      </c>
      <c r="AF35" s="397">
        <f t="shared" si="17"/>
        <v>0</v>
      </c>
      <c r="AG35" s="398">
        <f>IFERROR(INDEX('Fluxo Projeto'!AQ:AQ, MATCH('Fluxo Investidores'!A35, 'Fluxo Projeto'!A:A, 0)), 0)</f>
        <v>0</v>
      </c>
      <c r="AI35" s="397">
        <f t="shared" si="18"/>
        <v>0</v>
      </c>
      <c r="AJ35" s="390">
        <f t="shared" si="19"/>
        <v>0</v>
      </c>
      <c r="AK35" s="390">
        <f t="shared" si="20"/>
        <v>0</v>
      </c>
      <c r="AL35" s="390">
        <f t="shared" si="21"/>
        <v>0</v>
      </c>
      <c r="AM35" s="390">
        <f t="shared" si="22"/>
        <v>0</v>
      </c>
      <c r="AN35" s="390">
        <f t="shared" si="23"/>
        <v>0</v>
      </c>
      <c r="AO35" s="390">
        <f t="shared" si="24"/>
        <v>0</v>
      </c>
      <c r="AP35" s="390">
        <f t="shared" si="25"/>
        <v>0</v>
      </c>
      <c r="AQ35" s="390">
        <f t="shared" si="26"/>
        <v>0</v>
      </c>
      <c r="AR35" s="390">
        <f t="shared" si="27"/>
        <v>0</v>
      </c>
      <c r="AS35" s="390">
        <f t="shared" si="28"/>
        <v>0</v>
      </c>
      <c r="AT35" s="390">
        <f t="shared" si="29"/>
        <v>0</v>
      </c>
      <c r="AU35" s="398">
        <f t="shared" si="30"/>
        <v>0</v>
      </c>
    </row>
    <row r="36" spans="1:47" x14ac:dyDescent="0.25">
      <c r="A36" s="197">
        <f t="shared" si="31"/>
        <v>44105</v>
      </c>
      <c r="B36" s="388">
        <f>IF($A36&lt;=baseData, INDEX(Indicadores!B:B, MATCH($A36,Indicadores!A:A, 0)), INDEX(Indicadores!B:B, MATCH(baseData,Indicadores!A:A, 0)))</f>
        <v>828.77800000000002</v>
      </c>
      <c r="C36" s="389">
        <f>IF($A36&lt;=baseData, INDEX(Indicadores!E:E, MATCH($A36, Indicadores!A:A, 0)), INDEX(Indicadores!E:E, MATCH(baseData, Indicadores!A:A, 0)))</f>
        <v>5438.12</v>
      </c>
      <c r="E36" s="392">
        <v>0</v>
      </c>
      <c r="F36" s="426">
        <v>0</v>
      </c>
      <c r="G36" s="371"/>
      <c r="H36" s="399">
        <v>0</v>
      </c>
      <c r="I36" s="371"/>
      <c r="J36" s="399">
        <v>0</v>
      </c>
      <c r="L36" s="392">
        <v>0</v>
      </c>
      <c r="M36" s="425">
        <v>0</v>
      </c>
      <c r="N36" s="425">
        <v>0</v>
      </c>
      <c r="O36" s="425">
        <v>0</v>
      </c>
      <c r="P36" s="425">
        <v>0</v>
      </c>
      <c r="Q36" s="425">
        <v>0</v>
      </c>
      <c r="R36" s="425">
        <v>0</v>
      </c>
      <c r="S36" s="425">
        <v>0</v>
      </c>
      <c r="T36" s="425">
        <v>0</v>
      </c>
      <c r="U36" s="425">
        <v>0</v>
      </c>
      <c r="V36" s="425">
        <v>0</v>
      </c>
      <c r="W36" s="425">
        <v>0</v>
      </c>
      <c r="X36" s="426">
        <v>0</v>
      </c>
      <c r="Y36" s="390">
        <f t="shared" si="16"/>
        <v>0</v>
      </c>
      <c r="Z36" s="397">
        <f>-INDEX('Fluxo Bandeira Co'!AZ:AZ, MATCH($A36, 'Fluxo Bandeira Co'!$A:$A, 0))</f>
        <v>0</v>
      </c>
      <c r="AA36" s="398">
        <f>INDEX('Fluxo Bandeira Co'!J:J, MATCH($A36, 'Fluxo Bandeira Co'!$A:$A, 0))+INDEX('Fluxo Bandeira Co'!AK:AK, MATCH($A36, 'Fluxo Bandeira Co'!$A:$A, 0))</f>
        <v>0</v>
      </c>
      <c r="AB36" s="371"/>
      <c r="AC36" s="397">
        <f>-INDEX('Fluxo Bandeira Co'!L:L, MATCH('Fluxo Investidores'!$A36, 'Fluxo Bandeira Co'!$A:$A, 0))</f>
        <v>0</v>
      </c>
      <c r="AD36" s="398">
        <f>-INDEX('Fluxo Bandeira Co'!M:M, MATCH('Fluxo Investidores'!$A36, 'Fluxo Bandeira Co'!$A:$A, 0))</f>
        <v>0</v>
      </c>
      <c r="AF36" s="397">
        <f t="shared" si="17"/>
        <v>0</v>
      </c>
      <c r="AG36" s="398">
        <f>IFERROR(INDEX('Fluxo Projeto'!AQ:AQ, MATCH('Fluxo Investidores'!A36, 'Fluxo Projeto'!A:A, 0)), 0)</f>
        <v>0</v>
      </c>
      <c r="AI36" s="397">
        <f t="shared" si="18"/>
        <v>0</v>
      </c>
      <c r="AJ36" s="390">
        <f t="shared" si="19"/>
        <v>0</v>
      </c>
      <c r="AK36" s="390">
        <f t="shared" si="20"/>
        <v>0</v>
      </c>
      <c r="AL36" s="390">
        <f t="shared" si="21"/>
        <v>0</v>
      </c>
      <c r="AM36" s="390">
        <f t="shared" si="22"/>
        <v>0</v>
      </c>
      <c r="AN36" s="390">
        <f t="shared" si="23"/>
        <v>0</v>
      </c>
      <c r="AO36" s="390">
        <f t="shared" si="24"/>
        <v>0</v>
      </c>
      <c r="AP36" s="390">
        <f t="shared" si="25"/>
        <v>0</v>
      </c>
      <c r="AQ36" s="390">
        <f t="shared" si="26"/>
        <v>0</v>
      </c>
      <c r="AR36" s="390">
        <f t="shared" si="27"/>
        <v>0</v>
      </c>
      <c r="AS36" s="390">
        <f t="shared" si="28"/>
        <v>0</v>
      </c>
      <c r="AT36" s="390">
        <f t="shared" si="29"/>
        <v>0</v>
      </c>
      <c r="AU36" s="398">
        <f t="shared" si="30"/>
        <v>0</v>
      </c>
    </row>
    <row r="37" spans="1:47" x14ac:dyDescent="0.25">
      <c r="A37" s="198">
        <f t="shared" si="31"/>
        <v>44136</v>
      </c>
      <c r="B37" s="402">
        <f>IF($A37&lt;=baseData, INDEX(Indicadores!B:B, MATCH($A37,Indicadores!A:A, 0)), INDEX(Indicadores!B:B, MATCH(baseData,Indicadores!A:A, 0)))</f>
        <v>839.38199999999995</v>
      </c>
      <c r="C37" s="403">
        <f>IF($A37&lt;=baseData, INDEX(Indicadores!E:E, MATCH($A37, Indicadores!A:A, 0)), INDEX(Indicadores!E:E, MATCH(baseData, Indicadores!A:A, 0)))</f>
        <v>5486.52</v>
      </c>
      <c r="D37" s="404"/>
      <c r="E37" s="406">
        <v>0</v>
      </c>
      <c r="F37" s="437">
        <v>0</v>
      </c>
      <c r="G37" s="404"/>
      <c r="H37" s="414">
        <v>0</v>
      </c>
      <c r="I37" s="404"/>
      <c r="J37" s="414">
        <v>0</v>
      </c>
      <c r="K37" s="404"/>
      <c r="L37" s="406">
        <v>-190643</v>
      </c>
      <c r="M37" s="438">
        <v>-190643</v>
      </c>
      <c r="N37" s="438">
        <v>-190643</v>
      </c>
      <c r="O37" s="438">
        <v>-190643</v>
      </c>
      <c r="P37" s="438">
        <v>-665296</v>
      </c>
      <c r="Q37" s="438">
        <v>-676314</v>
      </c>
      <c r="R37" s="428">
        <v>-694526</v>
      </c>
      <c r="S37" s="428">
        <v>-620996</v>
      </c>
      <c r="T37" s="428">
        <v>-190643</v>
      </c>
      <c r="U37" s="428">
        <v>-190642.99</v>
      </c>
      <c r="V37" s="428">
        <v>-190643</v>
      </c>
      <c r="W37" s="428">
        <v>-734074</v>
      </c>
      <c r="X37" s="437">
        <v>-190643</v>
      </c>
      <c r="Y37" s="404">
        <f t="shared" si="16"/>
        <v>4916349.99</v>
      </c>
      <c r="Z37" s="412">
        <f>-INDEX('Fluxo Bandeira Co'!AZ:AZ, MATCH($A37, 'Fluxo Bandeira Co'!$A:$A, 0))</f>
        <v>1732994.3307801546</v>
      </c>
      <c r="AA37" s="413">
        <f>INDEX('Fluxo Bandeira Co'!J:J, MATCH($A37, 'Fluxo Bandeira Co'!$A:$A, 0))+INDEX('Fluxo Bandeira Co'!AK:AK, MATCH($A37, 'Fluxo Bandeira Co'!$A:$A, 0))</f>
        <v>3183355.6592198457</v>
      </c>
      <c r="AB37" s="404"/>
      <c r="AC37" s="412">
        <f>-INDEX('Fluxo Bandeira Co'!L:L, MATCH('Fluxo Investidores'!$A37, 'Fluxo Bandeira Co'!$A:$A, 0))</f>
        <v>-4.6566128730773926E-10</v>
      </c>
      <c r="AD37" s="413">
        <f>-INDEX('Fluxo Bandeira Co'!M:M, MATCH('Fluxo Investidores'!$A37, 'Fluxo Bandeira Co'!$A:$A, 0))</f>
        <v>-3263661.4359717555</v>
      </c>
      <c r="AE37" s="404"/>
      <c r="AF37" s="412">
        <f t="shared" si="17"/>
        <v>3263661.4359717551</v>
      </c>
      <c r="AG37" s="413">
        <f>IFERROR(INDEX('Fluxo Projeto'!AQ:AQ, MATCH('Fluxo Investidores'!A37, 'Fluxo Projeto'!A:A, 0)), 0)</f>
        <v>0</v>
      </c>
      <c r="AI37" s="412">
        <f t="shared" si="18"/>
        <v>-190643</v>
      </c>
      <c r="AJ37" s="404">
        <f t="shared" si="19"/>
        <v>-190643</v>
      </c>
      <c r="AK37" s="404">
        <f t="shared" si="20"/>
        <v>-190643</v>
      </c>
      <c r="AL37" s="404">
        <f t="shared" si="21"/>
        <v>-190643</v>
      </c>
      <c r="AM37" s="404">
        <f t="shared" si="22"/>
        <v>-665296</v>
      </c>
      <c r="AN37" s="404">
        <f t="shared" si="23"/>
        <v>-676314</v>
      </c>
      <c r="AO37" s="409">
        <f t="shared" si="24"/>
        <v>-694526</v>
      </c>
      <c r="AP37" s="409">
        <f t="shared" si="25"/>
        <v>-620996</v>
      </c>
      <c r="AQ37" s="409">
        <f t="shared" si="26"/>
        <v>-190643</v>
      </c>
      <c r="AR37" s="409">
        <f t="shared" si="27"/>
        <v>-190642.99</v>
      </c>
      <c r="AS37" s="409">
        <f t="shared" si="28"/>
        <v>-190643</v>
      </c>
      <c r="AT37" s="409">
        <f t="shared" si="29"/>
        <v>-734074</v>
      </c>
      <c r="AU37" s="413">
        <f t="shared" si="30"/>
        <v>-190643</v>
      </c>
    </row>
    <row r="38" spans="1:47" x14ac:dyDescent="0.25">
      <c r="A38" s="197">
        <f t="shared" si="31"/>
        <v>44166</v>
      </c>
      <c r="B38" s="388">
        <f>IF($A38&lt;=baseData, INDEX(Indicadores!B:B, MATCH($A38,Indicadores!A:A, 0)), INDEX(Indicadores!B:B, MATCH(baseData,Indicadores!A:A, 0)))</f>
        <v>839.38199999999995</v>
      </c>
      <c r="C38" s="389">
        <f>IF($A38&lt;=baseData, INDEX(Indicadores!E:E, MATCH($A38, Indicadores!A:A, 0)), INDEX(Indicadores!E:E, MATCH(baseData, Indicadores!A:A, 0)))</f>
        <v>5486.52</v>
      </c>
      <c r="E38" s="397">
        <f t="shared" ref="E38:E69" ca="1" si="32">AG38*pctLDI</f>
        <v>0</v>
      </c>
      <c r="F38" s="398">
        <v>0</v>
      </c>
      <c r="G38" s="371"/>
      <c r="H38" s="393">
        <f t="shared" ref="H38:H69" ca="1" si="33">AG38*pctCM</f>
        <v>0</v>
      </c>
      <c r="I38" s="371"/>
      <c r="J38" s="393">
        <f t="shared" ref="J38:J69" ca="1" si="34">AG38*pctSeedMoney</f>
        <v>0</v>
      </c>
      <c r="L38" s="397">
        <f ca="1">IF($A38&gt;baseData, -$Z38*IF($Z38&gt;0, INDEX(Investidores!$K$3:$K$15, MATCH(L$1, Investidores!$B$3:$B$15, 0)), INDEX(Investidores!$K$3:$K$15, MATCH(L$1, Investidores!$B$3:$B$15, 0)))-IFERROR(INDEX(Permutas!$X:$AB, MATCH($A38, Permutas!$N:$N, 0), MATCH(L$1, Permutas!$X$2:$AB$2, 0)), 0)+IF($A38=EDATE(entrega,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38" s="390">
        <f ca="1">IF($A38&gt;baseData, -$Z38*IF($Z38&gt;0, INDEX(Investidores!$K$3:$K$15, MATCH(M$1, Investidores!$B$3:$B$15, 0)), INDEX(Investidores!$K$3:$K$15, MATCH(M$1, Investidores!$B$3:$B$15, 0)))-IFERROR(INDEX(Permutas!$X:$AB, MATCH($A38, Permutas!$N:$N, 0), MATCH(M$1, Permutas!$X$2:$AB$2, 0)), 0)+IF($A38=EDATE(entrega,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38" s="390">
        <f ca="1">IF($A38&gt;baseData, -$Z38*IF($Z38&gt;0, INDEX(Investidores!$K$3:$K$15, MATCH(N$1, Investidores!$B$3:$B$15, 0)), INDEX(Investidores!$K$3:$K$15, MATCH(N$1, Investidores!$B$3:$B$15, 0)))-IFERROR(INDEX(Permutas!$X:$AB, MATCH($A38, Permutas!$N:$N, 0), MATCH(N$1, Permutas!$X$2:$AB$2, 0)), 0)+IF($A38=EDATE(entrega,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38" s="390">
        <f ca="1">IF($A38&gt;baseData, -$Z38*IF($Z38&gt;0, INDEX(Investidores!$K$3:$K$15, MATCH(O$1, Investidores!$B$3:$B$15, 0)), INDEX(Investidores!$K$3:$K$15, MATCH(O$1, Investidores!$B$3:$B$15, 0)))-IFERROR(INDEX(Permutas!$X:$AB, MATCH($A38, Permutas!$N:$N, 0), MATCH(O$1, Permutas!$X$2:$AB$2, 0)), 0)+IF($A38=EDATE(entrega,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38" s="390">
        <f ca="1">IF($A38&gt;baseData, -$Z38*IF($Z38&gt;0, INDEX(Investidores!$K$3:$K$15, MATCH(P$1, Investidores!$B$3:$B$15, 0)), INDEX(Investidores!$K$3:$K$15, MATCH(P$1, Investidores!$B$3:$B$15, 0)))-IFERROR(INDEX(Permutas!$X:$AB, MATCH($A38, Permutas!$N:$N, 0), MATCH(P$1, Permutas!$X$2:$AB$2, 0)), 0)+IF($A38=EDATE(entrega,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38" s="390">
        <f ca="1">IF($A38&gt;baseData, -$Z38*IF($Z38&gt;0, INDEX(Investidores!$K$3:$K$15, MATCH(Q$1, Investidores!$B$3:$B$15, 0)), INDEX(Investidores!$K$3:$K$15, MATCH(Q$1, Investidores!$B$3:$B$15, 0)))-IFERROR(INDEX(Permutas!$X:$AB, MATCH($A38, Permutas!$N:$N, 0), MATCH(Q$1, Permutas!$X$2:$AB$2, 0)), 0)+IF($A38=EDATE(entrega,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38" s="390">
        <f ca="1">IF($A38&gt;baseData, -$Z38*IF($Z38&gt;0, INDEX(Investidores!$K$3:$K$15, MATCH(R$1, Investidores!$B$3:$B$15, 0)), INDEX(Investidores!$K$3:$K$15, MATCH(R$1, Investidores!$B$3:$B$15, 0)))-IFERROR(INDEX(Permutas!$X:$AB, MATCH($A38, Permutas!$N:$N, 0), MATCH(R$1, Permutas!$X$2:$AB$2, 0)), 0)+IF($A38=EDATE(entrega,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38" s="390">
        <f ca="1">IF($A38&gt;baseData, -$Z38*IF($Z38&gt;0, INDEX(Investidores!$K$3:$K$15, MATCH(S$1, Investidores!$B$3:$B$15, 0)), INDEX(Investidores!$K$3:$K$15, MATCH(S$1, Investidores!$B$3:$B$15, 0)))-IFERROR(INDEX(Permutas!$X:$AB, MATCH($A38, Permutas!$N:$N, 0), MATCH(S$1, Permutas!$X$2:$AB$2, 0)), 0)+IF($A38=EDATE(entrega,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38" s="390">
        <f ca="1">IF($A38&gt;baseData, -$Z38*IF($Z38&gt;0, INDEX(Investidores!$K$3:$K$15, MATCH(T$1, Investidores!$B$3:$B$15, 0)), INDEX(Investidores!$K$3:$K$15, MATCH(T$1, Investidores!$B$3:$B$15, 0)))-IFERROR(INDEX(Permutas!$X:$AB, MATCH($A38, Permutas!$N:$N, 0), MATCH(T$1, Permutas!$X$2:$AB$2, 0)), 0)+IF($A38=EDATE(entrega,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38" s="390">
        <f ca="1">IF($A38&gt;baseData, -$Z38*IF($Z38&gt;0, INDEX(Investidores!$K$3:$K$15, MATCH(U$1, Investidores!$B$3:$B$15, 0)), INDEX(Investidores!$K$3:$K$15, MATCH(U$1, Investidores!$B$3:$B$15, 0)))-IFERROR(INDEX(Permutas!$X:$AB, MATCH($A38, Permutas!$N:$N, 0), MATCH(U$1, Permutas!$X$2:$AB$2, 0)), 0)+IF($A38=EDATE(entrega,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38" s="390">
        <f ca="1">IF($A38&gt;baseData, -$Z38*IF($Z38&gt;0, INDEX(Investidores!$K$3:$K$15, MATCH(V$1, Investidores!$B$3:$B$15, 0)), INDEX(Investidores!$K$3:$K$15, MATCH(V$1, Investidores!$B$3:$B$15, 0)))-IFERROR(INDEX(Permutas!$X:$AB, MATCH($A38, Permutas!$N:$N, 0), MATCH(V$1, Permutas!$X$2:$AB$2, 0)), 0)+IF($A38=EDATE(entrega,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38" s="415">
        <f ca="1">IF($A38&gt;baseData, -$Z38*IF($Z38&gt;0, INDEX(Investidores!$K$3:$K$15, MATCH(W$1, Investidores!$B$3:$B$15, 0)), INDEX(Investidores!$K$3:$K$15, MATCH(W$1, Investidores!$B$3:$B$15, 0)))-IFERROR(INDEX(Permutas!$X:$AB, MATCH($A38, Permutas!$N:$N, 0), MATCH(W$1, Permutas!$X$2:$AB$2, 0)), 0)+IF($A38=EDATE(entrega,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38" s="398">
        <f ca="1">IF($A38&gt;baseData, -$Z38*IF($Z38&gt;0, INDEX(Investidores!$K$3:$K$15, MATCH(X$1, Investidores!$B$3:$B$15, 0)), INDEX(Investidores!$K$3:$K$15, MATCH(X$1, Investidores!$B$3:$B$15, 0)))-IFERROR(INDEX(Permutas!$X:$AB, MATCH($A38, Permutas!$N:$N, 0), MATCH(X$1, Permutas!$X$2:$AB$2, 0)), 0)+IF($A38=EDATE(entrega,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38" s="390">
        <f t="shared" ca="1" si="16"/>
        <v>0</v>
      </c>
      <c r="Z38" s="397">
        <f ca="1">-INDEX('Fluxo Bandeira Co'!AZ:AZ, MATCH($A38, 'Fluxo Bandeira Co'!$A:$A, 0))</f>
        <v>0</v>
      </c>
      <c r="AA38" s="398">
        <f>INDEX('Fluxo Bandeira Co'!J:J, MATCH($A38, 'Fluxo Bandeira Co'!$A:$A, 0))+INDEX('Fluxo Bandeira Co'!AK:AK, MATCH($A38, 'Fluxo Bandeira Co'!$A:$A, 0))</f>
        <v>0</v>
      </c>
      <c r="AB38" s="371"/>
      <c r="AC38" s="397">
        <f ca="1">-INDEX('Fluxo Bandeira Co'!L:L, MATCH('Fluxo Investidores'!$A38, 'Fluxo Bandeira Co'!$A:$A, 0))</f>
        <v>0</v>
      </c>
      <c r="AD38" s="398">
        <f>-INDEX('Fluxo Bandeira Co'!M:M, MATCH('Fluxo Investidores'!$A38, 'Fluxo Bandeira Co'!$A:$A, 0))</f>
        <v>0</v>
      </c>
      <c r="AF38" s="397">
        <f t="shared" ca="1" si="17"/>
        <v>0</v>
      </c>
      <c r="AG38" s="398">
        <f ca="1">IFERROR(INDEX('Fluxo Projeto'!AQ:AQ, MATCH('Fluxo Investidores'!A38, 'Fluxo Projeto'!A:A, 0)), 0)</f>
        <v>0</v>
      </c>
      <c r="AI38" s="397">
        <f t="shared" ca="1" si="18"/>
        <v>0</v>
      </c>
      <c r="AJ38" s="390">
        <f t="shared" ca="1" si="19"/>
        <v>0</v>
      </c>
      <c r="AK38" s="390">
        <f t="shared" ca="1" si="20"/>
        <v>0</v>
      </c>
      <c r="AL38" s="390">
        <f t="shared" ca="1" si="21"/>
        <v>0</v>
      </c>
      <c r="AM38" s="390">
        <f t="shared" ca="1" si="22"/>
        <v>0</v>
      </c>
      <c r="AN38" s="390">
        <f t="shared" ca="1" si="23"/>
        <v>0</v>
      </c>
      <c r="AO38" s="390">
        <f t="shared" ca="1" si="24"/>
        <v>0</v>
      </c>
      <c r="AP38" s="390">
        <f t="shared" ca="1" si="25"/>
        <v>0</v>
      </c>
      <c r="AQ38" s="390">
        <f t="shared" ca="1" si="26"/>
        <v>0</v>
      </c>
      <c r="AR38" s="390">
        <f t="shared" ca="1" si="27"/>
        <v>0</v>
      </c>
      <c r="AS38" s="390">
        <f t="shared" ca="1" si="28"/>
        <v>0</v>
      </c>
      <c r="AT38" s="415">
        <f t="shared" ca="1" si="29"/>
        <v>0</v>
      </c>
      <c r="AU38" s="398">
        <f t="shared" ca="1" si="30"/>
        <v>0</v>
      </c>
    </row>
    <row r="39" spans="1:47" x14ac:dyDescent="0.25">
      <c r="A39" s="197">
        <f t="shared" si="31"/>
        <v>44197</v>
      </c>
      <c r="B39" s="388">
        <f>IF($A39&lt;=baseData, INDEX(Indicadores!B:B, MATCH($A39,Indicadores!A:A, 0)), INDEX(Indicadores!B:B, MATCH(baseData,Indicadores!A:A, 0)))</f>
        <v>839.38199999999995</v>
      </c>
      <c r="C39" s="389">
        <f>IF($A39&lt;=baseData, INDEX(Indicadores!E:E, MATCH($A39, Indicadores!A:A, 0)), INDEX(Indicadores!E:E, MATCH(baseData, Indicadores!A:A, 0)))</f>
        <v>5486.52</v>
      </c>
      <c r="E39" s="397">
        <f t="shared" ca="1" si="32"/>
        <v>0</v>
      </c>
      <c r="F39" s="398">
        <v>-1012520</v>
      </c>
      <c r="G39" s="371"/>
      <c r="H39" s="393">
        <f t="shared" ca="1" si="33"/>
        <v>0</v>
      </c>
      <c r="I39" s="371"/>
      <c r="J39" s="393">
        <f t="shared" ca="1" si="34"/>
        <v>0</v>
      </c>
      <c r="L39" s="397">
        <f ca="1">IF($A39&gt;baseData, -$Z39*IF($Z39&gt;0, INDEX(Investidores!$K$3:$K$15, MATCH(L$1, Investidores!$B$3:$B$15, 0)), INDEX(Investidores!$K$3:$K$15, MATCH(L$1, Investidores!$B$3:$B$15, 0)))-IFERROR(INDEX(Permutas!$X:$AB, MATCH($A39, Permutas!$N:$N, 0), MATCH(L$1, Permutas!$X$2:$AB$2, 0)), 0)+IF($A39=EDATE(entrega,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39" s="390">
        <f ca="1">IF($A39&gt;baseData, -$Z39*IF($Z39&gt;0, INDEX(Investidores!$K$3:$K$15, MATCH(M$1, Investidores!$B$3:$B$15, 0)), INDEX(Investidores!$K$3:$K$15, MATCH(M$1, Investidores!$B$3:$B$15, 0)))-IFERROR(INDEX(Permutas!$X:$AB, MATCH($A39, Permutas!$N:$N, 0), MATCH(M$1, Permutas!$X$2:$AB$2, 0)), 0)+IF($A39=EDATE(entrega,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39" s="390">
        <f ca="1">IF($A39&gt;baseData, -$Z39*IF($Z39&gt;0, INDEX(Investidores!$K$3:$K$15, MATCH(N$1, Investidores!$B$3:$B$15, 0)), INDEX(Investidores!$K$3:$K$15, MATCH(N$1, Investidores!$B$3:$B$15, 0)))-IFERROR(INDEX(Permutas!$X:$AB, MATCH($A39, Permutas!$N:$N, 0), MATCH(N$1, Permutas!$X$2:$AB$2, 0)), 0)+IF($A39=EDATE(entrega,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39" s="390">
        <f ca="1">IF($A39&gt;baseData, -$Z39*IF($Z39&gt;0, INDEX(Investidores!$K$3:$K$15, MATCH(O$1, Investidores!$B$3:$B$15, 0)), INDEX(Investidores!$K$3:$K$15, MATCH(O$1, Investidores!$B$3:$B$15, 0)))-IFERROR(INDEX(Permutas!$X:$AB, MATCH($A39, Permutas!$N:$N, 0), MATCH(O$1, Permutas!$X$2:$AB$2, 0)), 0)+IF($A39=EDATE(entrega,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39" s="390">
        <f ca="1">IF($A39&gt;baseData, -$Z39*IF($Z39&gt;0, INDEX(Investidores!$K$3:$K$15, MATCH(P$1, Investidores!$B$3:$B$15, 0)), INDEX(Investidores!$K$3:$K$15, MATCH(P$1, Investidores!$B$3:$B$15, 0)))-IFERROR(INDEX(Permutas!$X:$AB, MATCH($A39, Permutas!$N:$N, 0), MATCH(P$1, Permutas!$X$2:$AB$2, 0)), 0)+IF($A39=EDATE(entrega,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39" s="390">
        <f ca="1">IF($A39&gt;baseData, -$Z39*IF($Z39&gt;0, INDEX(Investidores!$K$3:$K$15, MATCH(Q$1, Investidores!$B$3:$B$15, 0)), INDEX(Investidores!$K$3:$K$15, MATCH(Q$1, Investidores!$B$3:$B$15, 0)))-IFERROR(INDEX(Permutas!$X:$AB, MATCH($A39, Permutas!$N:$N, 0), MATCH(Q$1, Permutas!$X$2:$AB$2, 0)), 0)+IF($A39=EDATE(entrega,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39" s="390">
        <f ca="1">IF($A39&gt;baseData, -$Z39*IF($Z39&gt;0, INDEX(Investidores!$K$3:$K$15, MATCH(R$1, Investidores!$B$3:$B$15, 0)), INDEX(Investidores!$K$3:$K$15, MATCH(R$1, Investidores!$B$3:$B$15, 0)))-IFERROR(INDEX(Permutas!$X:$AB, MATCH($A39, Permutas!$N:$N, 0), MATCH(R$1, Permutas!$X$2:$AB$2, 0)), 0)+IF($A39=EDATE(entrega,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39" s="390">
        <f ca="1">IF($A39&gt;baseData, -$Z39*IF($Z39&gt;0, INDEX(Investidores!$K$3:$K$15, MATCH(S$1, Investidores!$B$3:$B$15, 0)), INDEX(Investidores!$K$3:$K$15, MATCH(S$1, Investidores!$B$3:$B$15, 0)))-IFERROR(INDEX(Permutas!$X:$AB, MATCH($A39, Permutas!$N:$N, 0), MATCH(S$1, Permutas!$X$2:$AB$2, 0)), 0)+IF($A39=EDATE(entrega,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39" s="390">
        <f ca="1">IF($A39&gt;baseData, -$Z39*IF($Z39&gt;0, INDEX(Investidores!$K$3:$K$15, MATCH(T$1, Investidores!$B$3:$B$15, 0)), INDEX(Investidores!$K$3:$K$15, MATCH(T$1, Investidores!$B$3:$B$15, 0)))-IFERROR(INDEX(Permutas!$X:$AB, MATCH($A39, Permutas!$N:$N, 0), MATCH(T$1, Permutas!$X$2:$AB$2, 0)), 0)+IF($A39=EDATE(entrega,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39" s="390">
        <f ca="1">IF($A39&gt;baseData, -$Z39*IF($Z39&gt;0, INDEX(Investidores!$K$3:$K$15, MATCH(U$1, Investidores!$B$3:$B$15, 0)), INDEX(Investidores!$K$3:$K$15, MATCH(U$1, Investidores!$B$3:$B$15, 0)))-IFERROR(INDEX(Permutas!$X:$AB, MATCH($A39, Permutas!$N:$N, 0), MATCH(U$1, Permutas!$X$2:$AB$2, 0)), 0)+IF($A39=EDATE(entrega,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39" s="390">
        <f ca="1">IF($A39&gt;baseData, -$Z39*IF($Z39&gt;0, INDEX(Investidores!$K$3:$K$15, MATCH(V$1, Investidores!$B$3:$B$15, 0)), INDEX(Investidores!$K$3:$K$15, MATCH(V$1, Investidores!$B$3:$B$15, 0)))-IFERROR(INDEX(Permutas!$X:$AB, MATCH($A39, Permutas!$N:$N, 0), MATCH(V$1, Permutas!$X$2:$AB$2, 0)), 0)+IF($A39=EDATE(entrega,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39" s="415">
        <f ca="1">IF($A39&gt;baseData, -$Z39*IF($Z39&gt;0, INDEX(Investidores!$K$3:$K$15, MATCH(W$1, Investidores!$B$3:$B$15, 0)), INDEX(Investidores!$K$3:$K$15, MATCH(W$1, Investidores!$B$3:$B$15, 0)))-IFERROR(INDEX(Permutas!$X:$AB, MATCH($A39, Permutas!$N:$N, 0), MATCH(W$1, Permutas!$X$2:$AB$2, 0)), 0)+IF($A39=EDATE(entrega,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39" s="398">
        <f ca="1">IF($A39&gt;baseData, -$Z39*IF($Z39&gt;0, INDEX(Investidores!$K$3:$K$15, MATCH(X$1, Investidores!$B$3:$B$15, 0)), INDEX(Investidores!$K$3:$K$15, MATCH(X$1, Investidores!$B$3:$B$15, 0)))-IFERROR(INDEX(Permutas!$X:$AB, MATCH($A39, Permutas!$N:$N, 0), MATCH(X$1, Permutas!$X$2:$AB$2, 0)), 0)+IF($A39=EDATE(entrega,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39" s="390">
        <f t="shared" ca="1" si="16"/>
        <v>0</v>
      </c>
      <c r="Z39" s="397">
        <f ca="1">-INDEX('Fluxo Bandeira Co'!AZ:AZ, MATCH($A39, 'Fluxo Bandeira Co'!$A:$A, 0))</f>
        <v>0</v>
      </c>
      <c r="AA39" s="398">
        <f>INDEX('Fluxo Bandeira Co'!J:J, MATCH($A39, 'Fluxo Bandeira Co'!$A:$A, 0))+INDEX('Fluxo Bandeira Co'!AK:AK, MATCH($A39, 'Fluxo Bandeira Co'!$A:$A, 0))</f>
        <v>0</v>
      </c>
      <c r="AB39" s="371"/>
      <c r="AC39" s="397">
        <f ca="1">-INDEX('Fluxo Bandeira Co'!L:L, MATCH('Fluxo Investidores'!$A39, 'Fluxo Bandeira Co'!$A:$A, 0))</f>
        <v>0</v>
      </c>
      <c r="AD39" s="398">
        <f>-INDEX('Fluxo Bandeira Co'!M:M, MATCH('Fluxo Investidores'!$A39, 'Fluxo Bandeira Co'!$A:$A, 0))</f>
        <v>0</v>
      </c>
      <c r="AF39" s="397">
        <f t="shared" ca="1" si="17"/>
        <v>1012520</v>
      </c>
      <c r="AG39" s="398">
        <f ca="1">IFERROR(INDEX('Fluxo Projeto'!AQ:AQ, MATCH('Fluxo Investidores'!A39, 'Fluxo Projeto'!A:A, 0)), 0)</f>
        <v>0</v>
      </c>
      <c r="AI39" s="397">
        <f t="shared" ca="1" si="18"/>
        <v>0</v>
      </c>
      <c r="AJ39" s="390">
        <f t="shared" ca="1" si="19"/>
        <v>0</v>
      </c>
      <c r="AK39" s="390">
        <f t="shared" ca="1" si="20"/>
        <v>0</v>
      </c>
      <c r="AL39" s="390">
        <f t="shared" ca="1" si="21"/>
        <v>0</v>
      </c>
      <c r="AM39" s="390">
        <f t="shared" ca="1" si="22"/>
        <v>0</v>
      </c>
      <c r="AN39" s="390">
        <f t="shared" ca="1" si="23"/>
        <v>0</v>
      </c>
      <c r="AO39" s="390">
        <f t="shared" ca="1" si="24"/>
        <v>0</v>
      </c>
      <c r="AP39" s="390">
        <f t="shared" ca="1" si="25"/>
        <v>0</v>
      </c>
      <c r="AQ39" s="390">
        <f t="shared" ca="1" si="26"/>
        <v>0</v>
      </c>
      <c r="AR39" s="390">
        <f t="shared" ca="1" si="27"/>
        <v>0</v>
      </c>
      <c r="AS39" s="390">
        <f t="shared" ca="1" si="28"/>
        <v>0</v>
      </c>
      <c r="AT39" s="415">
        <f t="shared" ca="1" si="29"/>
        <v>0</v>
      </c>
      <c r="AU39" s="398">
        <f t="shared" ca="1" si="30"/>
        <v>0</v>
      </c>
    </row>
    <row r="40" spans="1:47" x14ac:dyDescent="0.25">
      <c r="A40" s="197">
        <f t="shared" si="31"/>
        <v>44228</v>
      </c>
      <c r="B40" s="388">
        <f>IF($A40&lt;=baseData, INDEX(Indicadores!B:B, MATCH($A40,Indicadores!A:A, 0)), INDEX(Indicadores!B:B, MATCH(baseData,Indicadores!A:A, 0)))</f>
        <v>839.38199999999995</v>
      </c>
      <c r="C40" s="389">
        <f>IF($A40&lt;=baseData, INDEX(Indicadores!E:E, MATCH($A40, Indicadores!A:A, 0)), INDEX(Indicadores!E:E, MATCH(baseData, Indicadores!A:A, 0)))</f>
        <v>5486.52</v>
      </c>
      <c r="E40" s="397">
        <f t="shared" ca="1" si="32"/>
        <v>0</v>
      </c>
      <c r="F40" s="398">
        <v>0</v>
      </c>
      <c r="G40" s="371"/>
      <c r="H40" s="393">
        <f t="shared" ca="1" si="33"/>
        <v>0</v>
      </c>
      <c r="I40" s="371"/>
      <c r="J40" s="393">
        <f t="shared" ca="1" si="34"/>
        <v>0</v>
      </c>
      <c r="L40" s="397">
        <f ca="1">IF($A40&gt;baseData, -$Z40*IF($Z40&gt;0, INDEX(Investidores!$K$3:$K$15, MATCH(L$1, Investidores!$B$3:$B$15, 0)), INDEX(Investidores!$K$3:$K$15, MATCH(L$1, Investidores!$B$3:$B$15, 0)))-IFERROR(INDEX(Permutas!$X:$AB, MATCH($A40, Permutas!$N:$N, 0), MATCH(L$1, Permutas!$X$2:$AB$2, 0)), 0)+IF($A40=EDATE(entrega,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0" s="390">
        <f ca="1">IF($A40&gt;baseData, -$Z40*IF($Z40&gt;0, INDEX(Investidores!$K$3:$K$15, MATCH(M$1, Investidores!$B$3:$B$15, 0)), INDEX(Investidores!$K$3:$K$15, MATCH(M$1, Investidores!$B$3:$B$15, 0)))-IFERROR(INDEX(Permutas!$X:$AB, MATCH($A40, Permutas!$N:$N, 0), MATCH(M$1, Permutas!$X$2:$AB$2, 0)), 0)+IF($A40=EDATE(entrega,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0" s="390">
        <f ca="1">IF($A40&gt;baseData, -$Z40*IF($Z40&gt;0, INDEX(Investidores!$K$3:$K$15, MATCH(N$1, Investidores!$B$3:$B$15, 0)), INDEX(Investidores!$K$3:$K$15, MATCH(N$1, Investidores!$B$3:$B$15, 0)))-IFERROR(INDEX(Permutas!$X:$AB, MATCH($A40, Permutas!$N:$N, 0), MATCH(N$1, Permutas!$X$2:$AB$2, 0)), 0)+IF($A40=EDATE(entrega,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0" s="390">
        <f ca="1">IF($A40&gt;baseData, -$Z40*IF($Z40&gt;0, INDEX(Investidores!$K$3:$K$15, MATCH(O$1, Investidores!$B$3:$B$15, 0)), INDEX(Investidores!$K$3:$K$15, MATCH(O$1, Investidores!$B$3:$B$15, 0)))-IFERROR(INDEX(Permutas!$X:$AB, MATCH($A40, Permutas!$N:$N, 0), MATCH(O$1, Permutas!$X$2:$AB$2, 0)), 0)+IF($A40=EDATE(entrega,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0" s="390">
        <f ca="1">IF($A40&gt;baseData, -$Z40*IF($Z40&gt;0, INDEX(Investidores!$K$3:$K$15, MATCH(P$1, Investidores!$B$3:$B$15, 0)), INDEX(Investidores!$K$3:$K$15, MATCH(P$1, Investidores!$B$3:$B$15, 0)))-IFERROR(INDEX(Permutas!$X:$AB, MATCH($A40, Permutas!$N:$N, 0), MATCH(P$1, Permutas!$X$2:$AB$2, 0)), 0)+IF($A40=EDATE(entrega,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0" s="390">
        <f ca="1">IF($A40&gt;baseData, -$Z40*IF($Z40&gt;0, INDEX(Investidores!$K$3:$K$15, MATCH(Q$1, Investidores!$B$3:$B$15, 0)), INDEX(Investidores!$K$3:$K$15, MATCH(Q$1, Investidores!$B$3:$B$15, 0)))-IFERROR(INDEX(Permutas!$X:$AB, MATCH($A40, Permutas!$N:$N, 0), MATCH(Q$1, Permutas!$X$2:$AB$2, 0)), 0)+IF($A40=EDATE(entrega,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0" s="390">
        <f ca="1">IF($A40&gt;baseData, -$Z40*IF($Z40&gt;0, INDEX(Investidores!$K$3:$K$15, MATCH(R$1, Investidores!$B$3:$B$15, 0)), INDEX(Investidores!$K$3:$K$15, MATCH(R$1, Investidores!$B$3:$B$15, 0)))-IFERROR(INDEX(Permutas!$X:$AB, MATCH($A40, Permutas!$N:$N, 0), MATCH(R$1, Permutas!$X$2:$AB$2, 0)), 0)+IF($A40=EDATE(entrega,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0" s="390">
        <f ca="1">IF($A40&gt;baseData, -$Z40*IF($Z40&gt;0, INDEX(Investidores!$K$3:$K$15, MATCH(S$1, Investidores!$B$3:$B$15, 0)), INDEX(Investidores!$K$3:$K$15, MATCH(S$1, Investidores!$B$3:$B$15, 0)))-IFERROR(INDEX(Permutas!$X:$AB, MATCH($A40, Permutas!$N:$N, 0), MATCH(S$1, Permutas!$X$2:$AB$2, 0)), 0)+IF($A40=EDATE(entrega,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0" s="390">
        <f ca="1">IF($A40&gt;baseData, -$Z40*IF($Z40&gt;0, INDEX(Investidores!$K$3:$K$15, MATCH(T$1, Investidores!$B$3:$B$15, 0)), INDEX(Investidores!$K$3:$K$15, MATCH(T$1, Investidores!$B$3:$B$15, 0)))-IFERROR(INDEX(Permutas!$X:$AB, MATCH($A40, Permutas!$N:$N, 0), MATCH(T$1, Permutas!$X$2:$AB$2, 0)), 0)+IF($A40=EDATE(entrega,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0" s="390">
        <f ca="1">IF($A40&gt;baseData, -$Z40*IF($Z40&gt;0, INDEX(Investidores!$K$3:$K$15, MATCH(U$1, Investidores!$B$3:$B$15, 0)), INDEX(Investidores!$K$3:$K$15, MATCH(U$1, Investidores!$B$3:$B$15, 0)))-IFERROR(INDEX(Permutas!$X:$AB, MATCH($A40, Permutas!$N:$N, 0), MATCH(U$1, Permutas!$X$2:$AB$2, 0)), 0)+IF($A40=EDATE(entrega,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0" s="390">
        <f ca="1">IF($A40&gt;baseData, -$Z40*IF($Z40&gt;0, INDEX(Investidores!$K$3:$K$15, MATCH(V$1, Investidores!$B$3:$B$15, 0)), INDEX(Investidores!$K$3:$K$15, MATCH(V$1, Investidores!$B$3:$B$15, 0)))-IFERROR(INDEX(Permutas!$X:$AB, MATCH($A40, Permutas!$N:$N, 0), MATCH(V$1, Permutas!$X$2:$AB$2, 0)), 0)+IF($A40=EDATE(entrega,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0" s="415">
        <f ca="1">IF($A40&gt;baseData, -$Z40*IF($Z40&gt;0, INDEX(Investidores!$K$3:$K$15, MATCH(W$1, Investidores!$B$3:$B$15, 0)), INDEX(Investidores!$K$3:$K$15, MATCH(W$1, Investidores!$B$3:$B$15, 0)))-IFERROR(INDEX(Permutas!$X:$AB, MATCH($A40, Permutas!$N:$N, 0), MATCH(W$1, Permutas!$X$2:$AB$2, 0)), 0)+IF($A40=EDATE(entrega,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0" s="398">
        <f ca="1">IF($A40&gt;baseData, -$Z40*IF($Z40&gt;0, INDEX(Investidores!$K$3:$K$15, MATCH(X$1, Investidores!$B$3:$B$15, 0)), INDEX(Investidores!$K$3:$K$15, MATCH(X$1, Investidores!$B$3:$B$15, 0)))-IFERROR(INDEX(Permutas!$X:$AB, MATCH($A40, Permutas!$N:$N, 0), MATCH(X$1, Permutas!$X$2:$AB$2, 0)), 0)+IF($A40=EDATE(entrega,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0" s="390">
        <f t="shared" ca="1" si="16"/>
        <v>0</v>
      </c>
      <c r="Z40" s="397">
        <f ca="1">-INDEX('Fluxo Bandeira Co'!AZ:AZ, MATCH($A40, 'Fluxo Bandeira Co'!$A:$A, 0))</f>
        <v>0</v>
      </c>
      <c r="AA40" s="398">
        <f>INDEX('Fluxo Bandeira Co'!J:J, MATCH($A40, 'Fluxo Bandeira Co'!$A:$A, 0))+INDEX('Fluxo Bandeira Co'!AK:AK, MATCH($A40, 'Fluxo Bandeira Co'!$A:$A, 0))</f>
        <v>0</v>
      </c>
      <c r="AB40" s="371"/>
      <c r="AC40" s="397">
        <f ca="1">-INDEX('Fluxo Bandeira Co'!L:L, MATCH('Fluxo Investidores'!$A40, 'Fluxo Bandeira Co'!$A:$A, 0))</f>
        <v>0</v>
      </c>
      <c r="AD40" s="398">
        <f>-INDEX('Fluxo Bandeira Co'!M:M, MATCH('Fluxo Investidores'!$A40, 'Fluxo Bandeira Co'!$A:$A, 0))</f>
        <v>0</v>
      </c>
      <c r="AF40" s="397">
        <f t="shared" ca="1" si="17"/>
        <v>0</v>
      </c>
      <c r="AG40" s="398">
        <f ca="1">IFERROR(INDEX('Fluxo Projeto'!AQ:AQ, MATCH('Fluxo Investidores'!A40, 'Fluxo Projeto'!A:A, 0)), 0)</f>
        <v>0</v>
      </c>
      <c r="AI40" s="397">
        <f t="shared" ca="1" si="18"/>
        <v>0</v>
      </c>
      <c r="AJ40" s="390">
        <f t="shared" ca="1" si="19"/>
        <v>0</v>
      </c>
      <c r="AK40" s="390">
        <f t="shared" ca="1" si="20"/>
        <v>0</v>
      </c>
      <c r="AL40" s="390">
        <f t="shared" ca="1" si="21"/>
        <v>0</v>
      </c>
      <c r="AM40" s="390">
        <f t="shared" ca="1" si="22"/>
        <v>0</v>
      </c>
      <c r="AN40" s="390">
        <f t="shared" ca="1" si="23"/>
        <v>0</v>
      </c>
      <c r="AO40" s="390">
        <f t="shared" ca="1" si="24"/>
        <v>0</v>
      </c>
      <c r="AP40" s="390">
        <f t="shared" ca="1" si="25"/>
        <v>0</v>
      </c>
      <c r="AQ40" s="390">
        <f t="shared" ca="1" si="26"/>
        <v>0</v>
      </c>
      <c r="AR40" s="390">
        <f t="shared" ca="1" si="27"/>
        <v>0</v>
      </c>
      <c r="AS40" s="390">
        <f t="shared" ca="1" si="28"/>
        <v>0</v>
      </c>
      <c r="AT40" s="415">
        <f t="shared" ca="1" si="29"/>
        <v>0</v>
      </c>
      <c r="AU40" s="398">
        <f t="shared" ca="1" si="30"/>
        <v>0</v>
      </c>
    </row>
    <row r="41" spans="1:47" x14ac:dyDescent="0.25">
      <c r="A41" s="197">
        <f t="shared" si="31"/>
        <v>44256</v>
      </c>
      <c r="B41" s="388">
        <f>IF($A41&lt;=baseData, INDEX(Indicadores!B:B, MATCH($A41,Indicadores!A:A, 0)), INDEX(Indicadores!B:B, MATCH(baseData,Indicadores!A:A, 0)))</f>
        <v>839.38199999999995</v>
      </c>
      <c r="C41" s="389">
        <f>IF($A41&lt;=baseData, INDEX(Indicadores!E:E, MATCH($A41, Indicadores!A:A, 0)), INDEX(Indicadores!E:E, MATCH(baseData, Indicadores!A:A, 0)))</f>
        <v>5486.52</v>
      </c>
      <c r="E41" s="397">
        <f t="shared" ca="1" si="32"/>
        <v>0</v>
      </c>
      <c r="F41" s="398">
        <v>0</v>
      </c>
      <c r="G41" s="371"/>
      <c r="H41" s="393">
        <f t="shared" ca="1" si="33"/>
        <v>0</v>
      </c>
      <c r="I41" s="371"/>
      <c r="J41" s="393">
        <f t="shared" ca="1" si="34"/>
        <v>0</v>
      </c>
      <c r="L41" s="397">
        <f ca="1">IF($A41&gt;baseData, -$Z41*IF($Z41&gt;0, INDEX(Investidores!$K$3:$K$15, MATCH(L$1, Investidores!$B$3:$B$15, 0)), INDEX(Investidores!$K$3:$K$15, MATCH(L$1, Investidores!$B$3:$B$15, 0)))-IFERROR(INDEX(Permutas!$X:$AB, MATCH($A41, Permutas!$N:$N, 0), MATCH(L$1, Permutas!$X$2:$AB$2, 0)), 0)+IF($A41=EDATE(entrega,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1" s="390">
        <f ca="1">IF($A41&gt;baseData, -$Z41*IF($Z41&gt;0, INDEX(Investidores!$K$3:$K$15, MATCH(M$1, Investidores!$B$3:$B$15, 0)), INDEX(Investidores!$K$3:$K$15, MATCH(M$1, Investidores!$B$3:$B$15, 0)))-IFERROR(INDEX(Permutas!$X:$AB, MATCH($A41, Permutas!$N:$N, 0), MATCH(M$1, Permutas!$X$2:$AB$2, 0)), 0)+IF($A41=EDATE(entrega,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1" s="390">
        <f ca="1">IF($A41&gt;baseData, -$Z41*IF($Z41&gt;0, INDEX(Investidores!$K$3:$K$15, MATCH(N$1, Investidores!$B$3:$B$15, 0)), INDEX(Investidores!$K$3:$K$15, MATCH(N$1, Investidores!$B$3:$B$15, 0)))-IFERROR(INDEX(Permutas!$X:$AB, MATCH($A41, Permutas!$N:$N, 0), MATCH(N$1, Permutas!$X$2:$AB$2, 0)), 0)+IF($A41=EDATE(entrega,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1" s="390">
        <f ca="1">IF($A41&gt;baseData, -$Z41*IF($Z41&gt;0, INDEX(Investidores!$K$3:$K$15, MATCH(O$1, Investidores!$B$3:$B$15, 0)), INDEX(Investidores!$K$3:$K$15, MATCH(O$1, Investidores!$B$3:$B$15, 0)))-IFERROR(INDEX(Permutas!$X:$AB, MATCH($A41, Permutas!$N:$N, 0), MATCH(O$1, Permutas!$X$2:$AB$2, 0)), 0)+IF($A41=EDATE(entrega,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1" s="390">
        <f ca="1">IF($A41&gt;baseData, -$Z41*IF($Z41&gt;0, INDEX(Investidores!$K$3:$K$15, MATCH(P$1, Investidores!$B$3:$B$15, 0)), INDEX(Investidores!$K$3:$K$15, MATCH(P$1, Investidores!$B$3:$B$15, 0)))-IFERROR(INDEX(Permutas!$X:$AB, MATCH($A41, Permutas!$N:$N, 0), MATCH(P$1, Permutas!$X$2:$AB$2, 0)), 0)+IF($A41=EDATE(entrega,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1" s="390">
        <f ca="1">IF($A41&gt;baseData, -$Z41*IF($Z41&gt;0, INDEX(Investidores!$K$3:$K$15, MATCH(Q$1, Investidores!$B$3:$B$15, 0)), INDEX(Investidores!$K$3:$K$15, MATCH(Q$1, Investidores!$B$3:$B$15, 0)))-IFERROR(INDEX(Permutas!$X:$AB, MATCH($A41, Permutas!$N:$N, 0), MATCH(Q$1, Permutas!$X$2:$AB$2, 0)), 0)+IF($A41=EDATE(entrega,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1" s="390">
        <f ca="1">IF($A41&gt;baseData, -$Z41*IF($Z41&gt;0, INDEX(Investidores!$K$3:$K$15, MATCH(R$1, Investidores!$B$3:$B$15, 0)), INDEX(Investidores!$K$3:$K$15, MATCH(R$1, Investidores!$B$3:$B$15, 0)))-IFERROR(INDEX(Permutas!$X:$AB, MATCH($A41, Permutas!$N:$N, 0), MATCH(R$1, Permutas!$X$2:$AB$2, 0)), 0)+IF($A41=EDATE(entrega,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1" s="390">
        <f ca="1">IF($A41&gt;baseData, -$Z41*IF($Z41&gt;0, INDEX(Investidores!$K$3:$K$15, MATCH(S$1, Investidores!$B$3:$B$15, 0)), INDEX(Investidores!$K$3:$K$15, MATCH(S$1, Investidores!$B$3:$B$15, 0)))-IFERROR(INDEX(Permutas!$X:$AB, MATCH($A41, Permutas!$N:$N, 0), MATCH(S$1, Permutas!$X$2:$AB$2, 0)), 0)+IF($A41=EDATE(entrega,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1" s="390">
        <f ca="1">IF($A41&gt;baseData, -$Z41*IF($Z41&gt;0, INDEX(Investidores!$K$3:$K$15, MATCH(T$1, Investidores!$B$3:$B$15, 0)), INDEX(Investidores!$K$3:$K$15, MATCH(T$1, Investidores!$B$3:$B$15, 0)))-IFERROR(INDEX(Permutas!$X:$AB, MATCH($A41, Permutas!$N:$N, 0), MATCH(T$1, Permutas!$X$2:$AB$2, 0)), 0)+IF($A41=EDATE(entrega,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1" s="390">
        <f ca="1">IF($A41&gt;baseData, -$Z41*IF($Z41&gt;0, INDEX(Investidores!$K$3:$K$15, MATCH(U$1, Investidores!$B$3:$B$15, 0)), INDEX(Investidores!$K$3:$K$15, MATCH(U$1, Investidores!$B$3:$B$15, 0)))-IFERROR(INDEX(Permutas!$X:$AB, MATCH($A41, Permutas!$N:$N, 0), MATCH(U$1, Permutas!$X$2:$AB$2, 0)), 0)+IF($A41=EDATE(entrega,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1" s="390">
        <f ca="1">IF($A41&gt;baseData, -$Z41*IF($Z41&gt;0, INDEX(Investidores!$K$3:$K$15, MATCH(V$1, Investidores!$B$3:$B$15, 0)), INDEX(Investidores!$K$3:$K$15, MATCH(V$1, Investidores!$B$3:$B$15, 0)))-IFERROR(INDEX(Permutas!$X:$AB, MATCH($A41, Permutas!$N:$N, 0), MATCH(V$1, Permutas!$X$2:$AB$2, 0)), 0)+IF($A41=EDATE(entrega,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1" s="415">
        <f ca="1">IF($A41&gt;baseData, -$Z41*IF($Z41&gt;0, INDEX(Investidores!$K$3:$K$15, MATCH(W$1, Investidores!$B$3:$B$15, 0)), INDEX(Investidores!$K$3:$K$15, MATCH(W$1, Investidores!$B$3:$B$15, 0)))-IFERROR(INDEX(Permutas!$X:$AB, MATCH($A41, Permutas!$N:$N, 0), MATCH(W$1, Permutas!$X$2:$AB$2, 0)), 0)+IF($A41=EDATE(entrega,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1" s="398">
        <f ca="1">IF($A41&gt;baseData, -$Z41*IF($Z41&gt;0, INDEX(Investidores!$K$3:$K$15, MATCH(X$1, Investidores!$B$3:$B$15, 0)), INDEX(Investidores!$K$3:$K$15, MATCH(X$1, Investidores!$B$3:$B$15, 0)))-IFERROR(INDEX(Permutas!$X:$AB, MATCH($A41, Permutas!$N:$N, 0), MATCH(X$1, Permutas!$X$2:$AB$2, 0)), 0)+IF($A41=EDATE(entrega,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1" s="390">
        <f t="shared" ca="1" si="16"/>
        <v>0</v>
      </c>
      <c r="Z41" s="397">
        <f ca="1">-INDEX('Fluxo Bandeira Co'!AZ:AZ, MATCH($A41, 'Fluxo Bandeira Co'!$A:$A, 0))</f>
        <v>0</v>
      </c>
      <c r="AA41" s="398">
        <f>INDEX('Fluxo Bandeira Co'!J:J, MATCH($A41, 'Fluxo Bandeira Co'!$A:$A, 0))+INDEX('Fluxo Bandeira Co'!AK:AK, MATCH($A41, 'Fluxo Bandeira Co'!$A:$A, 0))</f>
        <v>0</v>
      </c>
      <c r="AB41" s="371"/>
      <c r="AC41" s="397">
        <f ca="1">-INDEX('Fluxo Bandeira Co'!L:L, MATCH('Fluxo Investidores'!$A41, 'Fluxo Bandeira Co'!$A:$A, 0))</f>
        <v>0</v>
      </c>
      <c r="AD41" s="398">
        <f>-INDEX('Fluxo Bandeira Co'!M:M, MATCH('Fluxo Investidores'!$A41, 'Fluxo Bandeira Co'!$A:$A, 0))</f>
        <v>0</v>
      </c>
      <c r="AF41" s="397">
        <f t="shared" ca="1" si="17"/>
        <v>0</v>
      </c>
      <c r="AG41" s="398">
        <f ca="1">IFERROR(INDEX('Fluxo Projeto'!AQ:AQ, MATCH('Fluxo Investidores'!A41, 'Fluxo Projeto'!A:A, 0)), 0)</f>
        <v>0</v>
      </c>
      <c r="AI41" s="397">
        <f t="shared" ca="1" si="18"/>
        <v>0</v>
      </c>
      <c r="AJ41" s="390">
        <f t="shared" ca="1" si="19"/>
        <v>0</v>
      </c>
      <c r="AK41" s="390">
        <f t="shared" ca="1" si="20"/>
        <v>0</v>
      </c>
      <c r="AL41" s="390">
        <f t="shared" ca="1" si="21"/>
        <v>0</v>
      </c>
      <c r="AM41" s="390">
        <f t="shared" ca="1" si="22"/>
        <v>0</v>
      </c>
      <c r="AN41" s="390">
        <f t="shared" ca="1" si="23"/>
        <v>0</v>
      </c>
      <c r="AO41" s="390">
        <f t="shared" ca="1" si="24"/>
        <v>0</v>
      </c>
      <c r="AP41" s="390">
        <f t="shared" ca="1" si="25"/>
        <v>0</v>
      </c>
      <c r="AQ41" s="390">
        <f t="shared" ca="1" si="26"/>
        <v>0</v>
      </c>
      <c r="AR41" s="390">
        <f t="shared" ca="1" si="27"/>
        <v>0</v>
      </c>
      <c r="AS41" s="390">
        <f t="shared" ca="1" si="28"/>
        <v>0</v>
      </c>
      <c r="AT41" s="415">
        <f t="shared" ca="1" si="29"/>
        <v>0</v>
      </c>
      <c r="AU41" s="398">
        <f t="shared" ca="1" si="30"/>
        <v>0</v>
      </c>
    </row>
    <row r="42" spans="1:47" x14ac:dyDescent="0.25">
      <c r="A42" s="197">
        <f t="shared" si="31"/>
        <v>44287</v>
      </c>
      <c r="B42" s="388">
        <f>IF($A42&lt;=baseData, INDEX(Indicadores!B:B, MATCH($A42,Indicadores!A:A, 0)), INDEX(Indicadores!B:B, MATCH(baseData,Indicadores!A:A, 0)))</f>
        <v>839.38199999999995</v>
      </c>
      <c r="C42" s="389">
        <f>IF($A42&lt;=baseData, INDEX(Indicadores!E:E, MATCH($A42, Indicadores!A:A, 0)), INDEX(Indicadores!E:E, MATCH(baseData, Indicadores!A:A, 0)))</f>
        <v>5486.52</v>
      </c>
      <c r="E42" s="397">
        <f t="shared" ca="1" si="32"/>
        <v>0</v>
      </c>
      <c r="F42" s="398">
        <v>0</v>
      </c>
      <c r="G42" s="371"/>
      <c r="H42" s="393">
        <f t="shared" ca="1" si="33"/>
        <v>0</v>
      </c>
      <c r="I42" s="371"/>
      <c r="J42" s="393">
        <f t="shared" ca="1" si="34"/>
        <v>0</v>
      </c>
      <c r="L42" s="397">
        <f ca="1">IF($A42&gt;baseData, -$Z42*IF($Z42&gt;0, INDEX(Investidores!$K$3:$K$15, MATCH(L$1, Investidores!$B$3:$B$15, 0)), INDEX(Investidores!$K$3:$K$15, MATCH(L$1, Investidores!$B$3:$B$15, 0)))-IFERROR(INDEX(Permutas!$X:$AB, MATCH($A42, Permutas!$N:$N, 0), MATCH(L$1, Permutas!$X$2:$AB$2, 0)), 0)+IF($A42=EDATE(entrega,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2" s="390">
        <f ca="1">IF($A42&gt;baseData, -$Z42*IF($Z42&gt;0, INDEX(Investidores!$K$3:$K$15, MATCH(M$1, Investidores!$B$3:$B$15, 0)), INDEX(Investidores!$K$3:$K$15, MATCH(M$1, Investidores!$B$3:$B$15, 0)))-IFERROR(INDEX(Permutas!$X:$AB, MATCH($A42, Permutas!$N:$N, 0), MATCH(M$1, Permutas!$X$2:$AB$2, 0)), 0)+IF($A42=EDATE(entrega,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2" s="390">
        <f ca="1">IF($A42&gt;baseData, -$Z42*IF($Z42&gt;0, INDEX(Investidores!$K$3:$K$15, MATCH(N$1, Investidores!$B$3:$B$15, 0)), INDEX(Investidores!$K$3:$K$15, MATCH(N$1, Investidores!$B$3:$B$15, 0)))-IFERROR(INDEX(Permutas!$X:$AB, MATCH($A42, Permutas!$N:$N, 0), MATCH(N$1, Permutas!$X$2:$AB$2, 0)), 0)+IF($A42=EDATE(entrega,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2" s="390">
        <f ca="1">IF($A42&gt;baseData, -$Z42*IF($Z42&gt;0, INDEX(Investidores!$K$3:$K$15, MATCH(O$1, Investidores!$B$3:$B$15, 0)), INDEX(Investidores!$K$3:$K$15, MATCH(O$1, Investidores!$B$3:$B$15, 0)))-IFERROR(INDEX(Permutas!$X:$AB, MATCH($A42, Permutas!$N:$N, 0), MATCH(O$1, Permutas!$X$2:$AB$2, 0)), 0)+IF($A42=EDATE(entrega,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2" s="390">
        <f ca="1">IF($A42&gt;baseData, -$Z42*IF($Z42&gt;0, INDEX(Investidores!$K$3:$K$15, MATCH(P$1, Investidores!$B$3:$B$15, 0)), INDEX(Investidores!$K$3:$K$15, MATCH(P$1, Investidores!$B$3:$B$15, 0)))-IFERROR(INDEX(Permutas!$X:$AB, MATCH($A42, Permutas!$N:$N, 0), MATCH(P$1, Permutas!$X$2:$AB$2, 0)), 0)+IF($A42=EDATE(entrega,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2" s="390">
        <f ca="1">IF($A42&gt;baseData, -$Z42*IF($Z42&gt;0, INDEX(Investidores!$K$3:$K$15, MATCH(Q$1, Investidores!$B$3:$B$15, 0)), INDEX(Investidores!$K$3:$K$15, MATCH(Q$1, Investidores!$B$3:$B$15, 0)))-IFERROR(INDEX(Permutas!$X:$AB, MATCH($A42, Permutas!$N:$N, 0), MATCH(Q$1, Permutas!$X$2:$AB$2, 0)), 0)+IF($A42=EDATE(entrega,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2" s="390">
        <f ca="1">IF($A42&gt;baseData, -$Z42*IF($Z42&gt;0, INDEX(Investidores!$K$3:$K$15, MATCH(R$1, Investidores!$B$3:$B$15, 0)), INDEX(Investidores!$K$3:$K$15, MATCH(R$1, Investidores!$B$3:$B$15, 0)))-IFERROR(INDEX(Permutas!$X:$AB, MATCH($A42, Permutas!$N:$N, 0), MATCH(R$1, Permutas!$X$2:$AB$2, 0)), 0)+IF($A42=EDATE(entrega,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2" s="390">
        <f ca="1">IF($A42&gt;baseData, -$Z42*IF($Z42&gt;0, INDEX(Investidores!$K$3:$K$15, MATCH(S$1, Investidores!$B$3:$B$15, 0)), INDEX(Investidores!$K$3:$K$15, MATCH(S$1, Investidores!$B$3:$B$15, 0)))-IFERROR(INDEX(Permutas!$X:$AB, MATCH($A42, Permutas!$N:$N, 0), MATCH(S$1, Permutas!$X$2:$AB$2, 0)), 0)+IF($A42=EDATE(entrega,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2" s="390">
        <f ca="1">IF($A42&gt;baseData, -$Z42*IF($Z42&gt;0, INDEX(Investidores!$K$3:$K$15, MATCH(T$1, Investidores!$B$3:$B$15, 0)), INDEX(Investidores!$K$3:$K$15, MATCH(T$1, Investidores!$B$3:$B$15, 0)))-IFERROR(INDEX(Permutas!$X:$AB, MATCH($A42, Permutas!$N:$N, 0), MATCH(T$1, Permutas!$X$2:$AB$2, 0)), 0)+IF($A42=EDATE(entrega,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2" s="390">
        <f ca="1">IF($A42&gt;baseData, -$Z42*IF($Z42&gt;0, INDEX(Investidores!$K$3:$K$15, MATCH(U$1, Investidores!$B$3:$B$15, 0)), INDEX(Investidores!$K$3:$K$15, MATCH(U$1, Investidores!$B$3:$B$15, 0)))-IFERROR(INDEX(Permutas!$X:$AB, MATCH($A42, Permutas!$N:$N, 0), MATCH(U$1, Permutas!$X$2:$AB$2, 0)), 0)+IF($A42=EDATE(entrega,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2" s="390">
        <f ca="1">IF($A42&gt;baseData, -$Z42*IF($Z42&gt;0, INDEX(Investidores!$K$3:$K$15, MATCH(V$1, Investidores!$B$3:$B$15, 0)), INDEX(Investidores!$K$3:$K$15, MATCH(V$1, Investidores!$B$3:$B$15, 0)))-IFERROR(INDEX(Permutas!$X:$AB, MATCH($A42, Permutas!$N:$N, 0), MATCH(V$1, Permutas!$X$2:$AB$2, 0)), 0)+IF($A42=EDATE(entrega,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2" s="415">
        <f ca="1">IF($A42&gt;baseData, -$Z42*IF($Z42&gt;0, INDEX(Investidores!$K$3:$K$15, MATCH(W$1, Investidores!$B$3:$B$15, 0)), INDEX(Investidores!$K$3:$K$15, MATCH(W$1, Investidores!$B$3:$B$15, 0)))-IFERROR(INDEX(Permutas!$X:$AB, MATCH($A42, Permutas!$N:$N, 0), MATCH(W$1, Permutas!$X$2:$AB$2, 0)), 0)+IF($A42=EDATE(entrega,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2" s="398">
        <f ca="1">IF($A42&gt;baseData, -$Z42*IF($Z42&gt;0, INDEX(Investidores!$K$3:$K$15, MATCH(X$1, Investidores!$B$3:$B$15, 0)), INDEX(Investidores!$K$3:$K$15, MATCH(X$1, Investidores!$B$3:$B$15, 0)))-IFERROR(INDEX(Permutas!$X:$AB, MATCH($A42, Permutas!$N:$N, 0), MATCH(X$1, Permutas!$X$2:$AB$2, 0)), 0)+IF($A42=EDATE(entrega,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2" s="390">
        <f t="shared" ca="1" si="16"/>
        <v>0</v>
      </c>
      <c r="Z42" s="397">
        <f ca="1">-INDEX('Fluxo Bandeira Co'!AZ:AZ, MATCH($A42, 'Fluxo Bandeira Co'!$A:$A, 0))</f>
        <v>0</v>
      </c>
      <c r="AA42" s="398">
        <f>INDEX('Fluxo Bandeira Co'!J:J, MATCH($A42, 'Fluxo Bandeira Co'!$A:$A, 0))+INDEX('Fluxo Bandeira Co'!AK:AK, MATCH($A42, 'Fluxo Bandeira Co'!$A:$A, 0))</f>
        <v>0</v>
      </c>
      <c r="AB42" s="371"/>
      <c r="AC42" s="397">
        <f ca="1">-INDEX('Fluxo Bandeira Co'!L:L, MATCH('Fluxo Investidores'!$A42, 'Fluxo Bandeira Co'!$A:$A, 0))</f>
        <v>0</v>
      </c>
      <c r="AD42" s="398">
        <f>-INDEX('Fluxo Bandeira Co'!M:M, MATCH('Fluxo Investidores'!$A42, 'Fluxo Bandeira Co'!$A:$A, 0))</f>
        <v>0</v>
      </c>
      <c r="AF42" s="397">
        <f t="shared" ca="1" si="17"/>
        <v>0</v>
      </c>
      <c r="AG42" s="398">
        <f ca="1">IFERROR(INDEX('Fluxo Projeto'!AQ:AQ, MATCH('Fluxo Investidores'!A42, 'Fluxo Projeto'!A:A, 0)), 0)</f>
        <v>0</v>
      </c>
      <c r="AI42" s="397">
        <f t="shared" ca="1" si="18"/>
        <v>0</v>
      </c>
      <c r="AJ42" s="390">
        <f t="shared" ca="1" si="19"/>
        <v>0</v>
      </c>
      <c r="AK42" s="390">
        <f t="shared" ca="1" si="20"/>
        <v>0</v>
      </c>
      <c r="AL42" s="390">
        <f t="shared" ca="1" si="21"/>
        <v>0</v>
      </c>
      <c r="AM42" s="390">
        <f t="shared" ca="1" si="22"/>
        <v>0</v>
      </c>
      <c r="AN42" s="390">
        <f t="shared" ca="1" si="23"/>
        <v>0</v>
      </c>
      <c r="AO42" s="390">
        <f t="shared" ca="1" si="24"/>
        <v>0</v>
      </c>
      <c r="AP42" s="390">
        <f t="shared" ca="1" si="25"/>
        <v>0</v>
      </c>
      <c r="AQ42" s="390">
        <f t="shared" ca="1" si="26"/>
        <v>0</v>
      </c>
      <c r="AR42" s="390">
        <f t="shared" ca="1" si="27"/>
        <v>0</v>
      </c>
      <c r="AS42" s="390">
        <f t="shared" ca="1" si="28"/>
        <v>0</v>
      </c>
      <c r="AT42" s="415">
        <f t="shared" ca="1" si="29"/>
        <v>0</v>
      </c>
      <c r="AU42" s="398">
        <f t="shared" ca="1" si="30"/>
        <v>0</v>
      </c>
    </row>
    <row r="43" spans="1:47" x14ac:dyDescent="0.25">
      <c r="A43" s="197">
        <f t="shared" si="31"/>
        <v>44317</v>
      </c>
      <c r="B43" s="388">
        <f>IF($A43&lt;=baseData, INDEX(Indicadores!B:B, MATCH($A43,Indicadores!A:A, 0)), INDEX(Indicadores!B:B, MATCH(baseData,Indicadores!A:A, 0)))</f>
        <v>839.38199999999995</v>
      </c>
      <c r="C43" s="389">
        <f>IF($A43&lt;=baseData, INDEX(Indicadores!E:E, MATCH($A43, Indicadores!A:A, 0)), INDEX(Indicadores!E:E, MATCH(baseData, Indicadores!A:A, 0)))</f>
        <v>5486.52</v>
      </c>
      <c r="E43" s="397">
        <f t="shared" ca="1" si="32"/>
        <v>0</v>
      </c>
      <c r="F43" s="398">
        <v>0</v>
      </c>
      <c r="G43" s="371"/>
      <c r="H43" s="393">
        <f t="shared" ca="1" si="33"/>
        <v>0</v>
      </c>
      <c r="I43" s="371"/>
      <c r="J43" s="393">
        <f t="shared" ca="1" si="34"/>
        <v>0</v>
      </c>
      <c r="L43" s="397">
        <f ca="1">IF($A43&gt;baseData, -$Z43*IF($Z43&gt;0, INDEX(Investidores!$K$3:$K$15, MATCH(L$1, Investidores!$B$3:$B$15, 0)), INDEX(Investidores!$K$3:$K$15, MATCH(L$1, Investidores!$B$3:$B$15, 0)))-IFERROR(INDEX(Permutas!$X:$AB, MATCH($A43, Permutas!$N:$N, 0), MATCH(L$1, Permutas!$X$2:$AB$2, 0)), 0)+IF($A43=EDATE(entrega,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3" s="390">
        <f ca="1">IF($A43&gt;baseData, -$Z43*IF($Z43&gt;0, INDEX(Investidores!$K$3:$K$15, MATCH(M$1, Investidores!$B$3:$B$15, 0)), INDEX(Investidores!$K$3:$K$15, MATCH(M$1, Investidores!$B$3:$B$15, 0)))-IFERROR(INDEX(Permutas!$X:$AB, MATCH($A43, Permutas!$N:$N, 0), MATCH(M$1, Permutas!$X$2:$AB$2, 0)), 0)+IF($A43=EDATE(entrega,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3" s="390">
        <f ca="1">IF($A43&gt;baseData, -$Z43*IF($Z43&gt;0, INDEX(Investidores!$K$3:$K$15, MATCH(N$1, Investidores!$B$3:$B$15, 0)), INDEX(Investidores!$K$3:$K$15, MATCH(N$1, Investidores!$B$3:$B$15, 0)))-IFERROR(INDEX(Permutas!$X:$AB, MATCH($A43, Permutas!$N:$N, 0), MATCH(N$1, Permutas!$X$2:$AB$2, 0)), 0)+IF($A43=EDATE(entrega,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3" s="390">
        <f ca="1">IF($A43&gt;baseData, -$Z43*IF($Z43&gt;0, INDEX(Investidores!$K$3:$K$15, MATCH(O$1, Investidores!$B$3:$B$15, 0)), INDEX(Investidores!$K$3:$K$15, MATCH(O$1, Investidores!$B$3:$B$15, 0)))-IFERROR(INDEX(Permutas!$X:$AB, MATCH($A43, Permutas!$N:$N, 0), MATCH(O$1, Permutas!$X$2:$AB$2, 0)), 0)+IF($A43=EDATE(entrega,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3" s="390">
        <f ca="1">IF($A43&gt;baseData, -$Z43*IF($Z43&gt;0, INDEX(Investidores!$K$3:$K$15, MATCH(P$1, Investidores!$B$3:$B$15, 0)), INDEX(Investidores!$K$3:$K$15, MATCH(P$1, Investidores!$B$3:$B$15, 0)))-IFERROR(INDEX(Permutas!$X:$AB, MATCH($A43, Permutas!$N:$N, 0), MATCH(P$1, Permutas!$X$2:$AB$2, 0)), 0)+IF($A43=EDATE(entrega,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3" s="390">
        <f ca="1">IF($A43&gt;baseData, -$Z43*IF($Z43&gt;0, INDEX(Investidores!$K$3:$K$15, MATCH(Q$1, Investidores!$B$3:$B$15, 0)), INDEX(Investidores!$K$3:$K$15, MATCH(Q$1, Investidores!$B$3:$B$15, 0)))-IFERROR(INDEX(Permutas!$X:$AB, MATCH($A43, Permutas!$N:$N, 0), MATCH(Q$1, Permutas!$X$2:$AB$2, 0)), 0)+IF($A43=EDATE(entrega,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3" s="390">
        <f ca="1">IF($A43&gt;baseData, -$Z43*IF($Z43&gt;0, INDEX(Investidores!$K$3:$K$15, MATCH(R$1, Investidores!$B$3:$B$15, 0)), INDEX(Investidores!$K$3:$K$15, MATCH(R$1, Investidores!$B$3:$B$15, 0)))-IFERROR(INDEX(Permutas!$X:$AB, MATCH($A43, Permutas!$N:$N, 0), MATCH(R$1, Permutas!$X$2:$AB$2, 0)), 0)+IF($A43=EDATE(entrega,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3" s="390">
        <f ca="1">IF($A43&gt;baseData, -$Z43*IF($Z43&gt;0, INDEX(Investidores!$K$3:$K$15, MATCH(S$1, Investidores!$B$3:$B$15, 0)), INDEX(Investidores!$K$3:$K$15, MATCH(S$1, Investidores!$B$3:$B$15, 0)))-IFERROR(INDEX(Permutas!$X:$AB, MATCH($A43, Permutas!$N:$N, 0), MATCH(S$1, Permutas!$X$2:$AB$2, 0)), 0)+IF($A43=EDATE(entrega,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3" s="390">
        <f ca="1">IF($A43&gt;baseData, -$Z43*IF($Z43&gt;0, INDEX(Investidores!$K$3:$K$15, MATCH(T$1, Investidores!$B$3:$B$15, 0)), INDEX(Investidores!$K$3:$K$15, MATCH(T$1, Investidores!$B$3:$B$15, 0)))-IFERROR(INDEX(Permutas!$X:$AB, MATCH($A43, Permutas!$N:$N, 0), MATCH(T$1, Permutas!$X$2:$AB$2, 0)), 0)+IF($A43=EDATE(entrega,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3" s="390">
        <f ca="1">IF($A43&gt;baseData, -$Z43*IF($Z43&gt;0, INDEX(Investidores!$K$3:$K$15, MATCH(U$1, Investidores!$B$3:$B$15, 0)), INDEX(Investidores!$K$3:$K$15, MATCH(U$1, Investidores!$B$3:$B$15, 0)))-IFERROR(INDEX(Permutas!$X:$AB, MATCH($A43, Permutas!$N:$N, 0), MATCH(U$1, Permutas!$X$2:$AB$2, 0)), 0)+IF($A43=EDATE(entrega,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3" s="390">
        <f ca="1">IF($A43&gt;baseData, -$Z43*IF($Z43&gt;0, INDEX(Investidores!$K$3:$K$15, MATCH(V$1, Investidores!$B$3:$B$15, 0)), INDEX(Investidores!$K$3:$K$15, MATCH(V$1, Investidores!$B$3:$B$15, 0)))-IFERROR(INDEX(Permutas!$X:$AB, MATCH($A43, Permutas!$N:$N, 0), MATCH(V$1, Permutas!$X$2:$AB$2, 0)), 0)+IF($A43=EDATE(entrega,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3" s="415">
        <f ca="1">IF($A43&gt;baseData, -$Z43*IF($Z43&gt;0, INDEX(Investidores!$K$3:$K$15, MATCH(W$1, Investidores!$B$3:$B$15, 0)), INDEX(Investidores!$K$3:$K$15, MATCH(W$1, Investidores!$B$3:$B$15, 0)))-IFERROR(INDEX(Permutas!$X:$AB, MATCH($A43, Permutas!$N:$N, 0), MATCH(W$1, Permutas!$X$2:$AB$2, 0)), 0)+IF($A43=EDATE(entrega,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3" s="398">
        <f ca="1">IF($A43&gt;baseData, -$Z43*IF($Z43&gt;0, INDEX(Investidores!$K$3:$K$15, MATCH(X$1, Investidores!$B$3:$B$15, 0)), INDEX(Investidores!$K$3:$K$15, MATCH(X$1, Investidores!$B$3:$B$15, 0)))-IFERROR(INDEX(Permutas!$X:$AB, MATCH($A43, Permutas!$N:$N, 0), MATCH(X$1, Permutas!$X$2:$AB$2, 0)), 0)+IF($A43=EDATE(entrega,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3" s="390">
        <f t="shared" ca="1" si="16"/>
        <v>0</v>
      </c>
      <c r="Z43" s="397">
        <f ca="1">-INDEX('Fluxo Bandeira Co'!AZ:AZ, MATCH($A43, 'Fluxo Bandeira Co'!$A:$A, 0))</f>
        <v>0</v>
      </c>
      <c r="AA43" s="398">
        <f>INDEX('Fluxo Bandeira Co'!J:J, MATCH($A43, 'Fluxo Bandeira Co'!$A:$A, 0))+INDEX('Fluxo Bandeira Co'!AK:AK, MATCH($A43, 'Fluxo Bandeira Co'!$A:$A, 0))</f>
        <v>0</v>
      </c>
      <c r="AB43" s="371"/>
      <c r="AC43" s="397">
        <f ca="1">-INDEX('Fluxo Bandeira Co'!L:L, MATCH('Fluxo Investidores'!$A43, 'Fluxo Bandeira Co'!$A:$A, 0))</f>
        <v>0</v>
      </c>
      <c r="AD43" s="398">
        <f>-INDEX('Fluxo Bandeira Co'!M:M, MATCH('Fluxo Investidores'!$A43, 'Fluxo Bandeira Co'!$A:$A, 0))</f>
        <v>0</v>
      </c>
      <c r="AF43" s="397">
        <f t="shared" ca="1" si="17"/>
        <v>0</v>
      </c>
      <c r="AG43" s="398">
        <f ca="1">IFERROR(INDEX('Fluxo Projeto'!AQ:AQ, MATCH('Fluxo Investidores'!A43, 'Fluxo Projeto'!A:A, 0)), 0)</f>
        <v>0</v>
      </c>
      <c r="AI43" s="397">
        <f t="shared" ca="1" si="18"/>
        <v>0</v>
      </c>
      <c r="AJ43" s="390">
        <f t="shared" ca="1" si="19"/>
        <v>0</v>
      </c>
      <c r="AK43" s="390">
        <f t="shared" ca="1" si="20"/>
        <v>0</v>
      </c>
      <c r="AL43" s="390">
        <f t="shared" ca="1" si="21"/>
        <v>0</v>
      </c>
      <c r="AM43" s="390">
        <f t="shared" ca="1" si="22"/>
        <v>0</v>
      </c>
      <c r="AN43" s="390">
        <f t="shared" ca="1" si="23"/>
        <v>0</v>
      </c>
      <c r="AO43" s="390">
        <f t="shared" ca="1" si="24"/>
        <v>0</v>
      </c>
      <c r="AP43" s="390">
        <f t="shared" ca="1" si="25"/>
        <v>0</v>
      </c>
      <c r="AQ43" s="390">
        <f t="shared" ca="1" si="26"/>
        <v>0</v>
      </c>
      <c r="AR43" s="390">
        <f t="shared" ca="1" si="27"/>
        <v>0</v>
      </c>
      <c r="AS43" s="390">
        <f t="shared" ca="1" si="28"/>
        <v>0</v>
      </c>
      <c r="AT43" s="415">
        <f t="shared" ca="1" si="29"/>
        <v>0</v>
      </c>
      <c r="AU43" s="398">
        <f t="shared" ca="1" si="30"/>
        <v>0</v>
      </c>
    </row>
    <row r="44" spans="1:47" x14ac:dyDescent="0.25">
      <c r="A44" s="197">
        <f t="shared" si="31"/>
        <v>44348</v>
      </c>
      <c r="B44" s="388">
        <f>IF($A44&lt;=baseData, INDEX(Indicadores!B:B, MATCH($A44,Indicadores!A:A, 0)), INDEX(Indicadores!B:B, MATCH(baseData,Indicadores!A:A, 0)))</f>
        <v>839.38199999999995</v>
      </c>
      <c r="C44" s="389">
        <f>IF($A44&lt;=baseData, INDEX(Indicadores!E:E, MATCH($A44, Indicadores!A:A, 0)), INDEX(Indicadores!E:E, MATCH(baseData, Indicadores!A:A, 0)))</f>
        <v>5486.52</v>
      </c>
      <c r="E44" s="397">
        <f t="shared" ca="1" si="32"/>
        <v>0</v>
      </c>
      <c r="F44" s="398">
        <v>0</v>
      </c>
      <c r="G44" s="371"/>
      <c r="H44" s="393">
        <f t="shared" ca="1" si="33"/>
        <v>0</v>
      </c>
      <c r="I44" s="371"/>
      <c r="J44" s="393">
        <f t="shared" ca="1" si="34"/>
        <v>0</v>
      </c>
      <c r="L44" s="397">
        <f ca="1">IF($A44&gt;baseData, -$Z44*IF($Z44&gt;0, INDEX(Investidores!$K$3:$K$15, MATCH(L$1, Investidores!$B$3:$B$15, 0)), INDEX(Investidores!$K$3:$K$15, MATCH(L$1, Investidores!$B$3:$B$15, 0)))-IFERROR(INDEX(Permutas!$X:$AB, MATCH($A44, Permutas!$N:$N, 0), MATCH(L$1, Permutas!$X$2:$AB$2, 0)), 0)+IF($A44=EDATE(entrega,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4" s="390">
        <f ca="1">IF($A44&gt;baseData, -$Z44*IF($Z44&gt;0, INDEX(Investidores!$K$3:$K$15, MATCH(M$1, Investidores!$B$3:$B$15, 0)), INDEX(Investidores!$K$3:$K$15, MATCH(M$1, Investidores!$B$3:$B$15, 0)))-IFERROR(INDEX(Permutas!$X:$AB, MATCH($A44, Permutas!$N:$N, 0), MATCH(M$1, Permutas!$X$2:$AB$2, 0)), 0)+IF($A44=EDATE(entrega,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4" s="390">
        <f ca="1">IF($A44&gt;baseData, -$Z44*IF($Z44&gt;0, INDEX(Investidores!$K$3:$K$15, MATCH(N$1, Investidores!$B$3:$B$15, 0)), INDEX(Investidores!$K$3:$K$15, MATCH(N$1, Investidores!$B$3:$B$15, 0)))-IFERROR(INDEX(Permutas!$X:$AB, MATCH($A44, Permutas!$N:$N, 0), MATCH(N$1, Permutas!$X$2:$AB$2, 0)), 0)+IF($A44=EDATE(entrega,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4" s="390">
        <f ca="1">IF($A44&gt;baseData, -$Z44*IF($Z44&gt;0, INDEX(Investidores!$K$3:$K$15, MATCH(O$1, Investidores!$B$3:$B$15, 0)), INDEX(Investidores!$K$3:$K$15, MATCH(O$1, Investidores!$B$3:$B$15, 0)))-IFERROR(INDEX(Permutas!$X:$AB, MATCH($A44, Permutas!$N:$N, 0), MATCH(O$1, Permutas!$X$2:$AB$2, 0)), 0)+IF($A44=EDATE(entrega,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4" s="390">
        <f ca="1">IF($A44&gt;baseData, -$Z44*IF($Z44&gt;0, INDEX(Investidores!$K$3:$K$15, MATCH(P$1, Investidores!$B$3:$B$15, 0)), INDEX(Investidores!$K$3:$K$15, MATCH(P$1, Investidores!$B$3:$B$15, 0)))-IFERROR(INDEX(Permutas!$X:$AB, MATCH($A44, Permutas!$N:$N, 0), MATCH(P$1, Permutas!$X$2:$AB$2, 0)), 0)+IF($A44=EDATE(entrega,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4" s="390">
        <f ca="1">IF($A44&gt;baseData, -$Z44*IF($Z44&gt;0, INDEX(Investidores!$K$3:$K$15, MATCH(Q$1, Investidores!$B$3:$B$15, 0)), INDEX(Investidores!$K$3:$K$15, MATCH(Q$1, Investidores!$B$3:$B$15, 0)))-IFERROR(INDEX(Permutas!$X:$AB, MATCH($A44, Permutas!$N:$N, 0), MATCH(Q$1, Permutas!$X$2:$AB$2, 0)), 0)+IF($A44=EDATE(entrega,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4" s="390">
        <f ca="1">IF($A44&gt;baseData, -$Z44*IF($Z44&gt;0, INDEX(Investidores!$K$3:$K$15, MATCH(R$1, Investidores!$B$3:$B$15, 0)), INDEX(Investidores!$K$3:$K$15, MATCH(R$1, Investidores!$B$3:$B$15, 0)))-IFERROR(INDEX(Permutas!$X:$AB, MATCH($A44, Permutas!$N:$N, 0), MATCH(R$1, Permutas!$X$2:$AB$2, 0)), 0)+IF($A44=EDATE(entrega,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4" s="390">
        <f ca="1">IF($A44&gt;baseData, -$Z44*IF($Z44&gt;0, INDEX(Investidores!$K$3:$K$15, MATCH(S$1, Investidores!$B$3:$B$15, 0)), INDEX(Investidores!$K$3:$K$15, MATCH(S$1, Investidores!$B$3:$B$15, 0)))-IFERROR(INDEX(Permutas!$X:$AB, MATCH($A44, Permutas!$N:$N, 0), MATCH(S$1, Permutas!$X$2:$AB$2, 0)), 0)+IF($A44=EDATE(entrega,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4" s="390">
        <f ca="1">IF($A44&gt;baseData, -$Z44*IF($Z44&gt;0, INDEX(Investidores!$K$3:$K$15, MATCH(T$1, Investidores!$B$3:$B$15, 0)), INDEX(Investidores!$K$3:$K$15, MATCH(T$1, Investidores!$B$3:$B$15, 0)))-IFERROR(INDEX(Permutas!$X:$AB, MATCH($A44, Permutas!$N:$N, 0), MATCH(T$1, Permutas!$X$2:$AB$2, 0)), 0)+IF($A44=EDATE(entrega,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4" s="390">
        <f ca="1">IF($A44&gt;baseData, -$Z44*IF($Z44&gt;0, INDEX(Investidores!$K$3:$K$15, MATCH(U$1, Investidores!$B$3:$B$15, 0)), INDEX(Investidores!$K$3:$K$15, MATCH(U$1, Investidores!$B$3:$B$15, 0)))-IFERROR(INDEX(Permutas!$X:$AB, MATCH($A44, Permutas!$N:$N, 0), MATCH(U$1, Permutas!$X$2:$AB$2, 0)), 0)+IF($A44=EDATE(entrega,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4" s="390">
        <f ca="1">IF($A44&gt;baseData, -$Z44*IF($Z44&gt;0, INDEX(Investidores!$K$3:$K$15, MATCH(V$1, Investidores!$B$3:$B$15, 0)), INDEX(Investidores!$K$3:$K$15, MATCH(V$1, Investidores!$B$3:$B$15, 0)))-IFERROR(INDEX(Permutas!$X:$AB, MATCH($A44, Permutas!$N:$N, 0), MATCH(V$1, Permutas!$X$2:$AB$2, 0)), 0)+IF($A44=EDATE(entrega,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4" s="415">
        <f ca="1">IF($A44&gt;baseData, -$Z44*IF($Z44&gt;0, INDEX(Investidores!$K$3:$K$15, MATCH(W$1, Investidores!$B$3:$B$15, 0)), INDEX(Investidores!$K$3:$K$15, MATCH(W$1, Investidores!$B$3:$B$15, 0)))-IFERROR(INDEX(Permutas!$X:$AB, MATCH($A44, Permutas!$N:$N, 0), MATCH(W$1, Permutas!$X$2:$AB$2, 0)), 0)+IF($A44=EDATE(entrega,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4" s="398">
        <f ca="1">IF($A44&gt;baseData, -$Z44*IF($Z44&gt;0, INDEX(Investidores!$K$3:$K$15, MATCH(X$1, Investidores!$B$3:$B$15, 0)), INDEX(Investidores!$K$3:$K$15, MATCH(X$1, Investidores!$B$3:$B$15, 0)))-IFERROR(INDEX(Permutas!$X:$AB, MATCH($A44, Permutas!$N:$N, 0), MATCH(X$1, Permutas!$X$2:$AB$2, 0)), 0)+IF($A44=EDATE(entrega,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4" s="390">
        <f t="shared" ca="1" si="16"/>
        <v>0</v>
      </c>
      <c r="Z44" s="397">
        <f ca="1">-INDEX('Fluxo Bandeira Co'!AZ:AZ, MATCH($A44, 'Fluxo Bandeira Co'!$A:$A, 0))</f>
        <v>0</v>
      </c>
      <c r="AA44" s="398">
        <f>INDEX('Fluxo Bandeira Co'!J:J, MATCH($A44, 'Fluxo Bandeira Co'!$A:$A, 0))+INDEX('Fluxo Bandeira Co'!AK:AK, MATCH($A44, 'Fluxo Bandeira Co'!$A:$A, 0))</f>
        <v>0</v>
      </c>
      <c r="AB44" s="371"/>
      <c r="AC44" s="397">
        <f ca="1">-INDEX('Fluxo Bandeira Co'!L:L, MATCH('Fluxo Investidores'!$A44, 'Fluxo Bandeira Co'!$A:$A, 0))</f>
        <v>0</v>
      </c>
      <c r="AD44" s="398">
        <f>-INDEX('Fluxo Bandeira Co'!M:M, MATCH('Fluxo Investidores'!$A44, 'Fluxo Bandeira Co'!$A:$A, 0))</f>
        <v>0</v>
      </c>
      <c r="AF44" s="397">
        <f t="shared" ca="1" si="17"/>
        <v>0</v>
      </c>
      <c r="AG44" s="398">
        <f ca="1">IFERROR(INDEX('Fluxo Projeto'!AQ:AQ, MATCH('Fluxo Investidores'!A44, 'Fluxo Projeto'!A:A, 0)), 0)</f>
        <v>0</v>
      </c>
      <c r="AI44" s="397">
        <f t="shared" ca="1" si="18"/>
        <v>0</v>
      </c>
      <c r="AJ44" s="390">
        <f t="shared" ca="1" si="19"/>
        <v>0</v>
      </c>
      <c r="AK44" s="390">
        <f t="shared" ca="1" si="20"/>
        <v>0</v>
      </c>
      <c r="AL44" s="390">
        <f t="shared" ca="1" si="21"/>
        <v>0</v>
      </c>
      <c r="AM44" s="390">
        <f t="shared" ca="1" si="22"/>
        <v>0</v>
      </c>
      <c r="AN44" s="390">
        <f t="shared" ca="1" si="23"/>
        <v>0</v>
      </c>
      <c r="AO44" s="390">
        <f t="shared" ca="1" si="24"/>
        <v>0</v>
      </c>
      <c r="AP44" s="390">
        <f t="shared" ca="1" si="25"/>
        <v>0</v>
      </c>
      <c r="AQ44" s="390">
        <f t="shared" ca="1" si="26"/>
        <v>0</v>
      </c>
      <c r="AR44" s="390">
        <f t="shared" ca="1" si="27"/>
        <v>0</v>
      </c>
      <c r="AS44" s="390">
        <f t="shared" ca="1" si="28"/>
        <v>0</v>
      </c>
      <c r="AT44" s="415">
        <f t="shared" ca="1" si="29"/>
        <v>0</v>
      </c>
      <c r="AU44" s="398">
        <f t="shared" ca="1" si="30"/>
        <v>0</v>
      </c>
    </row>
    <row r="45" spans="1:47" x14ac:dyDescent="0.25">
      <c r="A45" s="197">
        <f t="shared" si="31"/>
        <v>44378</v>
      </c>
      <c r="B45" s="388">
        <f>IF($A45&lt;=baseData, INDEX(Indicadores!B:B, MATCH($A45,Indicadores!A:A, 0)), INDEX(Indicadores!B:B, MATCH(baseData,Indicadores!A:A, 0)))</f>
        <v>839.38199999999995</v>
      </c>
      <c r="C45" s="389">
        <f>IF($A45&lt;=baseData, INDEX(Indicadores!E:E, MATCH($A45, Indicadores!A:A, 0)), INDEX(Indicadores!E:E, MATCH(baseData, Indicadores!A:A, 0)))</f>
        <v>5486.52</v>
      </c>
      <c r="E45" s="397">
        <f t="shared" ca="1" si="32"/>
        <v>0</v>
      </c>
      <c r="F45" s="398">
        <v>0</v>
      </c>
      <c r="G45" s="371"/>
      <c r="H45" s="393">
        <f t="shared" ca="1" si="33"/>
        <v>0</v>
      </c>
      <c r="I45" s="371"/>
      <c r="J45" s="393">
        <f t="shared" ca="1" si="34"/>
        <v>0</v>
      </c>
      <c r="L45" s="397">
        <f ca="1">IF($A45&gt;baseData, -$Z45*IF($Z45&gt;0, INDEX(Investidores!$K$3:$K$15, MATCH(L$1, Investidores!$B$3:$B$15, 0)), INDEX(Investidores!$K$3:$K$15, MATCH(L$1, Investidores!$B$3:$B$15, 0)))-IFERROR(INDEX(Permutas!$X:$AB, MATCH($A45, Permutas!$N:$N, 0), MATCH(L$1, Permutas!$X$2:$AB$2, 0)), 0)+IF($A45=EDATE(entrega,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5" s="390">
        <f ca="1">IF($A45&gt;baseData, -$Z45*IF($Z45&gt;0, INDEX(Investidores!$K$3:$K$15, MATCH(M$1, Investidores!$B$3:$B$15, 0)), INDEX(Investidores!$K$3:$K$15, MATCH(M$1, Investidores!$B$3:$B$15, 0)))-IFERROR(INDEX(Permutas!$X:$AB, MATCH($A45, Permutas!$N:$N, 0), MATCH(M$1, Permutas!$X$2:$AB$2, 0)), 0)+IF($A45=EDATE(entrega,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5" s="390">
        <f ca="1">IF($A45&gt;baseData, -$Z45*IF($Z45&gt;0, INDEX(Investidores!$K$3:$K$15, MATCH(N$1, Investidores!$B$3:$B$15, 0)), INDEX(Investidores!$K$3:$K$15, MATCH(N$1, Investidores!$B$3:$B$15, 0)))-IFERROR(INDEX(Permutas!$X:$AB, MATCH($A45, Permutas!$N:$N, 0), MATCH(N$1, Permutas!$X$2:$AB$2, 0)), 0)+IF($A45=EDATE(entrega,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5" s="390">
        <f ca="1">IF($A45&gt;baseData, -$Z45*IF($Z45&gt;0, INDEX(Investidores!$K$3:$K$15, MATCH(O$1, Investidores!$B$3:$B$15, 0)), INDEX(Investidores!$K$3:$K$15, MATCH(O$1, Investidores!$B$3:$B$15, 0)))-IFERROR(INDEX(Permutas!$X:$AB, MATCH($A45, Permutas!$N:$N, 0), MATCH(O$1, Permutas!$X$2:$AB$2, 0)), 0)+IF($A45=EDATE(entrega,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5" s="390">
        <f ca="1">IF($A45&gt;baseData, -$Z45*IF($Z45&gt;0, INDEX(Investidores!$K$3:$K$15, MATCH(P$1, Investidores!$B$3:$B$15, 0)), INDEX(Investidores!$K$3:$K$15, MATCH(P$1, Investidores!$B$3:$B$15, 0)))-IFERROR(INDEX(Permutas!$X:$AB, MATCH($A45, Permutas!$N:$N, 0), MATCH(P$1, Permutas!$X$2:$AB$2, 0)), 0)+IF($A45=EDATE(entrega,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5" s="390">
        <f ca="1">IF($A45&gt;baseData, -$Z45*IF($Z45&gt;0, INDEX(Investidores!$K$3:$K$15, MATCH(Q$1, Investidores!$B$3:$B$15, 0)), INDEX(Investidores!$K$3:$K$15, MATCH(Q$1, Investidores!$B$3:$B$15, 0)))-IFERROR(INDEX(Permutas!$X:$AB, MATCH($A45, Permutas!$N:$N, 0), MATCH(Q$1, Permutas!$X$2:$AB$2, 0)), 0)+IF($A45=EDATE(entrega,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5" s="390">
        <f ca="1">IF($A45&gt;baseData, -$Z45*IF($Z45&gt;0, INDEX(Investidores!$K$3:$K$15, MATCH(R$1, Investidores!$B$3:$B$15, 0)), INDEX(Investidores!$K$3:$K$15, MATCH(R$1, Investidores!$B$3:$B$15, 0)))-IFERROR(INDEX(Permutas!$X:$AB, MATCH($A45, Permutas!$N:$N, 0), MATCH(R$1, Permutas!$X$2:$AB$2, 0)), 0)+IF($A45=EDATE(entrega,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5" s="390">
        <f ca="1">IF($A45&gt;baseData, -$Z45*IF($Z45&gt;0, INDEX(Investidores!$K$3:$K$15, MATCH(S$1, Investidores!$B$3:$B$15, 0)), INDEX(Investidores!$K$3:$K$15, MATCH(S$1, Investidores!$B$3:$B$15, 0)))-IFERROR(INDEX(Permutas!$X:$AB, MATCH($A45, Permutas!$N:$N, 0), MATCH(S$1, Permutas!$X$2:$AB$2, 0)), 0)+IF($A45=EDATE(entrega,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5" s="390">
        <f ca="1">IF($A45&gt;baseData, -$Z45*IF($Z45&gt;0, INDEX(Investidores!$K$3:$K$15, MATCH(T$1, Investidores!$B$3:$B$15, 0)), INDEX(Investidores!$K$3:$K$15, MATCH(T$1, Investidores!$B$3:$B$15, 0)))-IFERROR(INDEX(Permutas!$X:$AB, MATCH($A45, Permutas!$N:$N, 0), MATCH(T$1, Permutas!$X$2:$AB$2, 0)), 0)+IF($A45=EDATE(entrega,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5" s="390">
        <f ca="1">IF($A45&gt;baseData, -$Z45*IF($Z45&gt;0, INDEX(Investidores!$K$3:$K$15, MATCH(U$1, Investidores!$B$3:$B$15, 0)), INDEX(Investidores!$K$3:$K$15, MATCH(U$1, Investidores!$B$3:$B$15, 0)))-IFERROR(INDEX(Permutas!$X:$AB, MATCH($A45, Permutas!$N:$N, 0), MATCH(U$1, Permutas!$X$2:$AB$2, 0)), 0)+IF($A45=EDATE(entrega,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5" s="390">
        <f ca="1">IF($A45&gt;baseData, -$Z45*IF($Z45&gt;0, INDEX(Investidores!$K$3:$K$15, MATCH(V$1, Investidores!$B$3:$B$15, 0)), INDEX(Investidores!$K$3:$K$15, MATCH(V$1, Investidores!$B$3:$B$15, 0)))-IFERROR(INDEX(Permutas!$X:$AB, MATCH($A45, Permutas!$N:$N, 0), MATCH(V$1, Permutas!$X$2:$AB$2, 0)), 0)+IF($A45=EDATE(entrega,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5" s="415">
        <f ca="1">IF($A45&gt;baseData, -$Z45*IF($Z45&gt;0, INDEX(Investidores!$K$3:$K$15, MATCH(W$1, Investidores!$B$3:$B$15, 0)), INDEX(Investidores!$K$3:$K$15, MATCH(W$1, Investidores!$B$3:$B$15, 0)))-IFERROR(INDEX(Permutas!$X:$AB, MATCH($A45, Permutas!$N:$N, 0), MATCH(W$1, Permutas!$X$2:$AB$2, 0)), 0)+IF($A45=EDATE(entrega,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5" s="398">
        <f ca="1">IF($A45&gt;baseData, -$Z45*IF($Z45&gt;0, INDEX(Investidores!$K$3:$K$15, MATCH(X$1, Investidores!$B$3:$B$15, 0)), INDEX(Investidores!$K$3:$K$15, MATCH(X$1, Investidores!$B$3:$B$15, 0)))-IFERROR(INDEX(Permutas!$X:$AB, MATCH($A45, Permutas!$N:$N, 0), MATCH(X$1, Permutas!$X$2:$AB$2, 0)), 0)+IF($A45=EDATE(entrega,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5" s="390">
        <f t="shared" ca="1" si="16"/>
        <v>0</v>
      </c>
      <c r="Z45" s="397">
        <f ca="1">-INDEX('Fluxo Bandeira Co'!AZ:AZ, MATCH($A45, 'Fluxo Bandeira Co'!$A:$A, 0))</f>
        <v>0</v>
      </c>
      <c r="AA45" s="398">
        <f>INDEX('Fluxo Bandeira Co'!J:J, MATCH($A45, 'Fluxo Bandeira Co'!$A:$A, 0))+INDEX('Fluxo Bandeira Co'!AK:AK, MATCH($A45, 'Fluxo Bandeira Co'!$A:$A, 0))</f>
        <v>0</v>
      </c>
      <c r="AB45" s="371"/>
      <c r="AC45" s="397">
        <f ca="1">-INDEX('Fluxo Bandeira Co'!L:L, MATCH('Fluxo Investidores'!$A45, 'Fluxo Bandeira Co'!$A:$A, 0))</f>
        <v>0</v>
      </c>
      <c r="AD45" s="398">
        <f>-INDEX('Fluxo Bandeira Co'!M:M, MATCH('Fluxo Investidores'!$A45, 'Fluxo Bandeira Co'!$A:$A, 0))</f>
        <v>0</v>
      </c>
      <c r="AF45" s="397">
        <f t="shared" ca="1" si="17"/>
        <v>0</v>
      </c>
      <c r="AG45" s="398">
        <f ca="1">IFERROR(INDEX('Fluxo Projeto'!AQ:AQ, MATCH('Fluxo Investidores'!A45, 'Fluxo Projeto'!A:A, 0)), 0)</f>
        <v>0</v>
      </c>
      <c r="AI45" s="397">
        <f t="shared" ca="1" si="18"/>
        <v>0</v>
      </c>
      <c r="AJ45" s="390">
        <f t="shared" ca="1" si="19"/>
        <v>0</v>
      </c>
      <c r="AK45" s="390">
        <f t="shared" ca="1" si="20"/>
        <v>0</v>
      </c>
      <c r="AL45" s="390">
        <f t="shared" ca="1" si="21"/>
        <v>0</v>
      </c>
      <c r="AM45" s="390">
        <f t="shared" ca="1" si="22"/>
        <v>0</v>
      </c>
      <c r="AN45" s="390">
        <f t="shared" ca="1" si="23"/>
        <v>0</v>
      </c>
      <c r="AO45" s="390">
        <f t="shared" ca="1" si="24"/>
        <v>0</v>
      </c>
      <c r="AP45" s="390">
        <f t="shared" ca="1" si="25"/>
        <v>0</v>
      </c>
      <c r="AQ45" s="390">
        <f t="shared" ca="1" si="26"/>
        <v>0</v>
      </c>
      <c r="AR45" s="390">
        <f t="shared" ca="1" si="27"/>
        <v>0</v>
      </c>
      <c r="AS45" s="390">
        <f t="shared" ca="1" si="28"/>
        <v>0</v>
      </c>
      <c r="AT45" s="415">
        <f t="shared" ca="1" si="29"/>
        <v>0</v>
      </c>
      <c r="AU45" s="398">
        <f t="shared" ca="1" si="30"/>
        <v>0</v>
      </c>
    </row>
    <row r="46" spans="1:47" x14ac:dyDescent="0.25">
      <c r="A46" s="197">
        <f t="shared" si="31"/>
        <v>44409</v>
      </c>
      <c r="B46" s="388">
        <f>IF($A46&lt;=baseData, INDEX(Indicadores!B:B, MATCH($A46,Indicadores!A:A, 0)), INDEX(Indicadores!B:B, MATCH(baseData,Indicadores!A:A, 0)))</f>
        <v>839.38199999999995</v>
      </c>
      <c r="C46" s="389">
        <f>IF($A46&lt;=baseData, INDEX(Indicadores!E:E, MATCH($A46, Indicadores!A:A, 0)), INDEX(Indicadores!E:E, MATCH(baseData, Indicadores!A:A, 0)))</f>
        <v>5486.52</v>
      </c>
      <c r="E46" s="397">
        <f t="shared" ca="1" si="32"/>
        <v>0</v>
      </c>
      <c r="F46" s="398">
        <v>0</v>
      </c>
      <c r="G46" s="371"/>
      <c r="H46" s="393">
        <f t="shared" ca="1" si="33"/>
        <v>0</v>
      </c>
      <c r="I46" s="371"/>
      <c r="J46" s="393">
        <f t="shared" ca="1" si="34"/>
        <v>0</v>
      </c>
      <c r="L46" s="397">
        <f ca="1">IF($A46&gt;baseData, -$Z46*IF($Z46&gt;0, INDEX(Investidores!$K$3:$K$15, MATCH(L$1, Investidores!$B$3:$B$15, 0)), INDEX(Investidores!$K$3:$K$15, MATCH(L$1, Investidores!$B$3:$B$15, 0)))-IFERROR(INDEX(Permutas!$X:$AB, MATCH($A46, Permutas!$N:$N, 0), MATCH(L$1, Permutas!$X$2:$AB$2, 0)), 0)+IF($A46=EDATE(entrega,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6" s="390">
        <f ca="1">IF($A46&gt;baseData, -$Z46*IF($Z46&gt;0, INDEX(Investidores!$K$3:$K$15, MATCH(M$1, Investidores!$B$3:$B$15, 0)), INDEX(Investidores!$K$3:$K$15, MATCH(M$1, Investidores!$B$3:$B$15, 0)))-IFERROR(INDEX(Permutas!$X:$AB, MATCH($A46, Permutas!$N:$N, 0), MATCH(M$1, Permutas!$X$2:$AB$2, 0)), 0)+IF($A46=EDATE(entrega,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6" s="390">
        <f ca="1">IF($A46&gt;baseData, -$Z46*IF($Z46&gt;0, INDEX(Investidores!$K$3:$K$15, MATCH(N$1, Investidores!$B$3:$B$15, 0)), INDEX(Investidores!$K$3:$K$15, MATCH(N$1, Investidores!$B$3:$B$15, 0)))-IFERROR(INDEX(Permutas!$X:$AB, MATCH($A46, Permutas!$N:$N, 0), MATCH(N$1, Permutas!$X$2:$AB$2, 0)), 0)+IF($A46=EDATE(entrega,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6" s="390">
        <f ca="1">IF($A46&gt;baseData, -$Z46*IF($Z46&gt;0, INDEX(Investidores!$K$3:$K$15, MATCH(O$1, Investidores!$B$3:$B$15, 0)), INDEX(Investidores!$K$3:$K$15, MATCH(O$1, Investidores!$B$3:$B$15, 0)))-IFERROR(INDEX(Permutas!$X:$AB, MATCH($A46, Permutas!$N:$N, 0), MATCH(O$1, Permutas!$X$2:$AB$2, 0)), 0)+IF($A46=EDATE(entrega,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6" s="390">
        <f ca="1">IF($A46&gt;baseData, -$Z46*IF($Z46&gt;0, INDEX(Investidores!$K$3:$K$15, MATCH(P$1, Investidores!$B$3:$B$15, 0)), INDEX(Investidores!$K$3:$K$15, MATCH(P$1, Investidores!$B$3:$B$15, 0)))-IFERROR(INDEX(Permutas!$X:$AB, MATCH($A46, Permutas!$N:$N, 0), MATCH(P$1, Permutas!$X$2:$AB$2, 0)), 0)+IF($A46=EDATE(entrega,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6" s="390">
        <f ca="1">IF($A46&gt;baseData, -$Z46*IF($Z46&gt;0, INDEX(Investidores!$K$3:$K$15, MATCH(Q$1, Investidores!$B$3:$B$15, 0)), INDEX(Investidores!$K$3:$K$15, MATCH(Q$1, Investidores!$B$3:$B$15, 0)))-IFERROR(INDEX(Permutas!$X:$AB, MATCH($A46, Permutas!$N:$N, 0), MATCH(Q$1, Permutas!$X$2:$AB$2, 0)), 0)+IF($A46=EDATE(entrega,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6" s="390">
        <f ca="1">IF($A46&gt;baseData, -$Z46*IF($Z46&gt;0, INDEX(Investidores!$K$3:$K$15, MATCH(R$1, Investidores!$B$3:$B$15, 0)), INDEX(Investidores!$K$3:$K$15, MATCH(R$1, Investidores!$B$3:$B$15, 0)))-IFERROR(INDEX(Permutas!$X:$AB, MATCH($A46, Permutas!$N:$N, 0), MATCH(R$1, Permutas!$X$2:$AB$2, 0)), 0)+IF($A46=EDATE(entrega,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6" s="390">
        <f ca="1">IF($A46&gt;baseData, -$Z46*IF($Z46&gt;0, INDEX(Investidores!$K$3:$K$15, MATCH(S$1, Investidores!$B$3:$B$15, 0)), INDEX(Investidores!$K$3:$K$15, MATCH(S$1, Investidores!$B$3:$B$15, 0)))-IFERROR(INDEX(Permutas!$X:$AB, MATCH($A46, Permutas!$N:$N, 0), MATCH(S$1, Permutas!$X$2:$AB$2, 0)), 0)+IF($A46=EDATE(entrega,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6" s="390">
        <f ca="1">IF($A46&gt;baseData, -$Z46*IF($Z46&gt;0, INDEX(Investidores!$K$3:$K$15, MATCH(T$1, Investidores!$B$3:$B$15, 0)), INDEX(Investidores!$K$3:$K$15, MATCH(T$1, Investidores!$B$3:$B$15, 0)))-IFERROR(INDEX(Permutas!$X:$AB, MATCH($A46, Permutas!$N:$N, 0), MATCH(T$1, Permutas!$X$2:$AB$2, 0)), 0)+IF($A46=EDATE(entrega,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6" s="390">
        <f ca="1">IF($A46&gt;baseData, -$Z46*IF($Z46&gt;0, INDEX(Investidores!$K$3:$K$15, MATCH(U$1, Investidores!$B$3:$B$15, 0)), INDEX(Investidores!$K$3:$K$15, MATCH(U$1, Investidores!$B$3:$B$15, 0)))-IFERROR(INDEX(Permutas!$X:$AB, MATCH($A46, Permutas!$N:$N, 0), MATCH(U$1, Permutas!$X$2:$AB$2, 0)), 0)+IF($A46=EDATE(entrega,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6" s="390">
        <f ca="1">IF($A46&gt;baseData, -$Z46*IF($Z46&gt;0, INDEX(Investidores!$K$3:$K$15, MATCH(V$1, Investidores!$B$3:$B$15, 0)), INDEX(Investidores!$K$3:$K$15, MATCH(V$1, Investidores!$B$3:$B$15, 0)))-IFERROR(INDEX(Permutas!$X:$AB, MATCH($A46, Permutas!$N:$N, 0), MATCH(V$1, Permutas!$X$2:$AB$2, 0)), 0)+IF($A46=EDATE(entrega,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6" s="415">
        <f ca="1">IF($A46&gt;baseData, -$Z46*IF($Z46&gt;0, INDEX(Investidores!$K$3:$K$15, MATCH(W$1, Investidores!$B$3:$B$15, 0)), INDEX(Investidores!$K$3:$K$15, MATCH(W$1, Investidores!$B$3:$B$15, 0)))-IFERROR(INDEX(Permutas!$X:$AB, MATCH($A46, Permutas!$N:$N, 0), MATCH(W$1, Permutas!$X$2:$AB$2, 0)), 0)+IF($A46=EDATE(entrega,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6" s="398">
        <f ca="1">IF($A46&gt;baseData, -$Z46*IF($Z46&gt;0, INDEX(Investidores!$K$3:$K$15, MATCH(X$1, Investidores!$B$3:$B$15, 0)), INDEX(Investidores!$K$3:$K$15, MATCH(X$1, Investidores!$B$3:$B$15, 0)))-IFERROR(INDEX(Permutas!$X:$AB, MATCH($A46, Permutas!$N:$N, 0), MATCH(X$1, Permutas!$X$2:$AB$2, 0)), 0)+IF($A46=EDATE(entrega,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6" s="390">
        <f t="shared" ca="1" si="16"/>
        <v>0</v>
      </c>
      <c r="Z46" s="397">
        <f ca="1">-INDEX('Fluxo Bandeira Co'!AZ:AZ, MATCH($A46, 'Fluxo Bandeira Co'!$A:$A, 0))</f>
        <v>0</v>
      </c>
      <c r="AA46" s="398">
        <f>INDEX('Fluxo Bandeira Co'!J:J, MATCH($A46, 'Fluxo Bandeira Co'!$A:$A, 0))+INDEX('Fluxo Bandeira Co'!AK:AK, MATCH($A46, 'Fluxo Bandeira Co'!$A:$A, 0))</f>
        <v>0</v>
      </c>
      <c r="AB46" s="371"/>
      <c r="AC46" s="397">
        <f ca="1">-INDEX('Fluxo Bandeira Co'!L:L, MATCH('Fluxo Investidores'!$A46, 'Fluxo Bandeira Co'!$A:$A, 0))</f>
        <v>0</v>
      </c>
      <c r="AD46" s="398">
        <f>-INDEX('Fluxo Bandeira Co'!M:M, MATCH('Fluxo Investidores'!$A46, 'Fluxo Bandeira Co'!$A:$A, 0))</f>
        <v>0</v>
      </c>
      <c r="AF46" s="397">
        <f t="shared" ca="1" si="17"/>
        <v>0</v>
      </c>
      <c r="AG46" s="398">
        <f ca="1">IFERROR(INDEX('Fluxo Projeto'!AQ:AQ, MATCH('Fluxo Investidores'!A46, 'Fluxo Projeto'!A:A, 0)), 0)</f>
        <v>0</v>
      </c>
      <c r="AI46" s="397">
        <f t="shared" ca="1" si="18"/>
        <v>0</v>
      </c>
      <c r="AJ46" s="390">
        <f t="shared" ca="1" si="19"/>
        <v>0</v>
      </c>
      <c r="AK46" s="390">
        <f t="shared" ca="1" si="20"/>
        <v>0</v>
      </c>
      <c r="AL46" s="390">
        <f t="shared" ca="1" si="21"/>
        <v>0</v>
      </c>
      <c r="AM46" s="390">
        <f t="shared" ca="1" si="22"/>
        <v>0</v>
      </c>
      <c r="AN46" s="390">
        <f t="shared" ca="1" si="23"/>
        <v>0</v>
      </c>
      <c r="AO46" s="390">
        <f t="shared" ca="1" si="24"/>
        <v>0</v>
      </c>
      <c r="AP46" s="390">
        <f t="shared" ca="1" si="25"/>
        <v>0</v>
      </c>
      <c r="AQ46" s="390">
        <f t="shared" ca="1" si="26"/>
        <v>0</v>
      </c>
      <c r="AR46" s="390">
        <f t="shared" ca="1" si="27"/>
        <v>0</v>
      </c>
      <c r="AS46" s="390">
        <f t="shared" ca="1" si="28"/>
        <v>0</v>
      </c>
      <c r="AT46" s="415">
        <f t="shared" ca="1" si="29"/>
        <v>0</v>
      </c>
      <c r="AU46" s="398">
        <f t="shared" ca="1" si="30"/>
        <v>0</v>
      </c>
    </row>
    <row r="47" spans="1:47" x14ac:dyDescent="0.25">
      <c r="A47" s="197">
        <f t="shared" si="31"/>
        <v>44440</v>
      </c>
      <c r="B47" s="388">
        <f>IF($A47&lt;=baseData, INDEX(Indicadores!B:B, MATCH($A47,Indicadores!A:A, 0)), INDEX(Indicadores!B:B, MATCH(baseData,Indicadores!A:A, 0)))</f>
        <v>839.38199999999995</v>
      </c>
      <c r="C47" s="389">
        <f>IF($A47&lt;=baseData, INDEX(Indicadores!E:E, MATCH($A47, Indicadores!A:A, 0)), INDEX(Indicadores!E:E, MATCH(baseData, Indicadores!A:A, 0)))</f>
        <v>5486.52</v>
      </c>
      <c r="E47" s="397">
        <f t="shared" ca="1" si="32"/>
        <v>0</v>
      </c>
      <c r="F47" s="398">
        <v>0</v>
      </c>
      <c r="G47" s="371"/>
      <c r="H47" s="393">
        <f t="shared" ca="1" si="33"/>
        <v>0</v>
      </c>
      <c r="I47" s="371"/>
      <c r="J47" s="393">
        <f t="shared" ca="1" si="34"/>
        <v>0</v>
      </c>
      <c r="L47" s="397">
        <f ca="1">IF($A47&gt;baseData, -$Z47*IF($Z47&gt;0, INDEX(Investidores!$K$3:$K$15, MATCH(L$1, Investidores!$B$3:$B$15, 0)), INDEX(Investidores!$K$3:$K$15, MATCH(L$1, Investidores!$B$3:$B$15, 0)))-IFERROR(INDEX(Permutas!$X:$AB, MATCH($A47, Permutas!$N:$N, 0), MATCH(L$1, Permutas!$X$2:$AB$2, 0)), 0)+IF($A47=EDATE(entrega,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7" s="390">
        <f ca="1">IF($A47&gt;baseData, -$Z47*IF($Z47&gt;0, INDEX(Investidores!$K$3:$K$15, MATCH(M$1, Investidores!$B$3:$B$15, 0)), INDEX(Investidores!$K$3:$K$15, MATCH(M$1, Investidores!$B$3:$B$15, 0)))-IFERROR(INDEX(Permutas!$X:$AB, MATCH($A47, Permutas!$N:$N, 0), MATCH(M$1, Permutas!$X$2:$AB$2, 0)), 0)+IF($A47=EDATE(entrega,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7" s="390">
        <f ca="1">IF($A47&gt;baseData, -$Z47*IF($Z47&gt;0, INDEX(Investidores!$K$3:$K$15, MATCH(N$1, Investidores!$B$3:$B$15, 0)), INDEX(Investidores!$K$3:$K$15, MATCH(N$1, Investidores!$B$3:$B$15, 0)))-IFERROR(INDEX(Permutas!$X:$AB, MATCH($A47, Permutas!$N:$N, 0), MATCH(N$1, Permutas!$X$2:$AB$2, 0)), 0)+IF($A47=EDATE(entrega,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7" s="390">
        <f ca="1">IF($A47&gt;baseData, -$Z47*IF($Z47&gt;0, INDEX(Investidores!$K$3:$K$15, MATCH(O$1, Investidores!$B$3:$B$15, 0)), INDEX(Investidores!$K$3:$K$15, MATCH(O$1, Investidores!$B$3:$B$15, 0)))-IFERROR(INDEX(Permutas!$X:$AB, MATCH($A47, Permutas!$N:$N, 0), MATCH(O$1, Permutas!$X$2:$AB$2, 0)), 0)+IF($A47=EDATE(entrega,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7" s="390">
        <f ca="1">IF($A47&gt;baseData, -$Z47*IF($Z47&gt;0, INDEX(Investidores!$K$3:$K$15, MATCH(P$1, Investidores!$B$3:$B$15, 0)), INDEX(Investidores!$K$3:$K$15, MATCH(P$1, Investidores!$B$3:$B$15, 0)))-IFERROR(INDEX(Permutas!$X:$AB, MATCH($A47, Permutas!$N:$N, 0), MATCH(P$1, Permutas!$X$2:$AB$2, 0)), 0)+IF($A47=EDATE(entrega,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7" s="390">
        <f ca="1">IF($A47&gt;baseData, -$Z47*IF($Z47&gt;0, INDEX(Investidores!$K$3:$K$15, MATCH(Q$1, Investidores!$B$3:$B$15, 0)), INDEX(Investidores!$K$3:$K$15, MATCH(Q$1, Investidores!$B$3:$B$15, 0)))-IFERROR(INDEX(Permutas!$X:$AB, MATCH($A47, Permutas!$N:$N, 0), MATCH(Q$1, Permutas!$X$2:$AB$2, 0)), 0)+IF($A47=EDATE(entrega,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7" s="390">
        <f ca="1">IF($A47&gt;baseData, -$Z47*IF($Z47&gt;0, INDEX(Investidores!$K$3:$K$15, MATCH(R$1, Investidores!$B$3:$B$15, 0)), INDEX(Investidores!$K$3:$K$15, MATCH(R$1, Investidores!$B$3:$B$15, 0)))-IFERROR(INDEX(Permutas!$X:$AB, MATCH($A47, Permutas!$N:$N, 0), MATCH(R$1, Permutas!$X$2:$AB$2, 0)), 0)+IF($A47=EDATE(entrega,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7" s="390">
        <f ca="1">IF($A47&gt;baseData, -$Z47*IF($Z47&gt;0, INDEX(Investidores!$K$3:$K$15, MATCH(S$1, Investidores!$B$3:$B$15, 0)), INDEX(Investidores!$K$3:$K$15, MATCH(S$1, Investidores!$B$3:$B$15, 0)))-IFERROR(INDEX(Permutas!$X:$AB, MATCH($A47, Permutas!$N:$N, 0), MATCH(S$1, Permutas!$X$2:$AB$2, 0)), 0)+IF($A47=EDATE(entrega,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7" s="390">
        <f ca="1">IF($A47&gt;baseData, -$Z47*IF($Z47&gt;0, INDEX(Investidores!$K$3:$K$15, MATCH(T$1, Investidores!$B$3:$B$15, 0)), INDEX(Investidores!$K$3:$K$15, MATCH(T$1, Investidores!$B$3:$B$15, 0)))-IFERROR(INDEX(Permutas!$X:$AB, MATCH($A47, Permutas!$N:$N, 0), MATCH(T$1, Permutas!$X$2:$AB$2, 0)), 0)+IF($A47=EDATE(entrega,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7" s="390">
        <f ca="1">IF($A47&gt;baseData, -$Z47*IF($Z47&gt;0, INDEX(Investidores!$K$3:$K$15, MATCH(U$1, Investidores!$B$3:$B$15, 0)), INDEX(Investidores!$K$3:$K$15, MATCH(U$1, Investidores!$B$3:$B$15, 0)))-IFERROR(INDEX(Permutas!$X:$AB, MATCH($A47, Permutas!$N:$N, 0), MATCH(U$1, Permutas!$X$2:$AB$2, 0)), 0)+IF($A47=EDATE(entrega,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7" s="390">
        <f ca="1">IF($A47&gt;baseData, -$Z47*IF($Z47&gt;0, INDEX(Investidores!$K$3:$K$15, MATCH(V$1, Investidores!$B$3:$B$15, 0)), INDEX(Investidores!$K$3:$K$15, MATCH(V$1, Investidores!$B$3:$B$15, 0)))-IFERROR(INDEX(Permutas!$X:$AB, MATCH($A47, Permutas!$N:$N, 0), MATCH(V$1, Permutas!$X$2:$AB$2, 0)), 0)+IF($A47=EDATE(entrega,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7" s="415">
        <f ca="1">IF($A47&gt;baseData, -$Z47*IF($Z47&gt;0, INDEX(Investidores!$K$3:$K$15, MATCH(W$1, Investidores!$B$3:$B$15, 0)), INDEX(Investidores!$K$3:$K$15, MATCH(W$1, Investidores!$B$3:$B$15, 0)))-IFERROR(INDEX(Permutas!$X:$AB, MATCH($A47, Permutas!$N:$N, 0), MATCH(W$1, Permutas!$X$2:$AB$2, 0)), 0)+IF($A47=EDATE(entrega,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7" s="398">
        <f ca="1">IF($A47&gt;baseData, -$Z47*IF($Z47&gt;0, INDEX(Investidores!$K$3:$K$15, MATCH(X$1, Investidores!$B$3:$B$15, 0)), INDEX(Investidores!$K$3:$K$15, MATCH(X$1, Investidores!$B$3:$B$15, 0)))-IFERROR(INDEX(Permutas!$X:$AB, MATCH($A47, Permutas!$N:$N, 0), MATCH(X$1, Permutas!$X$2:$AB$2, 0)), 0)+IF($A47=EDATE(entrega,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7" s="390">
        <f t="shared" ca="1" si="16"/>
        <v>0</v>
      </c>
      <c r="Z47" s="397">
        <f ca="1">-INDEX('Fluxo Bandeira Co'!AZ:AZ, MATCH($A47, 'Fluxo Bandeira Co'!$A:$A, 0))</f>
        <v>0</v>
      </c>
      <c r="AA47" s="398">
        <f>INDEX('Fluxo Bandeira Co'!J:J, MATCH($A47, 'Fluxo Bandeira Co'!$A:$A, 0))+INDEX('Fluxo Bandeira Co'!AK:AK, MATCH($A47, 'Fluxo Bandeira Co'!$A:$A, 0))</f>
        <v>0</v>
      </c>
      <c r="AB47" s="371"/>
      <c r="AC47" s="397">
        <f ca="1">-INDEX('Fluxo Bandeira Co'!L:L, MATCH('Fluxo Investidores'!$A47, 'Fluxo Bandeira Co'!$A:$A, 0))</f>
        <v>0</v>
      </c>
      <c r="AD47" s="398">
        <f>-INDEX('Fluxo Bandeira Co'!M:M, MATCH('Fluxo Investidores'!$A47, 'Fluxo Bandeira Co'!$A:$A, 0))</f>
        <v>0</v>
      </c>
      <c r="AF47" s="397">
        <f t="shared" ca="1" si="17"/>
        <v>0</v>
      </c>
      <c r="AG47" s="398">
        <f ca="1">IFERROR(INDEX('Fluxo Projeto'!AQ:AQ, MATCH('Fluxo Investidores'!A47, 'Fluxo Projeto'!A:A, 0)), 0)</f>
        <v>0</v>
      </c>
      <c r="AI47" s="397">
        <f t="shared" ca="1" si="18"/>
        <v>0</v>
      </c>
      <c r="AJ47" s="390">
        <f t="shared" ca="1" si="19"/>
        <v>0</v>
      </c>
      <c r="AK47" s="390">
        <f t="shared" ca="1" si="20"/>
        <v>0</v>
      </c>
      <c r="AL47" s="390">
        <f t="shared" ca="1" si="21"/>
        <v>0</v>
      </c>
      <c r="AM47" s="390">
        <f t="shared" ca="1" si="22"/>
        <v>0</v>
      </c>
      <c r="AN47" s="390">
        <f t="shared" ca="1" si="23"/>
        <v>0</v>
      </c>
      <c r="AO47" s="390">
        <f t="shared" ca="1" si="24"/>
        <v>0</v>
      </c>
      <c r="AP47" s="390">
        <f t="shared" ca="1" si="25"/>
        <v>0</v>
      </c>
      <c r="AQ47" s="390">
        <f t="shared" ca="1" si="26"/>
        <v>0</v>
      </c>
      <c r="AR47" s="390">
        <f t="shared" ca="1" si="27"/>
        <v>0</v>
      </c>
      <c r="AS47" s="390">
        <f t="shared" ca="1" si="28"/>
        <v>0</v>
      </c>
      <c r="AT47" s="415">
        <f t="shared" ca="1" si="29"/>
        <v>0</v>
      </c>
      <c r="AU47" s="398">
        <f t="shared" ca="1" si="30"/>
        <v>0</v>
      </c>
    </row>
    <row r="48" spans="1:47" x14ac:dyDescent="0.25">
      <c r="A48" s="197">
        <f t="shared" si="31"/>
        <v>44470</v>
      </c>
      <c r="B48" s="388">
        <f>IF($A48&lt;=baseData, INDEX(Indicadores!B:B, MATCH($A48,Indicadores!A:A, 0)), INDEX(Indicadores!B:B, MATCH(baseData,Indicadores!A:A, 0)))</f>
        <v>839.38199999999995</v>
      </c>
      <c r="C48" s="389">
        <f>IF($A48&lt;=baseData, INDEX(Indicadores!E:E, MATCH($A48, Indicadores!A:A, 0)), INDEX(Indicadores!E:E, MATCH(baseData, Indicadores!A:A, 0)))</f>
        <v>5486.52</v>
      </c>
      <c r="E48" s="397">
        <f t="shared" ca="1" si="32"/>
        <v>0</v>
      </c>
      <c r="F48" s="398">
        <v>0</v>
      </c>
      <c r="G48" s="371"/>
      <c r="H48" s="393">
        <f t="shared" ca="1" si="33"/>
        <v>0</v>
      </c>
      <c r="I48" s="371"/>
      <c r="J48" s="393">
        <f t="shared" ca="1" si="34"/>
        <v>0</v>
      </c>
      <c r="L48" s="397">
        <f ca="1">IF($A48&gt;baseData, -$Z48*IF($Z48&gt;0, INDEX(Investidores!$K$3:$K$15, MATCH(L$1, Investidores!$B$3:$B$15, 0)), INDEX(Investidores!$K$3:$K$15, MATCH(L$1, Investidores!$B$3:$B$15, 0)))-IFERROR(INDEX(Permutas!$X:$AB, MATCH($A48, Permutas!$N:$N, 0), MATCH(L$1, Permutas!$X$2:$AB$2, 0)), 0)+IF($A48=EDATE(entrega,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8" s="390">
        <f ca="1">IF($A48&gt;baseData, -$Z48*IF($Z48&gt;0, INDEX(Investidores!$K$3:$K$15, MATCH(M$1, Investidores!$B$3:$B$15, 0)), INDEX(Investidores!$K$3:$K$15, MATCH(M$1, Investidores!$B$3:$B$15, 0)))-IFERROR(INDEX(Permutas!$X:$AB, MATCH($A48, Permutas!$N:$N, 0), MATCH(M$1, Permutas!$X$2:$AB$2, 0)), 0)+IF($A48=EDATE(entrega,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8" s="390">
        <f ca="1">IF($A48&gt;baseData, -$Z48*IF($Z48&gt;0, INDEX(Investidores!$K$3:$K$15, MATCH(N$1, Investidores!$B$3:$B$15, 0)), INDEX(Investidores!$K$3:$K$15, MATCH(N$1, Investidores!$B$3:$B$15, 0)))-IFERROR(INDEX(Permutas!$X:$AB, MATCH($A48, Permutas!$N:$N, 0), MATCH(N$1, Permutas!$X$2:$AB$2, 0)), 0)+IF($A48=EDATE(entrega,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8" s="390">
        <f ca="1">IF($A48&gt;baseData, -$Z48*IF($Z48&gt;0, INDEX(Investidores!$K$3:$K$15, MATCH(O$1, Investidores!$B$3:$B$15, 0)), INDEX(Investidores!$K$3:$K$15, MATCH(O$1, Investidores!$B$3:$B$15, 0)))-IFERROR(INDEX(Permutas!$X:$AB, MATCH($A48, Permutas!$N:$N, 0), MATCH(O$1, Permutas!$X$2:$AB$2, 0)), 0)+IF($A48=EDATE(entrega,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8" s="390">
        <f ca="1">IF($A48&gt;baseData, -$Z48*IF($Z48&gt;0, INDEX(Investidores!$K$3:$K$15, MATCH(P$1, Investidores!$B$3:$B$15, 0)), INDEX(Investidores!$K$3:$K$15, MATCH(P$1, Investidores!$B$3:$B$15, 0)))-IFERROR(INDEX(Permutas!$X:$AB, MATCH($A48, Permutas!$N:$N, 0), MATCH(P$1, Permutas!$X$2:$AB$2, 0)), 0)+IF($A48=EDATE(entrega,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8" s="390">
        <f ca="1">IF($A48&gt;baseData, -$Z48*IF($Z48&gt;0, INDEX(Investidores!$K$3:$K$15, MATCH(Q$1, Investidores!$B$3:$B$15, 0)), INDEX(Investidores!$K$3:$K$15, MATCH(Q$1, Investidores!$B$3:$B$15, 0)))-IFERROR(INDEX(Permutas!$X:$AB, MATCH($A48, Permutas!$N:$N, 0), MATCH(Q$1, Permutas!$X$2:$AB$2, 0)), 0)+IF($A48=EDATE(entrega,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8" s="390">
        <f ca="1">IF($A48&gt;baseData, -$Z48*IF($Z48&gt;0, INDEX(Investidores!$K$3:$K$15, MATCH(R$1, Investidores!$B$3:$B$15, 0)), INDEX(Investidores!$K$3:$K$15, MATCH(R$1, Investidores!$B$3:$B$15, 0)))-IFERROR(INDEX(Permutas!$X:$AB, MATCH($A48, Permutas!$N:$N, 0), MATCH(R$1, Permutas!$X$2:$AB$2, 0)), 0)+IF($A48=EDATE(entrega,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8" s="390">
        <f ca="1">IF($A48&gt;baseData, -$Z48*IF($Z48&gt;0, INDEX(Investidores!$K$3:$K$15, MATCH(S$1, Investidores!$B$3:$B$15, 0)), INDEX(Investidores!$K$3:$K$15, MATCH(S$1, Investidores!$B$3:$B$15, 0)))-IFERROR(INDEX(Permutas!$X:$AB, MATCH($A48, Permutas!$N:$N, 0), MATCH(S$1, Permutas!$X$2:$AB$2, 0)), 0)+IF($A48=EDATE(entrega,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8" s="390">
        <f ca="1">IF($A48&gt;baseData, -$Z48*IF($Z48&gt;0, INDEX(Investidores!$K$3:$K$15, MATCH(T$1, Investidores!$B$3:$B$15, 0)), INDEX(Investidores!$K$3:$K$15, MATCH(T$1, Investidores!$B$3:$B$15, 0)))-IFERROR(INDEX(Permutas!$X:$AB, MATCH($A48, Permutas!$N:$N, 0), MATCH(T$1, Permutas!$X$2:$AB$2, 0)), 0)+IF($A48=EDATE(entrega,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8" s="390">
        <f ca="1">IF($A48&gt;baseData, -$Z48*IF($Z48&gt;0, INDEX(Investidores!$K$3:$K$15, MATCH(U$1, Investidores!$B$3:$B$15, 0)), INDEX(Investidores!$K$3:$K$15, MATCH(U$1, Investidores!$B$3:$B$15, 0)))-IFERROR(INDEX(Permutas!$X:$AB, MATCH($A48, Permutas!$N:$N, 0), MATCH(U$1, Permutas!$X$2:$AB$2, 0)), 0)+IF($A48=EDATE(entrega,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8" s="390">
        <f ca="1">IF($A48&gt;baseData, -$Z48*IF($Z48&gt;0, INDEX(Investidores!$K$3:$K$15, MATCH(V$1, Investidores!$B$3:$B$15, 0)), INDEX(Investidores!$K$3:$K$15, MATCH(V$1, Investidores!$B$3:$B$15, 0)))-IFERROR(INDEX(Permutas!$X:$AB, MATCH($A48, Permutas!$N:$N, 0), MATCH(V$1, Permutas!$X$2:$AB$2, 0)), 0)+IF($A48=EDATE(entrega,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8" s="415">
        <f ca="1">IF($A48&gt;baseData, -$Z48*IF($Z48&gt;0, INDEX(Investidores!$K$3:$K$15, MATCH(W$1, Investidores!$B$3:$B$15, 0)), INDEX(Investidores!$K$3:$K$15, MATCH(W$1, Investidores!$B$3:$B$15, 0)))-IFERROR(INDEX(Permutas!$X:$AB, MATCH($A48, Permutas!$N:$N, 0), MATCH(W$1, Permutas!$X$2:$AB$2, 0)), 0)+IF($A48=EDATE(entrega,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8" s="398">
        <f ca="1">IF($A48&gt;baseData, -$Z48*IF($Z48&gt;0, INDEX(Investidores!$K$3:$K$15, MATCH(X$1, Investidores!$B$3:$B$15, 0)), INDEX(Investidores!$K$3:$K$15, MATCH(X$1, Investidores!$B$3:$B$15, 0)))-IFERROR(INDEX(Permutas!$X:$AB, MATCH($A48, Permutas!$N:$N, 0), MATCH(X$1, Permutas!$X$2:$AB$2, 0)), 0)+IF($A48=EDATE(entrega,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8" s="390">
        <f t="shared" ca="1" si="16"/>
        <v>0</v>
      </c>
      <c r="Z48" s="397">
        <f ca="1">-INDEX('Fluxo Bandeira Co'!AZ:AZ, MATCH($A48, 'Fluxo Bandeira Co'!$A:$A, 0))</f>
        <v>0</v>
      </c>
      <c r="AA48" s="398">
        <f>INDEX('Fluxo Bandeira Co'!J:J, MATCH($A48, 'Fluxo Bandeira Co'!$A:$A, 0))+INDEX('Fluxo Bandeira Co'!AK:AK, MATCH($A48, 'Fluxo Bandeira Co'!$A:$A, 0))</f>
        <v>0</v>
      </c>
      <c r="AB48" s="371"/>
      <c r="AC48" s="397">
        <f ca="1">-INDEX('Fluxo Bandeira Co'!L:L, MATCH('Fluxo Investidores'!$A48, 'Fluxo Bandeira Co'!$A:$A, 0))</f>
        <v>0</v>
      </c>
      <c r="AD48" s="398">
        <f>-INDEX('Fluxo Bandeira Co'!M:M, MATCH('Fluxo Investidores'!$A48, 'Fluxo Bandeira Co'!$A:$A, 0))</f>
        <v>0</v>
      </c>
      <c r="AF48" s="397">
        <f t="shared" ca="1" si="17"/>
        <v>0</v>
      </c>
      <c r="AG48" s="398">
        <f ca="1">IFERROR(INDEX('Fluxo Projeto'!AQ:AQ, MATCH('Fluxo Investidores'!A48, 'Fluxo Projeto'!A:A, 0)), 0)</f>
        <v>0</v>
      </c>
      <c r="AI48" s="397">
        <f t="shared" ca="1" si="18"/>
        <v>0</v>
      </c>
      <c r="AJ48" s="390">
        <f t="shared" ca="1" si="19"/>
        <v>0</v>
      </c>
      <c r="AK48" s="390">
        <f t="shared" ca="1" si="20"/>
        <v>0</v>
      </c>
      <c r="AL48" s="390">
        <f t="shared" ca="1" si="21"/>
        <v>0</v>
      </c>
      <c r="AM48" s="390">
        <f t="shared" ca="1" si="22"/>
        <v>0</v>
      </c>
      <c r="AN48" s="390">
        <f t="shared" ca="1" si="23"/>
        <v>0</v>
      </c>
      <c r="AO48" s="390">
        <f t="shared" ca="1" si="24"/>
        <v>0</v>
      </c>
      <c r="AP48" s="390">
        <f t="shared" ca="1" si="25"/>
        <v>0</v>
      </c>
      <c r="AQ48" s="390">
        <f t="shared" ca="1" si="26"/>
        <v>0</v>
      </c>
      <c r="AR48" s="390">
        <f t="shared" ca="1" si="27"/>
        <v>0</v>
      </c>
      <c r="AS48" s="390">
        <f t="shared" ca="1" si="28"/>
        <v>0</v>
      </c>
      <c r="AT48" s="415">
        <f t="shared" ca="1" si="29"/>
        <v>0</v>
      </c>
      <c r="AU48" s="398">
        <f t="shared" ca="1" si="30"/>
        <v>0</v>
      </c>
    </row>
    <row r="49" spans="1:47" x14ac:dyDescent="0.25">
      <c r="A49" s="197">
        <f t="shared" si="31"/>
        <v>44501</v>
      </c>
      <c r="B49" s="388">
        <f>IF($A49&lt;=baseData, INDEX(Indicadores!B:B, MATCH($A49,Indicadores!A:A, 0)), INDEX(Indicadores!B:B, MATCH(baseData,Indicadores!A:A, 0)))</f>
        <v>839.38199999999995</v>
      </c>
      <c r="C49" s="389">
        <f>IF($A49&lt;=baseData, INDEX(Indicadores!E:E, MATCH($A49, Indicadores!A:A, 0)), INDEX(Indicadores!E:E, MATCH(baseData, Indicadores!A:A, 0)))</f>
        <v>5486.52</v>
      </c>
      <c r="E49" s="397">
        <f t="shared" ca="1" si="32"/>
        <v>0</v>
      </c>
      <c r="F49" s="398">
        <v>0</v>
      </c>
      <c r="G49" s="371"/>
      <c r="H49" s="393">
        <f t="shared" ca="1" si="33"/>
        <v>0</v>
      </c>
      <c r="I49" s="371"/>
      <c r="J49" s="393">
        <f t="shared" ca="1" si="34"/>
        <v>0</v>
      </c>
      <c r="L49" s="397">
        <f ca="1">IF($A49&gt;baseData, -$Z49*IF($Z49&gt;0, INDEX(Investidores!$K$3:$K$15, MATCH(L$1, Investidores!$B$3:$B$15, 0)), INDEX(Investidores!$K$3:$K$15, MATCH(L$1, Investidores!$B$3:$B$15, 0)))-IFERROR(INDEX(Permutas!$X:$AB, MATCH($A49, Permutas!$N:$N, 0), MATCH(L$1, Permutas!$X$2:$AB$2, 0)), 0)+IF($A49=EDATE(entrega,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49" s="390">
        <f ca="1">IF($A49&gt;baseData, -$Z49*IF($Z49&gt;0, INDEX(Investidores!$K$3:$K$15, MATCH(M$1, Investidores!$B$3:$B$15, 0)), INDEX(Investidores!$K$3:$K$15, MATCH(M$1, Investidores!$B$3:$B$15, 0)))-IFERROR(INDEX(Permutas!$X:$AB, MATCH($A49, Permutas!$N:$N, 0), MATCH(M$1, Permutas!$X$2:$AB$2, 0)), 0)+IF($A49=EDATE(entrega,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49" s="390">
        <f ca="1">IF($A49&gt;baseData, -$Z49*IF($Z49&gt;0, INDEX(Investidores!$K$3:$K$15, MATCH(N$1, Investidores!$B$3:$B$15, 0)), INDEX(Investidores!$K$3:$K$15, MATCH(N$1, Investidores!$B$3:$B$15, 0)))-IFERROR(INDEX(Permutas!$X:$AB, MATCH($A49, Permutas!$N:$N, 0), MATCH(N$1, Permutas!$X$2:$AB$2, 0)), 0)+IF($A49=EDATE(entrega,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49" s="390">
        <f ca="1">IF($A49&gt;baseData, -$Z49*IF($Z49&gt;0, INDEX(Investidores!$K$3:$K$15, MATCH(O$1, Investidores!$B$3:$B$15, 0)), INDEX(Investidores!$K$3:$K$15, MATCH(O$1, Investidores!$B$3:$B$15, 0)))-IFERROR(INDEX(Permutas!$X:$AB, MATCH($A49, Permutas!$N:$N, 0), MATCH(O$1, Permutas!$X$2:$AB$2, 0)), 0)+IF($A49=EDATE(entrega,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49" s="390">
        <f ca="1">IF($A49&gt;baseData, -$Z49*IF($Z49&gt;0, INDEX(Investidores!$K$3:$K$15, MATCH(P$1, Investidores!$B$3:$B$15, 0)), INDEX(Investidores!$K$3:$K$15, MATCH(P$1, Investidores!$B$3:$B$15, 0)))-IFERROR(INDEX(Permutas!$X:$AB, MATCH($A49, Permutas!$N:$N, 0), MATCH(P$1, Permutas!$X$2:$AB$2, 0)), 0)+IF($A49=EDATE(entrega,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49" s="390">
        <f ca="1">IF($A49&gt;baseData, -$Z49*IF($Z49&gt;0, INDEX(Investidores!$K$3:$K$15, MATCH(Q$1, Investidores!$B$3:$B$15, 0)), INDEX(Investidores!$K$3:$K$15, MATCH(Q$1, Investidores!$B$3:$B$15, 0)))-IFERROR(INDEX(Permutas!$X:$AB, MATCH($A49, Permutas!$N:$N, 0), MATCH(Q$1, Permutas!$X$2:$AB$2, 0)), 0)+IF($A49=EDATE(entrega,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49" s="390">
        <f ca="1">IF($A49&gt;baseData, -$Z49*IF($Z49&gt;0, INDEX(Investidores!$K$3:$K$15, MATCH(R$1, Investidores!$B$3:$B$15, 0)), INDEX(Investidores!$K$3:$K$15, MATCH(R$1, Investidores!$B$3:$B$15, 0)))-IFERROR(INDEX(Permutas!$X:$AB, MATCH($A49, Permutas!$N:$N, 0), MATCH(R$1, Permutas!$X$2:$AB$2, 0)), 0)+IF($A49=EDATE(entrega,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49" s="390">
        <f ca="1">IF($A49&gt;baseData, -$Z49*IF($Z49&gt;0, INDEX(Investidores!$K$3:$K$15, MATCH(S$1, Investidores!$B$3:$B$15, 0)), INDEX(Investidores!$K$3:$K$15, MATCH(S$1, Investidores!$B$3:$B$15, 0)))-IFERROR(INDEX(Permutas!$X:$AB, MATCH($A49, Permutas!$N:$N, 0), MATCH(S$1, Permutas!$X$2:$AB$2, 0)), 0)+IF($A49=EDATE(entrega,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49" s="390">
        <f ca="1">IF($A49&gt;baseData, -$Z49*IF($Z49&gt;0, INDEX(Investidores!$K$3:$K$15, MATCH(T$1, Investidores!$B$3:$B$15, 0)), INDEX(Investidores!$K$3:$K$15, MATCH(T$1, Investidores!$B$3:$B$15, 0)))-IFERROR(INDEX(Permutas!$X:$AB, MATCH($A49, Permutas!$N:$N, 0), MATCH(T$1, Permutas!$X$2:$AB$2, 0)), 0)+IF($A49=EDATE(entrega,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49" s="390">
        <f ca="1">IF($A49&gt;baseData, -$Z49*IF($Z49&gt;0, INDEX(Investidores!$K$3:$K$15, MATCH(U$1, Investidores!$B$3:$B$15, 0)), INDEX(Investidores!$K$3:$K$15, MATCH(U$1, Investidores!$B$3:$B$15, 0)))-IFERROR(INDEX(Permutas!$X:$AB, MATCH($A49, Permutas!$N:$N, 0), MATCH(U$1, Permutas!$X$2:$AB$2, 0)), 0)+IF($A49=EDATE(entrega,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49" s="390">
        <f ca="1">IF($A49&gt;baseData, -$Z49*IF($Z49&gt;0, INDEX(Investidores!$K$3:$K$15, MATCH(V$1, Investidores!$B$3:$B$15, 0)), INDEX(Investidores!$K$3:$K$15, MATCH(V$1, Investidores!$B$3:$B$15, 0)))-IFERROR(INDEX(Permutas!$X:$AB, MATCH($A49, Permutas!$N:$N, 0), MATCH(V$1, Permutas!$X$2:$AB$2, 0)), 0)+IF($A49=EDATE(entrega,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49" s="415">
        <f ca="1">IF($A49&gt;baseData, -$Z49*IF($Z49&gt;0, INDEX(Investidores!$K$3:$K$15, MATCH(W$1, Investidores!$B$3:$B$15, 0)), INDEX(Investidores!$K$3:$K$15, MATCH(W$1, Investidores!$B$3:$B$15, 0)))-IFERROR(INDEX(Permutas!$X:$AB, MATCH($A49, Permutas!$N:$N, 0), MATCH(W$1, Permutas!$X$2:$AB$2, 0)), 0)+IF($A49=EDATE(entrega,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49" s="398">
        <f ca="1">IF($A49&gt;baseData, -$Z49*IF($Z49&gt;0, INDEX(Investidores!$K$3:$K$15, MATCH(X$1, Investidores!$B$3:$B$15, 0)), INDEX(Investidores!$K$3:$K$15, MATCH(X$1, Investidores!$B$3:$B$15, 0)))-IFERROR(INDEX(Permutas!$X:$AB, MATCH($A49, Permutas!$N:$N, 0), MATCH(X$1, Permutas!$X$2:$AB$2, 0)), 0)+IF($A49=EDATE(entrega,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49" s="390">
        <f t="shared" ca="1" si="16"/>
        <v>0</v>
      </c>
      <c r="Z49" s="397">
        <f ca="1">-INDEX('Fluxo Bandeira Co'!AZ:AZ, MATCH($A49, 'Fluxo Bandeira Co'!$A:$A, 0))</f>
        <v>0</v>
      </c>
      <c r="AA49" s="398">
        <f>INDEX('Fluxo Bandeira Co'!J:J, MATCH($A49, 'Fluxo Bandeira Co'!$A:$A, 0))+INDEX('Fluxo Bandeira Co'!AK:AK, MATCH($A49, 'Fluxo Bandeira Co'!$A:$A, 0))</f>
        <v>0</v>
      </c>
      <c r="AB49" s="371"/>
      <c r="AC49" s="397">
        <f ca="1">-INDEX('Fluxo Bandeira Co'!L:L, MATCH('Fluxo Investidores'!$A49, 'Fluxo Bandeira Co'!$A:$A, 0))</f>
        <v>0</v>
      </c>
      <c r="AD49" s="398">
        <f>-INDEX('Fluxo Bandeira Co'!M:M, MATCH('Fluxo Investidores'!$A49, 'Fluxo Bandeira Co'!$A:$A, 0))</f>
        <v>0</v>
      </c>
      <c r="AF49" s="397">
        <f t="shared" ca="1" si="17"/>
        <v>0</v>
      </c>
      <c r="AG49" s="398">
        <f ca="1">IFERROR(INDEX('Fluxo Projeto'!AQ:AQ, MATCH('Fluxo Investidores'!A49, 'Fluxo Projeto'!A:A, 0)), 0)</f>
        <v>0</v>
      </c>
      <c r="AI49" s="397">
        <f t="shared" ca="1" si="18"/>
        <v>0</v>
      </c>
      <c r="AJ49" s="390">
        <f t="shared" ca="1" si="19"/>
        <v>0</v>
      </c>
      <c r="AK49" s="390">
        <f t="shared" ca="1" si="20"/>
        <v>0</v>
      </c>
      <c r="AL49" s="390">
        <f t="shared" ca="1" si="21"/>
        <v>0</v>
      </c>
      <c r="AM49" s="390">
        <f t="shared" ca="1" si="22"/>
        <v>0</v>
      </c>
      <c r="AN49" s="390">
        <f t="shared" ca="1" si="23"/>
        <v>0</v>
      </c>
      <c r="AO49" s="390">
        <f t="shared" ca="1" si="24"/>
        <v>0</v>
      </c>
      <c r="AP49" s="390">
        <f t="shared" ca="1" si="25"/>
        <v>0</v>
      </c>
      <c r="AQ49" s="390">
        <f t="shared" ca="1" si="26"/>
        <v>0</v>
      </c>
      <c r="AR49" s="390">
        <f t="shared" ca="1" si="27"/>
        <v>0</v>
      </c>
      <c r="AS49" s="390">
        <f t="shared" ca="1" si="28"/>
        <v>0</v>
      </c>
      <c r="AT49" s="415">
        <f t="shared" ca="1" si="29"/>
        <v>0</v>
      </c>
      <c r="AU49" s="398">
        <f t="shared" ca="1" si="30"/>
        <v>0</v>
      </c>
    </row>
    <row r="50" spans="1:47" x14ac:dyDescent="0.25">
      <c r="A50" s="197">
        <f t="shared" si="31"/>
        <v>44531</v>
      </c>
      <c r="B50" s="388">
        <f>IF($A50&lt;=baseData, INDEX(Indicadores!B:B, MATCH($A50,Indicadores!A:A, 0)), INDEX(Indicadores!B:B, MATCH(baseData,Indicadores!A:A, 0)))</f>
        <v>839.38199999999995</v>
      </c>
      <c r="C50" s="389">
        <f>IF($A50&lt;=baseData, INDEX(Indicadores!E:E, MATCH($A50, Indicadores!A:A, 0)), INDEX(Indicadores!E:E, MATCH(baseData, Indicadores!A:A, 0)))</f>
        <v>5486.52</v>
      </c>
      <c r="E50" s="397">
        <f t="shared" ca="1" si="32"/>
        <v>0</v>
      </c>
      <c r="F50" s="398">
        <v>0</v>
      </c>
      <c r="G50" s="371"/>
      <c r="H50" s="393">
        <f t="shared" ca="1" si="33"/>
        <v>0</v>
      </c>
      <c r="I50" s="371"/>
      <c r="J50" s="393">
        <f t="shared" ca="1" si="34"/>
        <v>0</v>
      </c>
      <c r="L50" s="397">
        <f ca="1">IF($A50&gt;baseData, -$Z50*IF($Z50&gt;0, INDEX(Investidores!$K$3:$K$15, MATCH(L$1, Investidores!$B$3:$B$15, 0)), INDEX(Investidores!$K$3:$K$15, MATCH(L$1, Investidores!$B$3:$B$15, 0)))-IFERROR(INDEX(Permutas!$X:$AB, MATCH($A50, Permutas!$N:$N, 0), MATCH(L$1, Permutas!$X$2:$AB$2, 0)), 0)+IF($A50=EDATE(entrega,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50" s="390">
        <f ca="1">IF($A50&gt;baseData, -$Z50*IF($Z50&gt;0, INDEX(Investidores!$K$3:$K$15, MATCH(M$1, Investidores!$B$3:$B$15, 0)), INDEX(Investidores!$K$3:$K$15, MATCH(M$1, Investidores!$B$3:$B$15, 0)))-IFERROR(INDEX(Permutas!$X:$AB, MATCH($A50, Permutas!$N:$N, 0), MATCH(M$1, Permutas!$X$2:$AB$2, 0)), 0)+IF($A50=EDATE(entrega,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50" s="390">
        <f ca="1">IF($A50&gt;baseData, -$Z50*IF($Z50&gt;0, INDEX(Investidores!$K$3:$K$15, MATCH(N$1, Investidores!$B$3:$B$15, 0)), INDEX(Investidores!$K$3:$K$15, MATCH(N$1, Investidores!$B$3:$B$15, 0)))-IFERROR(INDEX(Permutas!$X:$AB, MATCH($A50, Permutas!$N:$N, 0), MATCH(N$1, Permutas!$X$2:$AB$2, 0)), 0)+IF($A50=EDATE(entrega,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50" s="390">
        <f ca="1">IF($A50&gt;baseData, -$Z50*IF($Z50&gt;0, INDEX(Investidores!$K$3:$K$15, MATCH(O$1, Investidores!$B$3:$B$15, 0)), INDEX(Investidores!$K$3:$K$15, MATCH(O$1, Investidores!$B$3:$B$15, 0)))-IFERROR(INDEX(Permutas!$X:$AB, MATCH($A50, Permutas!$N:$N, 0), MATCH(O$1, Permutas!$X$2:$AB$2, 0)), 0)+IF($A50=EDATE(entrega,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50" s="390">
        <f ca="1">IF($A50&gt;baseData, -$Z50*IF($Z50&gt;0, INDEX(Investidores!$K$3:$K$15, MATCH(P$1, Investidores!$B$3:$B$15, 0)), INDEX(Investidores!$K$3:$K$15, MATCH(P$1, Investidores!$B$3:$B$15, 0)))-IFERROR(INDEX(Permutas!$X:$AB, MATCH($A50, Permutas!$N:$N, 0), MATCH(P$1, Permutas!$X$2:$AB$2, 0)), 0)+IF($A50=EDATE(entrega,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50" s="390">
        <f ca="1">IF($A50&gt;baseData, -$Z50*IF($Z50&gt;0, INDEX(Investidores!$K$3:$K$15, MATCH(Q$1, Investidores!$B$3:$B$15, 0)), INDEX(Investidores!$K$3:$K$15, MATCH(Q$1, Investidores!$B$3:$B$15, 0)))-IFERROR(INDEX(Permutas!$X:$AB, MATCH($A50, Permutas!$N:$N, 0), MATCH(Q$1, Permutas!$X$2:$AB$2, 0)), 0)+IF($A50=EDATE(entrega,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50" s="390">
        <f ca="1">IF($A50&gt;baseData, -$Z50*IF($Z50&gt;0, INDEX(Investidores!$K$3:$K$15, MATCH(R$1, Investidores!$B$3:$B$15, 0)), INDEX(Investidores!$K$3:$K$15, MATCH(R$1, Investidores!$B$3:$B$15, 0)))-IFERROR(INDEX(Permutas!$X:$AB, MATCH($A50, Permutas!$N:$N, 0), MATCH(R$1, Permutas!$X$2:$AB$2, 0)), 0)+IF($A50=EDATE(entrega,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50" s="390">
        <f ca="1">IF($A50&gt;baseData, -$Z50*IF($Z50&gt;0, INDEX(Investidores!$K$3:$K$15, MATCH(S$1, Investidores!$B$3:$B$15, 0)), INDEX(Investidores!$K$3:$K$15, MATCH(S$1, Investidores!$B$3:$B$15, 0)))-IFERROR(INDEX(Permutas!$X:$AB, MATCH($A50, Permutas!$N:$N, 0), MATCH(S$1, Permutas!$X$2:$AB$2, 0)), 0)+IF($A50=EDATE(entrega,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50" s="390">
        <f ca="1">IF($A50&gt;baseData, -$Z50*IF($Z50&gt;0, INDEX(Investidores!$K$3:$K$15, MATCH(T$1, Investidores!$B$3:$B$15, 0)), INDEX(Investidores!$K$3:$K$15, MATCH(T$1, Investidores!$B$3:$B$15, 0)))-IFERROR(INDEX(Permutas!$X:$AB, MATCH($A50, Permutas!$N:$N, 0), MATCH(T$1, Permutas!$X$2:$AB$2, 0)), 0)+IF($A50=EDATE(entrega,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50" s="390">
        <f ca="1">IF($A50&gt;baseData, -$Z50*IF($Z50&gt;0, INDEX(Investidores!$K$3:$K$15, MATCH(U$1, Investidores!$B$3:$B$15, 0)), INDEX(Investidores!$K$3:$K$15, MATCH(U$1, Investidores!$B$3:$B$15, 0)))-IFERROR(INDEX(Permutas!$X:$AB, MATCH($A50, Permutas!$N:$N, 0), MATCH(U$1, Permutas!$X$2:$AB$2, 0)), 0)+IF($A50=EDATE(entrega,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50" s="390">
        <f ca="1">IF($A50&gt;baseData, -$Z50*IF($Z50&gt;0, INDEX(Investidores!$K$3:$K$15, MATCH(V$1, Investidores!$B$3:$B$15, 0)), INDEX(Investidores!$K$3:$K$15, MATCH(V$1, Investidores!$B$3:$B$15, 0)))-IFERROR(INDEX(Permutas!$X:$AB, MATCH($A50, Permutas!$N:$N, 0), MATCH(V$1, Permutas!$X$2:$AB$2, 0)), 0)+IF($A50=EDATE(entrega,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50" s="415">
        <f ca="1">IF($A50&gt;baseData, -$Z50*IF($Z50&gt;0, INDEX(Investidores!$K$3:$K$15, MATCH(W$1, Investidores!$B$3:$B$15, 0)), INDEX(Investidores!$K$3:$K$15, MATCH(W$1, Investidores!$B$3:$B$15, 0)))-IFERROR(INDEX(Permutas!$X:$AB, MATCH($A50, Permutas!$N:$N, 0), MATCH(W$1, Permutas!$X$2:$AB$2, 0)), 0)+IF($A50=EDATE(entrega,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50" s="398">
        <f ca="1">IF($A50&gt;baseData, -$Z50*IF($Z50&gt;0, INDEX(Investidores!$K$3:$K$15, MATCH(X$1, Investidores!$B$3:$B$15, 0)), INDEX(Investidores!$K$3:$K$15, MATCH(X$1, Investidores!$B$3:$B$15, 0)))-IFERROR(INDEX(Permutas!$X:$AB, MATCH($A50, Permutas!$N:$N, 0), MATCH(X$1, Permutas!$X$2:$AB$2, 0)), 0)+IF($A50=EDATE(entrega,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50" s="390">
        <f t="shared" ca="1" si="16"/>
        <v>0</v>
      </c>
      <c r="Z50" s="397">
        <f ca="1">-INDEX('Fluxo Bandeira Co'!AZ:AZ, MATCH($A50, 'Fluxo Bandeira Co'!$A:$A, 0))</f>
        <v>0</v>
      </c>
      <c r="AA50" s="398">
        <f>INDEX('Fluxo Bandeira Co'!J:J, MATCH($A50, 'Fluxo Bandeira Co'!$A:$A, 0))+INDEX('Fluxo Bandeira Co'!AK:AK, MATCH($A50, 'Fluxo Bandeira Co'!$A:$A, 0))</f>
        <v>0</v>
      </c>
      <c r="AB50" s="371"/>
      <c r="AC50" s="397">
        <f ca="1">-INDEX('Fluxo Bandeira Co'!L:L, MATCH('Fluxo Investidores'!$A50, 'Fluxo Bandeira Co'!$A:$A, 0))</f>
        <v>0</v>
      </c>
      <c r="AD50" s="398">
        <f>-INDEX('Fluxo Bandeira Co'!M:M, MATCH('Fluxo Investidores'!$A50, 'Fluxo Bandeira Co'!$A:$A, 0))</f>
        <v>0</v>
      </c>
      <c r="AF50" s="397">
        <f t="shared" ca="1" si="17"/>
        <v>0</v>
      </c>
      <c r="AG50" s="398">
        <f ca="1">IFERROR(INDEX('Fluxo Projeto'!AQ:AQ, MATCH('Fluxo Investidores'!A50, 'Fluxo Projeto'!A:A, 0)), 0)</f>
        <v>0</v>
      </c>
      <c r="AI50" s="397">
        <f t="shared" ca="1" si="18"/>
        <v>0</v>
      </c>
      <c r="AJ50" s="390">
        <f t="shared" ca="1" si="19"/>
        <v>0</v>
      </c>
      <c r="AK50" s="390">
        <f t="shared" ca="1" si="20"/>
        <v>0</v>
      </c>
      <c r="AL50" s="390">
        <f t="shared" ca="1" si="21"/>
        <v>0</v>
      </c>
      <c r="AM50" s="390">
        <f t="shared" ca="1" si="22"/>
        <v>0</v>
      </c>
      <c r="AN50" s="390">
        <f t="shared" ca="1" si="23"/>
        <v>0</v>
      </c>
      <c r="AO50" s="390">
        <f t="shared" ca="1" si="24"/>
        <v>0</v>
      </c>
      <c r="AP50" s="390">
        <f t="shared" ca="1" si="25"/>
        <v>0</v>
      </c>
      <c r="AQ50" s="390">
        <f t="shared" ca="1" si="26"/>
        <v>0</v>
      </c>
      <c r="AR50" s="390">
        <f t="shared" ca="1" si="27"/>
        <v>0</v>
      </c>
      <c r="AS50" s="390">
        <f t="shared" ca="1" si="28"/>
        <v>0</v>
      </c>
      <c r="AT50" s="415">
        <f t="shared" ca="1" si="29"/>
        <v>0</v>
      </c>
      <c r="AU50" s="398">
        <f t="shared" ca="1" si="30"/>
        <v>0</v>
      </c>
    </row>
    <row r="51" spans="1:47" x14ac:dyDescent="0.25">
      <c r="A51" s="197">
        <f t="shared" si="31"/>
        <v>44562</v>
      </c>
      <c r="B51" s="388">
        <f>IF($A51&lt;=baseData, INDEX(Indicadores!B:B, MATCH($A51,Indicadores!A:A, 0)), INDEX(Indicadores!B:B, MATCH(baseData,Indicadores!A:A, 0)))</f>
        <v>839.38199999999995</v>
      </c>
      <c r="C51" s="389">
        <f>IF($A51&lt;=baseData, INDEX(Indicadores!E:E, MATCH($A51, Indicadores!A:A, 0)), INDEX(Indicadores!E:E, MATCH(baseData, Indicadores!A:A, 0)))</f>
        <v>5486.52</v>
      </c>
      <c r="E51" s="397">
        <f t="shared" ca="1" si="32"/>
        <v>0</v>
      </c>
      <c r="F51" s="398">
        <v>0</v>
      </c>
      <c r="G51" s="371"/>
      <c r="H51" s="393">
        <f t="shared" ca="1" si="33"/>
        <v>0</v>
      </c>
      <c r="I51" s="371"/>
      <c r="J51" s="393">
        <f t="shared" ca="1" si="34"/>
        <v>0</v>
      </c>
      <c r="L51" s="397">
        <f ca="1">IF($A51&gt;baseData, -$Z51*IF($Z51&gt;0, INDEX(Investidores!$K$3:$K$15, MATCH(L$1, Investidores!$B$3:$B$15, 0)), INDEX(Investidores!$K$3:$K$15, MATCH(L$1, Investidores!$B$3:$B$15, 0)))-IFERROR(INDEX(Permutas!$X:$AB, MATCH($A51, Permutas!$N:$N, 0), MATCH(L$1, Permutas!$X$2:$AB$2, 0)), 0)+IF($A51=EDATE(entrega,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-109331.71686889912</v>
      </c>
      <c r="M51" s="390">
        <f ca="1">IF($A51&gt;baseData, -$Z51*IF($Z51&gt;0, INDEX(Investidores!$K$3:$K$15, MATCH(M$1, Investidores!$B$3:$B$15, 0)), INDEX(Investidores!$K$3:$K$15, MATCH(M$1, Investidores!$B$3:$B$15, 0)))-IFERROR(INDEX(Permutas!$X:$AB, MATCH($A51, Permutas!$N:$N, 0), MATCH(M$1, Permutas!$X$2:$AB$2, 0)), 0)+IF($A51=EDATE(entrega,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-109331.71686889912</v>
      </c>
      <c r="N51" s="390">
        <f ca="1">IF($A51&gt;baseData, -$Z51*IF($Z51&gt;0, INDEX(Investidores!$K$3:$K$15, MATCH(N$1, Investidores!$B$3:$B$15, 0)), INDEX(Investidores!$K$3:$K$15, MATCH(N$1, Investidores!$B$3:$B$15, 0)))-IFERROR(INDEX(Permutas!$X:$AB, MATCH($A51, Permutas!$N:$N, 0), MATCH(N$1, Permutas!$X$2:$AB$2, 0)), 0)+IF($A51=EDATE(entrega,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-109331.71686889912</v>
      </c>
      <c r="O51" s="390">
        <f ca="1">IF($A51&gt;baseData, -$Z51*IF($Z51&gt;0, INDEX(Investidores!$K$3:$K$15, MATCH(O$1, Investidores!$B$3:$B$15, 0)), INDEX(Investidores!$K$3:$K$15, MATCH(O$1, Investidores!$B$3:$B$15, 0)))-IFERROR(INDEX(Permutas!$X:$AB, MATCH($A51, Permutas!$N:$N, 0), MATCH(O$1, Permutas!$X$2:$AB$2, 0)), 0)+IF($A51=EDATE(entrega,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-109331.71686889912</v>
      </c>
      <c r="P51" s="390">
        <f ca="1">IF($A51&gt;baseData, -$Z51*IF($Z51&gt;0, INDEX(Investidores!$K$3:$K$15, MATCH(P$1, Investidores!$B$3:$B$15, 0)), INDEX(Investidores!$K$3:$K$15, MATCH(P$1, Investidores!$B$3:$B$15, 0)))-IFERROR(INDEX(Permutas!$X:$AB, MATCH($A51, Permutas!$N:$N, 0), MATCH(P$1, Permutas!$X$2:$AB$2, 0)), 0)+IF($A51=EDATE(entrega,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-616480.45011867792</v>
      </c>
      <c r="Q51" s="390">
        <f ca="1">IF($A51&gt;baseData, -$Z51*IF($Z51&gt;0, INDEX(Investidores!$K$3:$K$15, MATCH(Q$1, Investidores!$B$3:$B$15, 0)), INDEX(Investidores!$K$3:$K$15, MATCH(Q$1, Investidores!$B$3:$B$15, 0)))-IFERROR(INDEX(Permutas!$X:$AB, MATCH($A51, Permutas!$N:$N, 0), MATCH(Q$1, Permutas!$X$2:$AB$2, 0)), 0)+IF($A51=EDATE(entrega,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-627293.30262120452</v>
      </c>
      <c r="R51" s="390">
        <f ca="1">IF($A51&gt;baseData, -$Z51*IF($Z51&gt;0, INDEX(Investidores!$K$3:$K$15, MATCH(R$1, Investidores!$B$3:$B$15, 0)), INDEX(Investidores!$K$3:$K$15, MATCH(R$1, Investidores!$B$3:$B$15, 0)))-IFERROR(INDEX(Permutas!$X:$AB, MATCH($A51, Permutas!$N:$N, 0), MATCH(R$1, Permutas!$X$2:$AB$2, 0)), 0)+IF($A51=EDATE(entrega,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-598005.79447047855</v>
      </c>
      <c r="S51" s="390">
        <f ca="1">IF($A51&gt;baseData, -$Z51*IF($Z51&gt;0, INDEX(Investidores!$K$3:$K$15, MATCH(S$1, Investidores!$B$3:$B$15, 0)), INDEX(Investidores!$K$3:$K$15, MATCH(S$1, Investidores!$B$3:$B$15, 0)))-IFERROR(INDEX(Permutas!$X:$AB, MATCH($A51, Permutas!$N:$N, 0), MATCH(S$1, Permutas!$X$2:$AB$2, 0)), 0)+IF($A51=EDATE(entrega,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-573004.9021556119</v>
      </c>
      <c r="T51" s="390">
        <f ca="1">IF($A51&gt;baseData, -$Z51*IF($Z51&gt;0, INDEX(Investidores!$K$3:$K$15, MATCH(T$1, Investidores!$B$3:$B$15, 0)), INDEX(Investidores!$K$3:$K$15, MATCH(T$1, Investidores!$B$3:$B$15, 0)))-IFERROR(INDEX(Permutas!$X:$AB, MATCH($A51, Permutas!$N:$N, 0), MATCH(T$1, Permutas!$X$2:$AB$2, 0)), 0)+IF($A51=EDATE(entrega,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-109331.71686889912</v>
      </c>
      <c r="U51" s="390">
        <f ca="1">IF($A51&gt;baseData, -$Z51*IF($Z51&gt;0, INDEX(Investidores!$K$3:$K$15, MATCH(U$1, Investidores!$B$3:$B$15, 0)), INDEX(Investidores!$K$3:$K$15, MATCH(U$1, Investidores!$B$3:$B$15, 0)))-IFERROR(INDEX(Permutas!$X:$AB, MATCH($A51, Permutas!$N:$N, 0), MATCH(U$1, Permutas!$X$2:$AB$2, 0)), 0)+IF($A51=EDATE(entrega,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-109331.71686889912</v>
      </c>
      <c r="V51" s="390">
        <f ca="1">IF($A51&gt;baseData, -$Z51*IF($Z51&gt;0, INDEX(Investidores!$K$3:$K$15, MATCH(V$1, Investidores!$B$3:$B$15, 0)), INDEX(Investidores!$K$3:$K$15, MATCH(V$1, Investidores!$B$3:$B$15, 0)))-IFERROR(INDEX(Permutas!$X:$AB, MATCH($A51, Permutas!$N:$N, 0), MATCH(V$1, Permutas!$X$2:$AB$2, 0)), 0)+IF($A51=EDATE(entrega,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-109331.71686889912</v>
      </c>
      <c r="W51" s="415">
        <f ca="1">IF($A51&gt;baseData, -$Z51*IF($Z51&gt;0, INDEX(Investidores!$K$3:$K$15, MATCH(W$1, Investidores!$B$3:$B$15, 0)), INDEX(Investidores!$K$3:$K$15, MATCH(W$1, Investidores!$B$3:$B$15, 0)))-IFERROR(INDEX(Permutas!$X:$AB, MATCH($A51, Permutas!$N:$N, 0), MATCH(W$1, Permutas!$X$2:$AB$2, 0)), 0)+IF($A51=EDATE(entrega,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-636360.33286691166</v>
      </c>
      <c r="X51" s="398">
        <f ca="1">IF($A51&gt;baseData, -$Z51*IF($Z51&gt;0, INDEX(Investidores!$K$3:$K$15, MATCH(X$1, Investidores!$B$3:$B$15, 0)), INDEX(Investidores!$K$3:$K$15, MATCH(X$1, Investidores!$B$3:$B$15, 0)))-IFERROR(INDEX(Permutas!$X:$AB, MATCH($A51, Permutas!$N:$N, 0), MATCH(X$1, Permutas!$X$2:$AB$2, 0)), 0)+IF($A51=EDATE(entrega,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-109331.71686889912</v>
      </c>
      <c r="Y51" s="390">
        <f t="shared" ca="1" si="16"/>
        <v>3925798.5171840778</v>
      </c>
      <c r="Z51" s="397">
        <f ca="1">-INDEX('Fluxo Bandeira Co'!AZ:AZ, MATCH($A51, 'Fluxo Bandeira Co'!$A:$A, 0))</f>
        <v>993854.15527431574</v>
      </c>
      <c r="AA51" s="398">
        <f>INDEX('Fluxo Bandeira Co'!J:J, MATCH($A51, 'Fluxo Bandeira Co'!$A:$A, 0))+INDEX('Fluxo Bandeira Co'!AK:AK, MATCH($A51, 'Fluxo Bandeira Co'!$A:$A, 0))</f>
        <v>2931944.361909762</v>
      </c>
      <c r="AB51" s="371"/>
      <c r="AC51" s="397">
        <f ca="1">-INDEX('Fluxo Bandeira Co'!L:L, MATCH('Fluxo Investidores'!$A51, 'Fluxo Bandeira Co'!$A:$A, 0))</f>
        <v>0</v>
      </c>
      <c r="AD51" s="398">
        <f>-INDEX('Fluxo Bandeira Co'!M:M, MATCH('Fluxo Investidores'!$A51, 'Fluxo Bandeira Co'!$A:$A, 0))</f>
        <v>-3003946.7367434842</v>
      </c>
      <c r="AF51" s="397">
        <f t="shared" ca="1" si="17"/>
        <v>3003946.7367434842</v>
      </c>
      <c r="AG51" s="398">
        <f ca="1">IFERROR(INDEX('Fluxo Projeto'!AQ:AQ, MATCH('Fluxo Investidores'!A51, 'Fluxo Projeto'!A:A, 0)), 0)</f>
        <v>0</v>
      </c>
      <c r="AI51" s="397">
        <f t="shared" ca="1" si="18"/>
        <v>-109331.71686889912</v>
      </c>
      <c r="AJ51" s="390">
        <f t="shared" ca="1" si="19"/>
        <v>-109331.71686889912</v>
      </c>
      <c r="AK51" s="390">
        <f t="shared" ca="1" si="20"/>
        <v>-109331.71686889912</v>
      </c>
      <c r="AL51" s="390">
        <f t="shared" ca="1" si="21"/>
        <v>-109331.71686889912</v>
      </c>
      <c r="AM51" s="390">
        <f t="shared" ca="1" si="22"/>
        <v>-616480.45011867792</v>
      </c>
      <c r="AN51" s="390">
        <f t="shared" ca="1" si="23"/>
        <v>-627293.30262120452</v>
      </c>
      <c r="AO51" s="390">
        <f t="shared" ca="1" si="24"/>
        <v>-598005.79447047855</v>
      </c>
      <c r="AP51" s="390">
        <f t="shared" ca="1" si="25"/>
        <v>-573004.9021556119</v>
      </c>
      <c r="AQ51" s="390">
        <f t="shared" ca="1" si="26"/>
        <v>-109331.71686889912</v>
      </c>
      <c r="AR51" s="390">
        <f t="shared" ca="1" si="27"/>
        <v>-109331.71686889912</v>
      </c>
      <c r="AS51" s="390">
        <f t="shared" ca="1" si="28"/>
        <v>-109331.71686889912</v>
      </c>
      <c r="AT51" s="415">
        <f t="shared" ca="1" si="29"/>
        <v>-636360.33286691166</v>
      </c>
      <c r="AU51" s="398">
        <f t="shared" ca="1" si="30"/>
        <v>-109331.71686889912</v>
      </c>
    </row>
    <row r="52" spans="1:47" x14ac:dyDescent="0.25">
      <c r="A52" s="197">
        <f t="shared" si="31"/>
        <v>44593</v>
      </c>
      <c r="B52" s="388">
        <f>IF($A52&lt;=baseData, INDEX(Indicadores!B:B, MATCH($A52,Indicadores!A:A, 0)), INDEX(Indicadores!B:B, MATCH(baseData,Indicadores!A:A, 0)))</f>
        <v>839.38199999999995</v>
      </c>
      <c r="C52" s="389">
        <f>IF($A52&lt;=baseData, INDEX(Indicadores!E:E, MATCH($A52, Indicadores!A:A, 0)), INDEX(Indicadores!E:E, MATCH(baseData, Indicadores!A:A, 0)))</f>
        <v>5486.52</v>
      </c>
      <c r="E52" s="397">
        <f t="shared" ca="1" si="32"/>
        <v>0</v>
      </c>
      <c r="F52" s="398">
        <v>0</v>
      </c>
      <c r="G52" s="371"/>
      <c r="H52" s="393">
        <f t="shared" ca="1" si="33"/>
        <v>0</v>
      </c>
      <c r="I52" s="371"/>
      <c r="J52" s="393">
        <f t="shared" ca="1" si="34"/>
        <v>0</v>
      </c>
      <c r="L52" s="397">
        <f ca="1">IF($A52&gt;baseData, -$Z52*IF($Z52&gt;0, INDEX(Investidores!$K$3:$K$15, MATCH(L$1, Investidores!$B$3:$B$15, 0)), INDEX(Investidores!$K$3:$K$15, MATCH(L$1, Investidores!$B$3:$B$15, 0)))-IFERROR(INDEX(Permutas!$X:$AB, MATCH($A52, Permutas!$N:$N, 0), MATCH(L$1, Permutas!$X$2:$AB$2, 0)), 0)+IF($A52=EDATE(entrega,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52" s="390">
        <f ca="1">IF($A52&gt;baseData, -$Z52*IF($Z52&gt;0, INDEX(Investidores!$K$3:$K$15, MATCH(M$1, Investidores!$B$3:$B$15, 0)), INDEX(Investidores!$K$3:$K$15, MATCH(M$1, Investidores!$B$3:$B$15, 0)))-IFERROR(INDEX(Permutas!$X:$AB, MATCH($A52, Permutas!$N:$N, 0), MATCH(M$1, Permutas!$X$2:$AB$2, 0)), 0)+IF($A52=EDATE(entrega,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52" s="390">
        <f ca="1">IF($A52&gt;baseData, -$Z52*IF($Z52&gt;0, INDEX(Investidores!$K$3:$K$15, MATCH(N$1, Investidores!$B$3:$B$15, 0)), INDEX(Investidores!$K$3:$K$15, MATCH(N$1, Investidores!$B$3:$B$15, 0)))-IFERROR(INDEX(Permutas!$X:$AB, MATCH($A52, Permutas!$N:$N, 0), MATCH(N$1, Permutas!$X$2:$AB$2, 0)), 0)+IF($A52=EDATE(entrega,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52" s="390">
        <f ca="1">IF($A52&gt;baseData, -$Z52*IF($Z52&gt;0, INDEX(Investidores!$K$3:$K$15, MATCH(O$1, Investidores!$B$3:$B$15, 0)), INDEX(Investidores!$K$3:$K$15, MATCH(O$1, Investidores!$B$3:$B$15, 0)))-IFERROR(INDEX(Permutas!$X:$AB, MATCH($A52, Permutas!$N:$N, 0), MATCH(O$1, Permutas!$X$2:$AB$2, 0)), 0)+IF($A52=EDATE(entrega,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52" s="390">
        <f ca="1">IF($A52&gt;baseData, -$Z52*IF($Z52&gt;0, INDEX(Investidores!$K$3:$K$15, MATCH(P$1, Investidores!$B$3:$B$15, 0)), INDEX(Investidores!$K$3:$K$15, MATCH(P$1, Investidores!$B$3:$B$15, 0)))-IFERROR(INDEX(Permutas!$X:$AB, MATCH($A52, Permutas!$N:$N, 0), MATCH(P$1, Permutas!$X$2:$AB$2, 0)), 0)+IF($A52=EDATE(entrega,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52" s="390">
        <f ca="1">IF($A52&gt;baseData, -$Z52*IF($Z52&gt;0, INDEX(Investidores!$K$3:$K$15, MATCH(Q$1, Investidores!$B$3:$B$15, 0)), INDEX(Investidores!$K$3:$K$15, MATCH(Q$1, Investidores!$B$3:$B$15, 0)))-IFERROR(INDEX(Permutas!$X:$AB, MATCH($A52, Permutas!$N:$N, 0), MATCH(Q$1, Permutas!$X$2:$AB$2, 0)), 0)+IF($A52=EDATE(entrega,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52" s="390">
        <f ca="1">IF($A52&gt;baseData, -$Z52*IF($Z52&gt;0, INDEX(Investidores!$K$3:$K$15, MATCH(R$1, Investidores!$B$3:$B$15, 0)), INDEX(Investidores!$K$3:$K$15, MATCH(R$1, Investidores!$B$3:$B$15, 0)))-IFERROR(INDEX(Permutas!$X:$AB, MATCH($A52, Permutas!$N:$N, 0), MATCH(R$1, Permutas!$X$2:$AB$2, 0)), 0)+IF($A52=EDATE(entrega,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52" s="390">
        <f ca="1">IF($A52&gt;baseData, -$Z52*IF($Z52&gt;0, INDEX(Investidores!$K$3:$K$15, MATCH(S$1, Investidores!$B$3:$B$15, 0)), INDEX(Investidores!$K$3:$K$15, MATCH(S$1, Investidores!$B$3:$B$15, 0)))-IFERROR(INDEX(Permutas!$X:$AB, MATCH($A52, Permutas!$N:$N, 0), MATCH(S$1, Permutas!$X$2:$AB$2, 0)), 0)+IF($A52=EDATE(entrega,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52" s="390">
        <f ca="1">IF($A52&gt;baseData, -$Z52*IF($Z52&gt;0, INDEX(Investidores!$K$3:$K$15, MATCH(T$1, Investidores!$B$3:$B$15, 0)), INDEX(Investidores!$K$3:$K$15, MATCH(T$1, Investidores!$B$3:$B$15, 0)))-IFERROR(INDEX(Permutas!$X:$AB, MATCH($A52, Permutas!$N:$N, 0), MATCH(T$1, Permutas!$X$2:$AB$2, 0)), 0)+IF($A52=EDATE(entrega,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52" s="390">
        <f ca="1">IF($A52&gt;baseData, -$Z52*IF($Z52&gt;0, INDEX(Investidores!$K$3:$K$15, MATCH(U$1, Investidores!$B$3:$B$15, 0)), INDEX(Investidores!$K$3:$K$15, MATCH(U$1, Investidores!$B$3:$B$15, 0)))-IFERROR(INDEX(Permutas!$X:$AB, MATCH($A52, Permutas!$N:$N, 0), MATCH(U$1, Permutas!$X$2:$AB$2, 0)), 0)+IF($A52=EDATE(entrega,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52" s="390">
        <f ca="1">IF($A52&gt;baseData, -$Z52*IF($Z52&gt;0, INDEX(Investidores!$K$3:$K$15, MATCH(V$1, Investidores!$B$3:$B$15, 0)), INDEX(Investidores!$K$3:$K$15, MATCH(V$1, Investidores!$B$3:$B$15, 0)))-IFERROR(INDEX(Permutas!$X:$AB, MATCH($A52, Permutas!$N:$N, 0), MATCH(V$1, Permutas!$X$2:$AB$2, 0)), 0)+IF($A52=EDATE(entrega,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52" s="415">
        <f ca="1">IF($A52&gt;baseData, -$Z52*IF($Z52&gt;0, INDEX(Investidores!$K$3:$K$15, MATCH(W$1, Investidores!$B$3:$B$15, 0)), INDEX(Investidores!$K$3:$K$15, MATCH(W$1, Investidores!$B$3:$B$15, 0)))-IFERROR(INDEX(Permutas!$X:$AB, MATCH($A52, Permutas!$N:$N, 0), MATCH(W$1, Permutas!$X$2:$AB$2, 0)), 0)+IF($A52=EDATE(entrega,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52" s="398">
        <f ca="1">IF($A52&gt;baseData, -$Z52*IF($Z52&gt;0, INDEX(Investidores!$K$3:$K$15, MATCH(X$1, Investidores!$B$3:$B$15, 0)), INDEX(Investidores!$K$3:$K$15, MATCH(X$1, Investidores!$B$3:$B$15, 0)))-IFERROR(INDEX(Permutas!$X:$AB, MATCH($A52, Permutas!$N:$N, 0), MATCH(X$1, Permutas!$X$2:$AB$2, 0)), 0)+IF($A52=EDATE(entrega,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52" s="390">
        <f t="shared" ca="1" si="16"/>
        <v>0</v>
      </c>
      <c r="Z52" s="397">
        <f ca="1">-INDEX('Fluxo Bandeira Co'!AZ:AZ, MATCH($A52, 'Fluxo Bandeira Co'!$A:$A, 0))</f>
        <v>0</v>
      </c>
      <c r="AA52" s="398">
        <f>INDEX('Fluxo Bandeira Co'!J:J, MATCH($A52, 'Fluxo Bandeira Co'!$A:$A, 0))+INDEX('Fluxo Bandeira Co'!AK:AK, MATCH($A52, 'Fluxo Bandeira Co'!$A:$A, 0))</f>
        <v>0</v>
      </c>
      <c r="AB52" s="371"/>
      <c r="AC52" s="397">
        <f ca="1">-INDEX('Fluxo Bandeira Co'!L:L, MATCH('Fluxo Investidores'!$A52, 'Fluxo Bandeira Co'!$A:$A, 0))</f>
        <v>0</v>
      </c>
      <c r="AD52" s="398">
        <f>-INDEX('Fluxo Bandeira Co'!M:M, MATCH('Fluxo Investidores'!$A52, 'Fluxo Bandeira Co'!$A:$A, 0))</f>
        <v>0</v>
      </c>
      <c r="AF52" s="397">
        <f t="shared" ca="1" si="17"/>
        <v>0</v>
      </c>
      <c r="AG52" s="398">
        <f ca="1">IFERROR(INDEX('Fluxo Projeto'!AQ:AQ, MATCH('Fluxo Investidores'!A52, 'Fluxo Projeto'!A:A, 0)), 0)</f>
        <v>0</v>
      </c>
      <c r="AI52" s="397">
        <f t="shared" ca="1" si="18"/>
        <v>0</v>
      </c>
      <c r="AJ52" s="390">
        <f t="shared" ca="1" si="19"/>
        <v>0</v>
      </c>
      <c r="AK52" s="390">
        <f t="shared" ca="1" si="20"/>
        <v>0</v>
      </c>
      <c r="AL52" s="390">
        <f t="shared" ca="1" si="21"/>
        <v>0</v>
      </c>
      <c r="AM52" s="390">
        <f t="shared" ca="1" si="22"/>
        <v>0</v>
      </c>
      <c r="AN52" s="390">
        <f t="shared" ca="1" si="23"/>
        <v>0</v>
      </c>
      <c r="AO52" s="390">
        <f t="shared" ca="1" si="24"/>
        <v>0</v>
      </c>
      <c r="AP52" s="390">
        <f t="shared" ca="1" si="25"/>
        <v>0</v>
      </c>
      <c r="AQ52" s="390">
        <f t="shared" ca="1" si="26"/>
        <v>0</v>
      </c>
      <c r="AR52" s="390">
        <f t="shared" ca="1" si="27"/>
        <v>0</v>
      </c>
      <c r="AS52" s="390">
        <f t="shared" ca="1" si="28"/>
        <v>0</v>
      </c>
      <c r="AT52" s="415">
        <f t="shared" ca="1" si="29"/>
        <v>0</v>
      </c>
      <c r="AU52" s="398">
        <f t="shared" ca="1" si="30"/>
        <v>0</v>
      </c>
    </row>
    <row r="53" spans="1:47" x14ac:dyDescent="0.25">
      <c r="A53" s="197">
        <f t="shared" si="31"/>
        <v>44621</v>
      </c>
      <c r="B53" s="388">
        <f>IF($A53&lt;=baseData, INDEX(Indicadores!B:B, MATCH($A53,Indicadores!A:A, 0)), INDEX(Indicadores!B:B, MATCH(baseData,Indicadores!A:A, 0)))</f>
        <v>839.38199999999995</v>
      </c>
      <c r="C53" s="389">
        <f>IF($A53&lt;=baseData, INDEX(Indicadores!E:E, MATCH($A53, Indicadores!A:A, 0)), INDEX(Indicadores!E:E, MATCH(baseData, Indicadores!A:A, 0)))</f>
        <v>5486.52</v>
      </c>
      <c r="E53" s="397">
        <f t="shared" ca="1" si="32"/>
        <v>0</v>
      </c>
      <c r="F53" s="398">
        <v>-1012520</v>
      </c>
      <c r="G53" s="371"/>
      <c r="H53" s="393">
        <f t="shared" ca="1" si="33"/>
        <v>0</v>
      </c>
      <c r="I53" s="371"/>
      <c r="J53" s="393">
        <f t="shared" ca="1" si="34"/>
        <v>0</v>
      </c>
      <c r="L53" s="397">
        <f ca="1">IF($A53&gt;baseData, -$Z53*IF($Z53&gt;0, INDEX(Investidores!$K$3:$K$15, MATCH(L$1, Investidores!$B$3:$B$15, 0)), INDEX(Investidores!$K$3:$K$15, MATCH(L$1, Investidores!$B$3:$B$15, 0)))-IFERROR(INDEX(Permutas!$X:$AB, MATCH($A53, Permutas!$N:$N, 0), MATCH(L$1, Permutas!$X$2:$AB$2, 0)), 0)+IF($A53=EDATE(entrega,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53" s="390">
        <f ca="1">IF($A53&gt;baseData, -$Z53*IF($Z53&gt;0, INDEX(Investidores!$K$3:$K$15, MATCH(M$1, Investidores!$B$3:$B$15, 0)), INDEX(Investidores!$K$3:$K$15, MATCH(M$1, Investidores!$B$3:$B$15, 0)))-IFERROR(INDEX(Permutas!$X:$AB, MATCH($A53, Permutas!$N:$N, 0), MATCH(M$1, Permutas!$X$2:$AB$2, 0)), 0)+IF($A53=EDATE(entrega,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53" s="390">
        <f ca="1">IF($A53&gt;baseData, -$Z53*IF($Z53&gt;0, INDEX(Investidores!$K$3:$K$15, MATCH(N$1, Investidores!$B$3:$B$15, 0)), INDEX(Investidores!$K$3:$K$15, MATCH(N$1, Investidores!$B$3:$B$15, 0)))-IFERROR(INDEX(Permutas!$X:$AB, MATCH($A53, Permutas!$N:$N, 0), MATCH(N$1, Permutas!$X$2:$AB$2, 0)), 0)+IF($A53=EDATE(entrega,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53" s="390">
        <f ca="1">IF($A53&gt;baseData, -$Z53*IF($Z53&gt;0, INDEX(Investidores!$K$3:$K$15, MATCH(O$1, Investidores!$B$3:$B$15, 0)), INDEX(Investidores!$K$3:$K$15, MATCH(O$1, Investidores!$B$3:$B$15, 0)))-IFERROR(INDEX(Permutas!$X:$AB, MATCH($A53, Permutas!$N:$N, 0), MATCH(O$1, Permutas!$X$2:$AB$2, 0)), 0)+IF($A53=EDATE(entrega,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53" s="390">
        <f ca="1">IF($A53&gt;baseData, -$Z53*IF($Z53&gt;0, INDEX(Investidores!$K$3:$K$15, MATCH(P$1, Investidores!$B$3:$B$15, 0)), INDEX(Investidores!$K$3:$K$15, MATCH(P$1, Investidores!$B$3:$B$15, 0)))-IFERROR(INDEX(Permutas!$X:$AB, MATCH($A53, Permutas!$N:$N, 0), MATCH(P$1, Permutas!$X$2:$AB$2, 0)), 0)+IF($A53=EDATE(entrega,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53" s="390">
        <f ca="1">IF($A53&gt;baseData, -$Z53*IF($Z53&gt;0, INDEX(Investidores!$K$3:$K$15, MATCH(Q$1, Investidores!$B$3:$B$15, 0)), INDEX(Investidores!$K$3:$K$15, MATCH(Q$1, Investidores!$B$3:$B$15, 0)))-IFERROR(INDEX(Permutas!$X:$AB, MATCH($A53, Permutas!$N:$N, 0), MATCH(Q$1, Permutas!$X$2:$AB$2, 0)), 0)+IF($A53=EDATE(entrega,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53" s="390">
        <f ca="1">IF($A53&gt;baseData, -$Z53*IF($Z53&gt;0, INDEX(Investidores!$K$3:$K$15, MATCH(R$1, Investidores!$B$3:$B$15, 0)), INDEX(Investidores!$K$3:$K$15, MATCH(R$1, Investidores!$B$3:$B$15, 0)))-IFERROR(INDEX(Permutas!$X:$AB, MATCH($A53, Permutas!$N:$N, 0), MATCH(R$1, Permutas!$X$2:$AB$2, 0)), 0)+IF($A53=EDATE(entrega,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53" s="390">
        <f ca="1">IF($A53&gt;baseData, -$Z53*IF($Z53&gt;0, INDEX(Investidores!$K$3:$K$15, MATCH(S$1, Investidores!$B$3:$B$15, 0)), INDEX(Investidores!$K$3:$K$15, MATCH(S$1, Investidores!$B$3:$B$15, 0)))-IFERROR(INDEX(Permutas!$X:$AB, MATCH($A53, Permutas!$N:$N, 0), MATCH(S$1, Permutas!$X$2:$AB$2, 0)), 0)+IF($A53=EDATE(entrega,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53" s="390">
        <f ca="1">IF($A53&gt;baseData, -$Z53*IF($Z53&gt;0, INDEX(Investidores!$K$3:$K$15, MATCH(T$1, Investidores!$B$3:$B$15, 0)), INDEX(Investidores!$K$3:$K$15, MATCH(T$1, Investidores!$B$3:$B$15, 0)))-IFERROR(INDEX(Permutas!$X:$AB, MATCH($A53, Permutas!$N:$N, 0), MATCH(T$1, Permutas!$X$2:$AB$2, 0)), 0)+IF($A53=EDATE(entrega,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53" s="390">
        <f ca="1">IF($A53&gt;baseData, -$Z53*IF($Z53&gt;0, INDEX(Investidores!$K$3:$K$15, MATCH(U$1, Investidores!$B$3:$B$15, 0)), INDEX(Investidores!$K$3:$K$15, MATCH(U$1, Investidores!$B$3:$B$15, 0)))-IFERROR(INDEX(Permutas!$X:$AB, MATCH($A53, Permutas!$N:$N, 0), MATCH(U$1, Permutas!$X$2:$AB$2, 0)), 0)+IF($A53=EDATE(entrega,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53" s="390">
        <f ca="1">IF($A53&gt;baseData, -$Z53*IF($Z53&gt;0, INDEX(Investidores!$K$3:$K$15, MATCH(V$1, Investidores!$B$3:$B$15, 0)), INDEX(Investidores!$K$3:$K$15, MATCH(V$1, Investidores!$B$3:$B$15, 0)))-IFERROR(INDEX(Permutas!$X:$AB, MATCH($A53, Permutas!$N:$N, 0), MATCH(V$1, Permutas!$X$2:$AB$2, 0)), 0)+IF($A53=EDATE(entrega,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53" s="415">
        <f ca="1">IF($A53&gt;baseData, -$Z53*IF($Z53&gt;0, INDEX(Investidores!$K$3:$K$15, MATCH(W$1, Investidores!$B$3:$B$15, 0)), INDEX(Investidores!$K$3:$K$15, MATCH(W$1, Investidores!$B$3:$B$15, 0)))-IFERROR(INDEX(Permutas!$X:$AB, MATCH($A53, Permutas!$N:$N, 0), MATCH(W$1, Permutas!$X$2:$AB$2, 0)), 0)+IF($A53=EDATE(entrega,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53" s="398">
        <f ca="1">IF($A53&gt;baseData, -$Z53*IF($Z53&gt;0, INDEX(Investidores!$K$3:$K$15, MATCH(X$1, Investidores!$B$3:$B$15, 0)), INDEX(Investidores!$K$3:$K$15, MATCH(X$1, Investidores!$B$3:$B$15, 0)))-IFERROR(INDEX(Permutas!$X:$AB, MATCH($A53, Permutas!$N:$N, 0), MATCH(X$1, Permutas!$X$2:$AB$2, 0)), 0)+IF($A53=EDATE(entrega,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53" s="390">
        <f t="shared" ca="1" si="16"/>
        <v>0</v>
      </c>
      <c r="Z53" s="397">
        <f ca="1">-INDEX('Fluxo Bandeira Co'!AZ:AZ, MATCH($A53, 'Fluxo Bandeira Co'!$A:$A, 0))</f>
        <v>0</v>
      </c>
      <c r="AA53" s="398">
        <f>INDEX('Fluxo Bandeira Co'!J:J, MATCH($A53, 'Fluxo Bandeira Co'!$A:$A, 0))+INDEX('Fluxo Bandeira Co'!AK:AK, MATCH($A53, 'Fluxo Bandeira Co'!$A:$A, 0))</f>
        <v>0</v>
      </c>
      <c r="AB53" s="371"/>
      <c r="AC53" s="397">
        <f ca="1">-INDEX('Fluxo Bandeira Co'!L:L, MATCH('Fluxo Investidores'!$A53, 'Fluxo Bandeira Co'!$A:$A, 0))</f>
        <v>0</v>
      </c>
      <c r="AD53" s="398">
        <f>-INDEX('Fluxo Bandeira Co'!M:M, MATCH('Fluxo Investidores'!$A53, 'Fluxo Bandeira Co'!$A:$A, 0))</f>
        <v>0</v>
      </c>
      <c r="AF53" s="397">
        <f t="shared" ca="1" si="17"/>
        <v>1012520</v>
      </c>
      <c r="AG53" s="398">
        <f ca="1">IFERROR(INDEX('Fluxo Projeto'!AQ:AQ, MATCH('Fluxo Investidores'!A53, 'Fluxo Projeto'!A:A, 0)), 0)</f>
        <v>0</v>
      </c>
      <c r="AI53" s="397">
        <f t="shared" ca="1" si="18"/>
        <v>0</v>
      </c>
      <c r="AJ53" s="390">
        <f t="shared" ca="1" si="19"/>
        <v>0</v>
      </c>
      <c r="AK53" s="390">
        <f t="shared" ca="1" si="20"/>
        <v>0</v>
      </c>
      <c r="AL53" s="390">
        <f t="shared" ca="1" si="21"/>
        <v>0</v>
      </c>
      <c r="AM53" s="390">
        <f t="shared" ca="1" si="22"/>
        <v>0</v>
      </c>
      <c r="AN53" s="390">
        <f t="shared" ca="1" si="23"/>
        <v>0</v>
      </c>
      <c r="AO53" s="390">
        <f t="shared" ca="1" si="24"/>
        <v>0</v>
      </c>
      <c r="AP53" s="390">
        <f t="shared" ca="1" si="25"/>
        <v>0</v>
      </c>
      <c r="AQ53" s="390">
        <f t="shared" ca="1" si="26"/>
        <v>0</v>
      </c>
      <c r="AR53" s="390">
        <f t="shared" ca="1" si="27"/>
        <v>0</v>
      </c>
      <c r="AS53" s="390">
        <f t="shared" ca="1" si="28"/>
        <v>0</v>
      </c>
      <c r="AT53" s="415">
        <f t="shared" ca="1" si="29"/>
        <v>0</v>
      </c>
      <c r="AU53" s="398">
        <f t="shared" ca="1" si="30"/>
        <v>0</v>
      </c>
    </row>
    <row r="54" spans="1:47" x14ac:dyDescent="0.25">
      <c r="A54" s="197">
        <f t="shared" si="31"/>
        <v>44652</v>
      </c>
      <c r="B54" s="388">
        <f>IF($A54&lt;=baseData, INDEX(Indicadores!B:B, MATCH($A54,Indicadores!A:A, 0)), INDEX(Indicadores!B:B, MATCH(baseData,Indicadores!A:A, 0)))</f>
        <v>839.38199999999995</v>
      </c>
      <c r="C54" s="389">
        <f>IF($A54&lt;=baseData, INDEX(Indicadores!E:E, MATCH($A54, Indicadores!A:A, 0)), INDEX(Indicadores!E:E, MATCH(baseData, Indicadores!A:A, 0)))</f>
        <v>5486.52</v>
      </c>
      <c r="E54" s="397">
        <f t="shared" ca="1" si="32"/>
        <v>0</v>
      </c>
      <c r="F54" s="398">
        <v>0</v>
      </c>
      <c r="G54" s="371"/>
      <c r="H54" s="393">
        <f t="shared" ca="1" si="33"/>
        <v>0</v>
      </c>
      <c r="I54" s="371"/>
      <c r="J54" s="393">
        <f t="shared" ca="1" si="34"/>
        <v>0</v>
      </c>
      <c r="L54" s="397">
        <f ca="1">IF($A54&gt;baseData, -$Z54*IF($Z54&gt;0, INDEX(Investidores!$K$3:$K$15, MATCH(L$1, Investidores!$B$3:$B$15, 0)), INDEX(Investidores!$K$3:$K$15, MATCH(L$1, Investidores!$B$3:$B$15, 0)))-IFERROR(INDEX(Permutas!$X:$AB, MATCH($A54, Permutas!$N:$N, 0), MATCH(L$1, Permutas!$X$2:$AB$2, 0)), 0)+IF($A54=EDATE(entrega,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54" s="390">
        <f ca="1">IF($A54&gt;baseData, -$Z54*IF($Z54&gt;0, INDEX(Investidores!$K$3:$K$15, MATCH(M$1, Investidores!$B$3:$B$15, 0)), INDEX(Investidores!$K$3:$K$15, MATCH(M$1, Investidores!$B$3:$B$15, 0)))-IFERROR(INDEX(Permutas!$X:$AB, MATCH($A54, Permutas!$N:$N, 0), MATCH(M$1, Permutas!$X$2:$AB$2, 0)), 0)+IF($A54=EDATE(entrega,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54" s="390">
        <f ca="1">IF($A54&gt;baseData, -$Z54*IF($Z54&gt;0, INDEX(Investidores!$K$3:$K$15, MATCH(N$1, Investidores!$B$3:$B$15, 0)), INDEX(Investidores!$K$3:$K$15, MATCH(N$1, Investidores!$B$3:$B$15, 0)))-IFERROR(INDEX(Permutas!$X:$AB, MATCH($A54, Permutas!$N:$N, 0), MATCH(N$1, Permutas!$X$2:$AB$2, 0)), 0)+IF($A54=EDATE(entrega,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54" s="390">
        <f ca="1">IF($A54&gt;baseData, -$Z54*IF($Z54&gt;0, INDEX(Investidores!$K$3:$K$15, MATCH(O$1, Investidores!$B$3:$B$15, 0)), INDEX(Investidores!$K$3:$K$15, MATCH(O$1, Investidores!$B$3:$B$15, 0)))-IFERROR(INDEX(Permutas!$X:$AB, MATCH($A54, Permutas!$N:$N, 0), MATCH(O$1, Permutas!$X$2:$AB$2, 0)), 0)+IF($A54=EDATE(entrega,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54" s="390">
        <f ca="1">IF($A54&gt;baseData, -$Z54*IF($Z54&gt;0, INDEX(Investidores!$K$3:$K$15, MATCH(P$1, Investidores!$B$3:$B$15, 0)), INDEX(Investidores!$K$3:$K$15, MATCH(P$1, Investidores!$B$3:$B$15, 0)))-IFERROR(INDEX(Permutas!$X:$AB, MATCH($A54, Permutas!$N:$N, 0), MATCH(P$1, Permutas!$X$2:$AB$2, 0)), 0)+IF($A54=EDATE(entrega,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54" s="390">
        <f ca="1">IF($A54&gt;baseData, -$Z54*IF($Z54&gt;0, INDEX(Investidores!$K$3:$K$15, MATCH(Q$1, Investidores!$B$3:$B$15, 0)), INDEX(Investidores!$K$3:$K$15, MATCH(Q$1, Investidores!$B$3:$B$15, 0)))-IFERROR(INDEX(Permutas!$X:$AB, MATCH($A54, Permutas!$N:$N, 0), MATCH(Q$1, Permutas!$X$2:$AB$2, 0)), 0)+IF($A54=EDATE(entrega,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54" s="390">
        <f ca="1">IF($A54&gt;baseData, -$Z54*IF($Z54&gt;0, INDEX(Investidores!$K$3:$K$15, MATCH(R$1, Investidores!$B$3:$B$15, 0)), INDEX(Investidores!$K$3:$K$15, MATCH(R$1, Investidores!$B$3:$B$15, 0)))-IFERROR(INDEX(Permutas!$X:$AB, MATCH($A54, Permutas!$N:$N, 0), MATCH(R$1, Permutas!$X$2:$AB$2, 0)), 0)+IF($A54=EDATE(entrega,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54" s="390">
        <f ca="1">IF($A54&gt;baseData, -$Z54*IF($Z54&gt;0, INDEX(Investidores!$K$3:$K$15, MATCH(S$1, Investidores!$B$3:$B$15, 0)), INDEX(Investidores!$K$3:$K$15, MATCH(S$1, Investidores!$B$3:$B$15, 0)))-IFERROR(INDEX(Permutas!$X:$AB, MATCH($A54, Permutas!$N:$N, 0), MATCH(S$1, Permutas!$X$2:$AB$2, 0)), 0)+IF($A54=EDATE(entrega,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54" s="390">
        <f ca="1">IF($A54&gt;baseData, -$Z54*IF($Z54&gt;0, INDEX(Investidores!$K$3:$K$15, MATCH(T$1, Investidores!$B$3:$B$15, 0)), INDEX(Investidores!$K$3:$K$15, MATCH(T$1, Investidores!$B$3:$B$15, 0)))-IFERROR(INDEX(Permutas!$X:$AB, MATCH($A54, Permutas!$N:$N, 0), MATCH(T$1, Permutas!$X$2:$AB$2, 0)), 0)+IF($A54=EDATE(entrega,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54" s="390">
        <f ca="1">IF($A54&gt;baseData, -$Z54*IF($Z54&gt;0, INDEX(Investidores!$K$3:$K$15, MATCH(U$1, Investidores!$B$3:$B$15, 0)), INDEX(Investidores!$K$3:$K$15, MATCH(U$1, Investidores!$B$3:$B$15, 0)))-IFERROR(INDEX(Permutas!$X:$AB, MATCH($A54, Permutas!$N:$N, 0), MATCH(U$1, Permutas!$X$2:$AB$2, 0)), 0)+IF($A54=EDATE(entrega,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54" s="390">
        <f ca="1">IF($A54&gt;baseData, -$Z54*IF($Z54&gt;0, INDEX(Investidores!$K$3:$K$15, MATCH(V$1, Investidores!$B$3:$B$15, 0)), INDEX(Investidores!$K$3:$K$15, MATCH(V$1, Investidores!$B$3:$B$15, 0)))-IFERROR(INDEX(Permutas!$X:$AB, MATCH($A54, Permutas!$N:$N, 0), MATCH(V$1, Permutas!$X$2:$AB$2, 0)), 0)+IF($A54=EDATE(entrega,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54" s="415">
        <f ca="1">IF($A54&gt;baseData, -$Z54*IF($Z54&gt;0, INDEX(Investidores!$K$3:$K$15, MATCH(W$1, Investidores!$B$3:$B$15, 0)), INDEX(Investidores!$K$3:$K$15, MATCH(W$1, Investidores!$B$3:$B$15, 0)))-IFERROR(INDEX(Permutas!$X:$AB, MATCH($A54, Permutas!$N:$N, 0), MATCH(W$1, Permutas!$X$2:$AB$2, 0)), 0)+IF($A54=EDATE(entrega,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54" s="398">
        <f ca="1">IF($A54&gt;baseData, -$Z54*IF($Z54&gt;0, INDEX(Investidores!$K$3:$K$15, MATCH(X$1, Investidores!$B$3:$B$15, 0)), INDEX(Investidores!$K$3:$K$15, MATCH(X$1, Investidores!$B$3:$B$15, 0)))-IFERROR(INDEX(Permutas!$X:$AB, MATCH($A54, Permutas!$N:$N, 0), MATCH(X$1, Permutas!$X$2:$AB$2, 0)), 0)+IF($A54=EDATE(entrega,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54" s="390">
        <f t="shared" ca="1" si="16"/>
        <v>0</v>
      </c>
      <c r="Z54" s="397">
        <f ca="1">-INDEX('Fluxo Bandeira Co'!AZ:AZ, MATCH($A54, 'Fluxo Bandeira Co'!$A:$A, 0))</f>
        <v>0</v>
      </c>
      <c r="AA54" s="398">
        <f>INDEX('Fluxo Bandeira Co'!J:J, MATCH($A54, 'Fluxo Bandeira Co'!$A:$A, 0))+INDEX('Fluxo Bandeira Co'!AK:AK, MATCH($A54, 'Fluxo Bandeira Co'!$A:$A, 0))</f>
        <v>0</v>
      </c>
      <c r="AB54" s="371"/>
      <c r="AC54" s="397">
        <f ca="1">-INDEX('Fluxo Bandeira Co'!L:L, MATCH('Fluxo Investidores'!$A54, 'Fluxo Bandeira Co'!$A:$A, 0))</f>
        <v>0</v>
      </c>
      <c r="AD54" s="398">
        <f>-INDEX('Fluxo Bandeira Co'!M:M, MATCH('Fluxo Investidores'!$A54, 'Fluxo Bandeira Co'!$A:$A, 0))</f>
        <v>0</v>
      </c>
      <c r="AF54" s="397">
        <f t="shared" ca="1" si="17"/>
        <v>0</v>
      </c>
      <c r="AG54" s="398">
        <f ca="1">IFERROR(INDEX('Fluxo Projeto'!AQ:AQ, MATCH('Fluxo Investidores'!A54, 'Fluxo Projeto'!A:A, 0)), 0)</f>
        <v>0</v>
      </c>
      <c r="AI54" s="397">
        <f t="shared" ca="1" si="18"/>
        <v>0</v>
      </c>
      <c r="AJ54" s="390">
        <f t="shared" ca="1" si="19"/>
        <v>0</v>
      </c>
      <c r="AK54" s="390">
        <f t="shared" ca="1" si="20"/>
        <v>0</v>
      </c>
      <c r="AL54" s="390">
        <f t="shared" ca="1" si="21"/>
        <v>0</v>
      </c>
      <c r="AM54" s="390">
        <f t="shared" ca="1" si="22"/>
        <v>0</v>
      </c>
      <c r="AN54" s="390">
        <f t="shared" ca="1" si="23"/>
        <v>0</v>
      </c>
      <c r="AO54" s="390">
        <f t="shared" ca="1" si="24"/>
        <v>0</v>
      </c>
      <c r="AP54" s="390">
        <f t="shared" ca="1" si="25"/>
        <v>0</v>
      </c>
      <c r="AQ54" s="390">
        <f t="shared" ca="1" si="26"/>
        <v>0</v>
      </c>
      <c r="AR54" s="390">
        <f t="shared" ca="1" si="27"/>
        <v>0</v>
      </c>
      <c r="AS54" s="390">
        <f t="shared" ca="1" si="28"/>
        <v>0</v>
      </c>
      <c r="AT54" s="415">
        <f t="shared" ca="1" si="29"/>
        <v>0</v>
      </c>
      <c r="AU54" s="398">
        <f t="shared" ca="1" si="30"/>
        <v>0</v>
      </c>
    </row>
    <row r="55" spans="1:47" x14ac:dyDescent="0.25">
      <c r="A55" s="197">
        <f t="shared" si="31"/>
        <v>44682</v>
      </c>
      <c r="B55" s="388">
        <f>IF($A55&lt;=baseData, INDEX(Indicadores!B:B, MATCH($A55,Indicadores!A:A, 0)), INDEX(Indicadores!B:B, MATCH(baseData,Indicadores!A:A, 0)))</f>
        <v>839.38199999999995</v>
      </c>
      <c r="C55" s="389">
        <f>IF($A55&lt;=baseData, INDEX(Indicadores!E:E, MATCH($A55, Indicadores!A:A, 0)), INDEX(Indicadores!E:E, MATCH(baseData, Indicadores!A:A, 0)))</f>
        <v>5486.52</v>
      </c>
      <c r="E55" s="397">
        <f t="shared" ca="1" si="32"/>
        <v>0</v>
      </c>
      <c r="F55" s="398">
        <v>0</v>
      </c>
      <c r="G55" s="371"/>
      <c r="H55" s="393">
        <f t="shared" ca="1" si="33"/>
        <v>0</v>
      </c>
      <c r="I55" s="371"/>
      <c r="J55" s="393">
        <f t="shared" ca="1" si="34"/>
        <v>0</v>
      </c>
      <c r="L55" s="397">
        <f ca="1">IF($A55&gt;baseData, -$Z55*IF($Z55&gt;0, INDEX(Investidores!$K$3:$K$15, MATCH(L$1, Investidores!$B$3:$B$15, 0)), INDEX(Investidores!$K$3:$K$15, MATCH(L$1, Investidores!$B$3:$B$15, 0)))-IFERROR(INDEX(Permutas!$X:$AB, MATCH($A55, Permutas!$N:$N, 0), MATCH(L$1, Permutas!$X$2:$AB$2, 0)), 0)+IF($A55=EDATE(entrega,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55" s="390">
        <f ca="1">IF($A55&gt;baseData, -$Z55*IF($Z55&gt;0, INDEX(Investidores!$K$3:$K$15, MATCH(M$1, Investidores!$B$3:$B$15, 0)), INDEX(Investidores!$K$3:$K$15, MATCH(M$1, Investidores!$B$3:$B$15, 0)))-IFERROR(INDEX(Permutas!$X:$AB, MATCH($A55, Permutas!$N:$N, 0), MATCH(M$1, Permutas!$X$2:$AB$2, 0)), 0)+IF($A55=EDATE(entrega,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55" s="390">
        <f ca="1">IF($A55&gt;baseData, -$Z55*IF($Z55&gt;0, INDEX(Investidores!$K$3:$K$15, MATCH(N$1, Investidores!$B$3:$B$15, 0)), INDEX(Investidores!$K$3:$K$15, MATCH(N$1, Investidores!$B$3:$B$15, 0)))-IFERROR(INDEX(Permutas!$X:$AB, MATCH($A55, Permutas!$N:$N, 0), MATCH(N$1, Permutas!$X$2:$AB$2, 0)), 0)+IF($A55=EDATE(entrega,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55" s="390">
        <f ca="1">IF($A55&gt;baseData, -$Z55*IF($Z55&gt;0, INDEX(Investidores!$K$3:$K$15, MATCH(O$1, Investidores!$B$3:$B$15, 0)), INDEX(Investidores!$K$3:$K$15, MATCH(O$1, Investidores!$B$3:$B$15, 0)))-IFERROR(INDEX(Permutas!$X:$AB, MATCH($A55, Permutas!$N:$N, 0), MATCH(O$1, Permutas!$X$2:$AB$2, 0)), 0)+IF($A55=EDATE(entrega,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55" s="390">
        <f ca="1">IF($A55&gt;baseData, -$Z55*IF($Z55&gt;0, INDEX(Investidores!$K$3:$K$15, MATCH(P$1, Investidores!$B$3:$B$15, 0)), INDEX(Investidores!$K$3:$K$15, MATCH(P$1, Investidores!$B$3:$B$15, 0)))-IFERROR(INDEX(Permutas!$X:$AB, MATCH($A55, Permutas!$N:$N, 0), MATCH(P$1, Permutas!$X$2:$AB$2, 0)), 0)+IF($A55=EDATE(entrega,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55" s="390">
        <f ca="1">IF($A55&gt;baseData, -$Z55*IF($Z55&gt;0, INDEX(Investidores!$K$3:$K$15, MATCH(Q$1, Investidores!$B$3:$B$15, 0)), INDEX(Investidores!$K$3:$K$15, MATCH(Q$1, Investidores!$B$3:$B$15, 0)))-IFERROR(INDEX(Permutas!$X:$AB, MATCH($A55, Permutas!$N:$N, 0), MATCH(Q$1, Permutas!$X$2:$AB$2, 0)), 0)+IF($A55=EDATE(entrega,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55" s="390">
        <f ca="1">IF($A55&gt;baseData, -$Z55*IF($Z55&gt;0, INDEX(Investidores!$K$3:$K$15, MATCH(R$1, Investidores!$B$3:$B$15, 0)), INDEX(Investidores!$K$3:$K$15, MATCH(R$1, Investidores!$B$3:$B$15, 0)))-IFERROR(INDEX(Permutas!$X:$AB, MATCH($A55, Permutas!$N:$N, 0), MATCH(R$1, Permutas!$X$2:$AB$2, 0)), 0)+IF($A55=EDATE(entrega,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55" s="390">
        <f ca="1">IF($A55&gt;baseData, -$Z55*IF($Z55&gt;0, INDEX(Investidores!$K$3:$K$15, MATCH(S$1, Investidores!$B$3:$B$15, 0)), INDEX(Investidores!$K$3:$K$15, MATCH(S$1, Investidores!$B$3:$B$15, 0)))-IFERROR(INDEX(Permutas!$X:$AB, MATCH($A55, Permutas!$N:$N, 0), MATCH(S$1, Permutas!$X$2:$AB$2, 0)), 0)+IF($A55=EDATE(entrega,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55" s="390">
        <f ca="1">IF($A55&gt;baseData, -$Z55*IF($Z55&gt;0, INDEX(Investidores!$K$3:$K$15, MATCH(T$1, Investidores!$B$3:$B$15, 0)), INDEX(Investidores!$K$3:$K$15, MATCH(T$1, Investidores!$B$3:$B$15, 0)))-IFERROR(INDEX(Permutas!$X:$AB, MATCH($A55, Permutas!$N:$N, 0), MATCH(T$1, Permutas!$X$2:$AB$2, 0)), 0)+IF($A55=EDATE(entrega,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55" s="390">
        <f ca="1">IF($A55&gt;baseData, -$Z55*IF($Z55&gt;0, INDEX(Investidores!$K$3:$K$15, MATCH(U$1, Investidores!$B$3:$B$15, 0)), INDEX(Investidores!$K$3:$K$15, MATCH(U$1, Investidores!$B$3:$B$15, 0)))-IFERROR(INDEX(Permutas!$X:$AB, MATCH($A55, Permutas!$N:$N, 0), MATCH(U$1, Permutas!$X$2:$AB$2, 0)), 0)+IF($A55=EDATE(entrega,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55" s="390">
        <f ca="1">IF($A55&gt;baseData, -$Z55*IF($Z55&gt;0, INDEX(Investidores!$K$3:$K$15, MATCH(V$1, Investidores!$B$3:$B$15, 0)), INDEX(Investidores!$K$3:$K$15, MATCH(V$1, Investidores!$B$3:$B$15, 0)))-IFERROR(INDEX(Permutas!$X:$AB, MATCH($A55, Permutas!$N:$N, 0), MATCH(V$1, Permutas!$X$2:$AB$2, 0)), 0)+IF($A55=EDATE(entrega,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55" s="415">
        <f ca="1">IF($A55&gt;baseData, -$Z55*IF($Z55&gt;0, INDEX(Investidores!$K$3:$K$15, MATCH(W$1, Investidores!$B$3:$B$15, 0)), INDEX(Investidores!$K$3:$K$15, MATCH(W$1, Investidores!$B$3:$B$15, 0)))-IFERROR(INDEX(Permutas!$X:$AB, MATCH($A55, Permutas!$N:$N, 0), MATCH(W$1, Permutas!$X$2:$AB$2, 0)), 0)+IF($A55=EDATE(entrega,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55" s="398">
        <f ca="1">IF($A55&gt;baseData, -$Z55*IF($Z55&gt;0, INDEX(Investidores!$K$3:$K$15, MATCH(X$1, Investidores!$B$3:$B$15, 0)), INDEX(Investidores!$K$3:$K$15, MATCH(X$1, Investidores!$B$3:$B$15, 0)))-IFERROR(INDEX(Permutas!$X:$AB, MATCH($A55, Permutas!$N:$N, 0), MATCH(X$1, Permutas!$X$2:$AB$2, 0)), 0)+IF($A55=EDATE(entrega,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55" s="390">
        <f t="shared" ca="1" si="16"/>
        <v>0</v>
      </c>
      <c r="Z55" s="397">
        <f ca="1">-INDEX('Fluxo Bandeira Co'!AZ:AZ, MATCH($A55, 'Fluxo Bandeira Co'!$A:$A, 0))</f>
        <v>0</v>
      </c>
      <c r="AA55" s="398">
        <f>INDEX('Fluxo Bandeira Co'!J:J, MATCH($A55, 'Fluxo Bandeira Co'!$A:$A, 0))+INDEX('Fluxo Bandeira Co'!AK:AK, MATCH($A55, 'Fluxo Bandeira Co'!$A:$A, 0))</f>
        <v>0</v>
      </c>
      <c r="AB55" s="371"/>
      <c r="AC55" s="397">
        <f ca="1">-INDEX('Fluxo Bandeira Co'!L:L, MATCH('Fluxo Investidores'!$A55, 'Fluxo Bandeira Co'!$A:$A, 0))</f>
        <v>0</v>
      </c>
      <c r="AD55" s="398">
        <f>-INDEX('Fluxo Bandeira Co'!M:M, MATCH('Fluxo Investidores'!$A55, 'Fluxo Bandeira Co'!$A:$A, 0))</f>
        <v>0</v>
      </c>
      <c r="AF55" s="397">
        <f t="shared" ca="1" si="17"/>
        <v>0</v>
      </c>
      <c r="AG55" s="398">
        <f ca="1">IFERROR(INDEX('Fluxo Projeto'!AQ:AQ, MATCH('Fluxo Investidores'!A55, 'Fluxo Projeto'!A:A, 0)), 0)</f>
        <v>0</v>
      </c>
      <c r="AI55" s="397">
        <f t="shared" ca="1" si="18"/>
        <v>0</v>
      </c>
      <c r="AJ55" s="390">
        <f t="shared" ca="1" si="19"/>
        <v>0</v>
      </c>
      <c r="AK55" s="390">
        <f t="shared" ca="1" si="20"/>
        <v>0</v>
      </c>
      <c r="AL55" s="390">
        <f t="shared" ca="1" si="21"/>
        <v>0</v>
      </c>
      <c r="AM55" s="390">
        <f t="shared" ca="1" si="22"/>
        <v>0</v>
      </c>
      <c r="AN55" s="390">
        <f t="shared" ca="1" si="23"/>
        <v>0</v>
      </c>
      <c r="AO55" s="390">
        <f t="shared" ca="1" si="24"/>
        <v>0</v>
      </c>
      <c r="AP55" s="390">
        <f t="shared" ca="1" si="25"/>
        <v>0</v>
      </c>
      <c r="AQ55" s="390">
        <f t="shared" ca="1" si="26"/>
        <v>0</v>
      </c>
      <c r="AR55" s="390">
        <f t="shared" ca="1" si="27"/>
        <v>0</v>
      </c>
      <c r="AS55" s="390">
        <f t="shared" ca="1" si="28"/>
        <v>0</v>
      </c>
      <c r="AT55" s="415">
        <f t="shared" ca="1" si="29"/>
        <v>0</v>
      </c>
      <c r="AU55" s="398">
        <f t="shared" ca="1" si="30"/>
        <v>0</v>
      </c>
    </row>
    <row r="56" spans="1:47" x14ac:dyDescent="0.25">
      <c r="A56" s="197">
        <f t="shared" si="31"/>
        <v>44713</v>
      </c>
      <c r="B56" s="388">
        <f>IF($A56&lt;=baseData, INDEX(Indicadores!B:B, MATCH($A56,Indicadores!A:A, 0)), INDEX(Indicadores!B:B, MATCH(baseData,Indicadores!A:A, 0)))</f>
        <v>839.38199999999995</v>
      </c>
      <c r="C56" s="389">
        <f>IF($A56&lt;=baseData, INDEX(Indicadores!E:E, MATCH($A56, Indicadores!A:A, 0)), INDEX(Indicadores!E:E, MATCH(baseData, Indicadores!A:A, 0)))</f>
        <v>5486.52</v>
      </c>
      <c r="E56" s="397">
        <f t="shared" ca="1" si="32"/>
        <v>0</v>
      </c>
      <c r="F56" s="398">
        <v>0</v>
      </c>
      <c r="G56" s="371"/>
      <c r="H56" s="393">
        <f t="shared" ca="1" si="33"/>
        <v>0</v>
      </c>
      <c r="I56" s="371"/>
      <c r="J56" s="393">
        <f t="shared" ca="1" si="34"/>
        <v>0</v>
      </c>
      <c r="L56" s="397">
        <f ca="1">IF($A56&gt;baseData, -$Z56*IF($Z56&gt;0, INDEX(Investidores!$K$3:$K$15, MATCH(L$1, Investidores!$B$3:$B$15, 0)), INDEX(Investidores!$K$3:$K$15, MATCH(L$1, Investidores!$B$3:$B$15, 0)))-IFERROR(INDEX(Permutas!$X:$AB, MATCH($A56, Permutas!$N:$N, 0), MATCH(L$1, Permutas!$X$2:$AB$2, 0)), 0)+IF($A56=EDATE(entrega,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56" s="390">
        <f ca="1">IF($A56&gt;baseData, -$Z56*IF($Z56&gt;0, INDEX(Investidores!$K$3:$K$15, MATCH(M$1, Investidores!$B$3:$B$15, 0)), INDEX(Investidores!$K$3:$K$15, MATCH(M$1, Investidores!$B$3:$B$15, 0)))-IFERROR(INDEX(Permutas!$X:$AB, MATCH($A56, Permutas!$N:$N, 0), MATCH(M$1, Permutas!$X$2:$AB$2, 0)), 0)+IF($A56=EDATE(entrega,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56" s="390">
        <f ca="1">IF($A56&gt;baseData, -$Z56*IF($Z56&gt;0, INDEX(Investidores!$K$3:$K$15, MATCH(N$1, Investidores!$B$3:$B$15, 0)), INDEX(Investidores!$K$3:$K$15, MATCH(N$1, Investidores!$B$3:$B$15, 0)))-IFERROR(INDEX(Permutas!$X:$AB, MATCH($A56, Permutas!$N:$N, 0), MATCH(N$1, Permutas!$X$2:$AB$2, 0)), 0)+IF($A56=EDATE(entrega,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56" s="390">
        <f ca="1">IF($A56&gt;baseData, -$Z56*IF($Z56&gt;0, INDEX(Investidores!$K$3:$K$15, MATCH(O$1, Investidores!$B$3:$B$15, 0)), INDEX(Investidores!$K$3:$K$15, MATCH(O$1, Investidores!$B$3:$B$15, 0)))-IFERROR(INDEX(Permutas!$X:$AB, MATCH($A56, Permutas!$N:$N, 0), MATCH(O$1, Permutas!$X$2:$AB$2, 0)), 0)+IF($A56=EDATE(entrega,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56" s="390">
        <f ca="1">IF($A56&gt;baseData, -$Z56*IF($Z56&gt;0, INDEX(Investidores!$K$3:$K$15, MATCH(P$1, Investidores!$B$3:$B$15, 0)), INDEX(Investidores!$K$3:$K$15, MATCH(P$1, Investidores!$B$3:$B$15, 0)))-IFERROR(INDEX(Permutas!$X:$AB, MATCH($A56, Permutas!$N:$N, 0), MATCH(P$1, Permutas!$X$2:$AB$2, 0)), 0)+IF($A56=EDATE(entrega,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56" s="390">
        <f ca="1">IF($A56&gt;baseData, -$Z56*IF($Z56&gt;0, INDEX(Investidores!$K$3:$K$15, MATCH(Q$1, Investidores!$B$3:$B$15, 0)), INDEX(Investidores!$K$3:$K$15, MATCH(Q$1, Investidores!$B$3:$B$15, 0)))-IFERROR(INDEX(Permutas!$X:$AB, MATCH($A56, Permutas!$N:$N, 0), MATCH(Q$1, Permutas!$X$2:$AB$2, 0)), 0)+IF($A56=EDATE(entrega,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56" s="390">
        <f ca="1">IF($A56&gt;baseData, -$Z56*IF($Z56&gt;0, INDEX(Investidores!$K$3:$K$15, MATCH(R$1, Investidores!$B$3:$B$15, 0)), INDEX(Investidores!$K$3:$K$15, MATCH(R$1, Investidores!$B$3:$B$15, 0)))-IFERROR(INDEX(Permutas!$X:$AB, MATCH($A56, Permutas!$N:$N, 0), MATCH(R$1, Permutas!$X$2:$AB$2, 0)), 0)+IF($A56=EDATE(entrega,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56" s="390">
        <f ca="1">IF($A56&gt;baseData, -$Z56*IF($Z56&gt;0, INDEX(Investidores!$K$3:$K$15, MATCH(S$1, Investidores!$B$3:$B$15, 0)), INDEX(Investidores!$K$3:$K$15, MATCH(S$1, Investidores!$B$3:$B$15, 0)))-IFERROR(INDEX(Permutas!$X:$AB, MATCH($A56, Permutas!$N:$N, 0), MATCH(S$1, Permutas!$X$2:$AB$2, 0)), 0)+IF($A56=EDATE(entrega,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56" s="390">
        <f ca="1">IF($A56&gt;baseData, -$Z56*IF($Z56&gt;0, INDEX(Investidores!$K$3:$K$15, MATCH(T$1, Investidores!$B$3:$B$15, 0)), INDEX(Investidores!$K$3:$K$15, MATCH(T$1, Investidores!$B$3:$B$15, 0)))-IFERROR(INDEX(Permutas!$X:$AB, MATCH($A56, Permutas!$N:$N, 0), MATCH(T$1, Permutas!$X$2:$AB$2, 0)), 0)+IF($A56=EDATE(entrega,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56" s="390">
        <f ca="1">IF($A56&gt;baseData, -$Z56*IF($Z56&gt;0, INDEX(Investidores!$K$3:$K$15, MATCH(U$1, Investidores!$B$3:$B$15, 0)), INDEX(Investidores!$K$3:$K$15, MATCH(U$1, Investidores!$B$3:$B$15, 0)))-IFERROR(INDEX(Permutas!$X:$AB, MATCH($A56, Permutas!$N:$N, 0), MATCH(U$1, Permutas!$X$2:$AB$2, 0)), 0)+IF($A56=EDATE(entrega,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56" s="390">
        <f ca="1">IF($A56&gt;baseData, -$Z56*IF($Z56&gt;0, INDEX(Investidores!$K$3:$K$15, MATCH(V$1, Investidores!$B$3:$B$15, 0)), INDEX(Investidores!$K$3:$K$15, MATCH(V$1, Investidores!$B$3:$B$15, 0)))-IFERROR(INDEX(Permutas!$X:$AB, MATCH($A56, Permutas!$N:$N, 0), MATCH(V$1, Permutas!$X$2:$AB$2, 0)), 0)+IF($A56=EDATE(entrega,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56" s="415">
        <f ca="1">IF($A56&gt;baseData, -$Z56*IF($Z56&gt;0, INDEX(Investidores!$K$3:$K$15, MATCH(W$1, Investidores!$B$3:$B$15, 0)), INDEX(Investidores!$K$3:$K$15, MATCH(W$1, Investidores!$B$3:$B$15, 0)))-IFERROR(INDEX(Permutas!$X:$AB, MATCH($A56, Permutas!$N:$N, 0), MATCH(W$1, Permutas!$X$2:$AB$2, 0)), 0)+IF($A56=EDATE(entrega,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56" s="398">
        <f ca="1">IF($A56&gt;baseData, -$Z56*IF($Z56&gt;0, INDEX(Investidores!$K$3:$K$15, MATCH(X$1, Investidores!$B$3:$B$15, 0)), INDEX(Investidores!$K$3:$K$15, MATCH(X$1, Investidores!$B$3:$B$15, 0)))-IFERROR(INDEX(Permutas!$X:$AB, MATCH($A56, Permutas!$N:$N, 0), MATCH(X$1, Permutas!$X$2:$AB$2, 0)), 0)+IF($A56=EDATE(entrega,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56" s="390">
        <f t="shared" ca="1" si="16"/>
        <v>0</v>
      </c>
      <c r="Z56" s="397">
        <f ca="1">-INDEX('Fluxo Bandeira Co'!AZ:AZ, MATCH($A56, 'Fluxo Bandeira Co'!$A:$A, 0))</f>
        <v>0</v>
      </c>
      <c r="AA56" s="398">
        <f>INDEX('Fluxo Bandeira Co'!J:J, MATCH($A56, 'Fluxo Bandeira Co'!$A:$A, 0))+INDEX('Fluxo Bandeira Co'!AK:AK, MATCH($A56, 'Fluxo Bandeira Co'!$A:$A, 0))</f>
        <v>0</v>
      </c>
      <c r="AB56" s="371"/>
      <c r="AC56" s="397">
        <f ca="1">-INDEX('Fluxo Bandeira Co'!L:L, MATCH('Fluxo Investidores'!$A56, 'Fluxo Bandeira Co'!$A:$A, 0))</f>
        <v>0</v>
      </c>
      <c r="AD56" s="398">
        <f>-INDEX('Fluxo Bandeira Co'!M:M, MATCH('Fluxo Investidores'!$A56, 'Fluxo Bandeira Co'!$A:$A, 0))</f>
        <v>0</v>
      </c>
      <c r="AF56" s="397">
        <f t="shared" ca="1" si="17"/>
        <v>0</v>
      </c>
      <c r="AG56" s="398">
        <f ca="1">IFERROR(INDEX('Fluxo Projeto'!AQ:AQ, MATCH('Fluxo Investidores'!A56, 'Fluxo Projeto'!A:A, 0)), 0)</f>
        <v>0</v>
      </c>
      <c r="AI56" s="397">
        <f t="shared" ca="1" si="18"/>
        <v>0</v>
      </c>
      <c r="AJ56" s="390">
        <f t="shared" ca="1" si="19"/>
        <v>0</v>
      </c>
      <c r="AK56" s="390">
        <f t="shared" ca="1" si="20"/>
        <v>0</v>
      </c>
      <c r="AL56" s="390">
        <f t="shared" ca="1" si="21"/>
        <v>0</v>
      </c>
      <c r="AM56" s="390">
        <f t="shared" ca="1" si="22"/>
        <v>0</v>
      </c>
      <c r="AN56" s="390">
        <f t="shared" ca="1" si="23"/>
        <v>0</v>
      </c>
      <c r="AO56" s="390">
        <f t="shared" ca="1" si="24"/>
        <v>0</v>
      </c>
      <c r="AP56" s="390">
        <f t="shared" ca="1" si="25"/>
        <v>0</v>
      </c>
      <c r="AQ56" s="390">
        <f t="shared" ca="1" si="26"/>
        <v>0</v>
      </c>
      <c r="AR56" s="390">
        <f t="shared" ca="1" si="27"/>
        <v>0</v>
      </c>
      <c r="AS56" s="390">
        <f t="shared" ca="1" si="28"/>
        <v>0</v>
      </c>
      <c r="AT56" s="415">
        <f t="shared" ca="1" si="29"/>
        <v>0</v>
      </c>
      <c r="AU56" s="398">
        <f t="shared" ca="1" si="30"/>
        <v>0</v>
      </c>
    </row>
    <row r="57" spans="1:47" x14ac:dyDescent="0.25">
      <c r="A57" s="197">
        <f t="shared" si="31"/>
        <v>44743</v>
      </c>
      <c r="B57" s="388">
        <f>IF($A57&lt;=baseData, INDEX(Indicadores!B:B, MATCH($A57,Indicadores!A:A, 0)), INDEX(Indicadores!B:B, MATCH(baseData,Indicadores!A:A, 0)))</f>
        <v>839.38199999999995</v>
      </c>
      <c r="C57" s="389">
        <f>IF($A57&lt;=baseData, INDEX(Indicadores!E:E, MATCH($A57, Indicadores!A:A, 0)), INDEX(Indicadores!E:E, MATCH(baseData, Indicadores!A:A, 0)))</f>
        <v>5486.52</v>
      </c>
      <c r="E57" s="397">
        <f t="shared" ca="1" si="32"/>
        <v>0</v>
      </c>
      <c r="F57" s="398">
        <v>0</v>
      </c>
      <c r="G57" s="371"/>
      <c r="H57" s="393">
        <f t="shared" ca="1" si="33"/>
        <v>0</v>
      </c>
      <c r="I57" s="371"/>
      <c r="J57" s="393">
        <f t="shared" ca="1" si="34"/>
        <v>0</v>
      </c>
      <c r="L57" s="397">
        <f ca="1">IF($A57&gt;baseData, -$Z57*IF($Z57&gt;0, INDEX(Investidores!$K$3:$K$15, MATCH(L$1, Investidores!$B$3:$B$15, 0)), INDEX(Investidores!$K$3:$K$15, MATCH(L$1, Investidores!$B$3:$B$15, 0)))-IFERROR(INDEX(Permutas!$X:$AB, MATCH($A57, Permutas!$N:$N, 0), MATCH(L$1, Permutas!$X$2:$AB$2, 0)), 0)+IF($A57=EDATE(entrega,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57" s="390">
        <f ca="1">IF($A57&gt;baseData, -$Z57*IF($Z57&gt;0, INDEX(Investidores!$K$3:$K$15, MATCH(M$1, Investidores!$B$3:$B$15, 0)), INDEX(Investidores!$K$3:$K$15, MATCH(M$1, Investidores!$B$3:$B$15, 0)))-IFERROR(INDEX(Permutas!$X:$AB, MATCH($A57, Permutas!$N:$N, 0), MATCH(M$1, Permutas!$X$2:$AB$2, 0)), 0)+IF($A57=EDATE(entrega,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57" s="390">
        <f ca="1">IF($A57&gt;baseData, -$Z57*IF($Z57&gt;0, INDEX(Investidores!$K$3:$K$15, MATCH(N$1, Investidores!$B$3:$B$15, 0)), INDEX(Investidores!$K$3:$K$15, MATCH(N$1, Investidores!$B$3:$B$15, 0)))-IFERROR(INDEX(Permutas!$X:$AB, MATCH($A57, Permutas!$N:$N, 0), MATCH(N$1, Permutas!$X$2:$AB$2, 0)), 0)+IF($A57=EDATE(entrega,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57" s="390">
        <f ca="1">IF($A57&gt;baseData, -$Z57*IF($Z57&gt;0, INDEX(Investidores!$K$3:$K$15, MATCH(O$1, Investidores!$B$3:$B$15, 0)), INDEX(Investidores!$K$3:$K$15, MATCH(O$1, Investidores!$B$3:$B$15, 0)))-IFERROR(INDEX(Permutas!$X:$AB, MATCH($A57, Permutas!$N:$N, 0), MATCH(O$1, Permutas!$X$2:$AB$2, 0)), 0)+IF($A57=EDATE(entrega,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57" s="390">
        <f ca="1">IF($A57&gt;baseData, -$Z57*IF($Z57&gt;0, INDEX(Investidores!$K$3:$K$15, MATCH(P$1, Investidores!$B$3:$B$15, 0)), INDEX(Investidores!$K$3:$K$15, MATCH(P$1, Investidores!$B$3:$B$15, 0)))-IFERROR(INDEX(Permutas!$X:$AB, MATCH($A57, Permutas!$N:$N, 0), MATCH(P$1, Permutas!$X$2:$AB$2, 0)), 0)+IF($A57=EDATE(entrega,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57" s="390">
        <f ca="1">IF($A57&gt;baseData, -$Z57*IF($Z57&gt;0, INDEX(Investidores!$K$3:$K$15, MATCH(Q$1, Investidores!$B$3:$B$15, 0)), INDEX(Investidores!$K$3:$K$15, MATCH(Q$1, Investidores!$B$3:$B$15, 0)))-IFERROR(INDEX(Permutas!$X:$AB, MATCH($A57, Permutas!$N:$N, 0), MATCH(Q$1, Permutas!$X$2:$AB$2, 0)), 0)+IF($A57=EDATE(entrega,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57" s="390">
        <f ca="1">IF($A57&gt;baseData, -$Z57*IF($Z57&gt;0, INDEX(Investidores!$K$3:$K$15, MATCH(R$1, Investidores!$B$3:$B$15, 0)), INDEX(Investidores!$K$3:$K$15, MATCH(R$1, Investidores!$B$3:$B$15, 0)))-IFERROR(INDEX(Permutas!$X:$AB, MATCH($A57, Permutas!$N:$N, 0), MATCH(R$1, Permutas!$X$2:$AB$2, 0)), 0)+IF($A57=EDATE(entrega,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57" s="390">
        <f ca="1">IF($A57&gt;baseData, -$Z57*IF($Z57&gt;0, INDEX(Investidores!$K$3:$K$15, MATCH(S$1, Investidores!$B$3:$B$15, 0)), INDEX(Investidores!$K$3:$K$15, MATCH(S$1, Investidores!$B$3:$B$15, 0)))-IFERROR(INDEX(Permutas!$X:$AB, MATCH($A57, Permutas!$N:$N, 0), MATCH(S$1, Permutas!$X$2:$AB$2, 0)), 0)+IF($A57=EDATE(entrega,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57" s="390">
        <f ca="1">IF($A57&gt;baseData, -$Z57*IF($Z57&gt;0, INDEX(Investidores!$K$3:$K$15, MATCH(T$1, Investidores!$B$3:$B$15, 0)), INDEX(Investidores!$K$3:$K$15, MATCH(T$1, Investidores!$B$3:$B$15, 0)))-IFERROR(INDEX(Permutas!$X:$AB, MATCH($A57, Permutas!$N:$N, 0), MATCH(T$1, Permutas!$X$2:$AB$2, 0)), 0)+IF($A57=EDATE(entrega,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57" s="390">
        <f ca="1">IF($A57&gt;baseData, -$Z57*IF($Z57&gt;0, INDEX(Investidores!$K$3:$K$15, MATCH(U$1, Investidores!$B$3:$B$15, 0)), INDEX(Investidores!$K$3:$K$15, MATCH(U$1, Investidores!$B$3:$B$15, 0)))-IFERROR(INDEX(Permutas!$X:$AB, MATCH($A57, Permutas!$N:$N, 0), MATCH(U$1, Permutas!$X$2:$AB$2, 0)), 0)+IF($A57=EDATE(entrega,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57" s="390">
        <f ca="1">IF($A57&gt;baseData, -$Z57*IF($Z57&gt;0, INDEX(Investidores!$K$3:$K$15, MATCH(V$1, Investidores!$B$3:$B$15, 0)), INDEX(Investidores!$K$3:$K$15, MATCH(V$1, Investidores!$B$3:$B$15, 0)))-IFERROR(INDEX(Permutas!$X:$AB, MATCH($A57, Permutas!$N:$N, 0), MATCH(V$1, Permutas!$X$2:$AB$2, 0)), 0)+IF($A57=EDATE(entrega,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57" s="415">
        <f ca="1">IF($A57&gt;baseData, -$Z57*IF($Z57&gt;0, INDEX(Investidores!$K$3:$K$15, MATCH(W$1, Investidores!$B$3:$B$15, 0)), INDEX(Investidores!$K$3:$K$15, MATCH(W$1, Investidores!$B$3:$B$15, 0)))-IFERROR(INDEX(Permutas!$X:$AB, MATCH($A57, Permutas!$N:$N, 0), MATCH(W$1, Permutas!$X$2:$AB$2, 0)), 0)+IF($A57=EDATE(entrega,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57" s="398">
        <f ca="1">IF($A57&gt;baseData, -$Z57*IF($Z57&gt;0, INDEX(Investidores!$K$3:$K$15, MATCH(X$1, Investidores!$B$3:$B$15, 0)), INDEX(Investidores!$K$3:$K$15, MATCH(X$1, Investidores!$B$3:$B$15, 0)))-IFERROR(INDEX(Permutas!$X:$AB, MATCH($A57, Permutas!$N:$N, 0), MATCH(X$1, Permutas!$X$2:$AB$2, 0)), 0)+IF($A57=EDATE(entrega,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57" s="390">
        <f t="shared" ca="1" si="16"/>
        <v>0</v>
      </c>
      <c r="Z57" s="397">
        <f ca="1">-INDEX('Fluxo Bandeira Co'!AZ:AZ, MATCH($A57, 'Fluxo Bandeira Co'!$A:$A, 0))</f>
        <v>0</v>
      </c>
      <c r="AA57" s="398">
        <f>INDEX('Fluxo Bandeira Co'!J:J, MATCH($A57, 'Fluxo Bandeira Co'!$A:$A, 0))+INDEX('Fluxo Bandeira Co'!AK:AK, MATCH($A57, 'Fluxo Bandeira Co'!$A:$A, 0))</f>
        <v>0</v>
      </c>
      <c r="AB57" s="371"/>
      <c r="AC57" s="397">
        <f ca="1">-INDEX('Fluxo Bandeira Co'!L:L, MATCH('Fluxo Investidores'!$A57, 'Fluxo Bandeira Co'!$A:$A, 0))</f>
        <v>0</v>
      </c>
      <c r="AD57" s="398">
        <f>-INDEX('Fluxo Bandeira Co'!M:M, MATCH('Fluxo Investidores'!$A57, 'Fluxo Bandeira Co'!$A:$A, 0))</f>
        <v>0</v>
      </c>
      <c r="AF57" s="397">
        <f t="shared" ca="1" si="17"/>
        <v>0</v>
      </c>
      <c r="AG57" s="398">
        <f ca="1">IFERROR(INDEX('Fluxo Projeto'!AQ:AQ, MATCH('Fluxo Investidores'!A57, 'Fluxo Projeto'!A:A, 0)), 0)</f>
        <v>0</v>
      </c>
      <c r="AI57" s="397">
        <f t="shared" ca="1" si="18"/>
        <v>0</v>
      </c>
      <c r="AJ57" s="390">
        <f t="shared" ca="1" si="19"/>
        <v>0</v>
      </c>
      <c r="AK57" s="390">
        <f t="shared" ca="1" si="20"/>
        <v>0</v>
      </c>
      <c r="AL57" s="390">
        <f t="shared" ca="1" si="21"/>
        <v>0</v>
      </c>
      <c r="AM57" s="390">
        <f t="shared" ca="1" si="22"/>
        <v>0</v>
      </c>
      <c r="AN57" s="390">
        <f t="shared" ca="1" si="23"/>
        <v>0</v>
      </c>
      <c r="AO57" s="390">
        <f t="shared" ca="1" si="24"/>
        <v>0</v>
      </c>
      <c r="AP57" s="390">
        <f t="shared" ca="1" si="25"/>
        <v>0</v>
      </c>
      <c r="AQ57" s="390">
        <f t="shared" ca="1" si="26"/>
        <v>0</v>
      </c>
      <c r="AR57" s="390">
        <f t="shared" ca="1" si="27"/>
        <v>0</v>
      </c>
      <c r="AS57" s="390">
        <f t="shared" ca="1" si="28"/>
        <v>0</v>
      </c>
      <c r="AT57" s="415">
        <f t="shared" ca="1" si="29"/>
        <v>0</v>
      </c>
      <c r="AU57" s="398">
        <f t="shared" ca="1" si="30"/>
        <v>0</v>
      </c>
    </row>
    <row r="58" spans="1:47" x14ac:dyDescent="0.25">
      <c r="A58" s="197">
        <f t="shared" si="31"/>
        <v>44774</v>
      </c>
      <c r="B58" s="388">
        <f>IF($A58&lt;=baseData, INDEX(Indicadores!B:B, MATCH($A58,Indicadores!A:A, 0)), INDEX(Indicadores!B:B, MATCH(baseData,Indicadores!A:A, 0)))</f>
        <v>839.38199999999995</v>
      </c>
      <c r="C58" s="389">
        <f>IF($A58&lt;=baseData, INDEX(Indicadores!E:E, MATCH($A58, Indicadores!A:A, 0)), INDEX(Indicadores!E:E, MATCH(baseData, Indicadores!A:A, 0)))</f>
        <v>5486.52</v>
      </c>
      <c r="E58" s="397">
        <f t="shared" ca="1" si="32"/>
        <v>0</v>
      </c>
      <c r="F58" s="398">
        <v>0</v>
      </c>
      <c r="G58" s="371"/>
      <c r="H58" s="393">
        <f t="shared" ca="1" si="33"/>
        <v>0</v>
      </c>
      <c r="I58" s="371"/>
      <c r="J58" s="393">
        <f t="shared" ca="1" si="34"/>
        <v>0</v>
      </c>
      <c r="L58" s="397">
        <f ca="1">IF($A58&gt;baseData, -$Z58*IF($Z58&gt;0, INDEX(Investidores!$K$3:$K$15, MATCH(L$1, Investidores!$B$3:$B$15, 0)), INDEX(Investidores!$K$3:$K$15, MATCH(L$1, Investidores!$B$3:$B$15, 0)))-IFERROR(INDEX(Permutas!$X:$AB, MATCH($A58, Permutas!$N:$N, 0), MATCH(L$1, Permutas!$X$2:$AB$2, 0)), 0)+IF($A58=EDATE(entrega,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58" s="390">
        <f ca="1">IF($A58&gt;baseData, -$Z58*IF($Z58&gt;0, INDEX(Investidores!$K$3:$K$15, MATCH(M$1, Investidores!$B$3:$B$15, 0)), INDEX(Investidores!$K$3:$K$15, MATCH(M$1, Investidores!$B$3:$B$15, 0)))-IFERROR(INDEX(Permutas!$X:$AB, MATCH($A58, Permutas!$N:$N, 0), MATCH(M$1, Permutas!$X$2:$AB$2, 0)), 0)+IF($A58=EDATE(entrega,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58" s="390">
        <f ca="1">IF($A58&gt;baseData, -$Z58*IF($Z58&gt;0, INDEX(Investidores!$K$3:$K$15, MATCH(N$1, Investidores!$B$3:$B$15, 0)), INDEX(Investidores!$K$3:$K$15, MATCH(N$1, Investidores!$B$3:$B$15, 0)))-IFERROR(INDEX(Permutas!$X:$AB, MATCH($A58, Permutas!$N:$N, 0), MATCH(N$1, Permutas!$X$2:$AB$2, 0)), 0)+IF($A58=EDATE(entrega,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58" s="390">
        <f ca="1">IF($A58&gt;baseData, -$Z58*IF($Z58&gt;0, INDEX(Investidores!$K$3:$K$15, MATCH(O$1, Investidores!$B$3:$B$15, 0)), INDEX(Investidores!$K$3:$K$15, MATCH(O$1, Investidores!$B$3:$B$15, 0)))-IFERROR(INDEX(Permutas!$X:$AB, MATCH($A58, Permutas!$N:$N, 0), MATCH(O$1, Permutas!$X$2:$AB$2, 0)), 0)+IF($A58=EDATE(entrega,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58" s="390">
        <f ca="1">IF($A58&gt;baseData, -$Z58*IF($Z58&gt;0, INDEX(Investidores!$K$3:$K$15, MATCH(P$1, Investidores!$B$3:$B$15, 0)), INDEX(Investidores!$K$3:$K$15, MATCH(P$1, Investidores!$B$3:$B$15, 0)))-IFERROR(INDEX(Permutas!$X:$AB, MATCH($A58, Permutas!$N:$N, 0), MATCH(P$1, Permutas!$X$2:$AB$2, 0)), 0)+IF($A58=EDATE(entrega,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58" s="390">
        <f ca="1">IF($A58&gt;baseData, -$Z58*IF($Z58&gt;0, INDEX(Investidores!$K$3:$K$15, MATCH(Q$1, Investidores!$B$3:$B$15, 0)), INDEX(Investidores!$K$3:$K$15, MATCH(Q$1, Investidores!$B$3:$B$15, 0)))-IFERROR(INDEX(Permutas!$X:$AB, MATCH($A58, Permutas!$N:$N, 0), MATCH(Q$1, Permutas!$X$2:$AB$2, 0)), 0)+IF($A58=EDATE(entrega,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58" s="390">
        <f ca="1">IF($A58&gt;baseData, -$Z58*IF($Z58&gt;0, INDEX(Investidores!$K$3:$K$15, MATCH(R$1, Investidores!$B$3:$B$15, 0)), INDEX(Investidores!$K$3:$K$15, MATCH(R$1, Investidores!$B$3:$B$15, 0)))-IFERROR(INDEX(Permutas!$X:$AB, MATCH($A58, Permutas!$N:$N, 0), MATCH(R$1, Permutas!$X$2:$AB$2, 0)), 0)+IF($A58=EDATE(entrega,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58" s="390">
        <f ca="1">IF($A58&gt;baseData, -$Z58*IF($Z58&gt;0, INDEX(Investidores!$K$3:$K$15, MATCH(S$1, Investidores!$B$3:$B$15, 0)), INDEX(Investidores!$K$3:$K$15, MATCH(S$1, Investidores!$B$3:$B$15, 0)))-IFERROR(INDEX(Permutas!$X:$AB, MATCH($A58, Permutas!$N:$N, 0), MATCH(S$1, Permutas!$X$2:$AB$2, 0)), 0)+IF($A58=EDATE(entrega,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58" s="390">
        <f ca="1">IF($A58&gt;baseData, -$Z58*IF($Z58&gt;0, INDEX(Investidores!$K$3:$K$15, MATCH(T$1, Investidores!$B$3:$B$15, 0)), INDEX(Investidores!$K$3:$K$15, MATCH(T$1, Investidores!$B$3:$B$15, 0)))-IFERROR(INDEX(Permutas!$X:$AB, MATCH($A58, Permutas!$N:$N, 0), MATCH(T$1, Permutas!$X$2:$AB$2, 0)), 0)+IF($A58=EDATE(entrega,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58" s="390">
        <f ca="1">IF($A58&gt;baseData, -$Z58*IF($Z58&gt;0, INDEX(Investidores!$K$3:$K$15, MATCH(U$1, Investidores!$B$3:$B$15, 0)), INDEX(Investidores!$K$3:$K$15, MATCH(U$1, Investidores!$B$3:$B$15, 0)))-IFERROR(INDEX(Permutas!$X:$AB, MATCH($A58, Permutas!$N:$N, 0), MATCH(U$1, Permutas!$X$2:$AB$2, 0)), 0)+IF($A58=EDATE(entrega,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58" s="390">
        <f ca="1">IF($A58&gt;baseData, -$Z58*IF($Z58&gt;0, INDEX(Investidores!$K$3:$K$15, MATCH(V$1, Investidores!$B$3:$B$15, 0)), INDEX(Investidores!$K$3:$K$15, MATCH(V$1, Investidores!$B$3:$B$15, 0)))-IFERROR(INDEX(Permutas!$X:$AB, MATCH($A58, Permutas!$N:$N, 0), MATCH(V$1, Permutas!$X$2:$AB$2, 0)), 0)+IF($A58=EDATE(entrega,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58" s="415">
        <f ca="1">IF($A58&gt;baseData, -$Z58*IF($Z58&gt;0, INDEX(Investidores!$K$3:$K$15, MATCH(W$1, Investidores!$B$3:$B$15, 0)), INDEX(Investidores!$K$3:$K$15, MATCH(W$1, Investidores!$B$3:$B$15, 0)))-IFERROR(INDEX(Permutas!$X:$AB, MATCH($A58, Permutas!$N:$N, 0), MATCH(W$1, Permutas!$X$2:$AB$2, 0)), 0)+IF($A58=EDATE(entrega,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58" s="398">
        <f ca="1">IF($A58&gt;baseData, -$Z58*IF($Z58&gt;0, INDEX(Investidores!$K$3:$K$15, MATCH(X$1, Investidores!$B$3:$B$15, 0)), INDEX(Investidores!$K$3:$K$15, MATCH(X$1, Investidores!$B$3:$B$15, 0)))-IFERROR(INDEX(Permutas!$X:$AB, MATCH($A58, Permutas!$N:$N, 0), MATCH(X$1, Permutas!$X$2:$AB$2, 0)), 0)+IF($A58=EDATE(entrega,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58" s="390">
        <f t="shared" ca="1" si="16"/>
        <v>0</v>
      </c>
      <c r="Z58" s="397">
        <f ca="1">-INDEX('Fluxo Bandeira Co'!AZ:AZ, MATCH($A58, 'Fluxo Bandeira Co'!$A:$A, 0))</f>
        <v>0</v>
      </c>
      <c r="AA58" s="398">
        <f>INDEX('Fluxo Bandeira Co'!J:J, MATCH($A58, 'Fluxo Bandeira Co'!$A:$A, 0))+INDEX('Fluxo Bandeira Co'!AK:AK, MATCH($A58, 'Fluxo Bandeira Co'!$A:$A, 0))</f>
        <v>0</v>
      </c>
      <c r="AB58" s="371"/>
      <c r="AC58" s="397">
        <f ca="1">-INDEX('Fluxo Bandeira Co'!L:L, MATCH('Fluxo Investidores'!$A58, 'Fluxo Bandeira Co'!$A:$A, 0))</f>
        <v>0</v>
      </c>
      <c r="AD58" s="398">
        <f>-INDEX('Fluxo Bandeira Co'!M:M, MATCH('Fluxo Investidores'!$A58, 'Fluxo Bandeira Co'!$A:$A, 0))</f>
        <v>0</v>
      </c>
      <c r="AF58" s="397">
        <f t="shared" ca="1" si="17"/>
        <v>0</v>
      </c>
      <c r="AG58" s="398">
        <f ca="1">IFERROR(INDEX('Fluxo Projeto'!AQ:AQ, MATCH('Fluxo Investidores'!A58, 'Fluxo Projeto'!A:A, 0)), 0)</f>
        <v>0</v>
      </c>
      <c r="AI58" s="397">
        <f t="shared" ca="1" si="18"/>
        <v>0</v>
      </c>
      <c r="AJ58" s="390">
        <f t="shared" ca="1" si="19"/>
        <v>0</v>
      </c>
      <c r="AK58" s="390">
        <f t="shared" ca="1" si="20"/>
        <v>0</v>
      </c>
      <c r="AL58" s="390">
        <f t="shared" ca="1" si="21"/>
        <v>0</v>
      </c>
      <c r="AM58" s="390">
        <f t="shared" ca="1" si="22"/>
        <v>0</v>
      </c>
      <c r="AN58" s="390">
        <f t="shared" ca="1" si="23"/>
        <v>0</v>
      </c>
      <c r="AO58" s="390">
        <f t="shared" ca="1" si="24"/>
        <v>0</v>
      </c>
      <c r="AP58" s="390">
        <f t="shared" ca="1" si="25"/>
        <v>0</v>
      </c>
      <c r="AQ58" s="390">
        <f t="shared" ca="1" si="26"/>
        <v>0</v>
      </c>
      <c r="AR58" s="390">
        <f t="shared" ca="1" si="27"/>
        <v>0</v>
      </c>
      <c r="AS58" s="390">
        <f t="shared" ca="1" si="28"/>
        <v>0</v>
      </c>
      <c r="AT58" s="415">
        <f t="shared" ca="1" si="29"/>
        <v>0</v>
      </c>
      <c r="AU58" s="398">
        <f t="shared" ca="1" si="30"/>
        <v>0</v>
      </c>
    </row>
    <row r="59" spans="1:47" x14ac:dyDescent="0.25">
      <c r="A59" s="197">
        <f t="shared" si="31"/>
        <v>44805</v>
      </c>
      <c r="B59" s="388">
        <f>IF($A59&lt;=baseData, INDEX(Indicadores!B:B, MATCH($A59,Indicadores!A:A, 0)), INDEX(Indicadores!B:B, MATCH(baseData,Indicadores!A:A, 0)))</f>
        <v>839.38199999999995</v>
      </c>
      <c r="C59" s="389">
        <f>IF($A59&lt;=baseData, INDEX(Indicadores!E:E, MATCH($A59, Indicadores!A:A, 0)), INDEX(Indicadores!E:E, MATCH(baseData, Indicadores!A:A, 0)))</f>
        <v>5486.52</v>
      </c>
      <c r="E59" s="397">
        <f t="shared" ca="1" si="32"/>
        <v>0</v>
      </c>
      <c r="F59" s="398">
        <v>0</v>
      </c>
      <c r="G59" s="371"/>
      <c r="H59" s="393">
        <f t="shared" ca="1" si="33"/>
        <v>0</v>
      </c>
      <c r="I59" s="371"/>
      <c r="J59" s="393">
        <f t="shared" ca="1" si="34"/>
        <v>0</v>
      </c>
      <c r="L59" s="397">
        <f ca="1">IF($A59&gt;baseData, -$Z59*IF($Z59&gt;0, INDEX(Investidores!$K$3:$K$15, MATCH(L$1, Investidores!$B$3:$B$15, 0)), INDEX(Investidores!$K$3:$K$15, MATCH(L$1, Investidores!$B$3:$B$15, 0)))-IFERROR(INDEX(Permutas!$X:$AB, MATCH($A59, Permutas!$N:$N, 0), MATCH(L$1, Permutas!$X$2:$AB$2, 0)), 0)+IF($A59=EDATE(entrega,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59" s="390">
        <f ca="1">IF($A59&gt;baseData, -$Z59*IF($Z59&gt;0, INDEX(Investidores!$K$3:$K$15, MATCH(M$1, Investidores!$B$3:$B$15, 0)), INDEX(Investidores!$K$3:$K$15, MATCH(M$1, Investidores!$B$3:$B$15, 0)))-IFERROR(INDEX(Permutas!$X:$AB, MATCH($A59, Permutas!$N:$N, 0), MATCH(M$1, Permutas!$X$2:$AB$2, 0)), 0)+IF($A59=EDATE(entrega,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59" s="390">
        <f ca="1">IF($A59&gt;baseData, -$Z59*IF($Z59&gt;0, INDEX(Investidores!$K$3:$K$15, MATCH(N$1, Investidores!$B$3:$B$15, 0)), INDEX(Investidores!$K$3:$K$15, MATCH(N$1, Investidores!$B$3:$B$15, 0)))-IFERROR(INDEX(Permutas!$X:$AB, MATCH($A59, Permutas!$N:$N, 0), MATCH(N$1, Permutas!$X$2:$AB$2, 0)), 0)+IF($A59=EDATE(entrega,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59" s="390">
        <f ca="1">IF($A59&gt;baseData, -$Z59*IF($Z59&gt;0, INDEX(Investidores!$K$3:$K$15, MATCH(O$1, Investidores!$B$3:$B$15, 0)), INDEX(Investidores!$K$3:$K$15, MATCH(O$1, Investidores!$B$3:$B$15, 0)))-IFERROR(INDEX(Permutas!$X:$AB, MATCH($A59, Permutas!$N:$N, 0), MATCH(O$1, Permutas!$X$2:$AB$2, 0)), 0)+IF($A59=EDATE(entrega,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59" s="390">
        <f ca="1">IF($A59&gt;baseData, -$Z59*IF($Z59&gt;0, INDEX(Investidores!$K$3:$K$15, MATCH(P$1, Investidores!$B$3:$B$15, 0)), INDEX(Investidores!$K$3:$K$15, MATCH(P$1, Investidores!$B$3:$B$15, 0)))-IFERROR(INDEX(Permutas!$X:$AB, MATCH($A59, Permutas!$N:$N, 0), MATCH(P$1, Permutas!$X$2:$AB$2, 0)), 0)+IF($A59=EDATE(entrega,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59" s="390">
        <f ca="1">IF($A59&gt;baseData, -$Z59*IF($Z59&gt;0, INDEX(Investidores!$K$3:$K$15, MATCH(Q$1, Investidores!$B$3:$B$15, 0)), INDEX(Investidores!$K$3:$K$15, MATCH(Q$1, Investidores!$B$3:$B$15, 0)))-IFERROR(INDEX(Permutas!$X:$AB, MATCH($A59, Permutas!$N:$N, 0), MATCH(Q$1, Permutas!$X$2:$AB$2, 0)), 0)+IF($A59=EDATE(entrega,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59" s="390">
        <f ca="1">IF($A59&gt;baseData, -$Z59*IF($Z59&gt;0, INDEX(Investidores!$K$3:$K$15, MATCH(R$1, Investidores!$B$3:$B$15, 0)), INDEX(Investidores!$K$3:$K$15, MATCH(R$1, Investidores!$B$3:$B$15, 0)))-IFERROR(INDEX(Permutas!$X:$AB, MATCH($A59, Permutas!$N:$N, 0), MATCH(R$1, Permutas!$X$2:$AB$2, 0)), 0)+IF($A59=EDATE(entrega,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59" s="390">
        <f ca="1">IF($A59&gt;baseData, -$Z59*IF($Z59&gt;0, INDEX(Investidores!$K$3:$K$15, MATCH(S$1, Investidores!$B$3:$B$15, 0)), INDEX(Investidores!$K$3:$K$15, MATCH(S$1, Investidores!$B$3:$B$15, 0)))-IFERROR(INDEX(Permutas!$X:$AB, MATCH($A59, Permutas!$N:$N, 0), MATCH(S$1, Permutas!$X$2:$AB$2, 0)), 0)+IF($A59=EDATE(entrega,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59" s="390">
        <f ca="1">IF($A59&gt;baseData, -$Z59*IF($Z59&gt;0, INDEX(Investidores!$K$3:$K$15, MATCH(T$1, Investidores!$B$3:$B$15, 0)), INDEX(Investidores!$K$3:$K$15, MATCH(T$1, Investidores!$B$3:$B$15, 0)))-IFERROR(INDEX(Permutas!$X:$AB, MATCH($A59, Permutas!$N:$N, 0), MATCH(T$1, Permutas!$X$2:$AB$2, 0)), 0)+IF($A59=EDATE(entrega,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59" s="390">
        <f ca="1">IF($A59&gt;baseData, -$Z59*IF($Z59&gt;0, INDEX(Investidores!$K$3:$K$15, MATCH(U$1, Investidores!$B$3:$B$15, 0)), INDEX(Investidores!$K$3:$K$15, MATCH(U$1, Investidores!$B$3:$B$15, 0)))-IFERROR(INDEX(Permutas!$X:$AB, MATCH($A59, Permutas!$N:$N, 0), MATCH(U$1, Permutas!$X$2:$AB$2, 0)), 0)+IF($A59=EDATE(entrega,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59" s="390">
        <f ca="1">IF($A59&gt;baseData, -$Z59*IF($Z59&gt;0, INDEX(Investidores!$K$3:$K$15, MATCH(V$1, Investidores!$B$3:$B$15, 0)), INDEX(Investidores!$K$3:$K$15, MATCH(V$1, Investidores!$B$3:$B$15, 0)))-IFERROR(INDEX(Permutas!$X:$AB, MATCH($A59, Permutas!$N:$N, 0), MATCH(V$1, Permutas!$X$2:$AB$2, 0)), 0)+IF($A59=EDATE(entrega,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59" s="415">
        <f ca="1">IF($A59&gt;baseData, -$Z59*IF($Z59&gt;0, INDEX(Investidores!$K$3:$K$15, MATCH(W$1, Investidores!$B$3:$B$15, 0)), INDEX(Investidores!$K$3:$K$15, MATCH(W$1, Investidores!$B$3:$B$15, 0)))-IFERROR(INDEX(Permutas!$X:$AB, MATCH($A59, Permutas!$N:$N, 0), MATCH(W$1, Permutas!$X$2:$AB$2, 0)), 0)+IF($A59=EDATE(entrega,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59" s="398">
        <f ca="1">IF($A59&gt;baseData, -$Z59*IF($Z59&gt;0, INDEX(Investidores!$K$3:$K$15, MATCH(X$1, Investidores!$B$3:$B$15, 0)), INDEX(Investidores!$K$3:$K$15, MATCH(X$1, Investidores!$B$3:$B$15, 0)))-IFERROR(INDEX(Permutas!$X:$AB, MATCH($A59, Permutas!$N:$N, 0), MATCH(X$1, Permutas!$X$2:$AB$2, 0)), 0)+IF($A59=EDATE(entrega,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59" s="390">
        <f t="shared" ca="1" si="16"/>
        <v>0</v>
      </c>
      <c r="Z59" s="397">
        <f ca="1">-INDEX('Fluxo Bandeira Co'!AZ:AZ, MATCH($A59, 'Fluxo Bandeira Co'!$A:$A, 0))</f>
        <v>0</v>
      </c>
      <c r="AA59" s="398">
        <f>INDEX('Fluxo Bandeira Co'!J:J, MATCH($A59, 'Fluxo Bandeira Co'!$A:$A, 0))+INDEX('Fluxo Bandeira Co'!AK:AK, MATCH($A59, 'Fluxo Bandeira Co'!$A:$A, 0))</f>
        <v>0</v>
      </c>
      <c r="AB59" s="371"/>
      <c r="AC59" s="397">
        <f ca="1">-INDEX('Fluxo Bandeira Co'!L:L, MATCH('Fluxo Investidores'!$A59, 'Fluxo Bandeira Co'!$A:$A, 0))</f>
        <v>0</v>
      </c>
      <c r="AD59" s="398">
        <f>-INDEX('Fluxo Bandeira Co'!M:M, MATCH('Fluxo Investidores'!$A59, 'Fluxo Bandeira Co'!$A:$A, 0))</f>
        <v>0</v>
      </c>
      <c r="AF59" s="397">
        <f t="shared" ca="1" si="17"/>
        <v>0</v>
      </c>
      <c r="AG59" s="398">
        <f ca="1">IFERROR(INDEX('Fluxo Projeto'!AQ:AQ, MATCH('Fluxo Investidores'!A59, 'Fluxo Projeto'!A:A, 0)), 0)</f>
        <v>0</v>
      </c>
      <c r="AI59" s="397">
        <f t="shared" ca="1" si="18"/>
        <v>0</v>
      </c>
      <c r="AJ59" s="390">
        <f t="shared" ca="1" si="19"/>
        <v>0</v>
      </c>
      <c r="AK59" s="390">
        <f t="shared" ca="1" si="20"/>
        <v>0</v>
      </c>
      <c r="AL59" s="390">
        <f t="shared" ca="1" si="21"/>
        <v>0</v>
      </c>
      <c r="AM59" s="390">
        <f t="shared" ca="1" si="22"/>
        <v>0</v>
      </c>
      <c r="AN59" s="390">
        <f t="shared" ca="1" si="23"/>
        <v>0</v>
      </c>
      <c r="AO59" s="390">
        <f t="shared" ca="1" si="24"/>
        <v>0</v>
      </c>
      <c r="AP59" s="390">
        <f t="shared" ca="1" si="25"/>
        <v>0</v>
      </c>
      <c r="AQ59" s="390">
        <f t="shared" ca="1" si="26"/>
        <v>0</v>
      </c>
      <c r="AR59" s="390">
        <f t="shared" ca="1" si="27"/>
        <v>0</v>
      </c>
      <c r="AS59" s="390">
        <f t="shared" ca="1" si="28"/>
        <v>0</v>
      </c>
      <c r="AT59" s="415">
        <f t="shared" ca="1" si="29"/>
        <v>0</v>
      </c>
      <c r="AU59" s="398">
        <f t="shared" ca="1" si="30"/>
        <v>0</v>
      </c>
    </row>
    <row r="60" spans="1:47" x14ac:dyDescent="0.25">
      <c r="A60" s="197">
        <f t="shared" si="31"/>
        <v>44835</v>
      </c>
      <c r="B60" s="388">
        <f>IF($A60&lt;=baseData, INDEX(Indicadores!B:B, MATCH($A60,Indicadores!A:A, 0)), INDEX(Indicadores!B:B, MATCH(baseData,Indicadores!A:A, 0)))</f>
        <v>839.38199999999995</v>
      </c>
      <c r="C60" s="389">
        <f>IF($A60&lt;=baseData, INDEX(Indicadores!E:E, MATCH($A60, Indicadores!A:A, 0)), INDEX(Indicadores!E:E, MATCH(baseData, Indicadores!A:A, 0)))</f>
        <v>5486.52</v>
      </c>
      <c r="E60" s="397">
        <f t="shared" ca="1" si="32"/>
        <v>0</v>
      </c>
      <c r="F60" s="398">
        <v>0</v>
      </c>
      <c r="G60" s="371"/>
      <c r="H60" s="393">
        <f t="shared" ca="1" si="33"/>
        <v>0</v>
      </c>
      <c r="I60" s="371"/>
      <c r="J60" s="393">
        <f t="shared" ca="1" si="34"/>
        <v>0</v>
      </c>
      <c r="L60" s="397">
        <f ca="1">IF($A60&gt;baseData, -$Z60*IF($Z60&gt;0, INDEX(Investidores!$K$3:$K$15, MATCH(L$1, Investidores!$B$3:$B$15, 0)), INDEX(Investidores!$K$3:$K$15, MATCH(L$1, Investidores!$B$3:$B$15, 0)))-IFERROR(INDEX(Permutas!$X:$AB, MATCH($A60, Permutas!$N:$N, 0), MATCH(L$1, Permutas!$X$2:$AB$2, 0)), 0)+IF($A60=EDATE(entrega,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60" s="390">
        <f ca="1">IF($A60&gt;baseData, -$Z60*IF($Z60&gt;0, INDEX(Investidores!$K$3:$K$15, MATCH(M$1, Investidores!$B$3:$B$15, 0)), INDEX(Investidores!$K$3:$K$15, MATCH(M$1, Investidores!$B$3:$B$15, 0)))-IFERROR(INDEX(Permutas!$X:$AB, MATCH($A60, Permutas!$N:$N, 0), MATCH(M$1, Permutas!$X$2:$AB$2, 0)), 0)+IF($A60=EDATE(entrega,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60" s="390">
        <f ca="1">IF($A60&gt;baseData, -$Z60*IF($Z60&gt;0, INDEX(Investidores!$K$3:$K$15, MATCH(N$1, Investidores!$B$3:$B$15, 0)), INDEX(Investidores!$K$3:$K$15, MATCH(N$1, Investidores!$B$3:$B$15, 0)))-IFERROR(INDEX(Permutas!$X:$AB, MATCH($A60, Permutas!$N:$N, 0), MATCH(N$1, Permutas!$X$2:$AB$2, 0)), 0)+IF($A60=EDATE(entrega,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60" s="390">
        <f ca="1">IF($A60&gt;baseData, -$Z60*IF($Z60&gt;0, INDEX(Investidores!$K$3:$K$15, MATCH(O$1, Investidores!$B$3:$B$15, 0)), INDEX(Investidores!$K$3:$K$15, MATCH(O$1, Investidores!$B$3:$B$15, 0)))-IFERROR(INDEX(Permutas!$X:$AB, MATCH($A60, Permutas!$N:$N, 0), MATCH(O$1, Permutas!$X$2:$AB$2, 0)), 0)+IF($A60=EDATE(entrega,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60" s="390">
        <f ca="1">IF($A60&gt;baseData, -$Z60*IF($Z60&gt;0, INDEX(Investidores!$K$3:$K$15, MATCH(P$1, Investidores!$B$3:$B$15, 0)), INDEX(Investidores!$K$3:$K$15, MATCH(P$1, Investidores!$B$3:$B$15, 0)))-IFERROR(INDEX(Permutas!$X:$AB, MATCH($A60, Permutas!$N:$N, 0), MATCH(P$1, Permutas!$X$2:$AB$2, 0)), 0)+IF($A60=EDATE(entrega,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0" s="390">
        <f ca="1">IF($A60&gt;baseData, -$Z60*IF($Z60&gt;0, INDEX(Investidores!$K$3:$K$15, MATCH(Q$1, Investidores!$B$3:$B$15, 0)), INDEX(Investidores!$K$3:$K$15, MATCH(Q$1, Investidores!$B$3:$B$15, 0)))-IFERROR(INDEX(Permutas!$X:$AB, MATCH($A60, Permutas!$N:$N, 0), MATCH(Q$1, Permutas!$X$2:$AB$2, 0)), 0)+IF($A60=EDATE(entrega,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0" s="390">
        <f ca="1">IF($A60&gt;baseData, -$Z60*IF($Z60&gt;0, INDEX(Investidores!$K$3:$K$15, MATCH(R$1, Investidores!$B$3:$B$15, 0)), INDEX(Investidores!$K$3:$K$15, MATCH(R$1, Investidores!$B$3:$B$15, 0)))-IFERROR(INDEX(Permutas!$X:$AB, MATCH($A60, Permutas!$N:$N, 0), MATCH(R$1, Permutas!$X$2:$AB$2, 0)), 0)+IF($A60=EDATE(entrega,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60" s="390">
        <f ca="1">IF($A60&gt;baseData, -$Z60*IF($Z60&gt;0, INDEX(Investidores!$K$3:$K$15, MATCH(S$1, Investidores!$B$3:$B$15, 0)), INDEX(Investidores!$K$3:$K$15, MATCH(S$1, Investidores!$B$3:$B$15, 0)))-IFERROR(INDEX(Permutas!$X:$AB, MATCH($A60, Permutas!$N:$N, 0), MATCH(S$1, Permutas!$X$2:$AB$2, 0)), 0)+IF($A60=EDATE(entrega,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0" s="390">
        <f ca="1">IF($A60&gt;baseData, -$Z60*IF($Z60&gt;0, INDEX(Investidores!$K$3:$K$15, MATCH(T$1, Investidores!$B$3:$B$15, 0)), INDEX(Investidores!$K$3:$K$15, MATCH(T$1, Investidores!$B$3:$B$15, 0)))-IFERROR(INDEX(Permutas!$X:$AB, MATCH($A60, Permutas!$N:$N, 0), MATCH(T$1, Permutas!$X$2:$AB$2, 0)), 0)+IF($A60=EDATE(entrega,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60" s="390">
        <f ca="1">IF($A60&gt;baseData, -$Z60*IF($Z60&gt;0, INDEX(Investidores!$K$3:$K$15, MATCH(U$1, Investidores!$B$3:$B$15, 0)), INDEX(Investidores!$K$3:$K$15, MATCH(U$1, Investidores!$B$3:$B$15, 0)))-IFERROR(INDEX(Permutas!$X:$AB, MATCH($A60, Permutas!$N:$N, 0), MATCH(U$1, Permutas!$X$2:$AB$2, 0)), 0)+IF($A60=EDATE(entrega,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60" s="390">
        <f ca="1">IF($A60&gt;baseData, -$Z60*IF($Z60&gt;0, INDEX(Investidores!$K$3:$K$15, MATCH(V$1, Investidores!$B$3:$B$15, 0)), INDEX(Investidores!$K$3:$K$15, MATCH(V$1, Investidores!$B$3:$B$15, 0)))-IFERROR(INDEX(Permutas!$X:$AB, MATCH($A60, Permutas!$N:$N, 0), MATCH(V$1, Permutas!$X$2:$AB$2, 0)), 0)+IF($A60=EDATE(entrega,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60" s="415">
        <f ca="1">IF($A60&gt;baseData, -$Z60*IF($Z60&gt;0, INDEX(Investidores!$K$3:$K$15, MATCH(W$1, Investidores!$B$3:$B$15, 0)), INDEX(Investidores!$K$3:$K$15, MATCH(W$1, Investidores!$B$3:$B$15, 0)))-IFERROR(INDEX(Permutas!$X:$AB, MATCH($A60, Permutas!$N:$N, 0), MATCH(W$1, Permutas!$X$2:$AB$2, 0)), 0)+IF($A60=EDATE(entrega,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60" s="398">
        <f ca="1">IF($A60&gt;baseData, -$Z60*IF($Z60&gt;0, INDEX(Investidores!$K$3:$K$15, MATCH(X$1, Investidores!$B$3:$B$15, 0)), INDEX(Investidores!$K$3:$K$15, MATCH(X$1, Investidores!$B$3:$B$15, 0)))-IFERROR(INDEX(Permutas!$X:$AB, MATCH($A60, Permutas!$N:$N, 0), MATCH(X$1, Permutas!$X$2:$AB$2, 0)), 0)+IF($A60=EDATE(entrega,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60" s="390">
        <f t="shared" ca="1" si="16"/>
        <v>0</v>
      </c>
      <c r="Z60" s="397">
        <f ca="1">-INDEX('Fluxo Bandeira Co'!AZ:AZ, MATCH($A60, 'Fluxo Bandeira Co'!$A:$A, 0))</f>
        <v>0</v>
      </c>
      <c r="AA60" s="398">
        <f>INDEX('Fluxo Bandeira Co'!J:J, MATCH($A60, 'Fluxo Bandeira Co'!$A:$A, 0))+INDEX('Fluxo Bandeira Co'!AK:AK, MATCH($A60, 'Fluxo Bandeira Co'!$A:$A, 0))</f>
        <v>0</v>
      </c>
      <c r="AB60" s="371"/>
      <c r="AC60" s="397">
        <f ca="1">-INDEX('Fluxo Bandeira Co'!L:L, MATCH('Fluxo Investidores'!$A60, 'Fluxo Bandeira Co'!$A:$A, 0))</f>
        <v>0</v>
      </c>
      <c r="AD60" s="398">
        <f>-INDEX('Fluxo Bandeira Co'!M:M, MATCH('Fluxo Investidores'!$A60, 'Fluxo Bandeira Co'!$A:$A, 0))</f>
        <v>0</v>
      </c>
      <c r="AF60" s="397">
        <f t="shared" ca="1" si="17"/>
        <v>0</v>
      </c>
      <c r="AG60" s="398">
        <f ca="1">IFERROR(INDEX('Fluxo Projeto'!AQ:AQ, MATCH('Fluxo Investidores'!A60, 'Fluxo Projeto'!A:A, 0)), 0)</f>
        <v>0</v>
      </c>
      <c r="AI60" s="397">
        <f t="shared" ca="1" si="18"/>
        <v>0</v>
      </c>
      <c r="AJ60" s="390">
        <f t="shared" ca="1" si="19"/>
        <v>0</v>
      </c>
      <c r="AK60" s="390">
        <f t="shared" ca="1" si="20"/>
        <v>0</v>
      </c>
      <c r="AL60" s="390">
        <f t="shared" ca="1" si="21"/>
        <v>0</v>
      </c>
      <c r="AM60" s="390">
        <f t="shared" ca="1" si="22"/>
        <v>0</v>
      </c>
      <c r="AN60" s="390">
        <f t="shared" ca="1" si="23"/>
        <v>0</v>
      </c>
      <c r="AO60" s="390">
        <f t="shared" ca="1" si="24"/>
        <v>0</v>
      </c>
      <c r="AP60" s="390">
        <f t="shared" ca="1" si="25"/>
        <v>0</v>
      </c>
      <c r="AQ60" s="390">
        <f t="shared" ca="1" si="26"/>
        <v>0</v>
      </c>
      <c r="AR60" s="390">
        <f t="shared" ca="1" si="27"/>
        <v>0</v>
      </c>
      <c r="AS60" s="390">
        <f t="shared" ca="1" si="28"/>
        <v>0</v>
      </c>
      <c r="AT60" s="415">
        <f t="shared" ca="1" si="29"/>
        <v>0</v>
      </c>
      <c r="AU60" s="398">
        <f t="shared" ca="1" si="30"/>
        <v>0</v>
      </c>
    </row>
    <row r="61" spans="1:47" x14ac:dyDescent="0.25">
      <c r="A61" s="197">
        <f t="shared" si="31"/>
        <v>44866</v>
      </c>
      <c r="B61" s="388">
        <f>IF($A61&lt;=baseData, INDEX(Indicadores!B:B, MATCH($A61,Indicadores!A:A, 0)), INDEX(Indicadores!B:B, MATCH(baseData,Indicadores!A:A, 0)))</f>
        <v>839.38199999999995</v>
      </c>
      <c r="C61" s="389">
        <f>IF($A61&lt;=baseData, INDEX(Indicadores!E:E, MATCH($A61, Indicadores!A:A, 0)), INDEX(Indicadores!E:E, MATCH(baseData, Indicadores!A:A, 0)))</f>
        <v>5486.52</v>
      </c>
      <c r="E61" s="397">
        <f t="shared" ca="1" si="32"/>
        <v>0</v>
      </c>
      <c r="F61" s="398">
        <v>0</v>
      </c>
      <c r="G61" s="371"/>
      <c r="H61" s="393">
        <f t="shared" ca="1" si="33"/>
        <v>0</v>
      </c>
      <c r="I61" s="371"/>
      <c r="J61" s="393">
        <f t="shared" ca="1" si="34"/>
        <v>0</v>
      </c>
      <c r="L61" s="397">
        <f ca="1">IF($A61&gt;baseData, -$Z61*IF($Z61&gt;0, INDEX(Investidores!$K$3:$K$15, MATCH(L$1, Investidores!$B$3:$B$15, 0)), INDEX(Investidores!$K$3:$K$15, MATCH(L$1, Investidores!$B$3:$B$15, 0)))-IFERROR(INDEX(Permutas!$X:$AB, MATCH($A61, Permutas!$N:$N, 0), MATCH(L$1, Permutas!$X$2:$AB$2, 0)), 0)+IF($A61=EDATE(entrega,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61" s="390">
        <f ca="1">IF($A61&gt;baseData, -$Z61*IF($Z61&gt;0, INDEX(Investidores!$K$3:$K$15, MATCH(M$1, Investidores!$B$3:$B$15, 0)), INDEX(Investidores!$K$3:$K$15, MATCH(M$1, Investidores!$B$3:$B$15, 0)))-IFERROR(INDEX(Permutas!$X:$AB, MATCH($A61, Permutas!$N:$N, 0), MATCH(M$1, Permutas!$X$2:$AB$2, 0)), 0)+IF($A61=EDATE(entrega,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61" s="390">
        <f ca="1">IF($A61&gt;baseData, -$Z61*IF($Z61&gt;0, INDEX(Investidores!$K$3:$K$15, MATCH(N$1, Investidores!$B$3:$B$15, 0)), INDEX(Investidores!$K$3:$K$15, MATCH(N$1, Investidores!$B$3:$B$15, 0)))-IFERROR(INDEX(Permutas!$X:$AB, MATCH($A61, Permutas!$N:$N, 0), MATCH(N$1, Permutas!$X$2:$AB$2, 0)), 0)+IF($A61=EDATE(entrega,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61" s="390">
        <f ca="1">IF($A61&gt;baseData, -$Z61*IF($Z61&gt;0, INDEX(Investidores!$K$3:$K$15, MATCH(O$1, Investidores!$B$3:$B$15, 0)), INDEX(Investidores!$K$3:$K$15, MATCH(O$1, Investidores!$B$3:$B$15, 0)))-IFERROR(INDEX(Permutas!$X:$AB, MATCH($A61, Permutas!$N:$N, 0), MATCH(O$1, Permutas!$X$2:$AB$2, 0)), 0)+IF($A61=EDATE(entrega,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61" s="390">
        <f ca="1">IF($A61&gt;baseData, -$Z61*IF($Z61&gt;0, INDEX(Investidores!$K$3:$K$15, MATCH(P$1, Investidores!$B$3:$B$15, 0)), INDEX(Investidores!$K$3:$K$15, MATCH(P$1, Investidores!$B$3:$B$15, 0)))-IFERROR(INDEX(Permutas!$X:$AB, MATCH($A61, Permutas!$N:$N, 0), MATCH(P$1, Permutas!$X$2:$AB$2, 0)), 0)+IF($A61=EDATE(entrega,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1" s="390">
        <f ca="1">IF($A61&gt;baseData, -$Z61*IF($Z61&gt;0, INDEX(Investidores!$K$3:$K$15, MATCH(Q$1, Investidores!$B$3:$B$15, 0)), INDEX(Investidores!$K$3:$K$15, MATCH(Q$1, Investidores!$B$3:$B$15, 0)))-IFERROR(INDEX(Permutas!$X:$AB, MATCH($A61, Permutas!$N:$N, 0), MATCH(Q$1, Permutas!$X$2:$AB$2, 0)), 0)+IF($A61=EDATE(entrega,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1" s="390">
        <f ca="1">IF($A61&gt;baseData, -$Z61*IF($Z61&gt;0, INDEX(Investidores!$K$3:$K$15, MATCH(R$1, Investidores!$B$3:$B$15, 0)), INDEX(Investidores!$K$3:$K$15, MATCH(R$1, Investidores!$B$3:$B$15, 0)))-IFERROR(INDEX(Permutas!$X:$AB, MATCH($A61, Permutas!$N:$N, 0), MATCH(R$1, Permutas!$X$2:$AB$2, 0)), 0)+IF($A61=EDATE(entrega,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61" s="390">
        <f ca="1">IF($A61&gt;baseData, -$Z61*IF($Z61&gt;0, INDEX(Investidores!$K$3:$K$15, MATCH(S$1, Investidores!$B$3:$B$15, 0)), INDEX(Investidores!$K$3:$K$15, MATCH(S$1, Investidores!$B$3:$B$15, 0)))-IFERROR(INDEX(Permutas!$X:$AB, MATCH($A61, Permutas!$N:$N, 0), MATCH(S$1, Permutas!$X$2:$AB$2, 0)), 0)+IF($A61=EDATE(entrega,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1" s="390">
        <f ca="1">IF($A61&gt;baseData, -$Z61*IF($Z61&gt;0, INDEX(Investidores!$K$3:$K$15, MATCH(T$1, Investidores!$B$3:$B$15, 0)), INDEX(Investidores!$K$3:$K$15, MATCH(T$1, Investidores!$B$3:$B$15, 0)))-IFERROR(INDEX(Permutas!$X:$AB, MATCH($A61, Permutas!$N:$N, 0), MATCH(T$1, Permutas!$X$2:$AB$2, 0)), 0)+IF($A61=EDATE(entrega,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61" s="390">
        <f ca="1">IF($A61&gt;baseData, -$Z61*IF($Z61&gt;0, INDEX(Investidores!$K$3:$K$15, MATCH(U$1, Investidores!$B$3:$B$15, 0)), INDEX(Investidores!$K$3:$K$15, MATCH(U$1, Investidores!$B$3:$B$15, 0)))-IFERROR(INDEX(Permutas!$X:$AB, MATCH($A61, Permutas!$N:$N, 0), MATCH(U$1, Permutas!$X$2:$AB$2, 0)), 0)+IF($A61=EDATE(entrega,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61" s="390">
        <f ca="1">IF($A61&gt;baseData, -$Z61*IF($Z61&gt;0, INDEX(Investidores!$K$3:$K$15, MATCH(V$1, Investidores!$B$3:$B$15, 0)), INDEX(Investidores!$K$3:$K$15, MATCH(V$1, Investidores!$B$3:$B$15, 0)))-IFERROR(INDEX(Permutas!$X:$AB, MATCH($A61, Permutas!$N:$N, 0), MATCH(V$1, Permutas!$X$2:$AB$2, 0)), 0)+IF($A61=EDATE(entrega,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61" s="415">
        <f ca="1">IF($A61&gt;baseData, -$Z61*IF($Z61&gt;0, INDEX(Investidores!$K$3:$K$15, MATCH(W$1, Investidores!$B$3:$B$15, 0)), INDEX(Investidores!$K$3:$K$15, MATCH(W$1, Investidores!$B$3:$B$15, 0)))-IFERROR(INDEX(Permutas!$X:$AB, MATCH($A61, Permutas!$N:$N, 0), MATCH(W$1, Permutas!$X$2:$AB$2, 0)), 0)+IF($A61=EDATE(entrega,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61" s="398">
        <f ca="1">IF($A61&gt;baseData, -$Z61*IF($Z61&gt;0, INDEX(Investidores!$K$3:$K$15, MATCH(X$1, Investidores!$B$3:$B$15, 0)), INDEX(Investidores!$K$3:$K$15, MATCH(X$1, Investidores!$B$3:$B$15, 0)))-IFERROR(INDEX(Permutas!$X:$AB, MATCH($A61, Permutas!$N:$N, 0), MATCH(X$1, Permutas!$X$2:$AB$2, 0)), 0)+IF($A61=EDATE(entrega,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61" s="390">
        <f t="shared" ca="1" si="16"/>
        <v>0</v>
      </c>
      <c r="Z61" s="397">
        <f ca="1">-INDEX('Fluxo Bandeira Co'!AZ:AZ, MATCH($A61, 'Fluxo Bandeira Co'!$A:$A, 0))</f>
        <v>0</v>
      </c>
      <c r="AA61" s="398">
        <f>INDEX('Fluxo Bandeira Co'!J:J, MATCH($A61, 'Fluxo Bandeira Co'!$A:$A, 0))+INDEX('Fluxo Bandeira Co'!AK:AK, MATCH($A61, 'Fluxo Bandeira Co'!$A:$A, 0))</f>
        <v>0</v>
      </c>
      <c r="AB61" s="371"/>
      <c r="AC61" s="397">
        <f ca="1">-INDEX('Fluxo Bandeira Co'!L:L, MATCH('Fluxo Investidores'!$A61, 'Fluxo Bandeira Co'!$A:$A, 0))</f>
        <v>0</v>
      </c>
      <c r="AD61" s="398">
        <f>-INDEX('Fluxo Bandeira Co'!M:M, MATCH('Fluxo Investidores'!$A61, 'Fluxo Bandeira Co'!$A:$A, 0))</f>
        <v>0</v>
      </c>
      <c r="AF61" s="397">
        <f t="shared" ca="1" si="17"/>
        <v>0</v>
      </c>
      <c r="AG61" s="398">
        <f ca="1">IFERROR(INDEX('Fluxo Projeto'!AQ:AQ, MATCH('Fluxo Investidores'!A61, 'Fluxo Projeto'!A:A, 0)), 0)</f>
        <v>0</v>
      </c>
      <c r="AI61" s="397">
        <f t="shared" ca="1" si="18"/>
        <v>0</v>
      </c>
      <c r="AJ61" s="390">
        <f t="shared" ca="1" si="19"/>
        <v>0</v>
      </c>
      <c r="AK61" s="390">
        <f t="shared" ca="1" si="20"/>
        <v>0</v>
      </c>
      <c r="AL61" s="390">
        <f t="shared" ca="1" si="21"/>
        <v>0</v>
      </c>
      <c r="AM61" s="390">
        <f t="shared" ca="1" si="22"/>
        <v>0</v>
      </c>
      <c r="AN61" s="390">
        <f t="shared" ca="1" si="23"/>
        <v>0</v>
      </c>
      <c r="AO61" s="390">
        <f t="shared" ca="1" si="24"/>
        <v>0</v>
      </c>
      <c r="AP61" s="390">
        <f t="shared" ca="1" si="25"/>
        <v>0</v>
      </c>
      <c r="AQ61" s="390">
        <f t="shared" ca="1" si="26"/>
        <v>0</v>
      </c>
      <c r="AR61" s="390">
        <f t="shared" ca="1" si="27"/>
        <v>0</v>
      </c>
      <c r="AS61" s="390">
        <f t="shared" ca="1" si="28"/>
        <v>0</v>
      </c>
      <c r="AT61" s="415">
        <f t="shared" ca="1" si="29"/>
        <v>0</v>
      </c>
      <c r="AU61" s="398">
        <f t="shared" ca="1" si="30"/>
        <v>0</v>
      </c>
    </row>
    <row r="62" spans="1:47" x14ac:dyDescent="0.25">
      <c r="A62" s="197">
        <f t="shared" si="31"/>
        <v>44896</v>
      </c>
      <c r="B62" s="388">
        <f>IF($A62&lt;=baseData, INDEX(Indicadores!B:B, MATCH($A62,Indicadores!A:A, 0)), INDEX(Indicadores!B:B, MATCH(baseData,Indicadores!A:A, 0)))</f>
        <v>839.38199999999995</v>
      </c>
      <c r="C62" s="389">
        <f>IF($A62&lt;=baseData, INDEX(Indicadores!E:E, MATCH($A62, Indicadores!A:A, 0)), INDEX(Indicadores!E:E, MATCH(baseData, Indicadores!A:A, 0)))</f>
        <v>5486.52</v>
      </c>
      <c r="E62" s="397">
        <f t="shared" ca="1" si="32"/>
        <v>0</v>
      </c>
      <c r="F62" s="398">
        <v>0</v>
      </c>
      <c r="G62" s="371"/>
      <c r="H62" s="393">
        <f t="shared" ca="1" si="33"/>
        <v>0</v>
      </c>
      <c r="I62" s="371"/>
      <c r="J62" s="393">
        <f t="shared" ca="1" si="34"/>
        <v>0</v>
      </c>
      <c r="L62" s="397">
        <f ca="1">IF($A62&gt;baseData, -$Z62*IF($Z62&gt;0, INDEX(Investidores!$K$3:$K$15, MATCH(L$1, Investidores!$B$3:$B$15, 0)), INDEX(Investidores!$K$3:$K$15, MATCH(L$1, Investidores!$B$3:$B$15, 0)))-IFERROR(INDEX(Permutas!$X:$AB, MATCH($A62, Permutas!$N:$N, 0), MATCH(L$1, Permutas!$X$2:$AB$2, 0)), 0)+IF($A62=EDATE(entrega,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62" s="390">
        <f ca="1">IF($A62&gt;baseData, -$Z62*IF($Z62&gt;0, INDEX(Investidores!$K$3:$K$15, MATCH(M$1, Investidores!$B$3:$B$15, 0)), INDEX(Investidores!$K$3:$K$15, MATCH(M$1, Investidores!$B$3:$B$15, 0)))-IFERROR(INDEX(Permutas!$X:$AB, MATCH($A62, Permutas!$N:$N, 0), MATCH(M$1, Permutas!$X$2:$AB$2, 0)), 0)+IF($A62=EDATE(entrega,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62" s="390">
        <f ca="1">IF($A62&gt;baseData, -$Z62*IF($Z62&gt;0, INDEX(Investidores!$K$3:$K$15, MATCH(N$1, Investidores!$B$3:$B$15, 0)), INDEX(Investidores!$K$3:$K$15, MATCH(N$1, Investidores!$B$3:$B$15, 0)))-IFERROR(INDEX(Permutas!$X:$AB, MATCH($A62, Permutas!$N:$N, 0), MATCH(N$1, Permutas!$X$2:$AB$2, 0)), 0)+IF($A62=EDATE(entrega,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62" s="390">
        <f ca="1">IF($A62&gt;baseData, -$Z62*IF($Z62&gt;0, INDEX(Investidores!$K$3:$K$15, MATCH(O$1, Investidores!$B$3:$B$15, 0)), INDEX(Investidores!$K$3:$K$15, MATCH(O$1, Investidores!$B$3:$B$15, 0)))-IFERROR(INDEX(Permutas!$X:$AB, MATCH($A62, Permutas!$N:$N, 0), MATCH(O$1, Permutas!$X$2:$AB$2, 0)), 0)+IF($A62=EDATE(entrega,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62" s="390">
        <f ca="1">IF($A62&gt;baseData, -$Z62*IF($Z62&gt;0, INDEX(Investidores!$K$3:$K$15, MATCH(P$1, Investidores!$B$3:$B$15, 0)), INDEX(Investidores!$K$3:$K$15, MATCH(P$1, Investidores!$B$3:$B$15, 0)))-IFERROR(INDEX(Permutas!$X:$AB, MATCH($A62, Permutas!$N:$N, 0), MATCH(P$1, Permutas!$X$2:$AB$2, 0)), 0)+IF($A62=EDATE(entrega,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2" s="390">
        <f ca="1">IF($A62&gt;baseData, -$Z62*IF($Z62&gt;0, INDEX(Investidores!$K$3:$K$15, MATCH(Q$1, Investidores!$B$3:$B$15, 0)), INDEX(Investidores!$K$3:$K$15, MATCH(Q$1, Investidores!$B$3:$B$15, 0)))-IFERROR(INDEX(Permutas!$X:$AB, MATCH($A62, Permutas!$N:$N, 0), MATCH(Q$1, Permutas!$X$2:$AB$2, 0)), 0)+IF($A62=EDATE(entrega,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2" s="390">
        <f ca="1">IF($A62&gt;baseData, -$Z62*IF($Z62&gt;0, INDEX(Investidores!$K$3:$K$15, MATCH(R$1, Investidores!$B$3:$B$15, 0)), INDEX(Investidores!$K$3:$K$15, MATCH(R$1, Investidores!$B$3:$B$15, 0)))-IFERROR(INDEX(Permutas!$X:$AB, MATCH($A62, Permutas!$N:$N, 0), MATCH(R$1, Permutas!$X$2:$AB$2, 0)), 0)+IF($A62=EDATE(entrega,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62" s="390">
        <f ca="1">IF($A62&gt;baseData, -$Z62*IF($Z62&gt;0, INDEX(Investidores!$K$3:$K$15, MATCH(S$1, Investidores!$B$3:$B$15, 0)), INDEX(Investidores!$K$3:$K$15, MATCH(S$1, Investidores!$B$3:$B$15, 0)))-IFERROR(INDEX(Permutas!$X:$AB, MATCH($A62, Permutas!$N:$N, 0), MATCH(S$1, Permutas!$X$2:$AB$2, 0)), 0)+IF($A62=EDATE(entrega,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2" s="390">
        <f ca="1">IF($A62&gt;baseData, -$Z62*IF($Z62&gt;0, INDEX(Investidores!$K$3:$K$15, MATCH(T$1, Investidores!$B$3:$B$15, 0)), INDEX(Investidores!$K$3:$K$15, MATCH(T$1, Investidores!$B$3:$B$15, 0)))-IFERROR(INDEX(Permutas!$X:$AB, MATCH($A62, Permutas!$N:$N, 0), MATCH(T$1, Permutas!$X$2:$AB$2, 0)), 0)+IF($A62=EDATE(entrega,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62" s="390">
        <f ca="1">IF($A62&gt;baseData, -$Z62*IF($Z62&gt;0, INDEX(Investidores!$K$3:$K$15, MATCH(U$1, Investidores!$B$3:$B$15, 0)), INDEX(Investidores!$K$3:$K$15, MATCH(U$1, Investidores!$B$3:$B$15, 0)))-IFERROR(INDEX(Permutas!$X:$AB, MATCH($A62, Permutas!$N:$N, 0), MATCH(U$1, Permutas!$X$2:$AB$2, 0)), 0)+IF($A62=EDATE(entrega,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62" s="390">
        <f ca="1">IF($A62&gt;baseData, -$Z62*IF($Z62&gt;0, INDEX(Investidores!$K$3:$K$15, MATCH(V$1, Investidores!$B$3:$B$15, 0)), INDEX(Investidores!$K$3:$K$15, MATCH(V$1, Investidores!$B$3:$B$15, 0)))-IFERROR(INDEX(Permutas!$X:$AB, MATCH($A62, Permutas!$N:$N, 0), MATCH(V$1, Permutas!$X$2:$AB$2, 0)), 0)+IF($A62=EDATE(entrega,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62" s="415">
        <f ca="1">IF($A62&gt;baseData, -$Z62*IF($Z62&gt;0, INDEX(Investidores!$K$3:$K$15, MATCH(W$1, Investidores!$B$3:$B$15, 0)), INDEX(Investidores!$K$3:$K$15, MATCH(W$1, Investidores!$B$3:$B$15, 0)))-IFERROR(INDEX(Permutas!$X:$AB, MATCH($A62, Permutas!$N:$N, 0), MATCH(W$1, Permutas!$X$2:$AB$2, 0)), 0)+IF($A62=EDATE(entrega,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62" s="398">
        <f ca="1">IF($A62&gt;baseData, -$Z62*IF($Z62&gt;0, INDEX(Investidores!$K$3:$K$15, MATCH(X$1, Investidores!$B$3:$B$15, 0)), INDEX(Investidores!$K$3:$K$15, MATCH(X$1, Investidores!$B$3:$B$15, 0)))-IFERROR(INDEX(Permutas!$X:$AB, MATCH($A62, Permutas!$N:$N, 0), MATCH(X$1, Permutas!$X$2:$AB$2, 0)), 0)+IF($A62=EDATE(entrega,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62" s="390">
        <f t="shared" ca="1" si="16"/>
        <v>0</v>
      </c>
      <c r="Z62" s="397">
        <f ca="1">-INDEX('Fluxo Bandeira Co'!AZ:AZ, MATCH($A62, 'Fluxo Bandeira Co'!$A:$A, 0))</f>
        <v>0</v>
      </c>
      <c r="AA62" s="398">
        <f>INDEX('Fluxo Bandeira Co'!J:J, MATCH($A62, 'Fluxo Bandeira Co'!$A:$A, 0))+INDEX('Fluxo Bandeira Co'!AK:AK, MATCH($A62, 'Fluxo Bandeira Co'!$A:$A, 0))</f>
        <v>0</v>
      </c>
      <c r="AB62" s="371"/>
      <c r="AC62" s="397">
        <f ca="1">-INDEX('Fluxo Bandeira Co'!L:L, MATCH('Fluxo Investidores'!$A62, 'Fluxo Bandeira Co'!$A:$A, 0))</f>
        <v>0</v>
      </c>
      <c r="AD62" s="398">
        <f>-INDEX('Fluxo Bandeira Co'!M:M, MATCH('Fluxo Investidores'!$A62, 'Fluxo Bandeira Co'!$A:$A, 0))</f>
        <v>0</v>
      </c>
      <c r="AF62" s="397">
        <f t="shared" ca="1" si="17"/>
        <v>0</v>
      </c>
      <c r="AG62" s="398">
        <f ca="1">IFERROR(INDEX('Fluxo Projeto'!AQ:AQ, MATCH('Fluxo Investidores'!A62, 'Fluxo Projeto'!A:A, 0)), 0)</f>
        <v>0</v>
      </c>
      <c r="AI62" s="397">
        <f t="shared" ca="1" si="18"/>
        <v>0</v>
      </c>
      <c r="AJ62" s="390">
        <f t="shared" ca="1" si="19"/>
        <v>0</v>
      </c>
      <c r="AK62" s="390">
        <f t="shared" ca="1" si="20"/>
        <v>0</v>
      </c>
      <c r="AL62" s="390">
        <f t="shared" ca="1" si="21"/>
        <v>0</v>
      </c>
      <c r="AM62" s="390">
        <f t="shared" ca="1" si="22"/>
        <v>0</v>
      </c>
      <c r="AN62" s="390">
        <f t="shared" ca="1" si="23"/>
        <v>0</v>
      </c>
      <c r="AO62" s="390">
        <f t="shared" ca="1" si="24"/>
        <v>0</v>
      </c>
      <c r="AP62" s="390">
        <f t="shared" ca="1" si="25"/>
        <v>0</v>
      </c>
      <c r="AQ62" s="390">
        <f t="shared" ca="1" si="26"/>
        <v>0</v>
      </c>
      <c r="AR62" s="390">
        <f t="shared" ca="1" si="27"/>
        <v>0</v>
      </c>
      <c r="AS62" s="390">
        <f t="shared" ca="1" si="28"/>
        <v>0</v>
      </c>
      <c r="AT62" s="415">
        <f t="shared" ca="1" si="29"/>
        <v>0</v>
      </c>
      <c r="AU62" s="398">
        <f t="shared" ca="1" si="30"/>
        <v>0</v>
      </c>
    </row>
    <row r="63" spans="1:47" x14ac:dyDescent="0.25">
      <c r="A63" s="197">
        <f t="shared" si="31"/>
        <v>44927</v>
      </c>
      <c r="B63" s="388">
        <f>IF($A63&lt;=baseData, INDEX(Indicadores!B:B, MATCH($A63,Indicadores!A:A, 0)), INDEX(Indicadores!B:B, MATCH(baseData,Indicadores!A:A, 0)))</f>
        <v>839.38199999999995</v>
      </c>
      <c r="C63" s="389">
        <f>IF($A63&lt;=baseData, INDEX(Indicadores!E:E, MATCH($A63, Indicadores!A:A, 0)), INDEX(Indicadores!E:E, MATCH(baseData, Indicadores!A:A, 0)))</f>
        <v>5486.52</v>
      </c>
      <c r="E63" s="397">
        <f t="shared" ca="1" si="32"/>
        <v>0</v>
      </c>
      <c r="F63" s="398">
        <v>0</v>
      </c>
      <c r="G63" s="371"/>
      <c r="H63" s="393">
        <f t="shared" ca="1" si="33"/>
        <v>0</v>
      </c>
      <c r="I63" s="371"/>
      <c r="J63" s="393">
        <f t="shared" ca="1" si="34"/>
        <v>0</v>
      </c>
      <c r="L63" s="397">
        <f ca="1">IF($A63&gt;baseData, -$Z63*IF($Z63&gt;0, INDEX(Investidores!$K$3:$K$15, MATCH(L$1, Investidores!$B$3:$B$15, 0)), INDEX(Investidores!$K$3:$K$15, MATCH(L$1, Investidores!$B$3:$B$15, 0)))-IFERROR(INDEX(Permutas!$X:$AB, MATCH($A63, Permutas!$N:$N, 0), MATCH(L$1, Permutas!$X$2:$AB$2, 0)), 0)+IF($A63=EDATE(entrega,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63" s="390">
        <f ca="1">IF($A63&gt;baseData, -$Z63*IF($Z63&gt;0, INDEX(Investidores!$K$3:$K$15, MATCH(M$1, Investidores!$B$3:$B$15, 0)), INDEX(Investidores!$K$3:$K$15, MATCH(M$1, Investidores!$B$3:$B$15, 0)))-IFERROR(INDEX(Permutas!$X:$AB, MATCH($A63, Permutas!$N:$N, 0), MATCH(M$1, Permutas!$X$2:$AB$2, 0)), 0)+IF($A63=EDATE(entrega,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63" s="390">
        <f ca="1">IF($A63&gt;baseData, -$Z63*IF($Z63&gt;0, INDEX(Investidores!$K$3:$K$15, MATCH(N$1, Investidores!$B$3:$B$15, 0)), INDEX(Investidores!$K$3:$K$15, MATCH(N$1, Investidores!$B$3:$B$15, 0)))-IFERROR(INDEX(Permutas!$X:$AB, MATCH($A63, Permutas!$N:$N, 0), MATCH(N$1, Permutas!$X$2:$AB$2, 0)), 0)+IF($A63=EDATE(entrega,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63" s="390">
        <f ca="1">IF($A63&gt;baseData, -$Z63*IF($Z63&gt;0, INDEX(Investidores!$K$3:$K$15, MATCH(O$1, Investidores!$B$3:$B$15, 0)), INDEX(Investidores!$K$3:$K$15, MATCH(O$1, Investidores!$B$3:$B$15, 0)))-IFERROR(INDEX(Permutas!$X:$AB, MATCH($A63, Permutas!$N:$N, 0), MATCH(O$1, Permutas!$X$2:$AB$2, 0)), 0)+IF($A63=EDATE(entrega,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63" s="390">
        <f ca="1">IF($A63&gt;baseData, -$Z63*IF($Z63&gt;0, INDEX(Investidores!$K$3:$K$15, MATCH(P$1, Investidores!$B$3:$B$15, 0)), INDEX(Investidores!$K$3:$K$15, MATCH(P$1, Investidores!$B$3:$B$15, 0)))-IFERROR(INDEX(Permutas!$X:$AB, MATCH($A63, Permutas!$N:$N, 0), MATCH(P$1, Permutas!$X$2:$AB$2, 0)), 0)+IF($A63=EDATE(entrega,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3" s="390">
        <f ca="1">IF($A63&gt;baseData, -$Z63*IF($Z63&gt;0, INDEX(Investidores!$K$3:$K$15, MATCH(Q$1, Investidores!$B$3:$B$15, 0)), INDEX(Investidores!$K$3:$K$15, MATCH(Q$1, Investidores!$B$3:$B$15, 0)))-IFERROR(INDEX(Permutas!$X:$AB, MATCH($A63, Permutas!$N:$N, 0), MATCH(Q$1, Permutas!$X$2:$AB$2, 0)), 0)+IF($A63=EDATE(entrega,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3" s="390">
        <f ca="1">IF($A63&gt;baseData, -$Z63*IF($Z63&gt;0, INDEX(Investidores!$K$3:$K$15, MATCH(R$1, Investidores!$B$3:$B$15, 0)), INDEX(Investidores!$K$3:$K$15, MATCH(R$1, Investidores!$B$3:$B$15, 0)))-IFERROR(INDEX(Permutas!$X:$AB, MATCH($A63, Permutas!$N:$N, 0), MATCH(R$1, Permutas!$X$2:$AB$2, 0)), 0)+IF($A63=EDATE(entrega,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63" s="390">
        <f ca="1">IF($A63&gt;baseData, -$Z63*IF($Z63&gt;0, INDEX(Investidores!$K$3:$K$15, MATCH(S$1, Investidores!$B$3:$B$15, 0)), INDEX(Investidores!$K$3:$K$15, MATCH(S$1, Investidores!$B$3:$B$15, 0)))-IFERROR(INDEX(Permutas!$X:$AB, MATCH($A63, Permutas!$N:$N, 0), MATCH(S$1, Permutas!$X$2:$AB$2, 0)), 0)+IF($A63=EDATE(entrega,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3" s="390">
        <f ca="1">IF($A63&gt;baseData, -$Z63*IF($Z63&gt;0, INDEX(Investidores!$K$3:$K$15, MATCH(T$1, Investidores!$B$3:$B$15, 0)), INDEX(Investidores!$K$3:$K$15, MATCH(T$1, Investidores!$B$3:$B$15, 0)))-IFERROR(INDEX(Permutas!$X:$AB, MATCH($A63, Permutas!$N:$N, 0), MATCH(T$1, Permutas!$X$2:$AB$2, 0)), 0)+IF($A63=EDATE(entrega,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63" s="390">
        <f ca="1">IF($A63&gt;baseData, -$Z63*IF($Z63&gt;0, INDEX(Investidores!$K$3:$K$15, MATCH(U$1, Investidores!$B$3:$B$15, 0)), INDEX(Investidores!$K$3:$K$15, MATCH(U$1, Investidores!$B$3:$B$15, 0)))-IFERROR(INDEX(Permutas!$X:$AB, MATCH($A63, Permutas!$N:$N, 0), MATCH(U$1, Permutas!$X$2:$AB$2, 0)), 0)+IF($A63=EDATE(entrega,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63" s="390">
        <f ca="1">IF($A63&gt;baseData, -$Z63*IF($Z63&gt;0, INDEX(Investidores!$K$3:$K$15, MATCH(V$1, Investidores!$B$3:$B$15, 0)), INDEX(Investidores!$K$3:$K$15, MATCH(V$1, Investidores!$B$3:$B$15, 0)))-IFERROR(INDEX(Permutas!$X:$AB, MATCH($A63, Permutas!$N:$N, 0), MATCH(V$1, Permutas!$X$2:$AB$2, 0)), 0)+IF($A63=EDATE(entrega,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63" s="415">
        <f ca="1">IF($A63&gt;baseData, -$Z63*IF($Z63&gt;0, INDEX(Investidores!$K$3:$K$15, MATCH(W$1, Investidores!$B$3:$B$15, 0)), INDEX(Investidores!$K$3:$K$15, MATCH(W$1, Investidores!$B$3:$B$15, 0)))-IFERROR(INDEX(Permutas!$X:$AB, MATCH($A63, Permutas!$N:$N, 0), MATCH(W$1, Permutas!$X$2:$AB$2, 0)), 0)+IF($A63=EDATE(entrega,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63" s="398">
        <f ca="1">IF($A63&gt;baseData, -$Z63*IF($Z63&gt;0, INDEX(Investidores!$K$3:$K$15, MATCH(X$1, Investidores!$B$3:$B$15, 0)), INDEX(Investidores!$K$3:$K$15, MATCH(X$1, Investidores!$B$3:$B$15, 0)))-IFERROR(INDEX(Permutas!$X:$AB, MATCH($A63, Permutas!$N:$N, 0), MATCH(X$1, Permutas!$X$2:$AB$2, 0)), 0)+IF($A63=EDATE(entrega,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63" s="390">
        <f t="shared" ca="1" si="16"/>
        <v>0</v>
      </c>
      <c r="Z63" s="397">
        <f ca="1">-INDEX('Fluxo Bandeira Co'!AZ:AZ, MATCH($A63, 'Fluxo Bandeira Co'!$A:$A, 0))</f>
        <v>0</v>
      </c>
      <c r="AA63" s="398">
        <f>INDEX('Fluxo Bandeira Co'!J:J, MATCH($A63, 'Fluxo Bandeira Co'!$A:$A, 0))+INDEX('Fluxo Bandeira Co'!AK:AK, MATCH($A63, 'Fluxo Bandeira Co'!$A:$A, 0))</f>
        <v>0</v>
      </c>
      <c r="AB63" s="371"/>
      <c r="AC63" s="397">
        <f ca="1">-INDEX('Fluxo Bandeira Co'!L:L, MATCH('Fluxo Investidores'!$A63, 'Fluxo Bandeira Co'!$A:$A, 0))</f>
        <v>0</v>
      </c>
      <c r="AD63" s="398">
        <f>-INDEX('Fluxo Bandeira Co'!M:M, MATCH('Fluxo Investidores'!$A63, 'Fluxo Bandeira Co'!$A:$A, 0))</f>
        <v>0</v>
      </c>
      <c r="AF63" s="397">
        <f t="shared" ca="1" si="17"/>
        <v>0</v>
      </c>
      <c r="AG63" s="398">
        <f ca="1">IFERROR(INDEX('Fluxo Projeto'!AQ:AQ, MATCH('Fluxo Investidores'!A63, 'Fluxo Projeto'!A:A, 0)), 0)</f>
        <v>0</v>
      </c>
      <c r="AI63" s="397">
        <f t="shared" ca="1" si="18"/>
        <v>0</v>
      </c>
      <c r="AJ63" s="390">
        <f t="shared" ca="1" si="19"/>
        <v>0</v>
      </c>
      <c r="AK63" s="390">
        <f t="shared" ca="1" si="20"/>
        <v>0</v>
      </c>
      <c r="AL63" s="390">
        <f t="shared" ca="1" si="21"/>
        <v>0</v>
      </c>
      <c r="AM63" s="390">
        <f t="shared" ca="1" si="22"/>
        <v>0</v>
      </c>
      <c r="AN63" s="390">
        <f t="shared" ca="1" si="23"/>
        <v>0</v>
      </c>
      <c r="AO63" s="390">
        <f t="shared" ca="1" si="24"/>
        <v>0</v>
      </c>
      <c r="AP63" s="390">
        <f t="shared" ca="1" si="25"/>
        <v>0</v>
      </c>
      <c r="AQ63" s="390">
        <f t="shared" ca="1" si="26"/>
        <v>0</v>
      </c>
      <c r="AR63" s="390">
        <f t="shared" ca="1" si="27"/>
        <v>0</v>
      </c>
      <c r="AS63" s="390">
        <f t="shared" ca="1" si="28"/>
        <v>0</v>
      </c>
      <c r="AT63" s="415">
        <f t="shared" ca="1" si="29"/>
        <v>0</v>
      </c>
      <c r="AU63" s="398">
        <f t="shared" ca="1" si="30"/>
        <v>0</v>
      </c>
    </row>
    <row r="64" spans="1:47" x14ac:dyDescent="0.25">
      <c r="A64" s="197">
        <f t="shared" si="31"/>
        <v>44958</v>
      </c>
      <c r="B64" s="388">
        <f>IF($A64&lt;=baseData, INDEX(Indicadores!B:B, MATCH($A64,Indicadores!A:A, 0)), INDEX(Indicadores!B:B, MATCH(baseData,Indicadores!A:A, 0)))</f>
        <v>839.38199999999995</v>
      </c>
      <c r="C64" s="389">
        <f>IF($A64&lt;=baseData, INDEX(Indicadores!E:E, MATCH($A64, Indicadores!A:A, 0)), INDEX(Indicadores!E:E, MATCH(baseData, Indicadores!A:A, 0)))</f>
        <v>5486.52</v>
      </c>
      <c r="E64" s="397">
        <f t="shared" ca="1" si="32"/>
        <v>0</v>
      </c>
      <c r="F64" s="398">
        <v>0</v>
      </c>
      <c r="G64" s="371"/>
      <c r="H64" s="393">
        <f t="shared" ca="1" si="33"/>
        <v>0</v>
      </c>
      <c r="I64" s="371"/>
      <c r="J64" s="393">
        <f t="shared" ca="1" si="34"/>
        <v>0</v>
      </c>
      <c r="L64" s="397">
        <f ca="1">IF($A64&gt;baseData, -$Z64*IF($Z64&gt;0, INDEX(Investidores!$K$3:$K$15, MATCH(L$1, Investidores!$B$3:$B$15, 0)), INDEX(Investidores!$K$3:$K$15, MATCH(L$1, Investidores!$B$3:$B$15, 0)))-IFERROR(INDEX(Permutas!$X:$AB, MATCH($A64, Permutas!$N:$N, 0), MATCH(L$1, Permutas!$X$2:$AB$2, 0)), 0)+IF($A64=EDATE(entrega,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64" s="390">
        <f ca="1">IF($A64&gt;baseData, -$Z64*IF($Z64&gt;0, INDEX(Investidores!$K$3:$K$15, MATCH(M$1, Investidores!$B$3:$B$15, 0)), INDEX(Investidores!$K$3:$K$15, MATCH(M$1, Investidores!$B$3:$B$15, 0)))-IFERROR(INDEX(Permutas!$X:$AB, MATCH($A64, Permutas!$N:$N, 0), MATCH(M$1, Permutas!$X$2:$AB$2, 0)), 0)+IF($A64=EDATE(entrega,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64" s="390">
        <f ca="1">IF($A64&gt;baseData, -$Z64*IF($Z64&gt;0, INDEX(Investidores!$K$3:$K$15, MATCH(N$1, Investidores!$B$3:$B$15, 0)), INDEX(Investidores!$K$3:$K$15, MATCH(N$1, Investidores!$B$3:$B$15, 0)))-IFERROR(INDEX(Permutas!$X:$AB, MATCH($A64, Permutas!$N:$N, 0), MATCH(N$1, Permutas!$X$2:$AB$2, 0)), 0)+IF($A64=EDATE(entrega,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64" s="390">
        <f ca="1">IF($A64&gt;baseData, -$Z64*IF($Z64&gt;0, INDEX(Investidores!$K$3:$K$15, MATCH(O$1, Investidores!$B$3:$B$15, 0)), INDEX(Investidores!$K$3:$K$15, MATCH(O$1, Investidores!$B$3:$B$15, 0)))-IFERROR(INDEX(Permutas!$X:$AB, MATCH($A64, Permutas!$N:$N, 0), MATCH(O$1, Permutas!$X$2:$AB$2, 0)), 0)+IF($A64=EDATE(entrega,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64" s="390">
        <f ca="1">IF($A64&gt;baseData, -$Z64*IF($Z64&gt;0, INDEX(Investidores!$K$3:$K$15, MATCH(P$1, Investidores!$B$3:$B$15, 0)), INDEX(Investidores!$K$3:$K$15, MATCH(P$1, Investidores!$B$3:$B$15, 0)))-IFERROR(INDEX(Permutas!$X:$AB, MATCH($A64, Permutas!$N:$N, 0), MATCH(P$1, Permutas!$X$2:$AB$2, 0)), 0)+IF($A64=EDATE(entrega,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4" s="390">
        <f ca="1">IF($A64&gt;baseData, -$Z64*IF($Z64&gt;0, INDEX(Investidores!$K$3:$K$15, MATCH(Q$1, Investidores!$B$3:$B$15, 0)), INDEX(Investidores!$K$3:$K$15, MATCH(Q$1, Investidores!$B$3:$B$15, 0)))-IFERROR(INDEX(Permutas!$X:$AB, MATCH($A64, Permutas!$N:$N, 0), MATCH(Q$1, Permutas!$X$2:$AB$2, 0)), 0)+IF($A64=EDATE(entrega,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4" s="390">
        <f ca="1">IF($A64&gt;baseData, -$Z64*IF($Z64&gt;0, INDEX(Investidores!$K$3:$K$15, MATCH(R$1, Investidores!$B$3:$B$15, 0)), INDEX(Investidores!$K$3:$K$15, MATCH(R$1, Investidores!$B$3:$B$15, 0)))-IFERROR(INDEX(Permutas!$X:$AB, MATCH($A64, Permutas!$N:$N, 0), MATCH(R$1, Permutas!$X$2:$AB$2, 0)), 0)+IF($A64=EDATE(entrega,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64" s="390">
        <f ca="1">IF($A64&gt;baseData, -$Z64*IF($Z64&gt;0, INDEX(Investidores!$K$3:$K$15, MATCH(S$1, Investidores!$B$3:$B$15, 0)), INDEX(Investidores!$K$3:$K$15, MATCH(S$1, Investidores!$B$3:$B$15, 0)))-IFERROR(INDEX(Permutas!$X:$AB, MATCH($A64, Permutas!$N:$N, 0), MATCH(S$1, Permutas!$X$2:$AB$2, 0)), 0)+IF($A64=EDATE(entrega,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4" s="390">
        <f ca="1">IF($A64&gt;baseData, -$Z64*IF($Z64&gt;0, INDEX(Investidores!$K$3:$K$15, MATCH(T$1, Investidores!$B$3:$B$15, 0)), INDEX(Investidores!$K$3:$K$15, MATCH(T$1, Investidores!$B$3:$B$15, 0)))-IFERROR(INDEX(Permutas!$X:$AB, MATCH($A64, Permutas!$N:$N, 0), MATCH(T$1, Permutas!$X$2:$AB$2, 0)), 0)+IF($A64=EDATE(entrega,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64" s="390">
        <f ca="1">IF($A64&gt;baseData, -$Z64*IF($Z64&gt;0, INDEX(Investidores!$K$3:$K$15, MATCH(U$1, Investidores!$B$3:$B$15, 0)), INDEX(Investidores!$K$3:$K$15, MATCH(U$1, Investidores!$B$3:$B$15, 0)))-IFERROR(INDEX(Permutas!$X:$AB, MATCH($A64, Permutas!$N:$N, 0), MATCH(U$1, Permutas!$X$2:$AB$2, 0)), 0)+IF($A64=EDATE(entrega,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64" s="390">
        <f ca="1">IF($A64&gt;baseData, -$Z64*IF($Z64&gt;0, INDEX(Investidores!$K$3:$K$15, MATCH(V$1, Investidores!$B$3:$B$15, 0)), INDEX(Investidores!$K$3:$K$15, MATCH(V$1, Investidores!$B$3:$B$15, 0)))-IFERROR(INDEX(Permutas!$X:$AB, MATCH($A64, Permutas!$N:$N, 0), MATCH(V$1, Permutas!$X$2:$AB$2, 0)), 0)+IF($A64=EDATE(entrega,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64" s="415">
        <f ca="1">IF($A64&gt;baseData, -$Z64*IF($Z64&gt;0, INDEX(Investidores!$K$3:$K$15, MATCH(W$1, Investidores!$B$3:$B$15, 0)), INDEX(Investidores!$K$3:$K$15, MATCH(W$1, Investidores!$B$3:$B$15, 0)))-IFERROR(INDEX(Permutas!$X:$AB, MATCH($A64, Permutas!$N:$N, 0), MATCH(W$1, Permutas!$X$2:$AB$2, 0)), 0)+IF($A64=EDATE(entrega,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64" s="398">
        <f ca="1">IF($A64&gt;baseData, -$Z64*IF($Z64&gt;0, INDEX(Investidores!$K$3:$K$15, MATCH(X$1, Investidores!$B$3:$B$15, 0)), INDEX(Investidores!$K$3:$K$15, MATCH(X$1, Investidores!$B$3:$B$15, 0)))-IFERROR(INDEX(Permutas!$X:$AB, MATCH($A64, Permutas!$N:$N, 0), MATCH(X$1, Permutas!$X$2:$AB$2, 0)), 0)+IF($A64=EDATE(entrega,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64" s="390">
        <f t="shared" ca="1" si="16"/>
        <v>0</v>
      </c>
      <c r="Z64" s="397">
        <f ca="1">-INDEX('Fluxo Bandeira Co'!AZ:AZ, MATCH($A64, 'Fluxo Bandeira Co'!$A:$A, 0))</f>
        <v>0</v>
      </c>
      <c r="AA64" s="398">
        <f>INDEX('Fluxo Bandeira Co'!J:J, MATCH($A64, 'Fluxo Bandeira Co'!$A:$A, 0))+INDEX('Fluxo Bandeira Co'!AK:AK, MATCH($A64, 'Fluxo Bandeira Co'!$A:$A, 0))</f>
        <v>0</v>
      </c>
      <c r="AB64" s="371"/>
      <c r="AC64" s="397">
        <f ca="1">-INDEX('Fluxo Bandeira Co'!L:L, MATCH('Fluxo Investidores'!$A64, 'Fluxo Bandeira Co'!$A:$A, 0))</f>
        <v>0</v>
      </c>
      <c r="AD64" s="398">
        <f>-INDEX('Fluxo Bandeira Co'!M:M, MATCH('Fluxo Investidores'!$A64, 'Fluxo Bandeira Co'!$A:$A, 0))</f>
        <v>0</v>
      </c>
      <c r="AF64" s="397">
        <f t="shared" ca="1" si="17"/>
        <v>0</v>
      </c>
      <c r="AG64" s="398">
        <f ca="1">IFERROR(INDEX('Fluxo Projeto'!AQ:AQ, MATCH('Fluxo Investidores'!A64, 'Fluxo Projeto'!A:A, 0)), 0)</f>
        <v>0</v>
      </c>
      <c r="AI64" s="397">
        <f t="shared" ca="1" si="18"/>
        <v>0</v>
      </c>
      <c r="AJ64" s="390">
        <f t="shared" ca="1" si="19"/>
        <v>0</v>
      </c>
      <c r="AK64" s="390">
        <f t="shared" ca="1" si="20"/>
        <v>0</v>
      </c>
      <c r="AL64" s="390">
        <f t="shared" ca="1" si="21"/>
        <v>0</v>
      </c>
      <c r="AM64" s="390">
        <f t="shared" ca="1" si="22"/>
        <v>0</v>
      </c>
      <c r="AN64" s="390">
        <f t="shared" ca="1" si="23"/>
        <v>0</v>
      </c>
      <c r="AO64" s="390">
        <f t="shared" ca="1" si="24"/>
        <v>0</v>
      </c>
      <c r="AP64" s="390">
        <f t="shared" ca="1" si="25"/>
        <v>0</v>
      </c>
      <c r="AQ64" s="390">
        <f t="shared" ca="1" si="26"/>
        <v>0</v>
      </c>
      <c r="AR64" s="390">
        <f t="shared" ca="1" si="27"/>
        <v>0</v>
      </c>
      <c r="AS64" s="390">
        <f t="shared" ca="1" si="28"/>
        <v>0</v>
      </c>
      <c r="AT64" s="415">
        <f t="shared" ca="1" si="29"/>
        <v>0</v>
      </c>
      <c r="AU64" s="398">
        <f t="shared" ca="1" si="30"/>
        <v>0</v>
      </c>
    </row>
    <row r="65" spans="1:47" x14ac:dyDescent="0.25">
      <c r="A65" s="197">
        <f t="shared" si="31"/>
        <v>44986</v>
      </c>
      <c r="B65" s="388">
        <f>IF($A65&lt;=baseData, INDEX(Indicadores!B:B, MATCH($A65,Indicadores!A:A, 0)), INDEX(Indicadores!B:B, MATCH(baseData,Indicadores!A:A, 0)))</f>
        <v>839.38199999999995</v>
      </c>
      <c r="C65" s="389">
        <f>IF($A65&lt;=baseData, INDEX(Indicadores!E:E, MATCH($A65, Indicadores!A:A, 0)), INDEX(Indicadores!E:E, MATCH(baseData, Indicadores!A:A, 0)))</f>
        <v>5486.52</v>
      </c>
      <c r="E65" s="397">
        <f t="shared" ca="1" si="32"/>
        <v>0</v>
      </c>
      <c r="F65" s="398">
        <v>0</v>
      </c>
      <c r="G65" s="371"/>
      <c r="H65" s="393">
        <f t="shared" ca="1" si="33"/>
        <v>0</v>
      </c>
      <c r="I65" s="371"/>
      <c r="J65" s="393">
        <f t="shared" ca="1" si="34"/>
        <v>0</v>
      </c>
      <c r="L65" s="397">
        <f ca="1">IF($A65&gt;baseData, -$Z65*IF($Z65&gt;0, INDEX(Investidores!$K$3:$K$15, MATCH(L$1, Investidores!$B$3:$B$15, 0)), INDEX(Investidores!$K$3:$K$15, MATCH(L$1, Investidores!$B$3:$B$15, 0)))-IFERROR(INDEX(Permutas!$X:$AB, MATCH($A65, Permutas!$N:$N, 0), MATCH(L$1, Permutas!$X$2:$AB$2, 0)), 0)+IF($A65=EDATE(entrega,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65" s="390">
        <f ca="1">IF($A65&gt;baseData, -$Z65*IF($Z65&gt;0, INDEX(Investidores!$K$3:$K$15, MATCH(M$1, Investidores!$B$3:$B$15, 0)), INDEX(Investidores!$K$3:$K$15, MATCH(M$1, Investidores!$B$3:$B$15, 0)))-IFERROR(INDEX(Permutas!$X:$AB, MATCH($A65, Permutas!$N:$N, 0), MATCH(M$1, Permutas!$X$2:$AB$2, 0)), 0)+IF($A65=EDATE(entrega,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65" s="390">
        <f ca="1">IF($A65&gt;baseData, -$Z65*IF($Z65&gt;0, INDEX(Investidores!$K$3:$K$15, MATCH(N$1, Investidores!$B$3:$B$15, 0)), INDEX(Investidores!$K$3:$K$15, MATCH(N$1, Investidores!$B$3:$B$15, 0)))-IFERROR(INDEX(Permutas!$X:$AB, MATCH($A65, Permutas!$N:$N, 0), MATCH(N$1, Permutas!$X$2:$AB$2, 0)), 0)+IF($A65=EDATE(entrega,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65" s="390">
        <f ca="1">IF($A65&gt;baseData, -$Z65*IF($Z65&gt;0, INDEX(Investidores!$K$3:$K$15, MATCH(O$1, Investidores!$B$3:$B$15, 0)), INDEX(Investidores!$K$3:$K$15, MATCH(O$1, Investidores!$B$3:$B$15, 0)))-IFERROR(INDEX(Permutas!$X:$AB, MATCH($A65, Permutas!$N:$N, 0), MATCH(O$1, Permutas!$X$2:$AB$2, 0)), 0)+IF($A65=EDATE(entrega,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65" s="390">
        <f ca="1">IF($A65&gt;baseData, -$Z65*IF($Z65&gt;0, INDEX(Investidores!$K$3:$K$15, MATCH(P$1, Investidores!$B$3:$B$15, 0)), INDEX(Investidores!$K$3:$K$15, MATCH(P$1, Investidores!$B$3:$B$15, 0)))-IFERROR(INDEX(Permutas!$X:$AB, MATCH($A65, Permutas!$N:$N, 0), MATCH(P$1, Permutas!$X$2:$AB$2, 0)), 0)+IF($A65=EDATE(entrega,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5" s="390">
        <f ca="1">IF($A65&gt;baseData, -$Z65*IF($Z65&gt;0, INDEX(Investidores!$K$3:$K$15, MATCH(Q$1, Investidores!$B$3:$B$15, 0)), INDEX(Investidores!$K$3:$K$15, MATCH(Q$1, Investidores!$B$3:$B$15, 0)))-IFERROR(INDEX(Permutas!$X:$AB, MATCH($A65, Permutas!$N:$N, 0), MATCH(Q$1, Permutas!$X$2:$AB$2, 0)), 0)+IF($A65=EDATE(entrega,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5" s="390">
        <f ca="1">IF($A65&gt;baseData, -$Z65*IF($Z65&gt;0, INDEX(Investidores!$K$3:$K$15, MATCH(R$1, Investidores!$B$3:$B$15, 0)), INDEX(Investidores!$K$3:$K$15, MATCH(R$1, Investidores!$B$3:$B$15, 0)))-IFERROR(INDEX(Permutas!$X:$AB, MATCH($A65, Permutas!$N:$N, 0), MATCH(R$1, Permutas!$X$2:$AB$2, 0)), 0)+IF($A65=EDATE(entrega,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65" s="390">
        <f ca="1">IF($A65&gt;baseData, -$Z65*IF($Z65&gt;0, INDEX(Investidores!$K$3:$K$15, MATCH(S$1, Investidores!$B$3:$B$15, 0)), INDEX(Investidores!$K$3:$K$15, MATCH(S$1, Investidores!$B$3:$B$15, 0)))-IFERROR(INDEX(Permutas!$X:$AB, MATCH($A65, Permutas!$N:$N, 0), MATCH(S$1, Permutas!$X$2:$AB$2, 0)), 0)+IF($A65=EDATE(entrega,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5" s="390">
        <f ca="1">IF($A65&gt;baseData, -$Z65*IF($Z65&gt;0, INDEX(Investidores!$K$3:$K$15, MATCH(T$1, Investidores!$B$3:$B$15, 0)), INDEX(Investidores!$K$3:$K$15, MATCH(T$1, Investidores!$B$3:$B$15, 0)))-IFERROR(INDEX(Permutas!$X:$AB, MATCH($A65, Permutas!$N:$N, 0), MATCH(T$1, Permutas!$X$2:$AB$2, 0)), 0)+IF($A65=EDATE(entrega,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65" s="390">
        <f ca="1">IF($A65&gt;baseData, -$Z65*IF($Z65&gt;0, INDEX(Investidores!$K$3:$K$15, MATCH(U$1, Investidores!$B$3:$B$15, 0)), INDEX(Investidores!$K$3:$K$15, MATCH(U$1, Investidores!$B$3:$B$15, 0)))-IFERROR(INDEX(Permutas!$X:$AB, MATCH($A65, Permutas!$N:$N, 0), MATCH(U$1, Permutas!$X$2:$AB$2, 0)), 0)+IF($A65=EDATE(entrega,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65" s="390">
        <f ca="1">IF($A65&gt;baseData, -$Z65*IF($Z65&gt;0, INDEX(Investidores!$K$3:$K$15, MATCH(V$1, Investidores!$B$3:$B$15, 0)), INDEX(Investidores!$K$3:$K$15, MATCH(V$1, Investidores!$B$3:$B$15, 0)))-IFERROR(INDEX(Permutas!$X:$AB, MATCH($A65, Permutas!$N:$N, 0), MATCH(V$1, Permutas!$X$2:$AB$2, 0)), 0)+IF($A65=EDATE(entrega,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65" s="415">
        <f ca="1">IF($A65&gt;baseData, -$Z65*IF($Z65&gt;0, INDEX(Investidores!$K$3:$K$15, MATCH(W$1, Investidores!$B$3:$B$15, 0)), INDEX(Investidores!$K$3:$K$15, MATCH(W$1, Investidores!$B$3:$B$15, 0)))-IFERROR(INDEX(Permutas!$X:$AB, MATCH($A65, Permutas!$N:$N, 0), MATCH(W$1, Permutas!$X$2:$AB$2, 0)), 0)+IF($A65=EDATE(entrega,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65" s="398">
        <f ca="1">IF($A65&gt;baseData, -$Z65*IF($Z65&gt;0, INDEX(Investidores!$K$3:$K$15, MATCH(X$1, Investidores!$B$3:$B$15, 0)), INDEX(Investidores!$K$3:$K$15, MATCH(X$1, Investidores!$B$3:$B$15, 0)))-IFERROR(INDEX(Permutas!$X:$AB, MATCH($A65, Permutas!$N:$N, 0), MATCH(X$1, Permutas!$X$2:$AB$2, 0)), 0)+IF($A65=EDATE(entrega,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65" s="390">
        <f t="shared" ca="1" si="16"/>
        <v>0</v>
      </c>
      <c r="Z65" s="397">
        <f ca="1">-INDEX('Fluxo Bandeira Co'!AZ:AZ, MATCH($A65, 'Fluxo Bandeira Co'!$A:$A, 0))</f>
        <v>0</v>
      </c>
      <c r="AA65" s="398">
        <f>INDEX('Fluxo Bandeira Co'!J:J, MATCH($A65, 'Fluxo Bandeira Co'!$A:$A, 0))+INDEX('Fluxo Bandeira Co'!AK:AK, MATCH($A65, 'Fluxo Bandeira Co'!$A:$A, 0))</f>
        <v>0</v>
      </c>
      <c r="AB65" s="371"/>
      <c r="AC65" s="397">
        <f ca="1">-INDEX('Fluxo Bandeira Co'!L:L, MATCH('Fluxo Investidores'!$A65, 'Fluxo Bandeira Co'!$A:$A, 0))</f>
        <v>0</v>
      </c>
      <c r="AD65" s="398">
        <f>-INDEX('Fluxo Bandeira Co'!M:M, MATCH('Fluxo Investidores'!$A65, 'Fluxo Bandeira Co'!$A:$A, 0))</f>
        <v>0</v>
      </c>
      <c r="AF65" s="397">
        <f t="shared" ca="1" si="17"/>
        <v>0</v>
      </c>
      <c r="AG65" s="398">
        <f ca="1">IFERROR(INDEX('Fluxo Projeto'!AQ:AQ, MATCH('Fluxo Investidores'!A65, 'Fluxo Projeto'!A:A, 0)), 0)</f>
        <v>0</v>
      </c>
      <c r="AI65" s="397">
        <f t="shared" ca="1" si="18"/>
        <v>0</v>
      </c>
      <c r="AJ65" s="390">
        <f t="shared" ca="1" si="19"/>
        <v>0</v>
      </c>
      <c r="AK65" s="390">
        <f t="shared" ca="1" si="20"/>
        <v>0</v>
      </c>
      <c r="AL65" s="390">
        <f t="shared" ca="1" si="21"/>
        <v>0</v>
      </c>
      <c r="AM65" s="390">
        <f t="shared" ca="1" si="22"/>
        <v>0</v>
      </c>
      <c r="AN65" s="390">
        <f t="shared" ca="1" si="23"/>
        <v>0</v>
      </c>
      <c r="AO65" s="390">
        <f t="shared" ca="1" si="24"/>
        <v>0</v>
      </c>
      <c r="AP65" s="390">
        <f t="shared" ca="1" si="25"/>
        <v>0</v>
      </c>
      <c r="AQ65" s="390">
        <f t="shared" ca="1" si="26"/>
        <v>0</v>
      </c>
      <c r="AR65" s="390">
        <f t="shared" ca="1" si="27"/>
        <v>0</v>
      </c>
      <c r="AS65" s="390">
        <f t="shared" ca="1" si="28"/>
        <v>0</v>
      </c>
      <c r="AT65" s="415">
        <f t="shared" ca="1" si="29"/>
        <v>0</v>
      </c>
      <c r="AU65" s="398">
        <f t="shared" ca="1" si="30"/>
        <v>0</v>
      </c>
    </row>
    <row r="66" spans="1:47" x14ac:dyDescent="0.25">
      <c r="A66" s="197">
        <f t="shared" si="31"/>
        <v>45017</v>
      </c>
      <c r="B66" s="388">
        <f>IF($A66&lt;=baseData, INDEX(Indicadores!B:B, MATCH($A66,Indicadores!A:A, 0)), INDEX(Indicadores!B:B, MATCH(baseData,Indicadores!A:A, 0)))</f>
        <v>839.38199999999995</v>
      </c>
      <c r="C66" s="389">
        <f>IF($A66&lt;=baseData, INDEX(Indicadores!E:E, MATCH($A66, Indicadores!A:A, 0)), INDEX(Indicadores!E:E, MATCH(baseData, Indicadores!A:A, 0)))</f>
        <v>5486.52</v>
      </c>
      <c r="E66" s="397">
        <f t="shared" ca="1" si="32"/>
        <v>0</v>
      </c>
      <c r="F66" s="398">
        <v>0</v>
      </c>
      <c r="G66" s="371"/>
      <c r="H66" s="393">
        <f t="shared" ca="1" si="33"/>
        <v>0</v>
      </c>
      <c r="I66" s="371"/>
      <c r="J66" s="393">
        <f t="shared" ca="1" si="34"/>
        <v>0</v>
      </c>
      <c r="L66" s="397">
        <f ca="1">IF($A66&gt;baseData, -$Z66*IF($Z66&gt;0, INDEX(Investidores!$K$3:$K$15, MATCH(L$1, Investidores!$B$3:$B$15, 0)), INDEX(Investidores!$K$3:$K$15, MATCH(L$1, Investidores!$B$3:$B$15, 0)))-IFERROR(INDEX(Permutas!$X:$AB, MATCH($A66, Permutas!$N:$N, 0), MATCH(L$1, Permutas!$X$2:$AB$2, 0)), 0)+IF($A66=EDATE(entrega,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66" s="390">
        <f ca="1">IF($A66&gt;baseData, -$Z66*IF($Z66&gt;0, INDEX(Investidores!$K$3:$K$15, MATCH(M$1, Investidores!$B$3:$B$15, 0)), INDEX(Investidores!$K$3:$K$15, MATCH(M$1, Investidores!$B$3:$B$15, 0)))-IFERROR(INDEX(Permutas!$X:$AB, MATCH($A66, Permutas!$N:$N, 0), MATCH(M$1, Permutas!$X$2:$AB$2, 0)), 0)+IF($A66=EDATE(entrega,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66" s="390">
        <f ca="1">IF($A66&gt;baseData, -$Z66*IF($Z66&gt;0, INDEX(Investidores!$K$3:$K$15, MATCH(N$1, Investidores!$B$3:$B$15, 0)), INDEX(Investidores!$K$3:$K$15, MATCH(N$1, Investidores!$B$3:$B$15, 0)))-IFERROR(INDEX(Permutas!$X:$AB, MATCH($A66, Permutas!$N:$N, 0), MATCH(N$1, Permutas!$X$2:$AB$2, 0)), 0)+IF($A66=EDATE(entrega,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66" s="390">
        <f ca="1">IF($A66&gt;baseData, -$Z66*IF($Z66&gt;0, INDEX(Investidores!$K$3:$K$15, MATCH(O$1, Investidores!$B$3:$B$15, 0)), INDEX(Investidores!$K$3:$K$15, MATCH(O$1, Investidores!$B$3:$B$15, 0)))-IFERROR(INDEX(Permutas!$X:$AB, MATCH($A66, Permutas!$N:$N, 0), MATCH(O$1, Permutas!$X$2:$AB$2, 0)), 0)+IF($A66=EDATE(entrega,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66" s="390">
        <f ca="1">IF($A66&gt;baseData, -$Z66*IF($Z66&gt;0, INDEX(Investidores!$K$3:$K$15, MATCH(P$1, Investidores!$B$3:$B$15, 0)), INDEX(Investidores!$K$3:$K$15, MATCH(P$1, Investidores!$B$3:$B$15, 0)))-IFERROR(INDEX(Permutas!$X:$AB, MATCH($A66, Permutas!$N:$N, 0), MATCH(P$1, Permutas!$X$2:$AB$2, 0)), 0)+IF($A66=EDATE(entrega,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6" s="390">
        <f ca="1">IF($A66&gt;baseData, -$Z66*IF($Z66&gt;0, INDEX(Investidores!$K$3:$K$15, MATCH(Q$1, Investidores!$B$3:$B$15, 0)), INDEX(Investidores!$K$3:$K$15, MATCH(Q$1, Investidores!$B$3:$B$15, 0)))-IFERROR(INDEX(Permutas!$X:$AB, MATCH($A66, Permutas!$N:$N, 0), MATCH(Q$1, Permutas!$X$2:$AB$2, 0)), 0)+IF($A66=EDATE(entrega,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6" s="390">
        <f ca="1">IF($A66&gt;baseData, -$Z66*IF($Z66&gt;0, INDEX(Investidores!$K$3:$K$15, MATCH(R$1, Investidores!$B$3:$B$15, 0)), INDEX(Investidores!$K$3:$K$15, MATCH(R$1, Investidores!$B$3:$B$15, 0)))-IFERROR(INDEX(Permutas!$X:$AB, MATCH($A66, Permutas!$N:$N, 0), MATCH(R$1, Permutas!$X$2:$AB$2, 0)), 0)+IF($A66=EDATE(entrega,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66" s="390">
        <f ca="1">IF($A66&gt;baseData, -$Z66*IF($Z66&gt;0, INDEX(Investidores!$K$3:$K$15, MATCH(S$1, Investidores!$B$3:$B$15, 0)), INDEX(Investidores!$K$3:$K$15, MATCH(S$1, Investidores!$B$3:$B$15, 0)))-IFERROR(INDEX(Permutas!$X:$AB, MATCH($A66, Permutas!$N:$N, 0), MATCH(S$1, Permutas!$X$2:$AB$2, 0)), 0)+IF($A66=EDATE(entrega,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6" s="390">
        <f ca="1">IF($A66&gt;baseData, -$Z66*IF($Z66&gt;0, INDEX(Investidores!$K$3:$K$15, MATCH(T$1, Investidores!$B$3:$B$15, 0)), INDEX(Investidores!$K$3:$K$15, MATCH(T$1, Investidores!$B$3:$B$15, 0)))-IFERROR(INDEX(Permutas!$X:$AB, MATCH($A66, Permutas!$N:$N, 0), MATCH(T$1, Permutas!$X$2:$AB$2, 0)), 0)+IF($A66=EDATE(entrega,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66" s="390">
        <f ca="1">IF($A66&gt;baseData, -$Z66*IF($Z66&gt;0, INDEX(Investidores!$K$3:$K$15, MATCH(U$1, Investidores!$B$3:$B$15, 0)), INDEX(Investidores!$K$3:$K$15, MATCH(U$1, Investidores!$B$3:$B$15, 0)))-IFERROR(INDEX(Permutas!$X:$AB, MATCH($A66, Permutas!$N:$N, 0), MATCH(U$1, Permutas!$X$2:$AB$2, 0)), 0)+IF($A66=EDATE(entrega,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66" s="390">
        <f ca="1">IF($A66&gt;baseData, -$Z66*IF($Z66&gt;0, INDEX(Investidores!$K$3:$K$15, MATCH(V$1, Investidores!$B$3:$B$15, 0)), INDEX(Investidores!$K$3:$K$15, MATCH(V$1, Investidores!$B$3:$B$15, 0)))-IFERROR(INDEX(Permutas!$X:$AB, MATCH($A66, Permutas!$N:$N, 0), MATCH(V$1, Permutas!$X$2:$AB$2, 0)), 0)+IF($A66=EDATE(entrega,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66" s="415">
        <f ca="1">IF($A66&gt;baseData, -$Z66*IF($Z66&gt;0, INDEX(Investidores!$K$3:$K$15, MATCH(W$1, Investidores!$B$3:$B$15, 0)), INDEX(Investidores!$K$3:$K$15, MATCH(W$1, Investidores!$B$3:$B$15, 0)))-IFERROR(INDEX(Permutas!$X:$AB, MATCH($A66, Permutas!$N:$N, 0), MATCH(W$1, Permutas!$X$2:$AB$2, 0)), 0)+IF($A66=EDATE(entrega,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66" s="398">
        <f ca="1">IF($A66&gt;baseData, -$Z66*IF($Z66&gt;0, INDEX(Investidores!$K$3:$K$15, MATCH(X$1, Investidores!$B$3:$B$15, 0)), INDEX(Investidores!$K$3:$K$15, MATCH(X$1, Investidores!$B$3:$B$15, 0)))-IFERROR(INDEX(Permutas!$X:$AB, MATCH($A66, Permutas!$N:$N, 0), MATCH(X$1, Permutas!$X$2:$AB$2, 0)), 0)+IF($A66=EDATE(entrega,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66" s="390">
        <f t="shared" ref="Y66:Y97" ca="1" si="35">-SUM(L66:X66)</f>
        <v>0</v>
      </c>
      <c r="Z66" s="397">
        <f ca="1">-INDEX('Fluxo Bandeira Co'!AZ:AZ, MATCH($A66, 'Fluxo Bandeira Co'!$A:$A, 0))</f>
        <v>0</v>
      </c>
      <c r="AA66" s="398">
        <f>INDEX('Fluxo Bandeira Co'!J:J, MATCH($A66, 'Fluxo Bandeira Co'!$A:$A, 0))+INDEX('Fluxo Bandeira Co'!AK:AK, MATCH($A66, 'Fluxo Bandeira Co'!$A:$A, 0))</f>
        <v>0</v>
      </c>
      <c r="AB66" s="371"/>
      <c r="AC66" s="397">
        <f ca="1">-INDEX('Fluxo Bandeira Co'!L:L, MATCH('Fluxo Investidores'!$A66, 'Fluxo Bandeira Co'!$A:$A, 0))</f>
        <v>0</v>
      </c>
      <c r="AD66" s="398">
        <f>-INDEX('Fluxo Bandeira Co'!M:M, MATCH('Fluxo Investidores'!$A66, 'Fluxo Bandeira Co'!$A:$A, 0))</f>
        <v>0</v>
      </c>
      <c r="AF66" s="397">
        <f t="shared" ref="AF66:AF86" ca="1" si="36">E66-F66+H66+J66+AC66-AD66</f>
        <v>0</v>
      </c>
      <c r="AG66" s="398">
        <f ca="1">IFERROR(INDEX('Fluxo Projeto'!AQ:AQ, MATCH('Fluxo Investidores'!A66, 'Fluxo Projeto'!A:A, 0)), 0)</f>
        <v>0</v>
      </c>
      <c r="AI66" s="397">
        <f t="shared" ref="AI66:AI86" ca="1" si="37">IF($A66&gt;baseData, 1, ipcaData/$C66)*L66</f>
        <v>0</v>
      </c>
      <c r="AJ66" s="390">
        <f t="shared" ref="AJ66:AJ86" ca="1" si="38">IF($A66&gt;baseData, 1, ipcaData/$C66)*M66</f>
        <v>0</v>
      </c>
      <c r="AK66" s="390">
        <f t="shared" ref="AK66:AK86" ca="1" si="39">IF($A66&gt;baseData, 1, ipcaData/$C66)*N66</f>
        <v>0</v>
      </c>
      <c r="AL66" s="390">
        <f t="shared" ref="AL66:AL86" ca="1" si="40">IF($A66&gt;baseData, 1, ipcaData/$C66)*O66</f>
        <v>0</v>
      </c>
      <c r="AM66" s="390">
        <f t="shared" ref="AM66:AM86" ca="1" si="41">IF($A66&gt;baseData, 1, ipcaData/$C66)*P66</f>
        <v>0</v>
      </c>
      <c r="AN66" s="390">
        <f t="shared" ref="AN66:AN86" ca="1" si="42">IF($A66&gt;baseData, 1, ipcaData/$C66)*Q66</f>
        <v>0</v>
      </c>
      <c r="AO66" s="390">
        <f t="shared" ref="AO66:AO86" ca="1" si="43">IF($A66&gt;baseData, 1, ipcaData/$C66)*R66</f>
        <v>0</v>
      </c>
      <c r="AP66" s="390">
        <f t="shared" ref="AP66:AP86" ca="1" si="44">IF($A66&gt;baseData, 1, ipcaData/$C66)*S66</f>
        <v>0</v>
      </c>
      <c r="AQ66" s="390">
        <f t="shared" ref="AQ66:AQ86" ca="1" si="45">IF($A66&gt;baseData, 1, ipcaData/$C66)*T66</f>
        <v>0</v>
      </c>
      <c r="AR66" s="390">
        <f t="shared" ref="AR66:AR86" ca="1" si="46">IF($A66&gt;baseData, 1, ipcaData/$C66)*U66</f>
        <v>0</v>
      </c>
      <c r="AS66" s="390">
        <f t="shared" ref="AS66:AS86" ca="1" si="47">IF($A66&gt;baseData, 1, ipcaData/$C66)*V66</f>
        <v>0</v>
      </c>
      <c r="AT66" s="415">
        <f t="shared" ref="AT66:AT86" ca="1" si="48">IF($A66&gt;baseData, 1, ipcaData/$C66)*W66</f>
        <v>0</v>
      </c>
      <c r="AU66" s="398">
        <f t="shared" ref="AU66:AU86" ca="1" si="49">IF($A66&gt;baseData, 1, ipcaData/$C66)*X66</f>
        <v>0</v>
      </c>
    </row>
    <row r="67" spans="1:47" x14ac:dyDescent="0.25">
      <c r="A67" s="197">
        <f t="shared" ref="A67:A86" si="50">DATE(YEAR(A66),MONTH(A66)+1,1)</f>
        <v>45047</v>
      </c>
      <c r="B67" s="388">
        <f>IF($A67&lt;=baseData, INDEX(Indicadores!B:B, MATCH($A67,Indicadores!A:A, 0)), INDEX(Indicadores!B:B, MATCH(baseData,Indicadores!A:A, 0)))</f>
        <v>839.38199999999995</v>
      </c>
      <c r="C67" s="389">
        <f>IF($A67&lt;=baseData, INDEX(Indicadores!E:E, MATCH($A67, Indicadores!A:A, 0)), INDEX(Indicadores!E:E, MATCH(baseData, Indicadores!A:A, 0)))</f>
        <v>5486.52</v>
      </c>
      <c r="E67" s="397">
        <f t="shared" ca="1" si="32"/>
        <v>5029440.4822069202</v>
      </c>
      <c r="F67" s="398">
        <v>0</v>
      </c>
      <c r="G67" s="371"/>
      <c r="H67" s="393">
        <f t="shared" ca="1" si="33"/>
        <v>205281.88770047919</v>
      </c>
      <c r="I67" s="371"/>
      <c r="J67" s="393">
        <f t="shared" ca="1" si="34"/>
        <v>5029406.3420748692</v>
      </c>
      <c r="L67" s="397">
        <f ca="1">IF($A67&gt;baseData, -$Z67*IF($Z67&gt;0, INDEX(Investidores!$K$3:$K$15, MATCH(L$1, Investidores!$B$3:$B$15, 0)), INDEX(Investidores!$K$3:$K$15, MATCH(L$1, Investidores!$B$3:$B$15, 0)))-IFERROR(INDEX(Permutas!$X:$AB, MATCH($A67, Permutas!$N:$N, 0), MATCH(L$1, Permutas!$X$2:$AB$2, 0)), 0)+IF($A67=EDATE(entrega,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2906737.3951253528</v>
      </c>
      <c r="M67" s="390">
        <f ca="1">IF($A67&gt;baseData, -$Z67*IF($Z67&gt;0, INDEX(Investidores!$K$3:$K$15, MATCH(M$1, Investidores!$B$3:$B$15, 0)), INDEX(Investidores!$K$3:$K$15, MATCH(M$1, Investidores!$B$3:$B$15, 0)))-IFERROR(INDEX(Permutas!$X:$AB, MATCH($A67, Permutas!$N:$N, 0), MATCH(M$1, Permutas!$X$2:$AB$2, 0)), 0)+IF($A67=EDATE(entrega,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2906737.3951253528</v>
      </c>
      <c r="N67" s="390">
        <f ca="1">IF($A67&gt;baseData, -$Z67*IF($Z67&gt;0, INDEX(Investidores!$K$3:$K$15, MATCH(N$1, Investidores!$B$3:$B$15, 0)), INDEX(Investidores!$K$3:$K$15, MATCH(N$1, Investidores!$B$3:$B$15, 0)))-IFERROR(INDEX(Permutas!$X:$AB, MATCH($A67, Permutas!$N:$N, 0), MATCH(N$1, Permutas!$X$2:$AB$2, 0)), 0)+IF($A67=EDATE(entrega,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2906737.3951253528</v>
      </c>
      <c r="O67" s="390">
        <f ca="1">IF($A67&gt;baseData, -$Z67*IF($Z67&gt;0, INDEX(Investidores!$K$3:$K$15, MATCH(O$1, Investidores!$B$3:$B$15, 0)), INDEX(Investidores!$K$3:$K$15, MATCH(O$1, Investidores!$B$3:$B$15, 0)))-IFERROR(INDEX(Permutas!$X:$AB, MATCH($A67, Permutas!$N:$N, 0), MATCH(O$1, Permutas!$X$2:$AB$2, 0)), 0)+IF($A67=EDATE(entrega,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2906737.3951253528</v>
      </c>
      <c r="P67" s="390">
        <f ca="1">IF($A67&gt;baseData, -$Z67*IF($Z67&gt;0, INDEX(Investidores!$K$3:$K$15, MATCH(P$1, Investidores!$B$3:$B$15, 0)), INDEX(Investidores!$K$3:$K$15, MATCH(P$1, Investidores!$B$3:$B$15, 0)))-IFERROR(INDEX(Permutas!$X:$AB, MATCH($A67, Permutas!$N:$N, 0), MATCH(P$1, Permutas!$X$2:$AB$2, 0)), 0)+IF($A67=EDATE(entrega,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7" s="390">
        <f ca="1">IF($A67&gt;baseData, -$Z67*IF($Z67&gt;0, INDEX(Investidores!$K$3:$K$15, MATCH(Q$1, Investidores!$B$3:$B$15, 0)), INDEX(Investidores!$K$3:$K$15, MATCH(Q$1, Investidores!$B$3:$B$15, 0)))-IFERROR(INDEX(Permutas!$X:$AB, MATCH($A67, Permutas!$N:$N, 0), MATCH(Q$1, Permutas!$X$2:$AB$2, 0)), 0)+IF($A67=EDATE(entrega,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7" s="390">
        <f ca="1">IF($A67&gt;baseData, -$Z67*IF($Z67&gt;0, INDEX(Investidores!$K$3:$K$15, MATCH(R$1, Investidores!$B$3:$B$15, 0)), INDEX(Investidores!$K$3:$K$15, MATCH(R$1, Investidores!$B$3:$B$15, 0)))-IFERROR(INDEX(Permutas!$X:$AB, MATCH($A67, Permutas!$N:$N, 0), MATCH(R$1, Permutas!$X$2:$AB$2, 0)), 0)+IF($A67=EDATE(entrega,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1634483.0570657989</v>
      </c>
      <c r="S67" s="390">
        <f ca="1">IF($A67&gt;baseData, -$Z67*IF($Z67&gt;0, INDEX(Investidores!$K$3:$K$15, MATCH(S$1, Investidores!$B$3:$B$15, 0)), INDEX(Investidores!$K$3:$K$15, MATCH(S$1, Investidores!$B$3:$B$15, 0)))-IFERROR(INDEX(Permutas!$X:$AB, MATCH($A67, Permutas!$N:$N, 0), MATCH(S$1, Permutas!$X$2:$AB$2, 0)), 0)+IF($A67=EDATE(entrega,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7" s="390">
        <f ca="1">IF($A67&gt;baseData, -$Z67*IF($Z67&gt;0, INDEX(Investidores!$K$3:$K$15, MATCH(T$1, Investidores!$B$3:$B$15, 0)), INDEX(Investidores!$K$3:$K$15, MATCH(T$1, Investidores!$B$3:$B$15, 0)))-IFERROR(INDEX(Permutas!$X:$AB, MATCH($A67, Permutas!$N:$N, 0), MATCH(T$1, Permutas!$X$2:$AB$2, 0)), 0)+IF($A67=EDATE(entrega,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2906737.3951253528</v>
      </c>
      <c r="U67" s="390">
        <f ca="1">IF($A67&gt;baseData, -$Z67*IF($Z67&gt;0, INDEX(Investidores!$K$3:$K$15, MATCH(U$1, Investidores!$B$3:$B$15, 0)), INDEX(Investidores!$K$3:$K$15, MATCH(U$1, Investidores!$B$3:$B$15, 0)))-IFERROR(INDEX(Permutas!$X:$AB, MATCH($A67, Permutas!$N:$N, 0), MATCH(U$1, Permutas!$X$2:$AB$2, 0)), 0)+IF($A67=EDATE(entrega,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2906737.3951253528</v>
      </c>
      <c r="V67" s="390">
        <f ca="1">IF($A67&gt;baseData, -$Z67*IF($Z67&gt;0, INDEX(Investidores!$K$3:$K$15, MATCH(V$1, Investidores!$B$3:$B$15, 0)), INDEX(Investidores!$K$3:$K$15, MATCH(V$1, Investidores!$B$3:$B$15, 0)))-IFERROR(INDEX(Permutas!$X:$AB, MATCH($A67, Permutas!$N:$N, 0), MATCH(V$1, Permutas!$X$2:$AB$2, 0)), 0)+IF($A67=EDATE(entrega,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2906737.3951253528</v>
      </c>
      <c r="W67" s="415">
        <f ca="1">IF($A67&gt;baseData, -$Z67*IF($Z67&gt;0, INDEX(Investidores!$K$3:$K$15, MATCH(W$1, Investidores!$B$3:$B$15, 0)), INDEX(Investidores!$K$3:$K$15, MATCH(W$1, Investidores!$B$3:$B$15, 0)))-IFERROR(INDEX(Permutas!$X:$AB, MATCH($A67, Permutas!$N:$N, 0), MATCH(W$1, Permutas!$X$2:$AB$2, 0)), 0)+IF($A67=EDATE(entrega,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1534627.6931417943</v>
      </c>
      <c r="X67" s="398">
        <f ca="1">IF($A67&gt;baseData, -$Z67*IF($Z67&gt;0, INDEX(Investidores!$K$3:$K$15, MATCH(X$1, Investidores!$B$3:$B$15, 0)), INDEX(Investidores!$K$3:$K$15, MATCH(X$1, Investidores!$B$3:$B$15, 0)))-IFERROR(INDEX(Permutas!$X:$AB, MATCH($A67, Permutas!$N:$N, 0), MATCH(X$1, Permutas!$X$2:$AB$2, 0)), 0)+IF($A67=EDATE(entrega,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2906737.3951253528</v>
      </c>
      <c r="Y67" s="390">
        <f t="shared" ca="1" si="35"/>
        <v>-26423009.911210414</v>
      </c>
      <c r="Z67" s="397">
        <f ca="1">-INDEX('Fluxo Bandeira Co'!AZ:AZ, MATCH($A67, 'Fluxo Bandeira Co'!$A:$A, 0))</f>
        <v>-26423009.911210414</v>
      </c>
      <c r="AA67" s="398">
        <f>INDEX('Fluxo Bandeira Co'!J:J, MATCH($A67, 'Fluxo Bandeira Co'!$A:$A, 0))+INDEX('Fluxo Bandeira Co'!AK:AK, MATCH($A67, 'Fluxo Bandeira Co'!$A:$A, 0))</f>
        <v>0</v>
      </c>
      <c r="AB67" s="371"/>
      <c r="AC67" s="397">
        <f ca="1">-INDEX('Fluxo Bandeira Co'!L:L, MATCH('Fluxo Investidores'!$A67, 'Fluxo Bandeira Co'!$A:$A, 0))</f>
        <v>26623051.275397703</v>
      </c>
      <c r="AD67" s="398">
        <f>-INDEX('Fluxo Bandeira Co'!M:M, MATCH('Fluxo Investidores'!$A67, 'Fluxo Bandeira Co'!$A:$A, 0))</f>
        <v>0</v>
      </c>
      <c r="AF67" s="397">
        <f t="shared" ca="1" si="36"/>
        <v>36887179.987379968</v>
      </c>
      <c r="AG67" s="398">
        <f ca="1">IFERROR(INDEX('Fluxo Projeto'!AQ:AQ, MATCH('Fluxo Investidores'!A67, 'Fluxo Projeto'!A:A, 0)), 0)</f>
        <v>36887179.987379968</v>
      </c>
      <c r="AI67" s="397">
        <f t="shared" ca="1" si="37"/>
        <v>2906737.3951253528</v>
      </c>
      <c r="AJ67" s="390">
        <f t="shared" ca="1" si="38"/>
        <v>2906737.3951253528</v>
      </c>
      <c r="AK67" s="390">
        <f t="shared" ca="1" si="39"/>
        <v>2906737.3951253528</v>
      </c>
      <c r="AL67" s="390">
        <f t="shared" ca="1" si="40"/>
        <v>2906737.3951253528</v>
      </c>
      <c r="AM67" s="390">
        <f t="shared" ca="1" si="41"/>
        <v>0</v>
      </c>
      <c r="AN67" s="390">
        <f t="shared" ca="1" si="42"/>
        <v>0</v>
      </c>
      <c r="AO67" s="390">
        <f t="shared" ca="1" si="43"/>
        <v>1634483.0570657989</v>
      </c>
      <c r="AP67" s="390">
        <f t="shared" ca="1" si="44"/>
        <v>0</v>
      </c>
      <c r="AQ67" s="390">
        <f t="shared" ca="1" si="45"/>
        <v>2906737.3951253528</v>
      </c>
      <c r="AR67" s="390">
        <f t="shared" ca="1" si="46"/>
        <v>2906737.3951253528</v>
      </c>
      <c r="AS67" s="390">
        <f t="shared" ca="1" si="47"/>
        <v>2906737.3951253528</v>
      </c>
      <c r="AT67" s="415">
        <f t="shared" ca="1" si="48"/>
        <v>1534627.6931417943</v>
      </c>
      <c r="AU67" s="398">
        <f t="shared" ca="1" si="49"/>
        <v>2906737.3951253528</v>
      </c>
    </row>
    <row r="68" spans="1:47" x14ac:dyDescent="0.25">
      <c r="A68" s="197">
        <f t="shared" si="50"/>
        <v>45078</v>
      </c>
      <c r="B68" s="388">
        <f>IF($A68&lt;=baseData, INDEX(Indicadores!B:B, MATCH($A68,Indicadores!A:A, 0)), INDEX(Indicadores!B:B, MATCH(baseData,Indicadores!A:A, 0)))</f>
        <v>839.38199999999995</v>
      </c>
      <c r="C68" s="389">
        <f>IF($A68&lt;=baseData, INDEX(Indicadores!E:E, MATCH($A68, Indicadores!A:A, 0)), INDEX(Indicadores!E:E, MATCH(baseData, Indicadores!A:A, 0)))</f>
        <v>5486.52</v>
      </c>
      <c r="E68" s="397">
        <f t="shared" ca="1" si="32"/>
        <v>48379.631505985024</v>
      </c>
      <c r="F68" s="398">
        <v>0</v>
      </c>
      <c r="G68" s="371"/>
      <c r="H68" s="393">
        <f t="shared" ca="1" si="33"/>
        <v>1974.6653960689189</v>
      </c>
      <c r="I68" s="371"/>
      <c r="J68" s="393">
        <f t="shared" ca="1" si="34"/>
        <v>48379.303102256214</v>
      </c>
      <c r="L68" s="397">
        <f ca="1">IF($A68&gt;baseData, -$Z68*IF($Z68&gt;0, INDEX(Investidores!$K$3:$K$15, MATCH(L$1, Investidores!$B$3:$B$15, 0)), INDEX(Investidores!$K$3:$K$15, MATCH(L$1, Investidores!$B$3:$B$15, 0)))-IFERROR(INDEX(Permutas!$X:$AB, MATCH($A68, Permutas!$N:$N, 0), MATCH(L$1, Permutas!$X$2:$AB$2, 0)), 0)+IF($A68=EDATE(entrega,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20963.346634913902</v>
      </c>
      <c r="M68" s="390">
        <f ca="1">IF($A68&gt;baseData, -$Z68*IF($Z68&gt;0, INDEX(Investidores!$K$3:$K$15, MATCH(M$1, Investidores!$B$3:$B$15, 0)), INDEX(Investidores!$K$3:$K$15, MATCH(M$1, Investidores!$B$3:$B$15, 0)))-IFERROR(INDEX(Permutas!$X:$AB, MATCH($A68, Permutas!$N:$N, 0), MATCH(M$1, Permutas!$X$2:$AB$2, 0)), 0)+IF($A68=EDATE(entrega,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20963.346634913902</v>
      </c>
      <c r="N68" s="390">
        <f ca="1">IF($A68&gt;baseData, -$Z68*IF($Z68&gt;0, INDEX(Investidores!$K$3:$K$15, MATCH(N$1, Investidores!$B$3:$B$15, 0)), INDEX(Investidores!$K$3:$K$15, MATCH(N$1, Investidores!$B$3:$B$15, 0)))-IFERROR(INDEX(Permutas!$X:$AB, MATCH($A68, Permutas!$N:$N, 0), MATCH(N$1, Permutas!$X$2:$AB$2, 0)), 0)+IF($A68=EDATE(entrega,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20963.346634913902</v>
      </c>
      <c r="O68" s="390">
        <f ca="1">IF($A68&gt;baseData, -$Z68*IF($Z68&gt;0, INDEX(Investidores!$K$3:$K$15, MATCH(O$1, Investidores!$B$3:$B$15, 0)), INDEX(Investidores!$K$3:$K$15, MATCH(O$1, Investidores!$B$3:$B$15, 0)))-IFERROR(INDEX(Permutas!$X:$AB, MATCH($A68, Permutas!$N:$N, 0), MATCH(O$1, Permutas!$X$2:$AB$2, 0)), 0)+IF($A68=EDATE(entrega,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20963.346634913902</v>
      </c>
      <c r="P68" s="390">
        <f ca="1">IF($A68&gt;baseData, -$Z68*IF($Z68&gt;0, INDEX(Investidores!$K$3:$K$15, MATCH(P$1, Investidores!$B$3:$B$15, 0)), INDEX(Investidores!$K$3:$K$15, MATCH(P$1, Investidores!$B$3:$B$15, 0)))-IFERROR(INDEX(Permutas!$X:$AB, MATCH($A68, Permutas!$N:$N, 0), MATCH(P$1, Permutas!$X$2:$AB$2, 0)), 0)+IF($A68=EDATE(entrega,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8" s="390">
        <f ca="1">IF($A68&gt;baseData, -$Z68*IF($Z68&gt;0, INDEX(Investidores!$K$3:$K$15, MATCH(Q$1, Investidores!$B$3:$B$15, 0)), INDEX(Investidores!$K$3:$K$15, MATCH(Q$1, Investidores!$B$3:$B$15, 0)))-IFERROR(INDEX(Permutas!$X:$AB, MATCH($A68, Permutas!$N:$N, 0), MATCH(Q$1, Permutas!$X$2:$AB$2, 0)), 0)+IF($A68=EDATE(entrega,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8" s="390">
        <f ca="1">IF($A68&gt;baseData, -$Z68*IF($Z68&gt;0, INDEX(Investidores!$K$3:$K$15, MATCH(R$1, Investidores!$B$3:$B$15, 0)), INDEX(Investidores!$K$3:$K$15, MATCH(R$1, Investidores!$B$3:$B$15, 0)))-IFERROR(INDEX(Permutas!$X:$AB, MATCH($A68, Permutas!$N:$N, 0), MATCH(R$1, Permutas!$X$2:$AB$2, 0)), 0)+IF($A68=EDATE(entrega,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11787.867370346492</v>
      </c>
      <c r="S68" s="390">
        <f ca="1">IF($A68&gt;baseData, -$Z68*IF($Z68&gt;0, INDEX(Investidores!$K$3:$K$15, MATCH(S$1, Investidores!$B$3:$B$15, 0)), INDEX(Investidores!$K$3:$K$15, MATCH(S$1, Investidores!$B$3:$B$15, 0)))-IFERROR(INDEX(Permutas!$X:$AB, MATCH($A68, Permutas!$N:$N, 0), MATCH(S$1, Permutas!$X$2:$AB$2, 0)), 0)+IF($A68=EDATE(entrega,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8" s="390">
        <f ca="1">IF($A68&gt;baseData, -$Z68*IF($Z68&gt;0, INDEX(Investidores!$K$3:$K$15, MATCH(T$1, Investidores!$B$3:$B$15, 0)), INDEX(Investidores!$K$3:$K$15, MATCH(T$1, Investidores!$B$3:$B$15, 0)))-IFERROR(INDEX(Permutas!$X:$AB, MATCH($A68, Permutas!$N:$N, 0), MATCH(T$1, Permutas!$X$2:$AB$2, 0)), 0)+IF($A68=EDATE(entrega,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20963.346634913902</v>
      </c>
      <c r="U68" s="390">
        <f ca="1">IF($A68&gt;baseData, -$Z68*IF($Z68&gt;0, INDEX(Investidores!$K$3:$K$15, MATCH(U$1, Investidores!$B$3:$B$15, 0)), INDEX(Investidores!$K$3:$K$15, MATCH(U$1, Investidores!$B$3:$B$15, 0)))-IFERROR(INDEX(Permutas!$X:$AB, MATCH($A68, Permutas!$N:$N, 0), MATCH(U$1, Permutas!$X$2:$AB$2, 0)), 0)+IF($A68=EDATE(entrega,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20963.346634913902</v>
      </c>
      <c r="V68" s="390">
        <f ca="1">IF($A68&gt;baseData, -$Z68*IF($Z68&gt;0, INDEX(Investidores!$K$3:$K$15, MATCH(V$1, Investidores!$B$3:$B$15, 0)), INDEX(Investidores!$K$3:$K$15, MATCH(V$1, Investidores!$B$3:$B$15, 0)))-IFERROR(INDEX(Permutas!$X:$AB, MATCH($A68, Permutas!$N:$N, 0), MATCH(V$1, Permutas!$X$2:$AB$2, 0)), 0)+IF($A68=EDATE(entrega,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20963.346634913902</v>
      </c>
      <c r="W68" s="415">
        <f ca="1">IF($A68&gt;baseData, -$Z68*IF($Z68&gt;0, INDEX(Investidores!$K$3:$K$15, MATCH(W$1, Investidores!$B$3:$B$15, 0)), INDEX(Investidores!$K$3:$K$15, MATCH(W$1, Investidores!$B$3:$B$15, 0)))-IFERROR(INDEX(Permutas!$X:$AB, MATCH($A68, Permutas!$N:$N, 0), MATCH(W$1, Permutas!$X$2:$AB$2, 0)), 0)+IF($A68=EDATE(entrega,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11067.711978667528</v>
      </c>
      <c r="X68" s="398">
        <f ca="1">IF($A68&gt;baseData, -$Z68*IF($Z68&gt;0, INDEX(Investidores!$K$3:$K$15, MATCH(X$1, Investidores!$B$3:$B$15, 0)), INDEX(Investidores!$K$3:$K$15, MATCH(X$1, Investidores!$B$3:$B$15, 0)))-IFERROR(INDEX(Permutas!$X:$AB, MATCH($A68, Permutas!$N:$N, 0), MATCH(X$1, Permutas!$X$2:$AB$2, 0)), 0)+IF($A68=EDATE(entrega,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20963.346634913902</v>
      </c>
      <c r="Y68" s="390">
        <f t="shared" ca="1" si="35"/>
        <v>-190562.35242832525</v>
      </c>
      <c r="Z68" s="397">
        <f ca="1">-INDEX('Fluxo Bandeira Co'!AZ:AZ, MATCH($A68, 'Fluxo Bandeira Co'!$A:$A, 0))</f>
        <v>-190562.35242832522</v>
      </c>
      <c r="AA68" s="398">
        <f>INDEX('Fluxo Bandeira Co'!J:J, MATCH($A68, 'Fluxo Bandeira Co'!$A:$A, 0))+INDEX('Fluxo Bandeira Co'!AK:AK, MATCH($A68, 'Fluxo Bandeira Co'!$A:$A, 0))</f>
        <v>0</v>
      </c>
      <c r="AB68" s="371"/>
      <c r="AC68" s="397">
        <f ca="1">-INDEX('Fluxo Bandeira Co'!L:L, MATCH('Fluxo Investidores'!$A68, 'Fluxo Bandeira Co'!$A:$A, 0))</f>
        <v>256094.77134194158</v>
      </c>
      <c r="AD68" s="398">
        <f>-INDEX('Fluxo Bandeira Co'!M:M, MATCH('Fluxo Investidores'!$A68, 'Fluxo Bandeira Co'!$A:$A, 0))</f>
        <v>0</v>
      </c>
      <c r="AF68" s="397">
        <f t="shared" ca="1" si="36"/>
        <v>354828.37134625175</v>
      </c>
      <c r="AG68" s="398">
        <f ca="1">IFERROR(INDEX('Fluxo Projeto'!AQ:AQ, MATCH('Fluxo Investidores'!A68, 'Fluxo Projeto'!A:A, 0)), 0)</f>
        <v>354828.37134625169</v>
      </c>
      <c r="AI68" s="397">
        <f t="shared" ca="1" si="37"/>
        <v>20963.346634913902</v>
      </c>
      <c r="AJ68" s="390">
        <f t="shared" ca="1" si="38"/>
        <v>20963.346634913902</v>
      </c>
      <c r="AK68" s="390">
        <f t="shared" ca="1" si="39"/>
        <v>20963.346634913902</v>
      </c>
      <c r="AL68" s="390">
        <f t="shared" ca="1" si="40"/>
        <v>20963.346634913902</v>
      </c>
      <c r="AM68" s="390">
        <f t="shared" ca="1" si="41"/>
        <v>0</v>
      </c>
      <c r="AN68" s="390">
        <f t="shared" ca="1" si="42"/>
        <v>0</v>
      </c>
      <c r="AO68" s="390">
        <f t="shared" ca="1" si="43"/>
        <v>11787.867370346492</v>
      </c>
      <c r="AP68" s="390">
        <f t="shared" ca="1" si="44"/>
        <v>0</v>
      </c>
      <c r="AQ68" s="390">
        <f t="shared" ca="1" si="45"/>
        <v>20963.346634913902</v>
      </c>
      <c r="AR68" s="390">
        <f t="shared" ca="1" si="46"/>
        <v>20963.346634913902</v>
      </c>
      <c r="AS68" s="390">
        <f t="shared" ca="1" si="47"/>
        <v>20963.346634913902</v>
      </c>
      <c r="AT68" s="415">
        <f t="shared" ca="1" si="48"/>
        <v>11067.711978667528</v>
      </c>
      <c r="AU68" s="398">
        <f t="shared" ca="1" si="49"/>
        <v>20963.346634913902</v>
      </c>
    </row>
    <row r="69" spans="1:47" x14ac:dyDescent="0.25">
      <c r="A69" s="197">
        <f t="shared" si="50"/>
        <v>45108</v>
      </c>
      <c r="B69" s="388">
        <f>IF($A69&lt;=baseData, INDEX(Indicadores!B:B, MATCH($A69,Indicadores!A:A, 0)), INDEX(Indicadores!B:B, MATCH(baseData,Indicadores!A:A, 0)))</f>
        <v>839.38199999999995</v>
      </c>
      <c r="C69" s="389">
        <f>IF($A69&lt;=baseData, INDEX(Indicadores!E:E, MATCH($A69, Indicadores!A:A, 0)), INDEX(Indicadores!E:E, MATCH(baseData, Indicadores!A:A, 0)))</f>
        <v>5486.52</v>
      </c>
      <c r="E69" s="397">
        <f t="shared" ca="1" si="32"/>
        <v>871793.79049404117</v>
      </c>
      <c r="F69" s="398">
        <v>0</v>
      </c>
      <c r="G69" s="371"/>
      <c r="H69" s="393">
        <f t="shared" ca="1" si="33"/>
        <v>35583.177816957403</v>
      </c>
      <c r="I69" s="371"/>
      <c r="J69" s="393">
        <f t="shared" ca="1" si="34"/>
        <v>871787.87270751328</v>
      </c>
      <c r="L69" s="397">
        <f ca="1">IF($A69&gt;baseData, -$Z69*IF($Z69&gt;0, INDEX(Investidores!$K$3:$K$15, MATCH(L$1, Investidores!$B$3:$B$15, 0)), INDEX(Investidores!$K$3:$K$15, MATCH(L$1, Investidores!$B$3:$B$15, 0)))-IFERROR(INDEX(Permutas!$X:$AB, MATCH($A69, Permutas!$N:$N, 0), MATCH(L$1, Permutas!$X$2:$AB$2, 0)), 0)+IF($A69=EDATE(entrega,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500453.83475028741</v>
      </c>
      <c r="M69" s="390">
        <f ca="1">IF($A69&gt;baseData, -$Z69*IF($Z69&gt;0, INDEX(Investidores!$K$3:$K$15, MATCH(M$1, Investidores!$B$3:$B$15, 0)), INDEX(Investidores!$K$3:$K$15, MATCH(M$1, Investidores!$B$3:$B$15, 0)))-IFERROR(INDEX(Permutas!$X:$AB, MATCH($A69, Permutas!$N:$N, 0), MATCH(M$1, Permutas!$X$2:$AB$2, 0)), 0)+IF($A69=EDATE(entrega,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500453.83475028741</v>
      </c>
      <c r="N69" s="390">
        <f ca="1">IF($A69&gt;baseData, -$Z69*IF($Z69&gt;0, INDEX(Investidores!$K$3:$K$15, MATCH(N$1, Investidores!$B$3:$B$15, 0)), INDEX(Investidores!$K$3:$K$15, MATCH(N$1, Investidores!$B$3:$B$15, 0)))-IFERROR(INDEX(Permutas!$X:$AB, MATCH($A69, Permutas!$N:$N, 0), MATCH(N$1, Permutas!$X$2:$AB$2, 0)), 0)+IF($A69=EDATE(entrega,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500453.83475028741</v>
      </c>
      <c r="O69" s="390">
        <f ca="1">IF($A69&gt;baseData, -$Z69*IF($Z69&gt;0, INDEX(Investidores!$K$3:$K$15, MATCH(O$1, Investidores!$B$3:$B$15, 0)), INDEX(Investidores!$K$3:$K$15, MATCH(O$1, Investidores!$B$3:$B$15, 0)))-IFERROR(INDEX(Permutas!$X:$AB, MATCH($A69, Permutas!$N:$N, 0), MATCH(O$1, Permutas!$X$2:$AB$2, 0)), 0)+IF($A69=EDATE(entrega,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500453.83475028741</v>
      </c>
      <c r="P69" s="390">
        <f ca="1">IF($A69&gt;baseData, -$Z69*IF($Z69&gt;0, INDEX(Investidores!$K$3:$K$15, MATCH(P$1, Investidores!$B$3:$B$15, 0)), INDEX(Investidores!$K$3:$K$15, MATCH(P$1, Investidores!$B$3:$B$15, 0)))-IFERROR(INDEX(Permutas!$X:$AB, MATCH($A69, Permutas!$N:$N, 0), MATCH(P$1, Permutas!$X$2:$AB$2, 0)), 0)+IF($A69=EDATE(entrega,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69" s="390">
        <f ca="1">IF($A69&gt;baseData, -$Z69*IF($Z69&gt;0, INDEX(Investidores!$K$3:$K$15, MATCH(Q$1, Investidores!$B$3:$B$15, 0)), INDEX(Investidores!$K$3:$K$15, MATCH(Q$1, Investidores!$B$3:$B$15, 0)))-IFERROR(INDEX(Permutas!$X:$AB, MATCH($A69, Permutas!$N:$N, 0), MATCH(Q$1, Permutas!$X$2:$AB$2, 0)), 0)+IF($A69=EDATE(entrega,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69" s="390">
        <f ca="1">IF($A69&gt;baseData, -$Z69*IF($Z69&gt;0, INDEX(Investidores!$K$3:$K$15, MATCH(R$1, Investidores!$B$3:$B$15, 0)), INDEX(Investidores!$K$3:$K$15, MATCH(R$1, Investidores!$B$3:$B$15, 0)))-IFERROR(INDEX(Permutas!$X:$AB, MATCH($A69, Permutas!$N:$N, 0), MATCH(R$1, Permutas!$X$2:$AB$2, 0)), 0)+IF($A69=EDATE(entrega,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281409.43007604463</v>
      </c>
      <c r="S69" s="390">
        <f ca="1">IF($A69&gt;baseData, -$Z69*IF($Z69&gt;0, INDEX(Investidores!$K$3:$K$15, MATCH(S$1, Investidores!$B$3:$B$15, 0)), INDEX(Investidores!$K$3:$K$15, MATCH(S$1, Investidores!$B$3:$B$15, 0)))-IFERROR(INDEX(Permutas!$X:$AB, MATCH($A69, Permutas!$N:$N, 0), MATCH(S$1, Permutas!$X$2:$AB$2, 0)), 0)+IF($A69=EDATE(entrega,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69" s="390">
        <f ca="1">IF($A69&gt;baseData, -$Z69*IF($Z69&gt;0, INDEX(Investidores!$K$3:$K$15, MATCH(T$1, Investidores!$B$3:$B$15, 0)), INDEX(Investidores!$K$3:$K$15, MATCH(T$1, Investidores!$B$3:$B$15, 0)))-IFERROR(INDEX(Permutas!$X:$AB, MATCH($A69, Permutas!$N:$N, 0), MATCH(T$1, Permutas!$X$2:$AB$2, 0)), 0)+IF($A69=EDATE(entrega,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500453.83475028741</v>
      </c>
      <c r="U69" s="390">
        <f ca="1">IF($A69&gt;baseData, -$Z69*IF($Z69&gt;0, INDEX(Investidores!$K$3:$K$15, MATCH(U$1, Investidores!$B$3:$B$15, 0)), INDEX(Investidores!$K$3:$K$15, MATCH(U$1, Investidores!$B$3:$B$15, 0)))-IFERROR(INDEX(Permutas!$X:$AB, MATCH($A69, Permutas!$N:$N, 0), MATCH(U$1, Permutas!$X$2:$AB$2, 0)), 0)+IF($A69=EDATE(entrega,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500453.83475028741</v>
      </c>
      <c r="V69" s="390">
        <f ca="1">IF($A69&gt;baseData, -$Z69*IF($Z69&gt;0, INDEX(Investidores!$K$3:$K$15, MATCH(V$1, Investidores!$B$3:$B$15, 0)), INDEX(Investidores!$K$3:$K$15, MATCH(V$1, Investidores!$B$3:$B$15, 0)))-IFERROR(INDEX(Permutas!$X:$AB, MATCH($A69, Permutas!$N:$N, 0), MATCH(V$1, Permutas!$X$2:$AB$2, 0)), 0)+IF($A69=EDATE(entrega,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500453.83475028741</v>
      </c>
      <c r="W69" s="415">
        <f ca="1">IF($A69&gt;baseData, -$Z69*IF($Z69&gt;0, INDEX(Investidores!$K$3:$K$15, MATCH(W$1, Investidores!$B$3:$B$15, 0)), INDEX(Investidores!$K$3:$K$15, MATCH(W$1, Investidores!$B$3:$B$15, 0)))-IFERROR(INDEX(Permutas!$X:$AB, MATCH($A69, Permutas!$N:$N, 0), MATCH(W$1, Permutas!$X$2:$AB$2, 0)), 0)+IF($A69=EDATE(entrega,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264217.30261383933</v>
      </c>
      <c r="X69" s="398">
        <f ca="1">IF($A69&gt;baseData, -$Z69*IF($Z69&gt;0, INDEX(Investidores!$K$3:$K$15, MATCH(X$1, Investidores!$B$3:$B$15, 0)), INDEX(Investidores!$K$3:$K$15, MATCH(X$1, Investidores!$B$3:$B$15, 0)))-IFERROR(INDEX(Permutas!$X:$AB, MATCH($A69, Permutas!$N:$N, 0), MATCH(X$1, Permutas!$X$2:$AB$2, 0)), 0)+IF($A69=EDATE(entrega,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500453.83475028741</v>
      </c>
      <c r="Y69" s="390">
        <f t="shared" ca="1" si="35"/>
        <v>-4549257.4106921833</v>
      </c>
      <c r="Z69" s="397">
        <f ca="1">-INDEX('Fluxo Bandeira Co'!AZ:AZ, MATCH($A69, 'Fluxo Bandeira Co'!$A:$A, 0))</f>
        <v>-4549257.4106921833</v>
      </c>
      <c r="AA69" s="398">
        <f>INDEX('Fluxo Bandeira Co'!J:J, MATCH($A69, 'Fluxo Bandeira Co'!$A:$A, 0))+INDEX('Fluxo Bandeira Co'!AK:AK, MATCH($A69, 'Fluxo Bandeira Co'!$A:$A, 0))</f>
        <v>0</v>
      </c>
      <c r="AB69" s="371"/>
      <c r="AC69" s="397">
        <f ca="1">-INDEX('Fluxo Bandeira Co'!L:L, MATCH('Fluxo Investidores'!$A69, 'Fluxo Bandeira Co'!$A:$A, 0))</f>
        <v>4614789.8296057992</v>
      </c>
      <c r="AD69" s="398">
        <f>-INDEX('Fluxo Bandeira Co'!M:M, MATCH('Fluxo Investidores'!$A69, 'Fluxo Bandeira Co'!$A:$A, 0))</f>
        <v>0</v>
      </c>
      <c r="AF69" s="397">
        <f t="shared" ca="1" si="36"/>
        <v>6393954.6706243111</v>
      </c>
      <c r="AG69" s="398">
        <f ca="1">IFERROR(INDEX('Fluxo Projeto'!AQ:AQ, MATCH('Fluxo Investidores'!A69, 'Fluxo Projeto'!A:A, 0)), 0)</f>
        <v>6393954.6706243102</v>
      </c>
      <c r="AI69" s="397">
        <f t="shared" ca="1" si="37"/>
        <v>500453.83475028741</v>
      </c>
      <c r="AJ69" s="390">
        <f t="shared" ca="1" si="38"/>
        <v>500453.83475028741</v>
      </c>
      <c r="AK69" s="390">
        <f t="shared" ca="1" si="39"/>
        <v>500453.83475028741</v>
      </c>
      <c r="AL69" s="390">
        <f t="shared" ca="1" si="40"/>
        <v>500453.83475028741</v>
      </c>
      <c r="AM69" s="390">
        <f t="shared" ca="1" si="41"/>
        <v>0</v>
      </c>
      <c r="AN69" s="390">
        <f t="shared" ca="1" si="42"/>
        <v>0</v>
      </c>
      <c r="AO69" s="390">
        <f t="shared" ca="1" si="43"/>
        <v>281409.43007604463</v>
      </c>
      <c r="AP69" s="390">
        <f t="shared" ca="1" si="44"/>
        <v>0</v>
      </c>
      <c r="AQ69" s="390">
        <f t="shared" ca="1" si="45"/>
        <v>500453.83475028741</v>
      </c>
      <c r="AR69" s="390">
        <f t="shared" ca="1" si="46"/>
        <v>500453.83475028741</v>
      </c>
      <c r="AS69" s="390">
        <f t="shared" ca="1" si="47"/>
        <v>500453.83475028741</v>
      </c>
      <c r="AT69" s="415">
        <f t="shared" ca="1" si="48"/>
        <v>264217.30261383933</v>
      </c>
      <c r="AU69" s="398">
        <f t="shared" ca="1" si="49"/>
        <v>500453.83475028741</v>
      </c>
    </row>
    <row r="70" spans="1:47" x14ac:dyDescent="0.25">
      <c r="A70" s="197">
        <f t="shared" si="50"/>
        <v>45139</v>
      </c>
      <c r="B70" s="388">
        <f>IF($A70&lt;=baseData, INDEX(Indicadores!B:B, MATCH($A70,Indicadores!A:A, 0)), INDEX(Indicadores!B:B, MATCH(baseData,Indicadores!A:A, 0)))</f>
        <v>839.38199999999995</v>
      </c>
      <c r="C70" s="389">
        <f>IF($A70&lt;=baseData, INDEX(Indicadores!E:E, MATCH($A70, Indicadores!A:A, 0)), INDEX(Indicadores!E:E, MATCH(baseData, Indicadores!A:A, 0)))</f>
        <v>5486.52</v>
      </c>
      <c r="E70" s="397">
        <f t="shared" ref="E70:E86" ca="1" si="51">AG70*pctLDI</f>
        <v>1003979.3107994345</v>
      </c>
      <c r="F70" s="398">
        <v>0</v>
      </c>
      <c r="G70" s="371"/>
      <c r="H70" s="393">
        <f t="shared" ref="H70:H86" ca="1" si="52">AG70*pctCM</f>
        <v>40978.468452359099</v>
      </c>
      <c r="I70" s="371"/>
      <c r="J70" s="393">
        <f t="shared" ref="J70:J86" ca="1" si="53">AG70*pctSeedMoney</f>
        <v>1003972.4957299713</v>
      </c>
      <c r="L70" s="397">
        <f ca="1">IF($A70&gt;baseData, -$Z70*IF($Z70&gt;0, INDEX(Investidores!$K$3:$K$15, MATCH(L$1, Investidores!$B$3:$B$15, 0)), INDEX(Investidores!$K$3:$K$15, MATCH(L$1, Investidores!$B$3:$B$15, 0)))-IFERROR(INDEX(Permutas!$X:$AB, MATCH($A70, Permutas!$N:$N, 0), MATCH(L$1, Permutas!$X$2:$AB$2, 0)), 0)+IF($A70=EDATE(entrega,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577428.09971909889</v>
      </c>
      <c r="M70" s="390">
        <f ca="1">IF($A70&gt;baseData, -$Z70*IF($Z70&gt;0, INDEX(Investidores!$K$3:$K$15, MATCH(M$1, Investidores!$B$3:$B$15, 0)), INDEX(Investidores!$K$3:$K$15, MATCH(M$1, Investidores!$B$3:$B$15, 0)))-IFERROR(INDEX(Permutas!$X:$AB, MATCH($A70, Permutas!$N:$N, 0), MATCH(M$1, Permutas!$X$2:$AB$2, 0)), 0)+IF($A70=EDATE(entrega,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577428.09971909889</v>
      </c>
      <c r="N70" s="390">
        <f ca="1">IF($A70&gt;baseData, -$Z70*IF($Z70&gt;0, INDEX(Investidores!$K$3:$K$15, MATCH(N$1, Investidores!$B$3:$B$15, 0)), INDEX(Investidores!$K$3:$K$15, MATCH(N$1, Investidores!$B$3:$B$15, 0)))-IFERROR(INDEX(Permutas!$X:$AB, MATCH($A70, Permutas!$N:$N, 0), MATCH(N$1, Permutas!$X$2:$AB$2, 0)), 0)+IF($A70=EDATE(entrega,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577428.09971909889</v>
      </c>
      <c r="O70" s="390">
        <f ca="1">IF($A70&gt;baseData, -$Z70*IF($Z70&gt;0, INDEX(Investidores!$K$3:$K$15, MATCH(O$1, Investidores!$B$3:$B$15, 0)), INDEX(Investidores!$K$3:$K$15, MATCH(O$1, Investidores!$B$3:$B$15, 0)))-IFERROR(INDEX(Permutas!$X:$AB, MATCH($A70, Permutas!$N:$N, 0), MATCH(O$1, Permutas!$X$2:$AB$2, 0)), 0)+IF($A70=EDATE(entrega,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577428.09971909889</v>
      </c>
      <c r="P70" s="390">
        <f ca="1">IF($A70&gt;baseData, -$Z70*IF($Z70&gt;0, INDEX(Investidores!$K$3:$K$15, MATCH(P$1, Investidores!$B$3:$B$15, 0)), INDEX(Investidores!$K$3:$K$15, MATCH(P$1, Investidores!$B$3:$B$15, 0)))-IFERROR(INDEX(Permutas!$X:$AB, MATCH($A70, Permutas!$N:$N, 0), MATCH(P$1, Permutas!$X$2:$AB$2, 0)), 0)+IF($A70=EDATE(entrega,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70" s="390">
        <f ca="1">IF($A70&gt;baseData, -$Z70*IF($Z70&gt;0, INDEX(Investidores!$K$3:$K$15, MATCH(Q$1, Investidores!$B$3:$B$15, 0)), INDEX(Investidores!$K$3:$K$15, MATCH(Q$1, Investidores!$B$3:$B$15, 0)))-IFERROR(INDEX(Permutas!$X:$AB, MATCH($A70, Permutas!$N:$N, 0), MATCH(Q$1, Permutas!$X$2:$AB$2, 0)), 0)+IF($A70=EDATE(entrega,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70" s="390">
        <f ca="1">IF($A70&gt;baseData, -$Z70*IF($Z70&gt;0, INDEX(Investidores!$K$3:$K$15, MATCH(R$1, Investidores!$B$3:$B$15, 0)), INDEX(Investidores!$K$3:$K$15, MATCH(R$1, Investidores!$B$3:$B$15, 0)))-IFERROR(INDEX(Permutas!$X:$AB, MATCH($A70, Permutas!$N:$N, 0), MATCH(R$1, Permutas!$X$2:$AB$2, 0)), 0)+IF($A70=EDATE(entrega,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324692.71123264532</v>
      </c>
      <c r="S70" s="390">
        <f ca="1">IF($A70&gt;baseData, -$Z70*IF($Z70&gt;0, INDEX(Investidores!$K$3:$K$15, MATCH(S$1, Investidores!$B$3:$B$15, 0)), INDEX(Investidores!$K$3:$K$15, MATCH(S$1, Investidores!$B$3:$B$15, 0)))-IFERROR(INDEX(Permutas!$X:$AB, MATCH($A70, Permutas!$N:$N, 0), MATCH(S$1, Permutas!$X$2:$AB$2, 0)), 0)+IF($A70=EDATE(entrega,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70" s="390">
        <f ca="1">IF($A70&gt;baseData, -$Z70*IF($Z70&gt;0, INDEX(Investidores!$K$3:$K$15, MATCH(T$1, Investidores!$B$3:$B$15, 0)), INDEX(Investidores!$K$3:$K$15, MATCH(T$1, Investidores!$B$3:$B$15, 0)))-IFERROR(INDEX(Permutas!$X:$AB, MATCH($A70, Permutas!$N:$N, 0), MATCH(T$1, Permutas!$X$2:$AB$2, 0)), 0)+IF($A70=EDATE(entrega,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577428.09971909889</v>
      </c>
      <c r="U70" s="390">
        <f ca="1">IF($A70&gt;baseData, -$Z70*IF($Z70&gt;0, INDEX(Investidores!$K$3:$K$15, MATCH(U$1, Investidores!$B$3:$B$15, 0)), INDEX(Investidores!$K$3:$K$15, MATCH(U$1, Investidores!$B$3:$B$15, 0)))-IFERROR(INDEX(Permutas!$X:$AB, MATCH($A70, Permutas!$N:$N, 0), MATCH(U$1, Permutas!$X$2:$AB$2, 0)), 0)+IF($A70=EDATE(entrega,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577428.09971909889</v>
      </c>
      <c r="V70" s="390">
        <f ca="1">IF($A70&gt;baseData, -$Z70*IF($Z70&gt;0, INDEX(Investidores!$K$3:$K$15, MATCH(V$1, Investidores!$B$3:$B$15, 0)), INDEX(Investidores!$K$3:$K$15, MATCH(V$1, Investidores!$B$3:$B$15, 0)))-IFERROR(INDEX(Permutas!$X:$AB, MATCH($A70, Permutas!$N:$N, 0), MATCH(V$1, Permutas!$X$2:$AB$2, 0)), 0)+IF($A70=EDATE(entrega,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577428.09971909889</v>
      </c>
      <c r="W70" s="415">
        <f ca="1">IF($A70&gt;baseData, -$Z70*IF($Z70&gt;0, INDEX(Investidores!$K$3:$K$15, MATCH(W$1, Investidores!$B$3:$B$15, 0)), INDEX(Investidores!$K$3:$K$15, MATCH(W$1, Investidores!$B$3:$B$15, 0)))-IFERROR(INDEX(Permutas!$X:$AB, MATCH($A70, Permutas!$N:$N, 0), MATCH(W$1, Permutas!$X$2:$AB$2, 0)), 0)+IF($A70=EDATE(entrega,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304856.28117395041</v>
      </c>
      <c r="X70" s="398">
        <f ca="1">IF($A70&gt;baseData, -$Z70*IF($Z70&gt;0, INDEX(Investidores!$K$3:$K$15, MATCH(X$1, Investidores!$B$3:$B$15, 0)), INDEX(Investidores!$K$3:$K$15, MATCH(X$1, Investidores!$B$3:$B$15, 0)))-IFERROR(INDEX(Permutas!$X:$AB, MATCH($A70, Permutas!$N:$N, 0), MATCH(X$1, Permutas!$X$2:$AB$2, 0)), 0)+IF($A70=EDATE(entrega,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577428.09971909889</v>
      </c>
      <c r="Y70" s="390">
        <f t="shared" ca="1" si="35"/>
        <v>-5248973.7901593866</v>
      </c>
      <c r="Z70" s="397">
        <f ca="1">-INDEX('Fluxo Bandeira Co'!AZ:AZ, MATCH($A70, 'Fluxo Bandeira Co'!$A:$A, 0))</f>
        <v>-5248973.7901593866</v>
      </c>
      <c r="AA70" s="398">
        <f>INDEX('Fluxo Bandeira Co'!J:J, MATCH($A70, 'Fluxo Bandeira Co'!$A:$A, 0))+INDEX('Fluxo Bandeira Co'!AK:AK, MATCH($A70, 'Fluxo Bandeira Co'!$A:$A, 0))</f>
        <v>0</v>
      </c>
      <c r="AB70" s="371"/>
      <c r="AC70" s="397">
        <f ca="1">-INDEX('Fluxo Bandeira Co'!L:L, MATCH('Fluxo Investidores'!$A70, 'Fluxo Bandeira Co'!$A:$A, 0))</f>
        <v>5314506.2090730025</v>
      </c>
      <c r="AD70" s="398">
        <f>-INDEX('Fluxo Bandeira Co'!M:M, MATCH('Fluxo Investidores'!$A70, 'Fluxo Bandeira Co'!$A:$A, 0))</f>
        <v>0</v>
      </c>
      <c r="AF70" s="397">
        <f t="shared" ca="1" si="36"/>
        <v>7363436.4840547675</v>
      </c>
      <c r="AG70" s="398">
        <f ca="1">IFERROR(INDEX('Fluxo Projeto'!AQ:AQ, MATCH('Fluxo Investidores'!A70, 'Fluxo Projeto'!A:A, 0)), 0)</f>
        <v>7363436.4840547666</v>
      </c>
      <c r="AI70" s="397">
        <f t="shared" ca="1" si="37"/>
        <v>577428.09971909889</v>
      </c>
      <c r="AJ70" s="390">
        <f t="shared" ca="1" si="38"/>
        <v>577428.09971909889</v>
      </c>
      <c r="AK70" s="390">
        <f t="shared" ca="1" si="39"/>
        <v>577428.09971909889</v>
      </c>
      <c r="AL70" s="390">
        <f t="shared" ca="1" si="40"/>
        <v>577428.09971909889</v>
      </c>
      <c r="AM70" s="390">
        <f t="shared" ca="1" si="41"/>
        <v>0</v>
      </c>
      <c r="AN70" s="390">
        <f t="shared" ca="1" si="42"/>
        <v>0</v>
      </c>
      <c r="AO70" s="390">
        <f t="shared" ca="1" si="43"/>
        <v>324692.71123264532</v>
      </c>
      <c r="AP70" s="390">
        <f t="shared" ca="1" si="44"/>
        <v>0</v>
      </c>
      <c r="AQ70" s="390">
        <f t="shared" ca="1" si="45"/>
        <v>577428.09971909889</v>
      </c>
      <c r="AR70" s="390">
        <f t="shared" ca="1" si="46"/>
        <v>577428.09971909889</v>
      </c>
      <c r="AS70" s="390">
        <f t="shared" ca="1" si="47"/>
        <v>577428.09971909889</v>
      </c>
      <c r="AT70" s="415">
        <f t="shared" ca="1" si="48"/>
        <v>304856.28117395041</v>
      </c>
      <c r="AU70" s="398">
        <f t="shared" ca="1" si="49"/>
        <v>577428.09971909889</v>
      </c>
    </row>
    <row r="71" spans="1:47" x14ac:dyDescent="0.25">
      <c r="A71" s="197">
        <f t="shared" si="50"/>
        <v>45170</v>
      </c>
      <c r="B71" s="388">
        <f>IF($A71&lt;=baseData, INDEX(Indicadores!B:B, MATCH($A71,Indicadores!A:A, 0)), INDEX(Indicadores!B:B, MATCH(baseData,Indicadores!A:A, 0)))</f>
        <v>839.38199999999995</v>
      </c>
      <c r="C71" s="389">
        <f>IF($A71&lt;=baseData, INDEX(Indicadores!E:E, MATCH($A71, Indicadores!A:A, 0)), INDEX(Indicadores!E:E, MATCH(baseData, Indicadores!A:A, 0)))</f>
        <v>5486.52</v>
      </c>
      <c r="E71" s="397">
        <f t="shared" ca="1" si="51"/>
        <v>992411.72529263527</v>
      </c>
      <c r="F71" s="398">
        <v>0</v>
      </c>
      <c r="G71" s="371"/>
      <c r="H71" s="393">
        <f t="shared" ca="1" si="52"/>
        <v>40506.325318868738</v>
      </c>
      <c r="I71" s="371"/>
      <c r="J71" s="393">
        <f t="shared" ca="1" si="53"/>
        <v>992404.98874460964</v>
      </c>
      <c r="L71" s="397">
        <f ca="1">IF($A71&gt;baseData, -$Z71*IF($Z71&gt;0, INDEX(Investidores!$K$3:$K$15, MATCH(L$1, Investidores!$B$3:$B$15, 0)), INDEX(Investidores!$K$3:$K$15, MATCH(L$1, Investidores!$B$3:$B$15, 0)))-IFERROR(INDEX(Permutas!$X:$AB, MATCH($A71, Permutas!$N:$N, 0), MATCH(L$1, Permutas!$X$2:$AB$2, 0)), 0)+IF($A71=EDATE(entrega,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479495.6898932581</v>
      </c>
      <c r="M71" s="390">
        <f ca="1">IF($A71&gt;baseData, -$Z71*IF($Z71&gt;0, INDEX(Investidores!$K$3:$K$15, MATCH(M$1, Investidores!$B$3:$B$15, 0)), INDEX(Investidores!$K$3:$K$15, MATCH(M$1, Investidores!$B$3:$B$15, 0)))-IFERROR(INDEX(Permutas!$X:$AB, MATCH($A71, Permutas!$N:$N, 0), MATCH(M$1, Permutas!$X$2:$AB$2, 0)), 0)+IF($A71=EDATE(entrega,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479495.6898932581</v>
      </c>
      <c r="N71" s="390">
        <f ca="1">IF($A71&gt;baseData, -$Z71*IF($Z71&gt;0, INDEX(Investidores!$K$3:$K$15, MATCH(N$1, Investidores!$B$3:$B$15, 0)), INDEX(Investidores!$K$3:$K$15, MATCH(N$1, Investidores!$B$3:$B$15, 0)))-IFERROR(INDEX(Permutas!$X:$AB, MATCH($A71, Permutas!$N:$N, 0), MATCH(N$1, Permutas!$X$2:$AB$2, 0)), 0)+IF($A71=EDATE(entrega,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479495.6898932581</v>
      </c>
      <c r="O71" s="390">
        <f ca="1">IF($A71&gt;baseData, -$Z71*IF($Z71&gt;0, INDEX(Investidores!$K$3:$K$15, MATCH(O$1, Investidores!$B$3:$B$15, 0)), INDEX(Investidores!$K$3:$K$15, MATCH(O$1, Investidores!$B$3:$B$15, 0)))-IFERROR(INDEX(Permutas!$X:$AB, MATCH($A71, Permutas!$N:$N, 0), MATCH(O$1, Permutas!$X$2:$AB$2, 0)), 0)+IF($A71=EDATE(entrega,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479495.6898932581</v>
      </c>
      <c r="P71" s="390">
        <f ca="1">IF($A71&gt;baseData, -$Z71*IF($Z71&gt;0, INDEX(Investidores!$K$3:$K$15, MATCH(P$1, Investidores!$B$3:$B$15, 0)), INDEX(Investidores!$K$3:$K$15, MATCH(P$1, Investidores!$B$3:$B$15, 0)))-IFERROR(INDEX(Permutas!$X:$AB, MATCH($A71, Permutas!$N:$N, 0), MATCH(P$1, Permutas!$X$2:$AB$2, 0)), 0)+IF($A71=EDATE(entrega,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71" s="390">
        <f ca="1">IF($A71&gt;baseData, -$Z71*IF($Z71&gt;0, INDEX(Investidores!$K$3:$K$15, MATCH(Q$1, Investidores!$B$3:$B$15, 0)), INDEX(Investidores!$K$3:$K$15, MATCH(Q$1, Investidores!$B$3:$B$15, 0)))-IFERROR(INDEX(Permutas!$X:$AB, MATCH($A71, Permutas!$N:$N, 0), MATCH(Q$1, Permutas!$X$2:$AB$2, 0)), 0)+IF($A71=EDATE(entrega,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71" s="390">
        <f ca="1">IF($A71&gt;baseData, -$Z71*IF($Z71&gt;0, INDEX(Investidores!$K$3:$K$15, MATCH(R$1, Investidores!$B$3:$B$15, 0)), INDEX(Investidores!$K$3:$K$15, MATCH(R$1, Investidores!$B$3:$B$15, 0)))-IFERROR(INDEX(Permutas!$X:$AB, MATCH($A71, Permutas!$N:$N, 0), MATCH(R$1, Permutas!$X$2:$AB$2, 0)), 0)+IF($A71=EDATE(entrega,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269624.48770946119</v>
      </c>
      <c r="S71" s="390">
        <f ca="1">IF($A71&gt;baseData, -$Z71*IF($Z71&gt;0, INDEX(Investidores!$K$3:$K$15, MATCH(S$1, Investidores!$B$3:$B$15, 0)), INDEX(Investidores!$K$3:$K$15, MATCH(S$1, Investidores!$B$3:$B$15, 0)))-IFERROR(INDEX(Permutas!$X:$AB, MATCH($A71, Permutas!$N:$N, 0), MATCH(S$1, Permutas!$X$2:$AB$2, 0)), 0)+IF($A71=EDATE(entrega,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71" s="390">
        <f ca="1">IF($A71&gt;baseData, -$Z71*IF($Z71&gt;0, INDEX(Investidores!$K$3:$K$15, MATCH(T$1, Investidores!$B$3:$B$15, 0)), INDEX(Investidores!$K$3:$K$15, MATCH(T$1, Investidores!$B$3:$B$15, 0)))-IFERROR(INDEX(Permutas!$X:$AB, MATCH($A71, Permutas!$N:$N, 0), MATCH(T$1, Permutas!$X$2:$AB$2, 0)), 0)+IF($A71=EDATE(entrega,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479495.6898932581</v>
      </c>
      <c r="U71" s="390">
        <f ca="1">IF($A71&gt;baseData, -$Z71*IF($Z71&gt;0, INDEX(Investidores!$K$3:$K$15, MATCH(U$1, Investidores!$B$3:$B$15, 0)), INDEX(Investidores!$K$3:$K$15, MATCH(U$1, Investidores!$B$3:$B$15, 0)))-IFERROR(INDEX(Permutas!$X:$AB, MATCH($A71, Permutas!$N:$N, 0), MATCH(U$1, Permutas!$X$2:$AB$2, 0)), 0)+IF($A71=EDATE(entrega,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479495.6898932581</v>
      </c>
      <c r="V71" s="390">
        <f ca="1">IF($A71&gt;baseData, -$Z71*IF($Z71&gt;0, INDEX(Investidores!$K$3:$K$15, MATCH(V$1, Investidores!$B$3:$B$15, 0)), INDEX(Investidores!$K$3:$K$15, MATCH(V$1, Investidores!$B$3:$B$15, 0)))-IFERROR(INDEX(Permutas!$X:$AB, MATCH($A71, Permutas!$N:$N, 0), MATCH(V$1, Permutas!$X$2:$AB$2, 0)), 0)+IF($A71=EDATE(entrega,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479495.6898932581</v>
      </c>
      <c r="W71" s="415">
        <f ca="1">IF($A71&gt;baseData, -$Z71*IF($Z71&gt;0, INDEX(Investidores!$K$3:$K$15, MATCH(W$1, Investidores!$B$3:$B$15, 0)), INDEX(Investidores!$K$3:$K$15, MATCH(W$1, Investidores!$B$3:$B$15, 0)))-IFERROR(INDEX(Permutas!$X:$AB, MATCH($A71, Permutas!$N:$N, 0), MATCH(W$1, Permutas!$X$2:$AB$2, 0)), 0)+IF($A71=EDATE(entrega,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253152.33694187587</v>
      </c>
      <c r="X71" s="398">
        <f ca="1">IF($A71&gt;baseData, -$Z71*IF($Z71&gt;0, INDEX(Investidores!$K$3:$K$15, MATCH(X$1, Investidores!$B$3:$B$15, 0)), INDEX(Investidores!$K$3:$K$15, MATCH(X$1, Investidores!$B$3:$B$15, 0)))-IFERROR(INDEX(Permutas!$X:$AB, MATCH($A71, Permutas!$N:$N, 0), MATCH(X$1, Permutas!$X$2:$AB$2, 0)), 0)+IF($A71=EDATE(entrega,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479495.6898932581</v>
      </c>
      <c r="Y71" s="390">
        <f t="shared" ca="1" si="35"/>
        <v>-4358742.3437974025</v>
      </c>
      <c r="Z71" s="397">
        <f ca="1">-INDEX('Fluxo Bandeira Co'!AZ:AZ, MATCH($A71, 'Fluxo Bandeira Co'!$A:$A, 0))</f>
        <v>-4358742.3437974015</v>
      </c>
      <c r="AA71" s="398">
        <f>INDEX('Fluxo Bandeira Co'!J:J, MATCH($A71, 'Fluxo Bandeira Co'!$A:$A, 0))+INDEX('Fluxo Bandeira Co'!AK:AK, MATCH($A71, 'Fluxo Bandeira Co'!$A:$A, 0))</f>
        <v>0</v>
      </c>
      <c r="AB71" s="371"/>
      <c r="AC71" s="397">
        <f ca="1">-INDEX('Fluxo Bandeira Co'!L:L, MATCH('Fluxo Investidores'!$A71, 'Fluxo Bandeira Co'!$A:$A, 0))</f>
        <v>5253273.8665948333</v>
      </c>
      <c r="AD71" s="398">
        <f>-INDEX('Fluxo Bandeira Co'!M:M, MATCH('Fluxo Investidores'!$A71, 'Fluxo Bandeira Co'!$A:$A, 0))</f>
        <v>0</v>
      </c>
      <c r="AF71" s="397">
        <f t="shared" ca="1" si="36"/>
        <v>7278596.9059509467</v>
      </c>
      <c r="AG71" s="398">
        <f ca="1">IFERROR(INDEX('Fluxo Projeto'!AQ:AQ, MATCH('Fluxo Investidores'!A71, 'Fluxo Projeto'!A:A, 0)), 0)</f>
        <v>7278596.9059509458</v>
      </c>
      <c r="AI71" s="397">
        <f t="shared" ca="1" si="37"/>
        <v>479495.6898932581</v>
      </c>
      <c r="AJ71" s="390">
        <f t="shared" ca="1" si="38"/>
        <v>479495.6898932581</v>
      </c>
      <c r="AK71" s="390">
        <f t="shared" ca="1" si="39"/>
        <v>479495.6898932581</v>
      </c>
      <c r="AL71" s="390">
        <f t="shared" ca="1" si="40"/>
        <v>479495.6898932581</v>
      </c>
      <c r="AM71" s="390">
        <f t="shared" ca="1" si="41"/>
        <v>0</v>
      </c>
      <c r="AN71" s="390">
        <f t="shared" ca="1" si="42"/>
        <v>0</v>
      </c>
      <c r="AO71" s="390">
        <f t="shared" ca="1" si="43"/>
        <v>269624.48770946119</v>
      </c>
      <c r="AP71" s="390">
        <f t="shared" ca="1" si="44"/>
        <v>0</v>
      </c>
      <c r="AQ71" s="390">
        <f t="shared" ca="1" si="45"/>
        <v>479495.6898932581</v>
      </c>
      <c r="AR71" s="390">
        <f t="shared" ca="1" si="46"/>
        <v>479495.6898932581</v>
      </c>
      <c r="AS71" s="390">
        <f t="shared" ca="1" si="47"/>
        <v>479495.6898932581</v>
      </c>
      <c r="AT71" s="415">
        <f t="shared" ca="1" si="48"/>
        <v>253152.33694187587</v>
      </c>
      <c r="AU71" s="398">
        <f t="shared" ca="1" si="49"/>
        <v>479495.6898932581</v>
      </c>
    </row>
    <row r="72" spans="1:47" x14ac:dyDescent="0.25">
      <c r="A72" s="197">
        <f t="shared" si="50"/>
        <v>45200</v>
      </c>
      <c r="B72" s="388">
        <f>IF($A72&lt;=baseData, INDEX(Indicadores!B:B, MATCH($A72,Indicadores!A:A, 0)), INDEX(Indicadores!B:B, MATCH(baseData,Indicadores!A:A, 0)))</f>
        <v>839.38199999999995</v>
      </c>
      <c r="C72" s="389">
        <f>IF($A72&lt;=baseData, INDEX(Indicadores!E:E, MATCH($A72, Indicadores!A:A, 0)), INDEX(Indicadores!E:E, MATCH(baseData, Indicadores!A:A, 0)))</f>
        <v>5486.52</v>
      </c>
      <c r="E72" s="397">
        <f t="shared" ca="1" si="51"/>
        <v>995005.55491425015</v>
      </c>
      <c r="F72" s="398">
        <v>0</v>
      </c>
      <c r="G72" s="371"/>
      <c r="H72" s="393">
        <f t="shared" ca="1" si="52"/>
        <v>40612.195195047258</v>
      </c>
      <c r="I72" s="371"/>
      <c r="J72" s="393">
        <f t="shared" ca="1" si="53"/>
        <v>994998.80075915938</v>
      </c>
      <c r="L72" s="397">
        <f ca="1">IF($A72&gt;baseData, -$Z72*IF($Z72&gt;0, INDEX(Investidores!$K$3:$K$15, MATCH(L$1, Investidores!$B$3:$B$15, 0)), INDEX(Investidores!$K$3:$K$15, MATCH(L$1, Investidores!$B$3:$B$15, 0)))-IFERROR(INDEX(Permutas!$X:$AB, MATCH($A72, Permutas!$N:$N, 0), MATCH(L$1, Permutas!$X$2:$AB$2, 0)), 0)+IF($A72=EDATE(entrega,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457762.00214550085</v>
      </c>
      <c r="M72" s="390">
        <f ca="1">IF($A72&gt;baseData, -$Z72*IF($Z72&gt;0, INDEX(Investidores!$K$3:$K$15, MATCH(M$1, Investidores!$B$3:$B$15, 0)), INDEX(Investidores!$K$3:$K$15, MATCH(M$1, Investidores!$B$3:$B$15, 0)))-IFERROR(INDEX(Permutas!$X:$AB, MATCH($A72, Permutas!$N:$N, 0), MATCH(M$1, Permutas!$X$2:$AB$2, 0)), 0)+IF($A72=EDATE(entrega,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457762.00214550085</v>
      </c>
      <c r="N72" s="390">
        <f ca="1">IF($A72&gt;baseData, -$Z72*IF($Z72&gt;0, INDEX(Investidores!$K$3:$K$15, MATCH(N$1, Investidores!$B$3:$B$15, 0)), INDEX(Investidores!$K$3:$K$15, MATCH(N$1, Investidores!$B$3:$B$15, 0)))-IFERROR(INDEX(Permutas!$X:$AB, MATCH($A72, Permutas!$N:$N, 0), MATCH(N$1, Permutas!$X$2:$AB$2, 0)), 0)+IF($A72=EDATE(entrega,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457762.00214550085</v>
      </c>
      <c r="O72" s="390">
        <f ca="1">IF($A72&gt;baseData, -$Z72*IF($Z72&gt;0, INDEX(Investidores!$K$3:$K$15, MATCH(O$1, Investidores!$B$3:$B$15, 0)), INDEX(Investidores!$K$3:$K$15, MATCH(O$1, Investidores!$B$3:$B$15, 0)))-IFERROR(INDEX(Permutas!$X:$AB, MATCH($A72, Permutas!$N:$N, 0), MATCH(O$1, Permutas!$X$2:$AB$2, 0)), 0)+IF($A72=EDATE(entrega,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457762.00214550085</v>
      </c>
      <c r="P72" s="390">
        <f ca="1">IF($A72&gt;baseData, -$Z72*IF($Z72&gt;0, INDEX(Investidores!$K$3:$K$15, MATCH(P$1, Investidores!$B$3:$B$15, 0)), INDEX(Investidores!$K$3:$K$15, MATCH(P$1, Investidores!$B$3:$B$15, 0)))-IFERROR(INDEX(Permutas!$X:$AB, MATCH($A72, Permutas!$N:$N, 0), MATCH(P$1, Permutas!$X$2:$AB$2, 0)), 0)+IF($A72=EDATE(entrega,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72" s="390">
        <f ca="1">IF($A72&gt;baseData, -$Z72*IF($Z72&gt;0, INDEX(Investidores!$K$3:$K$15, MATCH(Q$1, Investidores!$B$3:$B$15, 0)), INDEX(Investidores!$K$3:$K$15, MATCH(Q$1, Investidores!$B$3:$B$15, 0)))-IFERROR(INDEX(Permutas!$X:$AB, MATCH($A72, Permutas!$N:$N, 0), MATCH(Q$1, Permutas!$X$2:$AB$2, 0)), 0)+IF($A72=EDATE(entrega,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72" s="390">
        <f ca="1">IF($A72&gt;baseData, -$Z72*IF($Z72&gt;0, INDEX(Investidores!$K$3:$K$15, MATCH(R$1, Investidores!$B$3:$B$15, 0)), INDEX(Investidores!$K$3:$K$15, MATCH(R$1, Investidores!$B$3:$B$15, 0)))-IFERROR(INDEX(Permutas!$X:$AB, MATCH($A72, Permutas!$N:$N, 0), MATCH(R$1, Permutas!$X$2:$AB$2, 0)), 0)+IF($A72=EDATE(entrega,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257403.45100664755</v>
      </c>
      <c r="S72" s="390">
        <f ca="1">IF($A72&gt;baseData, -$Z72*IF($Z72&gt;0, INDEX(Investidores!$K$3:$K$15, MATCH(S$1, Investidores!$B$3:$B$15, 0)), INDEX(Investidores!$K$3:$K$15, MATCH(S$1, Investidores!$B$3:$B$15, 0)))-IFERROR(INDEX(Permutas!$X:$AB, MATCH($A72, Permutas!$N:$N, 0), MATCH(S$1, Permutas!$X$2:$AB$2, 0)), 0)+IF($A72=EDATE(entrega,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72" s="390">
        <f ca="1">IF($A72&gt;baseData, -$Z72*IF($Z72&gt;0, INDEX(Investidores!$K$3:$K$15, MATCH(T$1, Investidores!$B$3:$B$15, 0)), INDEX(Investidores!$K$3:$K$15, MATCH(T$1, Investidores!$B$3:$B$15, 0)))-IFERROR(INDEX(Permutas!$X:$AB, MATCH($A72, Permutas!$N:$N, 0), MATCH(T$1, Permutas!$X$2:$AB$2, 0)), 0)+IF($A72=EDATE(entrega,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457762.00214550085</v>
      </c>
      <c r="U72" s="390">
        <f ca="1">IF($A72&gt;baseData, -$Z72*IF($Z72&gt;0, INDEX(Investidores!$K$3:$K$15, MATCH(U$1, Investidores!$B$3:$B$15, 0)), INDEX(Investidores!$K$3:$K$15, MATCH(U$1, Investidores!$B$3:$B$15, 0)))-IFERROR(INDEX(Permutas!$X:$AB, MATCH($A72, Permutas!$N:$N, 0), MATCH(U$1, Permutas!$X$2:$AB$2, 0)), 0)+IF($A72=EDATE(entrega,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457762.00214550085</v>
      </c>
      <c r="V72" s="390">
        <f ca="1">IF($A72&gt;baseData, -$Z72*IF($Z72&gt;0, INDEX(Investidores!$K$3:$K$15, MATCH(V$1, Investidores!$B$3:$B$15, 0)), INDEX(Investidores!$K$3:$K$15, MATCH(V$1, Investidores!$B$3:$B$15, 0)))-IFERROR(INDEX(Permutas!$X:$AB, MATCH($A72, Permutas!$N:$N, 0), MATCH(V$1, Permutas!$X$2:$AB$2, 0)), 0)+IF($A72=EDATE(entrega,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457762.00214550085</v>
      </c>
      <c r="W72" s="415">
        <f ca="1">IF($A72&gt;baseData, -$Z72*IF($Z72&gt;0, INDEX(Investidores!$K$3:$K$15, MATCH(W$1, Investidores!$B$3:$B$15, 0)), INDEX(Investidores!$K$3:$K$15, MATCH(W$1, Investidores!$B$3:$B$15, 0)))-IFERROR(INDEX(Permutas!$X:$AB, MATCH($A72, Permutas!$N:$N, 0), MATCH(W$1, Permutas!$X$2:$AB$2, 0)), 0)+IF($A72=EDATE(entrega,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241677.91921575498</v>
      </c>
      <c r="X72" s="398">
        <f ca="1">IF($A72&gt;baseData, -$Z72*IF($Z72&gt;0, INDEX(Investidores!$K$3:$K$15, MATCH(X$1, Investidores!$B$3:$B$15, 0)), INDEX(Investidores!$K$3:$K$15, MATCH(X$1, Investidores!$B$3:$B$15, 0)))-IFERROR(INDEX(Permutas!$X:$AB, MATCH($A72, Permutas!$N:$N, 0), MATCH(X$1, Permutas!$X$2:$AB$2, 0)), 0)+IF($A72=EDATE(entrega,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457762.00214550085</v>
      </c>
      <c r="Y72" s="390">
        <f t="shared" ca="1" si="35"/>
        <v>-4161177.3873864096</v>
      </c>
      <c r="Z72" s="397">
        <f ca="1">-INDEX('Fluxo Bandeira Co'!AZ:AZ, MATCH($A72, 'Fluxo Bandeira Co'!$A:$A, 0))</f>
        <v>-4161177.3873864091</v>
      </c>
      <c r="AA72" s="398">
        <f>INDEX('Fluxo Bandeira Co'!J:J, MATCH($A72, 'Fluxo Bandeira Co'!$A:$A, 0))+INDEX('Fluxo Bandeira Co'!AK:AK, MATCH($A72, 'Fluxo Bandeira Co'!$A:$A, 0))</f>
        <v>0</v>
      </c>
      <c r="AB72" s="371"/>
      <c r="AC72" s="397">
        <f ca="1">-INDEX('Fluxo Bandeira Co'!L:L, MATCH('Fluxo Investidores'!$A72, 'Fluxo Bandeira Co'!$A:$A, 0))</f>
        <v>5267004.1531466274</v>
      </c>
      <c r="AD72" s="398">
        <f>-INDEX('Fluxo Bandeira Co'!M:M, MATCH('Fluxo Investidores'!$A72, 'Fluxo Bandeira Co'!$A:$A, 0))</f>
        <v>0</v>
      </c>
      <c r="AF72" s="397">
        <f t="shared" ca="1" si="36"/>
        <v>7297620.7040150836</v>
      </c>
      <c r="AG72" s="398">
        <f ca="1">IFERROR(INDEX('Fluxo Projeto'!AQ:AQ, MATCH('Fluxo Investidores'!A72, 'Fluxo Projeto'!A:A, 0)), 0)</f>
        <v>7297620.7040150836</v>
      </c>
      <c r="AI72" s="397">
        <f t="shared" ca="1" si="37"/>
        <v>457762.00214550085</v>
      </c>
      <c r="AJ72" s="390">
        <f t="shared" ca="1" si="38"/>
        <v>457762.00214550085</v>
      </c>
      <c r="AK72" s="390">
        <f t="shared" ca="1" si="39"/>
        <v>457762.00214550085</v>
      </c>
      <c r="AL72" s="390">
        <f t="shared" ca="1" si="40"/>
        <v>457762.00214550085</v>
      </c>
      <c r="AM72" s="390">
        <f t="shared" ca="1" si="41"/>
        <v>0</v>
      </c>
      <c r="AN72" s="390">
        <f t="shared" ca="1" si="42"/>
        <v>0</v>
      </c>
      <c r="AO72" s="390">
        <f t="shared" ca="1" si="43"/>
        <v>257403.45100664755</v>
      </c>
      <c r="AP72" s="390">
        <f t="shared" ca="1" si="44"/>
        <v>0</v>
      </c>
      <c r="AQ72" s="390">
        <f t="shared" ca="1" si="45"/>
        <v>457762.00214550085</v>
      </c>
      <c r="AR72" s="390">
        <f t="shared" ca="1" si="46"/>
        <v>457762.00214550085</v>
      </c>
      <c r="AS72" s="390">
        <f t="shared" ca="1" si="47"/>
        <v>457762.00214550085</v>
      </c>
      <c r="AT72" s="415">
        <f t="shared" ca="1" si="48"/>
        <v>241677.91921575498</v>
      </c>
      <c r="AU72" s="398">
        <f t="shared" ca="1" si="49"/>
        <v>457762.00214550085</v>
      </c>
    </row>
    <row r="73" spans="1:47" x14ac:dyDescent="0.25">
      <c r="A73" s="197">
        <f t="shared" si="50"/>
        <v>45231</v>
      </c>
      <c r="B73" s="388">
        <f>IF($A73&lt;=baseData, INDEX(Indicadores!B:B, MATCH($A73,Indicadores!A:A, 0)), INDEX(Indicadores!B:B, MATCH(baseData,Indicadores!A:A, 0)))</f>
        <v>839.38199999999995</v>
      </c>
      <c r="C73" s="389">
        <f>IF($A73&lt;=baseData, INDEX(Indicadores!E:E, MATCH($A73, Indicadores!A:A, 0)), INDEX(Indicadores!E:E, MATCH(baseData, Indicadores!A:A, 0)))</f>
        <v>5486.52</v>
      </c>
      <c r="E73" s="397">
        <f t="shared" ca="1" si="51"/>
        <v>190352.74073763567</v>
      </c>
      <c r="F73" s="398">
        <v>0</v>
      </c>
      <c r="G73" s="371"/>
      <c r="H73" s="393">
        <f t="shared" ca="1" si="52"/>
        <v>7769.4467378278241</v>
      </c>
      <c r="I73" s="371"/>
      <c r="J73" s="393">
        <f t="shared" ca="1" si="53"/>
        <v>190351.44861225353</v>
      </c>
      <c r="L73" s="397">
        <f ca="1">IF($A73&gt;baseData, -$Z73*IF($Z73&gt;0, INDEX(Investidores!$K$3:$K$15, MATCH(L$1, Investidores!$B$3:$B$15, 0)), INDEX(Investidores!$K$3:$K$15, MATCH(L$1, Investidores!$B$3:$B$15, 0)))-IFERROR(INDEX(Permutas!$X:$AB, MATCH($A73, Permutas!$N:$N, 0), MATCH(L$1, Permutas!$X$2:$AB$2, 0)), 0)+IF($A73=EDATE(entrega,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82909.69588240172</v>
      </c>
      <c r="M73" s="390">
        <f ca="1">IF($A73&gt;baseData, -$Z73*IF($Z73&gt;0, INDEX(Investidores!$K$3:$K$15, MATCH(M$1, Investidores!$B$3:$B$15, 0)), INDEX(Investidores!$K$3:$K$15, MATCH(M$1, Investidores!$B$3:$B$15, 0)))-IFERROR(INDEX(Permutas!$X:$AB, MATCH($A73, Permutas!$N:$N, 0), MATCH(M$1, Permutas!$X$2:$AB$2, 0)), 0)+IF($A73=EDATE(entrega,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82909.69588240172</v>
      </c>
      <c r="N73" s="390">
        <f ca="1">IF($A73&gt;baseData, -$Z73*IF($Z73&gt;0, INDEX(Investidores!$K$3:$K$15, MATCH(N$1, Investidores!$B$3:$B$15, 0)), INDEX(Investidores!$K$3:$K$15, MATCH(N$1, Investidores!$B$3:$B$15, 0)))-IFERROR(INDEX(Permutas!$X:$AB, MATCH($A73, Permutas!$N:$N, 0), MATCH(N$1, Permutas!$X$2:$AB$2, 0)), 0)+IF($A73=EDATE(entrega,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82909.69588240172</v>
      </c>
      <c r="O73" s="390">
        <f ca="1">IF($A73&gt;baseData, -$Z73*IF($Z73&gt;0, INDEX(Investidores!$K$3:$K$15, MATCH(O$1, Investidores!$B$3:$B$15, 0)), INDEX(Investidores!$K$3:$K$15, MATCH(O$1, Investidores!$B$3:$B$15, 0)))-IFERROR(INDEX(Permutas!$X:$AB, MATCH($A73, Permutas!$N:$N, 0), MATCH(O$1, Permutas!$X$2:$AB$2, 0)), 0)+IF($A73=EDATE(entrega,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82909.69588240172</v>
      </c>
      <c r="P73" s="390">
        <f ca="1">IF($A73&gt;baseData, -$Z73*IF($Z73&gt;0, INDEX(Investidores!$K$3:$K$15, MATCH(P$1, Investidores!$B$3:$B$15, 0)), INDEX(Investidores!$K$3:$K$15, MATCH(P$1, Investidores!$B$3:$B$15, 0)))-IFERROR(INDEX(Permutas!$X:$AB, MATCH($A73, Permutas!$N:$N, 0), MATCH(P$1, Permutas!$X$2:$AB$2, 0)), 0)+IF($A73=EDATE(entrega,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73" s="390">
        <f ca="1">IF($A73&gt;baseData, -$Z73*IF($Z73&gt;0, INDEX(Investidores!$K$3:$K$15, MATCH(Q$1, Investidores!$B$3:$B$15, 0)), INDEX(Investidores!$K$3:$K$15, MATCH(Q$1, Investidores!$B$3:$B$15, 0)))-IFERROR(INDEX(Permutas!$X:$AB, MATCH($A73, Permutas!$N:$N, 0), MATCH(Q$1, Permutas!$X$2:$AB$2, 0)), 0)+IF($A73=EDATE(entrega,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73" s="390">
        <f ca="1">IF($A73&gt;baseData, -$Z73*IF($Z73&gt;0, INDEX(Investidores!$K$3:$K$15, MATCH(R$1, Investidores!$B$3:$B$15, 0)), INDEX(Investidores!$K$3:$K$15, MATCH(R$1, Investidores!$B$3:$B$15, 0)))-IFERROR(INDEX(Permutas!$X:$AB, MATCH($A73, Permutas!$N:$N, 0), MATCH(R$1, Permutas!$X$2:$AB$2, 0)), 0)+IF($A73=EDATE(entrega,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46620.824231842795</v>
      </c>
      <c r="S73" s="390">
        <f ca="1">IF($A73&gt;baseData, -$Z73*IF($Z73&gt;0, INDEX(Investidores!$K$3:$K$15, MATCH(S$1, Investidores!$B$3:$B$15, 0)), INDEX(Investidores!$K$3:$K$15, MATCH(S$1, Investidores!$B$3:$B$15, 0)))-IFERROR(INDEX(Permutas!$X:$AB, MATCH($A73, Permutas!$N:$N, 0), MATCH(S$1, Permutas!$X$2:$AB$2, 0)), 0)+IF($A73=EDATE(entrega,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73" s="390">
        <f ca="1">IF($A73&gt;baseData, -$Z73*IF($Z73&gt;0, INDEX(Investidores!$K$3:$K$15, MATCH(T$1, Investidores!$B$3:$B$15, 0)), INDEX(Investidores!$K$3:$K$15, MATCH(T$1, Investidores!$B$3:$B$15, 0)))-IFERROR(INDEX(Permutas!$X:$AB, MATCH($A73, Permutas!$N:$N, 0), MATCH(T$1, Permutas!$X$2:$AB$2, 0)), 0)+IF($A73=EDATE(entrega,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82909.69588240172</v>
      </c>
      <c r="U73" s="390">
        <f ca="1">IF($A73&gt;baseData, -$Z73*IF($Z73&gt;0, INDEX(Investidores!$K$3:$K$15, MATCH(U$1, Investidores!$B$3:$B$15, 0)), INDEX(Investidores!$K$3:$K$15, MATCH(U$1, Investidores!$B$3:$B$15, 0)))-IFERROR(INDEX(Permutas!$X:$AB, MATCH($A73, Permutas!$N:$N, 0), MATCH(U$1, Permutas!$X$2:$AB$2, 0)), 0)+IF($A73=EDATE(entrega,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82909.69588240172</v>
      </c>
      <c r="V73" s="390">
        <f ca="1">IF($A73&gt;baseData, -$Z73*IF($Z73&gt;0, INDEX(Investidores!$K$3:$K$15, MATCH(V$1, Investidores!$B$3:$B$15, 0)), INDEX(Investidores!$K$3:$K$15, MATCH(V$1, Investidores!$B$3:$B$15, 0)))-IFERROR(INDEX(Permutas!$X:$AB, MATCH($A73, Permutas!$N:$N, 0), MATCH(V$1, Permutas!$X$2:$AB$2, 0)), 0)+IF($A73=EDATE(entrega,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82909.69588240172</v>
      </c>
      <c r="W73" s="415">
        <f ca="1">IF($A73&gt;baseData, -$Z73*IF($Z73&gt;0, INDEX(Investidores!$K$3:$K$15, MATCH(W$1, Investidores!$B$3:$B$15, 0)), INDEX(Investidores!$K$3:$K$15, MATCH(W$1, Investidores!$B$3:$B$15, 0)))-IFERROR(INDEX(Permutas!$X:$AB, MATCH($A73, Permutas!$N:$N, 0), MATCH(W$1, Permutas!$X$2:$AB$2, 0)), 0)+IF($A73=EDATE(entrega,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43772.621339813486</v>
      </c>
      <c r="X73" s="398">
        <f ca="1">IF($A73&gt;baseData, -$Z73*IF($Z73&gt;0, INDEX(Investidores!$K$3:$K$15, MATCH(X$1, Investidores!$B$3:$B$15, 0)), INDEX(Investidores!$K$3:$K$15, MATCH(X$1, Investidores!$B$3:$B$15, 0)))-IFERROR(INDEX(Permutas!$X:$AB, MATCH($A73, Permutas!$N:$N, 0), MATCH(X$1, Permutas!$X$2:$AB$2, 0)), 0)+IF($A73=EDATE(entrega,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82909.69588240172</v>
      </c>
      <c r="Y73" s="390">
        <f t="shared" ca="1" si="35"/>
        <v>-753671.0126308701</v>
      </c>
      <c r="Z73" s="397">
        <f ca="1">-INDEX('Fluxo Bandeira Co'!AZ:AZ, MATCH($A73, 'Fluxo Bandeira Co'!$A:$A, 0))</f>
        <v>-753671.01263086998</v>
      </c>
      <c r="AA73" s="398">
        <f>INDEX('Fluxo Bandeira Co'!J:J, MATCH($A73, 'Fluxo Bandeira Co'!$A:$A, 0))+INDEX('Fluxo Bandeira Co'!AK:AK, MATCH($A73, 'Fluxo Bandeira Co'!$A:$A, 0))</f>
        <v>0</v>
      </c>
      <c r="AB73" s="371"/>
      <c r="AC73" s="397">
        <f ca="1">-INDEX('Fluxo Bandeira Co'!L:L, MATCH('Fluxo Investidores'!$A73, 'Fluxo Bandeira Co'!$A:$A, 0))</f>
        <v>1007621.1847022038</v>
      </c>
      <c r="AD73" s="398">
        <f>-INDEX('Fluxo Bandeira Co'!M:M, MATCH('Fluxo Investidores'!$A73, 'Fluxo Bandeira Co'!$A:$A, 0))</f>
        <v>0</v>
      </c>
      <c r="AF73" s="397">
        <f t="shared" ca="1" si="36"/>
        <v>1396094.8207899209</v>
      </c>
      <c r="AG73" s="398">
        <f ca="1">IFERROR(INDEX('Fluxo Projeto'!AQ:AQ, MATCH('Fluxo Investidores'!A73, 'Fluxo Projeto'!A:A, 0)), 0)</f>
        <v>1396094.8207899206</v>
      </c>
      <c r="AI73" s="397">
        <f t="shared" ca="1" si="37"/>
        <v>82909.69588240172</v>
      </c>
      <c r="AJ73" s="390">
        <f t="shared" ca="1" si="38"/>
        <v>82909.69588240172</v>
      </c>
      <c r="AK73" s="390">
        <f t="shared" ca="1" si="39"/>
        <v>82909.69588240172</v>
      </c>
      <c r="AL73" s="390">
        <f t="shared" ca="1" si="40"/>
        <v>82909.69588240172</v>
      </c>
      <c r="AM73" s="390">
        <f t="shared" ca="1" si="41"/>
        <v>0</v>
      </c>
      <c r="AN73" s="390">
        <f t="shared" ca="1" si="42"/>
        <v>0</v>
      </c>
      <c r="AO73" s="390">
        <f t="shared" ca="1" si="43"/>
        <v>46620.824231842795</v>
      </c>
      <c r="AP73" s="390">
        <f t="shared" ca="1" si="44"/>
        <v>0</v>
      </c>
      <c r="AQ73" s="390">
        <f t="shared" ca="1" si="45"/>
        <v>82909.69588240172</v>
      </c>
      <c r="AR73" s="390">
        <f t="shared" ca="1" si="46"/>
        <v>82909.69588240172</v>
      </c>
      <c r="AS73" s="390">
        <f t="shared" ca="1" si="47"/>
        <v>82909.69588240172</v>
      </c>
      <c r="AT73" s="415">
        <f t="shared" ca="1" si="48"/>
        <v>43772.621339813486</v>
      </c>
      <c r="AU73" s="398">
        <f t="shared" ca="1" si="49"/>
        <v>82909.69588240172</v>
      </c>
    </row>
    <row r="74" spans="1:47" x14ac:dyDescent="0.25">
      <c r="A74" s="197">
        <f t="shared" si="50"/>
        <v>45261</v>
      </c>
      <c r="B74" s="388">
        <f>IF($A74&lt;=baseData, INDEX(Indicadores!B:B, MATCH($A74,Indicadores!A:A, 0)), INDEX(Indicadores!B:B, MATCH(baseData,Indicadores!A:A, 0)))</f>
        <v>839.38199999999995</v>
      </c>
      <c r="C74" s="389">
        <f>IF($A74&lt;=baseData, INDEX(Indicadores!E:E, MATCH($A74, Indicadores!A:A, 0)), INDEX(Indicadores!E:E, MATCH(baseData, Indicadores!A:A, 0)))</f>
        <v>5486.52</v>
      </c>
      <c r="E74" s="397">
        <f t="shared" ca="1" si="51"/>
        <v>248896.67626410947</v>
      </c>
      <c r="F74" s="398">
        <v>0</v>
      </c>
      <c r="G74" s="371"/>
      <c r="H74" s="393">
        <f t="shared" ca="1" si="52"/>
        <v>10158.978861889502</v>
      </c>
      <c r="I74" s="371"/>
      <c r="J74" s="393">
        <f t="shared" ca="1" si="53"/>
        <v>248894.98673911663</v>
      </c>
      <c r="L74" s="397">
        <f ca="1">IF($A74&gt;baseData, -$Z74*IF($Z74&gt;0, INDEX(Investidores!$K$3:$K$15, MATCH(L$1, Investidores!$B$3:$B$15, 0)), INDEX(Investidores!$K$3:$K$15, MATCH(L$1, Investidores!$B$3:$B$15, 0)))-IFERROR(INDEX(Permutas!$X:$AB, MATCH($A74, Permutas!$N:$N, 0), MATCH(L$1, Permutas!$X$2:$AB$2, 0)), 0)+IF($A74=EDATE(entrega,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110182.73695449828</v>
      </c>
      <c r="M74" s="390">
        <f ca="1">IF($A74&gt;baseData, -$Z74*IF($Z74&gt;0, INDEX(Investidores!$K$3:$K$15, MATCH(M$1, Investidores!$B$3:$B$15, 0)), INDEX(Investidores!$K$3:$K$15, MATCH(M$1, Investidores!$B$3:$B$15, 0)))-IFERROR(INDEX(Permutas!$X:$AB, MATCH($A74, Permutas!$N:$N, 0), MATCH(M$1, Permutas!$X$2:$AB$2, 0)), 0)+IF($A74=EDATE(entrega,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110182.73695449828</v>
      </c>
      <c r="N74" s="390">
        <f ca="1">IF($A74&gt;baseData, -$Z74*IF($Z74&gt;0, INDEX(Investidores!$K$3:$K$15, MATCH(N$1, Investidores!$B$3:$B$15, 0)), INDEX(Investidores!$K$3:$K$15, MATCH(N$1, Investidores!$B$3:$B$15, 0)))-IFERROR(INDEX(Permutas!$X:$AB, MATCH($A74, Permutas!$N:$N, 0), MATCH(N$1, Permutas!$X$2:$AB$2, 0)), 0)+IF($A74=EDATE(entrega,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110182.73695449828</v>
      </c>
      <c r="O74" s="390">
        <f ca="1">IF($A74&gt;baseData, -$Z74*IF($Z74&gt;0, INDEX(Investidores!$K$3:$K$15, MATCH(O$1, Investidores!$B$3:$B$15, 0)), INDEX(Investidores!$K$3:$K$15, MATCH(O$1, Investidores!$B$3:$B$15, 0)))-IFERROR(INDEX(Permutas!$X:$AB, MATCH($A74, Permutas!$N:$N, 0), MATCH(O$1, Permutas!$X$2:$AB$2, 0)), 0)+IF($A74=EDATE(entrega,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110182.73695449828</v>
      </c>
      <c r="P74" s="390">
        <f ca="1">IF($A74&gt;baseData, -$Z74*IF($Z74&gt;0, INDEX(Investidores!$K$3:$K$15, MATCH(P$1, Investidores!$B$3:$B$15, 0)), INDEX(Investidores!$K$3:$K$15, MATCH(P$1, Investidores!$B$3:$B$15, 0)))-IFERROR(INDEX(Permutas!$X:$AB, MATCH($A74, Permutas!$N:$N, 0), MATCH(P$1, Permutas!$X$2:$AB$2, 0)), 0)+IF($A74=EDATE(entrega,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74" s="390">
        <f ca="1">IF($A74&gt;baseData, -$Z74*IF($Z74&gt;0, INDEX(Investidores!$K$3:$K$15, MATCH(Q$1, Investidores!$B$3:$B$15, 0)), INDEX(Investidores!$K$3:$K$15, MATCH(Q$1, Investidores!$B$3:$B$15, 0)))-IFERROR(INDEX(Permutas!$X:$AB, MATCH($A74, Permutas!$N:$N, 0), MATCH(Q$1, Permutas!$X$2:$AB$2, 0)), 0)+IF($A74=EDATE(entrega,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74" s="390">
        <f ca="1">IF($A74&gt;baseData, -$Z74*IF($Z74&gt;0, INDEX(Investidores!$K$3:$K$15, MATCH(R$1, Investidores!$B$3:$B$15, 0)), INDEX(Investidores!$K$3:$K$15, MATCH(R$1, Investidores!$B$3:$B$15, 0)))-IFERROR(INDEX(Permutas!$X:$AB, MATCH($A74, Permutas!$N:$N, 0), MATCH(R$1, Permutas!$X$2:$AB$2, 0)), 0)+IF($A74=EDATE(entrega,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61956.686226723519</v>
      </c>
      <c r="S74" s="390">
        <f ca="1">IF($A74&gt;baseData, -$Z74*IF($Z74&gt;0, INDEX(Investidores!$K$3:$K$15, MATCH(S$1, Investidores!$B$3:$B$15, 0)), INDEX(Investidores!$K$3:$K$15, MATCH(S$1, Investidores!$B$3:$B$15, 0)))-IFERROR(INDEX(Permutas!$X:$AB, MATCH($A74, Permutas!$N:$N, 0), MATCH(S$1, Permutas!$X$2:$AB$2, 0)), 0)+IF($A74=EDATE(entrega,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74" s="390">
        <f ca="1">IF($A74&gt;baseData, -$Z74*IF($Z74&gt;0, INDEX(Investidores!$K$3:$K$15, MATCH(T$1, Investidores!$B$3:$B$15, 0)), INDEX(Investidores!$K$3:$K$15, MATCH(T$1, Investidores!$B$3:$B$15, 0)))-IFERROR(INDEX(Permutas!$X:$AB, MATCH($A74, Permutas!$N:$N, 0), MATCH(T$1, Permutas!$X$2:$AB$2, 0)), 0)+IF($A74=EDATE(entrega,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110182.73695449828</v>
      </c>
      <c r="U74" s="390">
        <f ca="1">IF($A74&gt;baseData, -$Z74*IF($Z74&gt;0, INDEX(Investidores!$K$3:$K$15, MATCH(U$1, Investidores!$B$3:$B$15, 0)), INDEX(Investidores!$K$3:$K$15, MATCH(U$1, Investidores!$B$3:$B$15, 0)))-IFERROR(INDEX(Permutas!$X:$AB, MATCH($A74, Permutas!$N:$N, 0), MATCH(U$1, Permutas!$X$2:$AB$2, 0)), 0)+IF($A74=EDATE(entrega,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110182.73695449828</v>
      </c>
      <c r="V74" s="390">
        <f ca="1">IF($A74&gt;baseData, -$Z74*IF($Z74&gt;0, INDEX(Investidores!$K$3:$K$15, MATCH(V$1, Investidores!$B$3:$B$15, 0)), INDEX(Investidores!$K$3:$K$15, MATCH(V$1, Investidores!$B$3:$B$15, 0)))-IFERROR(INDEX(Permutas!$X:$AB, MATCH($A74, Permutas!$N:$N, 0), MATCH(V$1, Permutas!$X$2:$AB$2, 0)), 0)+IF($A74=EDATE(entrega,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110182.73695449828</v>
      </c>
      <c r="W74" s="415">
        <f ca="1">IF($A74&gt;baseData, -$Z74*IF($Z74&gt;0, INDEX(Investidores!$K$3:$K$15, MATCH(W$1, Investidores!$B$3:$B$15, 0)), INDEX(Investidores!$K$3:$K$15, MATCH(W$1, Investidores!$B$3:$B$15, 0)))-IFERROR(INDEX(Permutas!$X:$AB, MATCH($A74, Permutas!$N:$N, 0), MATCH(W$1, Permutas!$X$2:$AB$2, 0)), 0)+IF($A74=EDATE(entrega,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58171.570545071154</v>
      </c>
      <c r="X74" s="398">
        <f ca="1">IF($A74&gt;baseData, -$Z74*IF($Z74&gt;0, INDEX(Investidores!$K$3:$K$15, MATCH(X$1, Investidores!$B$3:$B$15, 0)), INDEX(Investidores!$K$3:$K$15, MATCH(X$1, Investidores!$B$3:$B$15, 0)))-IFERROR(INDEX(Permutas!$X:$AB, MATCH($A74, Permutas!$N:$N, 0), MATCH(X$1, Permutas!$X$2:$AB$2, 0)), 0)+IF($A74=EDATE(entrega,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110182.73695449828</v>
      </c>
      <c r="Y74" s="390">
        <f t="shared" ca="1" si="35"/>
        <v>-1001590.152407781</v>
      </c>
      <c r="Z74" s="397">
        <f ca="1">-INDEX('Fluxo Bandeira Co'!AZ:AZ, MATCH($A74, 'Fluxo Bandeira Co'!$A:$A, 0))</f>
        <v>-1001590.1524077809</v>
      </c>
      <c r="AA74" s="398">
        <f>INDEX('Fluxo Bandeira Co'!J:J, MATCH($A74, 'Fluxo Bandeira Co'!$A:$A, 0))+INDEX('Fluxo Bandeira Co'!AK:AK, MATCH($A74, 'Fluxo Bandeira Co'!$A:$A, 0))</f>
        <v>0</v>
      </c>
      <c r="AB74" s="371"/>
      <c r="AC74" s="397">
        <f ca="1">-INDEX('Fluxo Bandeira Co'!L:L, MATCH('Fluxo Investidores'!$A74, 'Fluxo Bandeira Co'!$A:$A, 0))</f>
        <v>1317520.1094233424</v>
      </c>
      <c r="AD74" s="398">
        <f>-INDEX('Fluxo Bandeira Co'!M:M, MATCH('Fluxo Investidores'!$A74, 'Fluxo Bandeira Co'!$A:$A, 0))</f>
        <v>0</v>
      </c>
      <c r="AF74" s="397">
        <f t="shared" ca="1" si="36"/>
        <v>1825470.751288458</v>
      </c>
      <c r="AG74" s="398">
        <f ca="1">IFERROR(INDEX('Fluxo Projeto'!AQ:AQ, MATCH('Fluxo Investidores'!A74, 'Fluxo Projeto'!A:A, 0)), 0)</f>
        <v>1825470.7512884578</v>
      </c>
      <c r="AI74" s="397">
        <f t="shared" ca="1" si="37"/>
        <v>110182.73695449828</v>
      </c>
      <c r="AJ74" s="390">
        <f t="shared" ca="1" si="38"/>
        <v>110182.73695449828</v>
      </c>
      <c r="AK74" s="390">
        <f t="shared" ca="1" si="39"/>
        <v>110182.73695449828</v>
      </c>
      <c r="AL74" s="390">
        <f t="shared" ca="1" si="40"/>
        <v>110182.73695449828</v>
      </c>
      <c r="AM74" s="390">
        <f t="shared" ca="1" si="41"/>
        <v>0</v>
      </c>
      <c r="AN74" s="390">
        <f t="shared" ca="1" si="42"/>
        <v>0</v>
      </c>
      <c r="AO74" s="390">
        <f t="shared" ca="1" si="43"/>
        <v>61956.686226723519</v>
      </c>
      <c r="AP74" s="390">
        <f t="shared" ca="1" si="44"/>
        <v>0</v>
      </c>
      <c r="AQ74" s="390">
        <f t="shared" ca="1" si="45"/>
        <v>110182.73695449828</v>
      </c>
      <c r="AR74" s="390">
        <f t="shared" ca="1" si="46"/>
        <v>110182.73695449828</v>
      </c>
      <c r="AS74" s="390">
        <f t="shared" ca="1" si="47"/>
        <v>110182.73695449828</v>
      </c>
      <c r="AT74" s="415">
        <f t="shared" ca="1" si="48"/>
        <v>58171.570545071154</v>
      </c>
      <c r="AU74" s="398">
        <f t="shared" ca="1" si="49"/>
        <v>110182.73695449828</v>
      </c>
    </row>
    <row r="75" spans="1:47" x14ac:dyDescent="0.25">
      <c r="A75" s="197">
        <f t="shared" si="50"/>
        <v>45292</v>
      </c>
      <c r="B75" s="388">
        <f>IF($A75&lt;=baseData, INDEX(Indicadores!B:B, MATCH($A75,Indicadores!A:A, 0)), INDEX(Indicadores!B:B, MATCH(baseData,Indicadores!A:A, 0)))</f>
        <v>839.38199999999995</v>
      </c>
      <c r="C75" s="389">
        <f>IF($A75&lt;=baseData, INDEX(Indicadores!E:E, MATCH($A75, Indicadores!A:A, 0)), INDEX(Indicadores!E:E, MATCH(baseData, Indicadores!A:A, 0)))</f>
        <v>5486.52</v>
      </c>
      <c r="E75" s="397">
        <f t="shared" ca="1" si="51"/>
        <v>208719.63460724617</v>
      </c>
      <c r="F75" s="398">
        <v>0</v>
      </c>
      <c r="G75" s="371"/>
      <c r="H75" s="393">
        <f t="shared" ca="1" si="52"/>
        <v>8519.1107726418031</v>
      </c>
      <c r="I75" s="371"/>
      <c r="J75" s="393">
        <f t="shared" ca="1" si="53"/>
        <v>208718.21780632919</v>
      </c>
      <c r="L75" s="397">
        <f ca="1">IF($A75&gt;baseData, -$Z75*IF($Z75&gt;0, INDEX(Investidores!$K$3:$K$15, MATCH(L$1, Investidores!$B$3:$B$15, 0)), INDEX(Investidores!$K$3:$K$15, MATCH(L$1, Investidores!$B$3:$B$15, 0)))-IFERROR(INDEX(Permutas!$X:$AB, MATCH($A75, Permutas!$N:$N, 0), MATCH(L$1, Permutas!$X$2:$AB$2, 0)), 0)+IF($A75=EDATE(entrega,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91466.022790868723</v>
      </c>
      <c r="M75" s="390">
        <f ca="1">IF($A75&gt;baseData, -$Z75*IF($Z75&gt;0, INDEX(Investidores!$K$3:$K$15, MATCH(M$1, Investidores!$B$3:$B$15, 0)), INDEX(Investidores!$K$3:$K$15, MATCH(M$1, Investidores!$B$3:$B$15, 0)))-IFERROR(INDEX(Permutas!$X:$AB, MATCH($A75, Permutas!$N:$N, 0), MATCH(M$1, Permutas!$X$2:$AB$2, 0)), 0)+IF($A75=EDATE(entrega,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91466.022790868723</v>
      </c>
      <c r="N75" s="390">
        <f ca="1">IF($A75&gt;baseData, -$Z75*IF($Z75&gt;0, INDEX(Investidores!$K$3:$K$15, MATCH(N$1, Investidores!$B$3:$B$15, 0)), INDEX(Investidores!$K$3:$K$15, MATCH(N$1, Investidores!$B$3:$B$15, 0)))-IFERROR(INDEX(Permutas!$X:$AB, MATCH($A75, Permutas!$N:$N, 0), MATCH(N$1, Permutas!$X$2:$AB$2, 0)), 0)+IF($A75=EDATE(entrega,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91466.022790868723</v>
      </c>
      <c r="O75" s="390">
        <f ca="1">IF($A75&gt;baseData, -$Z75*IF($Z75&gt;0, INDEX(Investidores!$K$3:$K$15, MATCH(O$1, Investidores!$B$3:$B$15, 0)), INDEX(Investidores!$K$3:$K$15, MATCH(O$1, Investidores!$B$3:$B$15, 0)))-IFERROR(INDEX(Permutas!$X:$AB, MATCH($A75, Permutas!$N:$N, 0), MATCH(O$1, Permutas!$X$2:$AB$2, 0)), 0)+IF($A75=EDATE(entrega,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91466.022790868723</v>
      </c>
      <c r="P75" s="390">
        <f ca="1">IF($A75&gt;baseData, -$Z75*IF($Z75&gt;0, INDEX(Investidores!$K$3:$K$15, MATCH(P$1, Investidores!$B$3:$B$15, 0)), INDEX(Investidores!$K$3:$K$15, MATCH(P$1, Investidores!$B$3:$B$15, 0)))-IFERROR(INDEX(Permutas!$X:$AB, MATCH($A75, Permutas!$N:$N, 0), MATCH(P$1, Permutas!$X$2:$AB$2, 0)), 0)+IF($A75=EDATE(entrega,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75" s="390">
        <f ca="1">IF($A75&gt;baseData, -$Z75*IF($Z75&gt;0, INDEX(Investidores!$K$3:$K$15, MATCH(Q$1, Investidores!$B$3:$B$15, 0)), INDEX(Investidores!$K$3:$K$15, MATCH(Q$1, Investidores!$B$3:$B$15, 0)))-IFERROR(INDEX(Permutas!$X:$AB, MATCH($A75, Permutas!$N:$N, 0), MATCH(Q$1, Permutas!$X$2:$AB$2, 0)), 0)+IF($A75=EDATE(entrega,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75" s="390">
        <f ca="1">IF($A75&gt;baseData, -$Z75*IF($Z75&gt;0, INDEX(Investidores!$K$3:$K$15, MATCH(R$1, Investidores!$B$3:$B$15, 0)), INDEX(Investidores!$K$3:$K$15, MATCH(R$1, Investidores!$B$3:$B$15, 0)))-IFERROR(INDEX(Permutas!$X:$AB, MATCH($A75, Permutas!$N:$N, 0), MATCH(R$1, Permutas!$X$2:$AB$2, 0)), 0)+IF($A75=EDATE(entrega,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51432.119323741666</v>
      </c>
      <c r="S75" s="390">
        <f ca="1">IF($A75&gt;baseData, -$Z75*IF($Z75&gt;0, INDEX(Investidores!$K$3:$K$15, MATCH(S$1, Investidores!$B$3:$B$15, 0)), INDEX(Investidores!$K$3:$K$15, MATCH(S$1, Investidores!$B$3:$B$15, 0)))-IFERROR(INDEX(Permutas!$X:$AB, MATCH($A75, Permutas!$N:$N, 0), MATCH(S$1, Permutas!$X$2:$AB$2, 0)), 0)+IF($A75=EDATE(entrega,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75" s="390">
        <f ca="1">IF($A75&gt;baseData, -$Z75*IF($Z75&gt;0, INDEX(Investidores!$K$3:$K$15, MATCH(T$1, Investidores!$B$3:$B$15, 0)), INDEX(Investidores!$K$3:$K$15, MATCH(T$1, Investidores!$B$3:$B$15, 0)))-IFERROR(INDEX(Permutas!$X:$AB, MATCH($A75, Permutas!$N:$N, 0), MATCH(T$1, Permutas!$X$2:$AB$2, 0)), 0)+IF($A75=EDATE(entrega,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91466.022790868723</v>
      </c>
      <c r="U75" s="390">
        <f ca="1">IF($A75&gt;baseData, -$Z75*IF($Z75&gt;0, INDEX(Investidores!$K$3:$K$15, MATCH(U$1, Investidores!$B$3:$B$15, 0)), INDEX(Investidores!$K$3:$K$15, MATCH(U$1, Investidores!$B$3:$B$15, 0)))-IFERROR(INDEX(Permutas!$X:$AB, MATCH($A75, Permutas!$N:$N, 0), MATCH(U$1, Permutas!$X$2:$AB$2, 0)), 0)+IF($A75=EDATE(entrega,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91466.022790868723</v>
      </c>
      <c r="V75" s="390">
        <f ca="1">IF($A75&gt;baseData, -$Z75*IF($Z75&gt;0, INDEX(Investidores!$K$3:$K$15, MATCH(V$1, Investidores!$B$3:$B$15, 0)), INDEX(Investidores!$K$3:$K$15, MATCH(V$1, Investidores!$B$3:$B$15, 0)))-IFERROR(INDEX(Permutas!$X:$AB, MATCH($A75, Permutas!$N:$N, 0), MATCH(V$1, Permutas!$X$2:$AB$2, 0)), 0)+IF($A75=EDATE(entrega,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91466.022790868723</v>
      </c>
      <c r="W75" s="415">
        <f ca="1">IF($A75&gt;baseData, -$Z75*IF($Z75&gt;0, INDEX(Investidores!$K$3:$K$15, MATCH(W$1, Investidores!$B$3:$B$15, 0)), INDEX(Investidores!$K$3:$K$15, MATCH(W$1, Investidores!$B$3:$B$15, 0)))-IFERROR(INDEX(Permutas!$X:$AB, MATCH($A75, Permutas!$N:$N, 0), MATCH(W$1, Permutas!$X$2:$AB$2, 0)), 0)+IF($A75=EDATE(entrega,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48289.980302934244</v>
      </c>
      <c r="X75" s="398">
        <f ca="1">IF($A75&gt;baseData, -$Z75*IF($Z75&gt;0, INDEX(Investidores!$K$3:$K$15, MATCH(X$1, Investidores!$B$3:$B$15, 0)), INDEX(Investidores!$K$3:$K$15, MATCH(X$1, Investidores!$B$3:$B$15, 0)))-IFERROR(INDEX(Permutas!$X:$AB, MATCH($A75, Permutas!$N:$N, 0), MATCH(X$1, Permutas!$X$2:$AB$2, 0)), 0)+IF($A75=EDATE(entrega,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91466.022790868723</v>
      </c>
      <c r="Y75" s="390">
        <f t="shared" ca="1" si="35"/>
        <v>-831450.28195362585</v>
      </c>
      <c r="Z75" s="397">
        <f ca="1">-INDEX('Fluxo Bandeira Co'!AZ:AZ, MATCH($A75, 'Fluxo Bandeira Co'!$A:$A, 0))</f>
        <v>-831450.28195362573</v>
      </c>
      <c r="AA75" s="398">
        <f>INDEX('Fluxo Bandeira Co'!J:J, MATCH($A75, 'Fluxo Bandeira Co'!$A:$A, 0))+INDEX('Fluxo Bandeira Co'!AK:AK, MATCH($A75, 'Fluxo Bandeira Co'!$A:$A, 0))</f>
        <v>0</v>
      </c>
      <c r="AB75" s="371"/>
      <c r="AC75" s="397">
        <f ca="1">-INDEX('Fluxo Bandeira Co'!L:L, MATCH('Fluxo Investidores'!$A75, 'Fluxo Bandeira Co'!$A:$A, 0))</f>
        <v>1104845.2713556485</v>
      </c>
      <c r="AD75" s="398">
        <f>-INDEX('Fluxo Bandeira Co'!M:M, MATCH('Fluxo Investidores'!$A75, 'Fluxo Bandeira Co'!$A:$A, 0))</f>
        <v>0</v>
      </c>
      <c r="AF75" s="397">
        <f t="shared" ca="1" si="36"/>
        <v>1530802.2345418658</v>
      </c>
      <c r="AG75" s="398">
        <f ca="1">IFERROR(INDEX('Fluxo Projeto'!AQ:AQ, MATCH('Fluxo Investidores'!A75, 'Fluxo Projeto'!A:A, 0)), 0)</f>
        <v>1530802.2345418655</v>
      </c>
      <c r="AI75" s="397">
        <f t="shared" ca="1" si="37"/>
        <v>91466.022790868723</v>
      </c>
      <c r="AJ75" s="390">
        <f t="shared" ca="1" si="38"/>
        <v>91466.022790868723</v>
      </c>
      <c r="AK75" s="390">
        <f t="shared" ca="1" si="39"/>
        <v>91466.022790868723</v>
      </c>
      <c r="AL75" s="390">
        <f t="shared" ca="1" si="40"/>
        <v>91466.022790868723</v>
      </c>
      <c r="AM75" s="390">
        <f t="shared" ca="1" si="41"/>
        <v>0</v>
      </c>
      <c r="AN75" s="390">
        <f t="shared" ca="1" si="42"/>
        <v>0</v>
      </c>
      <c r="AO75" s="390">
        <f t="shared" ca="1" si="43"/>
        <v>51432.119323741666</v>
      </c>
      <c r="AP75" s="390">
        <f t="shared" ca="1" si="44"/>
        <v>0</v>
      </c>
      <c r="AQ75" s="390">
        <f t="shared" ca="1" si="45"/>
        <v>91466.022790868723</v>
      </c>
      <c r="AR75" s="390">
        <f t="shared" ca="1" si="46"/>
        <v>91466.022790868723</v>
      </c>
      <c r="AS75" s="390">
        <f t="shared" ca="1" si="47"/>
        <v>91466.022790868723</v>
      </c>
      <c r="AT75" s="415">
        <f t="shared" ca="1" si="48"/>
        <v>48289.980302934244</v>
      </c>
      <c r="AU75" s="398">
        <f t="shared" ca="1" si="49"/>
        <v>91466.022790868723</v>
      </c>
    </row>
    <row r="76" spans="1:47" x14ac:dyDescent="0.25">
      <c r="A76" s="197">
        <f t="shared" si="50"/>
        <v>45323</v>
      </c>
      <c r="B76" s="388">
        <f>IF($A76&lt;=baseData, INDEX(Indicadores!B:B, MATCH($A76,Indicadores!A:A, 0)), INDEX(Indicadores!B:B, MATCH(baseData,Indicadores!A:A, 0)))</f>
        <v>839.38199999999995</v>
      </c>
      <c r="C76" s="389">
        <f>IF($A76&lt;=baseData, INDEX(Indicadores!E:E, MATCH($A76, Indicadores!A:A, 0)), INDEX(Indicadores!E:E, MATCH(baseData, Indicadores!A:A, 0)))</f>
        <v>5486.52</v>
      </c>
      <c r="E76" s="397">
        <f t="shared" ca="1" si="51"/>
        <v>191782.63725215604</v>
      </c>
      <c r="F76" s="398">
        <v>0</v>
      </c>
      <c r="G76" s="371"/>
      <c r="H76" s="393">
        <f t="shared" ca="1" si="52"/>
        <v>7827.8094636132337</v>
      </c>
      <c r="I76" s="371"/>
      <c r="J76" s="393">
        <f t="shared" ca="1" si="53"/>
        <v>191781.33542055389</v>
      </c>
      <c r="L76" s="397">
        <f ca="1">IF($A76&gt;baseData, -$Z76*IF($Z76&gt;0, INDEX(Investidores!$K$3:$K$15, MATCH(L$1, Investidores!$B$3:$B$15, 0)), INDEX(Investidores!$K$3:$K$15, MATCH(L$1, Investidores!$B$3:$B$15, 0)))-IFERROR(INDEX(Permutas!$X:$AB, MATCH($A76, Permutas!$N:$N, 0), MATCH(L$1, Permutas!$X$2:$AB$2, 0)), 0)+IF($A76=EDATE(entrega,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83575.821690628698</v>
      </c>
      <c r="M76" s="390">
        <f ca="1">IF($A76&gt;baseData, -$Z76*IF($Z76&gt;0, INDEX(Investidores!$K$3:$K$15, MATCH(M$1, Investidores!$B$3:$B$15, 0)), INDEX(Investidores!$K$3:$K$15, MATCH(M$1, Investidores!$B$3:$B$15, 0)))-IFERROR(INDEX(Permutas!$X:$AB, MATCH($A76, Permutas!$N:$N, 0), MATCH(M$1, Permutas!$X$2:$AB$2, 0)), 0)+IF($A76=EDATE(entrega,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83575.821690628698</v>
      </c>
      <c r="N76" s="390">
        <f ca="1">IF($A76&gt;baseData, -$Z76*IF($Z76&gt;0, INDEX(Investidores!$K$3:$K$15, MATCH(N$1, Investidores!$B$3:$B$15, 0)), INDEX(Investidores!$K$3:$K$15, MATCH(N$1, Investidores!$B$3:$B$15, 0)))-IFERROR(INDEX(Permutas!$X:$AB, MATCH($A76, Permutas!$N:$N, 0), MATCH(N$1, Permutas!$X$2:$AB$2, 0)), 0)+IF($A76=EDATE(entrega,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83575.821690628698</v>
      </c>
      <c r="O76" s="390">
        <f ca="1">IF($A76&gt;baseData, -$Z76*IF($Z76&gt;0, INDEX(Investidores!$K$3:$K$15, MATCH(O$1, Investidores!$B$3:$B$15, 0)), INDEX(Investidores!$K$3:$K$15, MATCH(O$1, Investidores!$B$3:$B$15, 0)))-IFERROR(INDEX(Permutas!$X:$AB, MATCH($A76, Permutas!$N:$N, 0), MATCH(O$1, Permutas!$X$2:$AB$2, 0)), 0)+IF($A76=EDATE(entrega,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83575.821690628698</v>
      </c>
      <c r="P76" s="390">
        <f ca="1">IF($A76&gt;baseData, -$Z76*IF($Z76&gt;0, INDEX(Investidores!$K$3:$K$15, MATCH(P$1, Investidores!$B$3:$B$15, 0)), INDEX(Investidores!$K$3:$K$15, MATCH(P$1, Investidores!$B$3:$B$15, 0)))-IFERROR(INDEX(Permutas!$X:$AB, MATCH($A76, Permutas!$N:$N, 0), MATCH(P$1, Permutas!$X$2:$AB$2, 0)), 0)+IF($A76=EDATE(entrega,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76" s="390">
        <f ca="1">IF($A76&gt;baseData, -$Z76*IF($Z76&gt;0, INDEX(Investidores!$K$3:$K$15, MATCH(Q$1, Investidores!$B$3:$B$15, 0)), INDEX(Investidores!$K$3:$K$15, MATCH(Q$1, Investidores!$B$3:$B$15, 0)))-IFERROR(INDEX(Permutas!$X:$AB, MATCH($A76, Permutas!$N:$N, 0), MATCH(Q$1, Permutas!$X$2:$AB$2, 0)), 0)+IF($A76=EDATE(entrega,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76" s="390">
        <f ca="1">IF($A76&gt;baseData, -$Z76*IF($Z76&gt;0, INDEX(Investidores!$K$3:$K$15, MATCH(R$1, Investidores!$B$3:$B$15, 0)), INDEX(Investidores!$K$3:$K$15, MATCH(R$1, Investidores!$B$3:$B$15, 0)))-IFERROR(INDEX(Permutas!$X:$AB, MATCH($A76, Permutas!$N:$N, 0), MATCH(R$1, Permutas!$X$2:$AB$2, 0)), 0)+IF($A76=EDATE(entrega,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46995.392415830502</v>
      </c>
      <c r="S76" s="390">
        <f ca="1">IF($A76&gt;baseData, -$Z76*IF($Z76&gt;0, INDEX(Investidores!$K$3:$K$15, MATCH(S$1, Investidores!$B$3:$B$15, 0)), INDEX(Investidores!$K$3:$K$15, MATCH(S$1, Investidores!$B$3:$B$15, 0)))-IFERROR(INDEX(Permutas!$X:$AB, MATCH($A76, Permutas!$N:$N, 0), MATCH(S$1, Permutas!$X$2:$AB$2, 0)), 0)+IF($A76=EDATE(entrega,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76" s="390">
        <f ca="1">IF($A76&gt;baseData, -$Z76*IF($Z76&gt;0, INDEX(Investidores!$K$3:$K$15, MATCH(T$1, Investidores!$B$3:$B$15, 0)), INDEX(Investidores!$K$3:$K$15, MATCH(T$1, Investidores!$B$3:$B$15, 0)))-IFERROR(INDEX(Permutas!$X:$AB, MATCH($A76, Permutas!$N:$N, 0), MATCH(T$1, Permutas!$X$2:$AB$2, 0)), 0)+IF($A76=EDATE(entrega,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83575.821690628698</v>
      </c>
      <c r="U76" s="390">
        <f ca="1">IF($A76&gt;baseData, -$Z76*IF($Z76&gt;0, INDEX(Investidores!$K$3:$K$15, MATCH(U$1, Investidores!$B$3:$B$15, 0)), INDEX(Investidores!$K$3:$K$15, MATCH(U$1, Investidores!$B$3:$B$15, 0)))-IFERROR(INDEX(Permutas!$X:$AB, MATCH($A76, Permutas!$N:$N, 0), MATCH(U$1, Permutas!$X$2:$AB$2, 0)), 0)+IF($A76=EDATE(entrega,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83575.821690628698</v>
      </c>
      <c r="V76" s="390">
        <f ca="1">IF($A76&gt;baseData, -$Z76*IF($Z76&gt;0, INDEX(Investidores!$K$3:$K$15, MATCH(V$1, Investidores!$B$3:$B$15, 0)), INDEX(Investidores!$K$3:$K$15, MATCH(V$1, Investidores!$B$3:$B$15, 0)))-IFERROR(INDEX(Permutas!$X:$AB, MATCH($A76, Permutas!$N:$N, 0), MATCH(V$1, Permutas!$X$2:$AB$2, 0)), 0)+IF($A76=EDATE(entrega,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83575.821690628698</v>
      </c>
      <c r="W76" s="415">
        <f ca="1">IF($A76&gt;baseData, -$Z76*IF($Z76&gt;0, INDEX(Investidores!$K$3:$K$15, MATCH(W$1, Investidores!$B$3:$B$15, 0)), INDEX(Investidores!$K$3:$K$15, MATCH(W$1, Investidores!$B$3:$B$15, 0)))-IFERROR(INDEX(Permutas!$X:$AB, MATCH($A76, Permutas!$N:$N, 0), MATCH(W$1, Permutas!$X$2:$AB$2, 0)), 0)+IF($A76=EDATE(entrega,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44124.306054826244</v>
      </c>
      <c r="X76" s="398">
        <f ca="1">IF($A76&gt;baseData, -$Z76*IF($Z76&gt;0, INDEX(Investidores!$K$3:$K$15, MATCH(X$1, Investidores!$B$3:$B$15, 0)), INDEX(Investidores!$K$3:$K$15, MATCH(X$1, Investidores!$B$3:$B$15, 0)))-IFERROR(INDEX(Permutas!$X:$AB, MATCH($A76, Permutas!$N:$N, 0), MATCH(X$1, Permutas!$X$2:$AB$2, 0)), 0)+IF($A76=EDATE(entrega,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83575.821690628698</v>
      </c>
      <c r="Y76" s="390">
        <f t="shared" ca="1" si="35"/>
        <v>-759726.27199568623</v>
      </c>
      <c r="Z76" s="397">
        <f ca="1">-INDEX('Fluxo Bandeira Co'!AZ:AZ, MATCH($A76, 'Fluxo Bandeira Co'!$A:$A, 0))</f>
        <v>-759726.27199568634</v>
      </c>
      <c r="AA76" s="398">
        <f>INDEX('Fluxo Bandeira Co'!J:J, MATCH($A76, 'Fluxo Bandeira Co'!$A:$A, 0))+INDEX('Fluxo Bandeira Co'!AK:AK, MATCH($A76, 'Fluxo Bandeira Co'!$A:$A, 0))</f>
        <v>0</v>
      </c>
      <c r="AB76" s="371"/>
      <c r="AC76" s="397">
        <f ca="1">-INDEX('Fluxo Bandeira Co'!L:L, MATCH('Fluxo Investidores'!$A76, 'Fluxo Bandeira Co'!$A:$A, 0))</f>
        <v>1015190.2589082244</v>
      </c>
      <c r="AD76" s="398">
        <f>-INDEX('Fluxo Bandeira Co'!M:M, MATCH('Fluxo Investidores'!$A76, 'Fluxo Bandeira Co'!$A:$A, 0))</f>
        <v>0</v>
      </c>
      <c r="AF76" s="397">
        <f t="shared" ca="1" si="36"/>
        <v>1406582.0410445477</v>
      </c>
      <c r="AG76" s="398">
        <f ca="1">IFERROR(INDEX('Fluxo Projeto'!AQ:AQ, MATCH('Fluxo Investidores'!A76, 'Fluxo Projeto'!A:A, 0)), 0)</f>
        <v>1406582.0410445475</v>
      </c>
      <c r="AI76" s="397">
        <f t="shared" ca="1" si="37"/>
        <v>83575.821690628698</v>
      </c>
      <c r="AJ76" s="390">
        <f t="shared" ca="1" si="38"/>
        <v>83575.821690628698</v>
      </c>
      <c r="AK76" s="390">
        <f t="shared" ca="1" si="39"/>
        <v>83575.821690628698</v>
      </c>
      <c r="AL76" s="390">
        <f t="shared" ca="1" si="40"/>
        <v>83575.821690628698</v>
      </c>
      <c r="AM76" s="390">
        <f t="shared" ca="1" si="41"/>
        <v>0</v>
      </c>
      <c r="AN76" s="390">
        <f t="shared" ca="1" si="42"/>
        <v>0</v>
      </c>
      <c r="AO76" s="390">
        <f t="shared" ca="1" si="43"/>
        <v>46995.392415830502</v>
      </c>
      <c r="AP76" s="390">
        <f t="shared" ca="1" si="44"/>
        <v>0</v>
      </c>
      <c r="AQ76" s="390">
        <f t="shared" ca="1" si="45"/>
        <v>83575.821690628698</v>
      </c>
      <c r="AR76" s="390">
        <f t="shared" ca="1" si="46"/>
        <v>83575.821690628698</v>
      </c>
      <c r="AS76" s="390">
        <f t="shared" ca="1" si="47"/>
        <v>83575.821690628698</v>
      </c>
      <c r="AT76" s="415">
        <f t="shared" ca="1" si="48"/>
        <v>44124.306054826244</v>
      </c>
      <c r="AU76" s="398">
        <f t="shared" ca="1" si="49"/>
        <v>83575.821690628698</v>
      </c>
    </row>
    <row r="77" spans="1:47" x14ac:dyDescent="0.25">
      <c r="A77" s="197">
        <f t="shared" si="50"/>
        <v>45352</v>
      </c>
      <c r="B77" s="388">
        <f>IF($A77&lt;=baseData, INDEX(Indicadores!B:B, MATCH($A77,Indicadores!A:A, 0)), INDEX(Indicadores!B:B, MATCH(baseData,Indicadores!A:A, 0)))</f>
        <v>839.38199999999995</v>
      </c>
      <c r="C77" s="389">
        <f>IF($A77&lt;=baseData, INDEX(Indicadores!E:E, MATCH($A77, Indicadores!A:A, 0)), INDEX(Indicadores!E:E, MATCH(baseData, Indicadores!A:A, 0)))</f>
        <v>5486.52</v>
      </c>
      <c r="E77" s="397">
        <f t="shared" ca="1" si="51"/>
        <v>173048.59099085507</v>
      </c>
      <c r="F77" s="398">
        <v>0</v>
      </c>
      <c r="G77" s="371"/>
      <c r="H77" s="393">
        <f t="shared" ca="1" si="52"/>
        <v>7063.1597188964124</v>
      </c>
      <c r="I77" s="371"/>
      <c r="J77" s="393">
        <f t="shared" ca="1" si="53"/>
        <v>173047.41632703939</v>
      </c>
      <c r="L77" s="397">
        <f ca="1">IF($A77&gt;baseData, -$Z77*IF($Z77&gt;0, INDEX(Investidores!$K$3:$K$15, MATCH(L$1, Investidores!$B$3:$B$15, 0)), INDEX(Investidores!$K$3:$K$15, MATCH(L$1, Investidores!$B$3:$B$15, 0)))-IFERROR(INDEX(Permutas!$X:$AB, MATCH($A77, Permutas!$N:$N, 0), MATCH(L$1, Permutas!$X$2:$AB$2, 0)), 0)+IF($A77=EDATE(entrega,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74848.454653611334</v>
      </c>
      <c r="M77" s="390">
        <f ca="1">IF($A77&gt;baseData, -$Z77*IF($Z77&gt;0, INDEX(Investidores!$K$3:$K$15, MATCH(M$1, Investidores!$B$3:$B$15, 0)), INDEX(Investidores!$K$3:$K$15, MATCH(M$1, Investidores!$B$3:$B$15, 0)))-IFERROR(INDEX(Permutas!$X:$AB, MATCH($A77, Permutas!$N:$N, 0), MATCH(M$1, Permutas!$X$2:$AB$2, 0)), 0)+IF($A77=EDATE(entrega,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74848.454653611334</v>
      </c>
      <c r="N77" s="390">
        <f ca="1">IF($A77&gt;baseData, -$Z77*IF($Z77&gt;0, INDEX(Investidores!$K$3:$K$15, MATCH(N$1, Investidores!$B$3:$B$15, 0)), INDEX(Investidores!$K$3:$K$15, MATCH(N$1, Investidores!$B$3:$B$15, 0)))-IFERROR(INDEX(Permutas!$X:$AB, MATCH($A77, Permutas!$N:$N, 0), MATCH(N$1, Permutas!$X$2:$AB$2, 0)), 0)+IF($A77=EDATE(entrega,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74848.454653611334</v>
      </c>
      <c r="O77" s="390">
        <f ca="1">IF($A77&gt;baseData, -$Z77*IF($Z77&gt;0, INDEX(Investidores!$K$3:$K$15, MATCH(O$1, Investidores!$B$3:$B$15, 0)), INDEX(Investidores!$K$3:$K$15, MATCH(O$1, Investidores!$B$3:$B$15, 0)))-IFERROR(INDEX(Permutas!$X:$AB, MATCH($A77, Permutas!$N:$N, 0), MATCH(O$1, Permutas!$X$2:$AB$2, 0)), 0)+IF($A77=EDATE(entrega,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74848.454653611334</v>
      </c>
      <c r="P77" s="390">
        <f ca="1">IF($A77&gt;baseData, -$Z77*IF($Z77&gt;0, INDEX(Investidores!$K$3:$K$15, MATCH(P$1, Investidores!$B$3:$B$15, 0)), INDEX(Investidores!$K$3:$K$15, MATCH(P$1, Investidores!$B$3:$B$15, 0)))-IFERROR(INDEX(Permutas!$X:$AB, MATCH($A77, Permutas!$N:$N, 0), MATCH(P$1, Permutas!$X$2:$AB$2, 0)), 0)+IF($A77=EDATE(entrega,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77" s="390">
        <f ca="1">IF($A77&gt;baseData, -$Z77*IF($Z77&gt;0, INDEX(Investidores!$K$3:$K$15, MATCH(Q$1, Investidores!$B$3:$B$15, 0)), INDEX(Investidores!$K$3:$K$15, MATCH(Q$1, Investidores!$B$3:$B$15, 0)))-IFERROR(INDEX(Permutas!$X:$AB, MATCH($A77, Permutas!$N:$N, 0), MATCH(Q$1, Permutas!$X$2:$AB$2, 0)), 0)+IF($A77=EDATE(entrega,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77" s="390">
        <f ca="1">IF($A77&gt;baseData, -$Z77*IF($Z77&gt;0, INDEX(Investidores!$K$3:$K$15, MATCH(R$1, Investidores!$B$3:$B$15, 0)), INDEX(Investidores!$K$3:$K$15, MATCH(R$1, Investidores!$B$3:$B$15, 0)))-IFERROR(INDEX(Permutas!$X:$AB, MATCH($A77, Permutas!$N:$N, 0), MATCH(R$1, Permutas!$X$2:$AB$2, 0)), 0)+IF($A77=EDATE(entrega,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42087.920010954294</v>
      </c>
      <c r="S77" s="390">
        <f ca="1">IF($A77&gt;baseData, -$Z77*IF($Z77&gt;0, INDEX(Investidores!$K$3:$K$15, MATCH(S$1, Investidores!$B$3:$B$15, 0)), INDEX(Investidores!$K$3:$K$15, MATCH(S$1, Investidores!$B$3:$B$15, 0)))-IFERROR(INDEX(Permutas!$X:$AB, MATCH($A77, Permutas!$N:$N, 0), MATCH(S$1, Permutas!$X$2:$AB$2, 0)), 0)+IF($A77=EDATE(entrega,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77" s="390">
        <f ca="1">IF($A77&gt;baseData, -$Z77*IF($Z77&gt;0, INDEX(Investidores!$K$3:$K$15, MATCH(T$1, Investidores!$B$3:$B$15, 0)), INDEX(Investidores!$K$3:$K$15, MATCH(T$1, Investidores!$B$3:$B$15, 0)))-IFERROR(INDEX(Permutas!$X:$AB, MATCH($A77, Permutas!$N:$N, 0), MATCH(T$1, Permutas!$X$2:$AB$2, 0)), 0)+IF($A77=EDATE(entrega,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74848.454653611334</v>
      </c>
      <c r="U77" s="390">
        <f ca="1">IF($A77&gt;baseData, -$Z77*IF($Z77&gt;0, INDEX(Investidores!$K$3:$K$15, MATCH(U$1, Investidores!$B$3:$B$15, 0)), INDEX(Investidores!$K$3:$K$15, MATCH(U$1, Investidores!$B$3:$B$15, 0)))-IFERROR(INDEX(Permutas!$X:$AB, MATCH($A77, Permutas!$N:$N, 0), MATCH(U$1, Permutas!$X$2:$AB$2, 0)), 0)+IF($A77=EDATE(entrega,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74848.454653611334</v>
      </c>
      <c r="V77" s="390">
        <f ca="1">IF($A77&gt;baseData, -$Z77*IF($Z77&gt;0, INDEX(Investidores!$K$3:$K$15, MATCH(V$1, Investidores!$B$3:$B$15, 0)), INDEX(Investidores!$K$3:$K$15, MATCH(V$1, Investidores!$B$3:$B$15, 0)))-IFERROR(INDEX(Permutas!$X:$AB, MATCH($A77, Permutas!$N:$N, 0), MATCH(V$1, Permutas!$X$2:$AB$2, 0)), 0)+IF($A77=EDATE(entrega,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74848.454653611334</v>
      </c>
      <c r="W77" s="415">
        <f ca="1">IF($A77&gt;baseData, -$Z77*IF($Z77&gt;0, INDEX(Investidores!$K$3:$K$15, MATCH(W$1, Investidores!$B$3:$B$15, 0)), INDEX(Investidores!$K$3:$K$15, MATCH(W$1, Investidores!$B$3:$B$15, 0)))-IFERROR(INDEX(Permutas!$X:$AB, MATCH($A77, Permutas!$N:$N, 0), MATCH(W$1, Permutas!$X$2:$AB$2, 0)), 0)+IF($A77=EDATE(entrega,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39516.645532867704</v>
      </c>
      <c r="X77" s="398">
        <f ca="1">IF($A77&gt;baseData, -$Z77*IF($Z77&gt;0, INDEX(Investidores!$K$3:$K$15, MATCH(X$1, Investidores!$B$3:$B$15, 0)), INDEX(Investidores!$K$3:$K$15, MATCH(X$1, Investidores!$B$3:$B$15, 0)))-IFERROR(INDEX(Permutas!$X:$AB, MATCH($A77, Permutas!$N:$N, 0), MATCH(X$1, Permutas!$X$2:$AB$2, 0)), 0)+IF($A77=EDATE(entrega,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74848.454653611334</v>
      </c>
      <c r="Y77" s="390">
        <f t="shared" ca="1" si="35"/>
        <v>-680392.20277271268</v>
      </c>
      <c r="Z77" s="397">
        <f ca="1">-INDEX('Fluxo Bandeira Co'!AZ:AZ, MATCH($A77, 'Fluxo Bandeira Co'!$A:$A, 0))</f>
        <v>-680392.20277271268</v>
      </c>
      <c r="AA77" s="398">
        <f>INDEX('Fluxo Bandeira Co'!J:J, MATCH($A77, 'Fluxo Bandeira Co'!$A:$A, 0))+INDEX('Fluxo Bandeira Co'!AK:AK, MATCH($A77, 'Fluxo Bandeira Co'!$A:$A, 0))</f>
        <v>0</v>
      </c>
      <c r="AB77" s="371"/>
      <c r="AC77" s="397">
        <f ca="1">-INDEX('Fluxo Bandeira Co'!L:L, MATCH('Fluxo Investidores'!$A77, 'Fluxo Bandeira Co'!$A:$A, 0))</f>
        <v>916022.6723795071</v>
      </c>
      <c r="AD77" s="398">
        <f>-INDEX('Fluxo Bandeira Co'!M:M, MATCH('Fluxo Investidores'!$A77, 'Fluxo Bandeira Co'!$A:$A, 0))</f>
        <v>0</v>
      </c>
      <c r="AF77" s="397">
        <f t="shared" ca="1" si="36"/>
        <v>1269181.8394162981</v>
      </c>
      <c r="AG77" s="398">
        <f ca="1">IFERROR(INDEX('Fluxo Projeto'!AQ:AQ, MATCH('Fluxo Investidores'!A77, 'Fluxo Projeto'!A:A, 0)), 0)</f>
        <v>1269181.8394162979</v>
      </c>
      <c r="AI77" s="397">
        <f t="shared" ca="1" si="37"/>
        <v>74848.454653611334</v>
      </c>
      <c r="AJ77" s="390">
        <f t="shared" ca="1" si="38"/>
        <v>74848.454653611334</v>
      </c>
      <c r="AK77" s="390">
        <f t="shared" ca="1" si="39"/>
        <v>74848.454653611334</v>
      </c>
      <c r="AL77" s="390">
        <f t="shared" ca="1" si="40"/>
        <v>74848.454653611334</v>
      </c>
      <c r="AM77" s="390">
        <f t="shared" ca="1" si="41"/>
        <v>0</v>
      </c>
      <c r="AN77" s="390">
        <f t="shared" ca="1" si="42"/>
        <v>0</v>
      </c>
      <c r="AO77" s="390">
        <f t="shared" ca="1" si="43"/>
        <v>42087.920010954294</v>
      </c>
      <c r="AP77" s="390">
        <f t="shared" ca="1" si="44"/>
        <v>0</v>
      </c>
      <c r="AQ77" s="390">
        <f t="shared" ca="1" si="45"/>
        <v>74848.454653611334</v>
      </c>
      <c r="AR77" s="390">
        <f t="shared" ca="1" si="46"/>
        <v>74848.454653611334</v>
      </c>
      <c r="AS77" s="390">
        <f t="shared" ca="1" si="47"/>
        <v>74848.454653611334</v>
      </c>
      <c r="AT77" s="415">
        <f t="shared" ca="1" si="48"/>
        <v>39516.645532867704</v>
      </c>
      <c r="AU77" s="398">
        <f t="shared" ca="1" si="49"/>
        <v>74848.454653611334</v>
      </c>
    </row>
    <row r="78" spans="1:47" x14ac:dyDescent="0.25">
      <c r="A78" s="197">
        <f t="shared" si="50"/>
        <v>45383</v>
      </c>
      <c r="B78" s="388">
        <f>IF($A78&lt;=baseData, INDEX(Indicadores!B:B, MATCH($A78,Indicadores!A:A, 0)), INDEX(Indicadores!B:B, MATCH(baseData,Indicadores!A:A, 0)))</f>
        <v>839.38199999999995</v>
      </c>
      <c r="C78" s="389">
        <f>IF($A78&lt;=baseData, INDEX(Indicadores!E:E, MATCH($A78, Indicadores!A:A, 0)), INDEX(Indicadores!E:E, MATCH(baseData, Indicadores!A:A, 0)))</f>
        <v>5486.52</v>
      </c>
      <c r="E78" s="397">
        <f t="shared" ca="1" si="51"/>
        <v>54275.857603265438</v>
      </c>
      <c r="F78" s="398">
        <v>0</v>
      </c>
      <c r="G78" s="371"/>
      <c r="H78" s="393">
        <f t="shared" ca="1" si="52"/>
        <v>2215.3260476544474</v>
      </c>
      <c r="I78" s="371"/>
      <c r="J78" s="393">
        <f t="shared" ca="1" si="53"/>
        <v>54275.489175613831</v>
      </c>
      <c r="L78" s="397">
        <f ca="1">IF($A78&gt;baseData, -$Z78*IF($Z78&gt;0, INDEX(Investidores!$K$3:$K$15, MATCH(L$1, Investidores!$B$3:$B$15, 0)), INDEX(Investidores!$K$3:$K$15, MATCH(L$1, Investidores!$B$3:$B$15, 0)))-IFERROR(INDEX(Permutas!$X:$AB, MATCH($A78, Permutas!$N:$N, 0), MATCH(L$1, Permutas!$X$2:$AB$2, 0)), 0)+IF($A78=EDATE(entrega,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63520.592464863221</v>
      </c>
      <c r="M78" s="390">
        <f ca="1">IF($A78&gt;baseData, -$Z78*IF($Z78&gt;0, INDEX(Investidores!$K$3:$K$15, MATCH(M$1, Investidores!$B$3:$B$15, 0)), INDEX(Investidores!$K$3:$K$15, MATCH(M$1, Investidores!$B$3:$B$15, 0)))-IFERROR(INDEX(Permutas!$X:$AB, MATCH($A78, Permutas!$N:$N, 0), MATCH(M$1, Permutas!$X$2:$AB$2, 0)), 0)+IF($A78=EDATE(entrega,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63520.592464863221</v>
      </c>
      <c r="N78" s="390">
        <f ca="1">IF($A78&gt;baseData, -$Z78*IF($Z78&gt;0, INDEX(Investidores!$K$3:$K$15, MATCH(N$1, Investidores!$B$3:$B$15, 0)), INDEX(Investidores!$K$3:$K$15, MATCH(N$1, Investidores!$B$3:$B$15, 0)))-IFERROR(INDEX(Permutas!$X:$AB, MATCH($A78, Permutas!$N:$N, 0), MATCH(N$1, Permutas!$X$2:$AB$2, 0)), 0)+IF($A78=EDATE(entrega,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63520.592464863221</v>
      </c>
      <c r="O78" s="390">
        <f ca="1">IF($A78&gt;baseData, -$Z78*IF($Z78&gt;0, INDEX(Investidores!$K$3:$K$15, MATCH(O$1, Investidores!$B$3:$B$15, 0)), INDEX(Investidores!$K$3:$K$15, MATCH(O$1, Investidores!$B$3:$B$15, 0)))-IFERROR(INDEX(Permutas!$X:$AB, MATCH($A78, Permutas!$N:$N, 0), MATCH(O$1, Permutas!$X$2:$AB$2, 0)), 0)+IF($A78=EDATE(entrega,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63520.592464863221</v>
      </c>
      <c r="P78" s="390">
        <f ca="1">IF($A78&gt;baseData, -$Z78*IF($Z78&gt;0, INDEX(Investidores!$K$3:$K$15, MATCH(P$1, Investidores!$B$3:$B$15, 0)), INDEX(Investidores!$K$3:$K$15, MATCH(P$1, Investidores!$B$3:$B$15, 0)))-IFERROR(INDEX(Permutas!$X:$AB, MATCH($A78, Permutas!$N:$N, 0), MATCH(P$1, Permutas!$X$2:$AB$2, 0)), 0)+IF($A78=EDATE(entrega,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3286831.8638650216</v>
      </c>
      <c r="Q78" s="390">
        <f ca="1">IF($A78&gt;baseData, -$Z78*IF($Z78&gt;0, INDEX(Investidores!$K$3:$K$15, MATCH(Q$1, Investidores!$B$3:$B$15, 0)), INDEX(Investidores!$K$3:$K$15, MATCH(Q$1, Investidores!$B$3:$B$15, 0)))-IFERROR(INDEX(Permutas!$X:$AB, MATCH($A78, Permutas!$N:$N, 0), MATCH(Q$1, Permutas!$X$2:$AB$2, 0)), 0)+IF($A78=EDATE(entrega,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3315100.6294517671</v>
      </c>
      <c r="R78" s="390">
        <f ca="1">IF($A78&gt;baseData, -$Z78*IF($Z78&gt;0, INDEX(Investidores!$K$3:$K$15, MATCH(R$1, Investidores!$B$3:$B$15, 0)), INDEX(Investidores!$K$3:$K$15, MATCH(R$1, Investidores!$B$3:$B$15, 0)))-IFERROR(INDEX(Permutas!$X:$AB, MATCH($A78, Permutas!$N:$N, 0), MATCH(R$1, Permutas!$X$2:$AB$2, 0)), 0)+IF($A78=EDATE(entrega,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3296745.0850487258</v>
      </c>
      <c r="S78" s="390">
        <f ca="1">IF($A78&gt;baseData, -$Z78*IF($Z78&gt;0, INDEX(Investidores!$K$3:$K$15, MATCH(S$1, Investidores!$B$3:$B$15, 0)), INDEX(Investidores!$K$3:$K$15, MATCH(S$1, Investidores!$B$3:$B$15, 0)))-IFERROR(INDEX(Permutas!$X:$AB, MATCH($A78, Permutas!$N:$N, 0), MATCH(S$1, Permutas!$X$2:$AB$2, 0)), 0)+IF($A78=EDATE(entrega,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3168011.1174556958</v>
      </c>
      <c r="T78" s="390">
        <f ca="1">IF($A78&gt;baseData, -$Z78*IF($Z78&gt;0, INDEX(Investidores!$K$3:$K$15, MATCH(T$1, Investidores!$B$3:$B$15, 0)), INDEX(Investidores!$K$3:$K$15, MATCH(T$1, Investidores!$B$3:$B$15, 0)))-IFERROR(INDEX(Permutas!$X:$AB, MATCH($A78, Permutas!$N:$N, 0), MATCH(T$1, Permutas!$X$2:$AB$2, 0)), 0)+IF($A78=EDATE(entrega,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63520.592464863221</v>
      </c>
      <c r="U78" s="390">
        <f ca="1">IF($A78&gt;baseData, -$Z78*IF($Z78&gt;0, INDEX(Investidores!$K$3:$K$15, MATCH(U$1, Investidores!$B$3:$B$15, 0)), INDEX(Investidores!$K$3:$K$15, MATCH(U$1, Investidores!$B$3:$B$15, 0)))-IFERROR(INDEX(Permutas!$X:$AB, MATCH($A78, Permutas!$N:$N, 0), MATCH(U$1, Permutas!$X$2:$AB$2, 0)), 0)+IF($A78=EDATE(entrega,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63520.592464863221</v>
      </c>
      <c r="V78" s="390">
        <f ca="1">IF($A78&gt;baseData, -$Z78*IF($Z78&gt;0, INDEX(Investidores!$K$3:$K$15, MATCH(V$1, Investidores!$B$3:$B$15, 0)), INDEX(Investidores!$K$3:$K$15, MATCH(V$1, Investidores!$B$3:$B$15, 0)))-IFERROR(INDEX(Permutas!$X:$AB, MATCH($A78, Permutas!$N:$N, 0), MATCH(V$1, Permutas!$X$2:$AB$2, 0)), 0)+IF($A78=EDATE(entrega,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63520.592464863221</v>
      </c>
      <c r="W78" s="415">
        <f ca="1">IF($A78&gt;baseData, -$Z78*IF($Z78&gt;0, INDEX(Investidores!$K$3:$K$15, MATCH(W$1, Investidores!$B$3:$B$15, 0)), INDEX(Investidores!$K$3:$K$15, MATCH(W$1, Investidores!$B$3:$B$15, 0)))-IFERROR(INDEX(Permutas!$X:$AB, MATCH($A78, Permutas!$N:$N, 0), MATCH(W$1, Permutas!$X$2:$AB$2, 0)), 0)+IF($A78=EDATE(entrega,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3433292.1336347908</v>
      </c>
      <c r="X78" s="398">
        <f ca="1">IF($A78&gt;baseData, -$Z78*IF($Z78&gt;0, INDEX(Investidores!$K$3:$K$15, MATCH(X$1, Investidores!$B$3:$B$15, 0)), INDEX(Investidores!$K$3:$K$15, MATCH(X$1, Investidores!$B$3:$B$15, 0)))-IFERROR(INDEX(Permutas!$X:$AB, MATCH($A78, Permutas!$N:$N, 0), MATCH(X$1, Permutas!$X$2:$AB$2, 0)), 0)+IF($A78=EDATE(entrega,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63520.592464863221</v>
      </c>
      <c r="Y78" s="390">
        <f t="shared" ca="1" si="35"/>
        <v>-17008145.569174908</v>
      </c>
      <c r="Z78" s="397">
        <f ca="1">-INDEX('Fluxo Bandeira Co'!AZ:AZ, MATCH($A78, 'Fluxo Bandeira Co'!$A:$A, 0))</f>
        <v>-577418.94643793837</v>
      </c>
      <c r="AA78" s="398">
        <f>INDEX('Fluxo Bandeira Co'!J:J, MATCH($A78, 'Fluxo Bandeira Co'!$A:$A, 0))+INDEX('Fluxo Bandeira Co'!AK:AK, MATCH($A78, 'Fluxo Bandeira Co'!$A:$A, 0))</f>
        <v>0</v>
      </c>
      <c r="AB78" s="371"/>
      <c r="AC78" s="397">
        <f ca="1">-INDEX('Fluxo Bandeira Co'!L:L, MATCH('Fluxo Investidores'!$A78, 'Fluxo Bandeira Co'!$A:$A, 0))</f>
        <v>287306.1019610393</v>
      </c>
      <c r="AD78" s="398">
        <f>-INDEX('Fluxo Bandeira Co'!M:M, MATCH('Fluxo Investidores'!$A78, 'Fluxo Bandeira Co'!$A:$A, 0))</f>
        <v>0</v>
      </c>
      <c r="AF78" s="397">
        <f t="shared" ca="1" si="36"/>
        <v>398072.77478757303</v>
      </c>
      <c r="AG78" s="398">
        <f ca="1">IFERROR(INDEX('Fluxo Projeto'!AQ:AQ, MATCH('Fluxo Investidores'!A78, 'Fluxo Projeto'!A:A, 0)), 0)</f>
        <v>398072.77478757297</v>
      </c>
      <c r="AI78" s="397">
        <f t="shared" ca="1" si="37"/>
        <v>63520.592464863221</v>
      </c>
      <c r="AJ78" s="390">
        <f t="shared" ca="1" si="38"/>
        <v>63520.592464863221</v>
      </c>
      <c r="AK78" s="390">
        <f t="shared" ca="1" si="39"/>
        <v>63520.592464863221</v>
      </c>
      <c r="AL78" s="390">
        <f t="shared" ca="1" si="40"/>
        <v>63520.592464863221</v>
      </c>
      <c r="AM78" s="390">
        <f t="shared" ca="1" si="41"/>
        <v>3286831.8638650216</v>
      </c>
      <c r="AN78" s="390">
        <f t="shared" ca="1" si="42"/>
        <v>3315100.6294517671</v>
      </c>
      <c r="AO78" s="390">
        <f t="shared" ca="1" si="43"/>
        <v>3296745.0850487258</v>
      </c>
      <c r="AP78" s="390">
        <f t="shared" ca="1" si="44"/>
        <v>3168011.1174556958</v>
      </c>
      <c r="AQ78" s="390">
        <f t="shared" ca="1" si="45"/>
        <v>63520.592464863221</v>
      </c>
      <c r="AR78" s="390">
        <f t="shared" ca="1" si="46"/>
        <v>63520.592464863221</v>
      </c>
      <c r="AS78" s="390">
        <f t="shared" ca="1" si="47"/>
        <v>63520.592464863221</v>
      </c>
      <c r="AT78" s="415">
        <f t="shared" ca="1" si="48"/>
        <v>3433292.1336347908</v>
      </c>
      <c r="AU78" s="398">
        <f t="shared" ca="1" si="49"/>
        <v>63520.592464863221</v>
      </c>
    </row>
    <row r="79" spans="1:47" x14ac:dyDescent="0.25">
      <c r="A79" s="197">
        <f t="shared" si="50"/>
        <v>45413</v>
      </c>
      <c r="B79" s="388">
        <f>IF($A79&lt;=baseData, INDEX(Indicadores!B:B, MATCH($A79,Indicadores!A:A, 0)), INDEX(Indicadores!B:B, MATCH(baseData,Indicadores!A:A, 0)))</f>
        <v>839.38199999999995</v>
      </c>
      <c r="C79" s="389">
        <f>IF($A79&lt;=baseData, INDEX(Indicadores!E:E, MATCH($A79, Indicadores!A:A, 0)), INDEX(Indicadores!E:E, MATCH(baseData, Indicadores!A:A, 0)))</f>
        <v>5486.52</v>
      </c>
      <c r="E79" s="397">
        <f t="shared" si="51"/>
        <v>0</v>
      </c>
      <c r="F79" s="398">
        <v>0</v>
      </c>
      <c r="G79" s="371"/>
      <c r="H79" s="393">
        <f t="shared" si="52"/>
        <v>0</v>
      </c>
      <c r="I79" s="371"/>
      <c r="J79" s="393">
        <f t="shared" si="53"/>
        <v>0</v>
      </c>
      <c r="L79" s="397">
        <f ca="1">IF($A79&gt;baseData, -$Z79*IF($Z79&gt;0, INDEX(Investidores!$K$3:$K$15, MATCH(L$1, Investidores!$B$3:$B$15, 0)), INDEX(Investidores!$K$3:$K$15, MATCH(L$1, Investidores!$B$3:$B$15, 0)))-IFERROR(INDEX(Permutas!$X:$AB, MATCH($A79, Permutas!$N:$N, 0), MATCH(L$1, Permutas!$X$2:$AB$2, 0)), 0)+IF($A79=EDATE(entrega,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79" s="390">
        <f ca="1">IF($A79&gt;baseData, -$Z79*IF($Z79&gt;0, INDEX(Investidores!$K$3:$K$15, MATCH(M$1, Investidores!$B$3:$B$15, 0)), INDEX(Investidores!$K$3:$K$15, MATCH(M$1, Investidores!$B$3:$B$15, 0)))-IFERROR(INDEX(Permutas!$X:$AB, MATCH($A79, Permutas!$N:$N, 0), MATCH(M$1, Permutas!$X$2:$AB$2, 0)), 0)+IF($A79=EDATE(entrega,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79" s="390">
        <f ca="1">IF($A79&gt;baseData, -$Z79*IF($Z79&gt;0, INDEX(Investidores!$K$3:$K$15, MATCH(N$1, Investidores!$B$3:$B$15, 0)), INDEX(Investidores!$K$3:$K$15, MATCH(N$1, Investidores!$B$3:$B$15, 0)))-IFERROR(INDEX(Permutas!$X:$AB, MATCH($A79, Permutas!$N:$N, 0), MATCH(N$1, Permutas!$X$2:$AB$2, 0)), 0)+IF($A79=EDATE(entrega,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79" s="390">
        <f ca="1">IF($A79&gt;baseData, -$Z79*IF($Z79&gt;0, INDEX(Investidores!$K$3:$K$15, MATCH(O$1, Investidores!$B$3:$B$15, 0)), INDEX(Investidores!$K$3:$K$15, MATCH(O$1, Investidores!$B$3:$B$15, 0)))-IFERROR(INDEX(Permutas!$X:$AB, MATCH($A79, Permutas!$N:$N, 0), MATCH(O$1, Permutas!$X$2:$AB$2, 0)), 0)+IF($A79=EDATE(entrega,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79" s="390">
        <f ca="1">IF($A79&gt;baseData, -$Z79*IF($Z79&gt;0, INDEX(Investidores!$K$3:$K$15, MATCH(P$1, Investidores!$B$3:$B$15, 0)), INDEX(Investidores!$K$3:$K$15, MATCH(P$1, Investidores!$B$3:$B$15, 0)))-IFERROR(INDEX(Permutas!$X:$AB, MATCH($A79, Permutas!$N:$N, 0), MATCH(P$1, Permutas!$X$2:$AB$2, 0)), 0)+IF($A79=EDATE(entrega,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79" s="390">
        <f ca="1">IF($A79&gt;baseData, -$Z79*IF($Z79&gt;0, INDEX(Investidores!$K$3:$K$15, MATCH(Q$1, Investidores!$B$3:$B$15, 0)), INDEX(Investidores!$K$3:$K$15, MATCH(Q$1, Investidores!$B$3:$B$15, 0)))-IFERROR(INDEX(Permutas!$X:$AB, MATCH($A79, Permutas!$N:$N, 0), MATCH(Q$1, Permutas!$X$2:$AB$2, 0)), 0)+IF($A79=EDATE(entrega,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79" s="390">
        <f ca="1">IF($A79&gt;baseData, -$Z79*IF($Z79&gt;0, INDEX(Investidores!$K$3:$K$15, MATCH(R$1, Investidores!$B$3:$B$15, 0)), INDEX(Investidores!$K$3:$K$15, MATCH(R$1, Investidores!$B$3:$B$15, 0)))-IFERROR(INDEX(Permutas!$X:$AB, MATCH($A79, Permutas!$N:$N, 0), MATCH(R$1, Permutas!$X$2:$AB$2, 0)), 0)+IF($A79=EDATE(entrega,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79" s="390">
        <f ca="1">IF($A79&gt;baseData, -$Z79*IF($Z79&gt;0, INDEX(Investidores!$K$3:$K$15, MATCH(S$1, Investidores!$B$3:$B$15, 0)), INDEX(Investidores!$K$3:$K$15, MATCH(S$1, Investidores!$B$3:$B$15, 0)))-IFERROR(INDEX(Permutas!$X:$AB, MATCH($A79, Permutas!$N:$N, 0), MATCH(S$1, Permutas!$X$2:$AB$2, 0)), 0)+IF($A79=EDATE(entrega,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79" s="390">
        <f ca="1">IF($A79&gt;baseData, -$Z79*IF($Z79&gt;0, INDEX(Investidores!$K$3:$K$15, MATCH(T$1, Investidores!$B$3:$B$15, 0)), INDEX(Investidores!$K$3:$K$15, MATCH(T$1, Investidores!$B$3:$B$15, 0)))-IFERROR(INDEX(Permutas!$X:$AB, MATCH($A79, Permutas!$N:$N, 0), MATCH(T$1, Permutas!$X$2:$AB$2, 0)), 0)+IF($A79=EDATE(entrega,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79" s="390">
        <f ca="1">IF($A79&gt;baseData, -$Z79*IF($Z79&gt;0, INDEX(Investidores!$K$3:$K$15, MATCH(U$1, Investidores!$B$3:$B$15, 0)), INDEX(Investidores!$K$3:$K$15, MATCH(U$1, Investidores!$B$3:$B$15, 0)))-IFERROR(INDEX(Permutas!$X:$AB, MATCH($A79, Permutas!$N:$N, 0), MATCH(U$1, Permutas!$X$2:$AB$2, 0)), 0)+IF($A79=EDATE(entrega,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79" s="390">
        <f ca="1">IF($A79&gt;baseData, -$Z79*IF($Z79&gt;0, INDEX(Investidores!$K$3:$K$15, MATCH(V$1, Investidores!$B$3:$B$15, 0)), INDEX(Investidores!$K$3:$K$15, MATCH(V$1, Investidores!$B$3:$B$15, 0)))-IFERROR(INDEX(Permutas!$X:$AB, MATCH($A79, Permutas!$N:$N, 0), MATCH(V$1, Permutas!$X$2:$AB$2, 0)), 0)+IF($A79=EDATE(entrega,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79" s="415">
        <f ca="1">IF($A79&gt;baseData, -$Z79*IF($Z79&gt;0, INDEX(Investidores!$K$3:$K$15, MATCH(W$1, Investidores!$B$3:$B$15, 0)), INDEX(Investidores!$K$3:$K$15, MATCH(W$1, Investidores!$B$3:$B$15, 0)))-IFERROR(INDEX(Permutas!$X:$AB, MATCH($A79, Permutas!$N:$N, 0), MATCH(W$1, Permutas!$X$2:$AB$2, 0)), 0)+IF($A79=EDATE(entrega,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79" s="398">
        <f ca="1">IF($A79&gt;baseData, -$Z79*IF($Z79&gt;0, INDEX(Investidores!$K$3:$K$15, MATCH(X$1, Investidores!$B$3:$B$15, 0)), INDEX(Investidores!$K$3:$K$15, MATCH(X$1, Investidores!$B$3:$B$15, 0)))-IFERROR(INDEX(Permutas!$X:$AB, MATCH($A79, Permutas!$N:$N, 0), MATCH(X$1, Permutas!$X$2:$AB$2, 0)), 0)+IF($A79=EDATE(entrega,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79" s="390">
        <f t="shared" ca="1" si="35"/>
        <v>0</v>
      </c>
      <c r="Z79" s="397">
        <f ca="1">-INDEX('Fluxo Bandeira Co'!AZ:AZ, MATCH($A79, 'Fluxo Bandeira Co'!$A:$A, 0))</f>
        <v>0</v>
      </c>
      <c r="AA79" s="398">
        <f>INDEX('Fluxo Bandeira Co'!J:J, MATCH($A79, 'Fluxo Bandeira Co'!$A:$A, 0))+INDEX('Fluxo Bandeira Co'!AK:AK, MATCH($A79, 'Fluxo Bandeira Co'!$A:$A, 0))</f>
        <v>0</v>
      </c>
      <c r="AB79" s="371"/>
      <c r="AC79" s="397">
        <f>-INDEX('Fluxo Bandeira Co'!L:L, MATCH('Fluxo Investidores'!$A79, 'Fluxo Bandeira Co'!$A:$A, 0))</f>
        <v>0</v>
      </c>
      <c r="AD79" s="398">
        <f>-INDEX('Fluxo Bandeira Co'!M:M, MATCH('Fluxo Investidores'!$A79, 'Fluxo Bandeira Co'!$A:$A, 0))</f>
        <v>0</v>
      </c>
      <c r="AF79" s="397">
        <f t="shared" si="36"/>
        <v>0</v>
      </c>
      <c r="AG79" s="398">
        <f>IFERROR(INDEX('Fluxo Projeto'!AQ:AQ, MATCH('Fluxo Investidores'!A79, 'Fluxo Projeto'!A:A, 0)), 0)</f>
        <v>0</v>
      </c>
      <c r="AI79" s="397">
        <f t="shared" ca="1" si="37"/>
        <v>0</v>
      </c>
      <c r="AJ79" s="390">
        <f t="shared" ca="1" si="38"/>
        <v>0</v>
      </c>
      <c r="AK79" s="390">
        <f t="shared" ca="1" si="39"/>
        <v>0</v>
      </c>
      <c r="AL79" s="390">
        <f t="shared" ca="1" si="40"/>
        <v>0</v>
      </c>
      <c r="AM79" s="390">
        <f t="shared" ca="1" si="41"/>
        <v>0</v>
      </c>
      <c r="AN79" s="390">
        <f t="shared" ca="1" si="42"/>
        <v>0</v>
      </c>
      <c r="AO79" s="390">
        <f t="shared" ca="1" si="43"/>
        <v>0</v>
      </c>
      <c r="AP79" s="390">
        <f t="shared" ca="1" si="44"/>
        <v>0</v>
      </c>
      <c r="AQ79" s="390">
        <f t="shared" ca="1" si="45"/>
        <v>0</v>
      </c>
      <c r="AR79" s="390">
        <f t="shared" ca="1" si="46"/>
        <v>0</v>
      </c>
      <c r="AS79" s="390">
        <f t="shared" ca="1" si="47"/>
        <v>0</v>
      </c>
      <c r="AT79" s="415">
        <f t="shared" ca="1" si="48"/>
        <v>0</v>
      </c>
      <c r="AU79" s="398">
        <f t="shared" ca="1" si="49"/>
        <v>0</v>
      </c>
    </row>
    <row r="80" spans="1:47" x14ac:dyDescent="0.25">
      <c r="A80" s="197">
        <f t="shared" si="50"/>
        <v>45444</v>
      </c>
      <c r="B80" s="388">
        <f>IF($A80&lt;=baseData, INDEX(Indicadores!B:B, MATCH($A80,Indicadores!A:A, 0)), INDEX(Indicadores!B:B, MATCH(baseData,Indicadores!A:A, 0)))</f>
        <v>839.38199999999995</v>
      </c>
      <c r="C80" s="389">
        <f>IF($A80&lt;=baseData, INDEX(Indicadores!E:E, MATCH($A80, Indicadores!A:A, 0)), INDEX(Indicadores!E:E, MATCH(baseData, Indicadores!A:A, 0)))</f>
        <v>5486.52</v>
      </c>
      <c r="E80" s="397">
        <f t="shared" si="51"/>
        <v>0</v>
      </c>
      <c r="F80" s="398">
        <v>0</v>
      </c>
      <c r="G80" s="371"/>
      <c r="H80" s="393">
        <f t="shared" si="52"/>
        <v>0</v>
      </c>
      <c r="I80" s="371"/>
      <c r="J80" s="393">
        <f t="shared" si="53"/>
        <v>0</v>
      </c>
      <c r="L80" s="397">
        <f ca="1">IF($A80&gt;baseData, -$Z80*IF($Z80&gt;0, INDEX(Investidores!$K$3:$K$15, MATCH(L$1, Investidores!$B$3:$B$15, 0)), INDEX(Investidores!$K$3:$K$15, MATCH(L$1, Investidores!$B$3:$B$15, 0)))-IFERROR(INDEX(Permutas!$X:$AB, MATCH($A80, Permutas!$N:$N, 0), MATCH(L$1, Permutas!$X$2:$AB$2, 0)), 0)+IF($A80=EDATE(entrega,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80" s="390">
        <f ca="1">IF($A80&gt;baseData, -$Z80*IF($Z80&gt;0, INDEX(Investidores!$K$3:$K$15, MATCH(M$1, Investidores!$B$3:$B$15, 0)), INDEX(Investidores!$K$3:$K$15, MATCH(M$1, Investidores!$B$3:$B$15, 0)))-IFERROR(INDEX(Permutas!$X:$AB, MATCH($A80, Permutas!$N:$N, 0), MATCH(M$1, Permutas!$X$2:$AB$2, 0)), 0)+IF($A80=EDATE(entrega,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80" s="390">
        <f ca="1">IF($A80&gt;baseData, -$Z80*IF($Z80&gt;0, INDEX(Investidores!$K$3:$K$15, MATCH(N$1, Investidores!$B$3:$B$15, 0)), INDEX(Investidores!$K$3:$K$15, MATCH(N$1, Investidores!$B$3:$B$15, 0)))-IFERROR(INDEX(Permutas!$X:$AB, MATCH($A80, Permutas!$N:$N, 0), MATCH(N$1, Permutas!$X$2:$AB$2, 0)), 0)+IF($A80=EDATE(entrega,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80" s="390">
        <f ca="1">IF($A80&gt;baseData, -$Z80*IF($Z80&gt;0, INDEX(Investidores!$K$3:$K$15, MATCH(O$1, Investidores!$B$3:$B$15, 0)), INDEX(Investidores!$K$3:$K$15, MATCH(O$1, Investidores!$B$3:$B$15, 0)))-IFERROR(INDEX(Permutas!$X:$AB, MATCH($A80, Permutas!$N:$N, 0), MATCH(O$1, Permutas!$X$2:$AB$2, 0)), 0)+IF($A80=EDATE(entrega,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80" s="390">
        <f ca="1">IF($A80&gt;baseData, -$Z80*IF($Z80&gt;0, INDEX(Investidores!$K$3:$K$15, MATCH(P$1, Investidores!$B$3:$B$15, 0)), INDEX(Investidores!$K$3:$K$15, MATCH(P$1, Investidores!$B$3:$B$15, 0)))-IFERROR(INDEX(Permutas!$X:$AB, MATCH($A80, Permutas!$N:$N, 0), MATCH(P$1, Permutas!$X$2:$AB$2, 0)), 0)+IF($A80=EDATE(entrega,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80" s="390">
        <f ca="1">IF($A80&gt;baseData, -$Z80*IF($Z80&gt;0, INDEX(Investidores!$K$3:$K$15, MATCH(Q$1, Investidores!$B$3:$B$15, 0)), INDEX(Investidores!$K$3:$K$15, MATCH(Q$1, Investidores!$B$3:$B$15, 0)))-IFERROR(INDEX(Permutas!$X:$AB, MATCH($A80, Permutas!$N:$N, 0), MATCH(Q$1, Permutas!$X$2:$AB$2, 0)), 0)+IF($A80=EDATE(entrega,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80" s="390">
        <f ca="1">IF($A80&gt;baseData, -$Z80*IF($Z80&gt;0, INDEX(Investidores!$K$3:$K$15, MATCH(R$1, Investidores!$B$3:$B$15, 0)), INDEX(Investidores!$K$3:$K$15, MATCH(R$1, Investidores!$B$3:$B$15, 0)))-IFERROR(INDEX(Permutas!$X:$AB, MATCH($A80, Permutas!$N:$N, 0), MATCH(R$1, Permutas!$X$2:$AB$2, 0)), 0)+IF($A80=EDATE(entrega,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80" s="390">
        <f ca="1">IF($A80&gt;baseData, -$Z80*IF($Z80&gt;0, INDEX(Investidores!$K$3:$K$15, MATCH(S$1, Investidores!$B$3:$B$15, 0)), INDEX(Investidores!$K$3:$K$15, MATCH(S$1, Investidores!$B$3:$B$15, 0)))-IFERROR(INDEX(Permutas!$X:$AB, MATCH($A80, Permutas!$N:$N, 0), MATCH(S$1, Permutas!$X$2:$AB$2, 0)), 0)+IF($A80=EDATE(entrega,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80" s="390">
        <f ca="1">IF($A80&gt;baseData, -$Z80*IF($Z80&gt;0, INDEX(Investidores!$K$3:$K$15, MATCH(T$1, Investidores!$B$3:$B$15, 0)), INDEX(Investidores!$K$3:$K$15, MATCH(T$1, Investidores!$B$3:$B$15, 0)))-IFERROR(INDEX(Permutas!$X:$AB, MATCH($A80, Permutas!$N:$N, 0), MATCH(T$1, Permutas!$X$2:$AB$2, 0)), 0)+IF($A80=EDATE(entrega,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80" s="390">
        <f ca="1">IF($A80&gt;baseData, -$Z80*IF($Z80&gt;0, INDEX(Investidores!$K$3:$K$15, MATCH(U$1, Investidores!$B$3:$B$15, 0)), INDEX(Investidores!$K$3:$K$15, MATCH(U$1, Investidores!$B$3:$B$15, 0)))-IFERROR(INDEX(Permutas!$X:$AB, MATCH($A80, Permutas!$N:$N, 0), MATCH(U$1, Permutas!$X$2:$AB$2, 0)), 0)+IF($A80=EDATE(entrega,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80" s="390">
        <f ca="1">IF($A80&gt;baseData, -$Z80*IF($Z80&gt;0, INDEX(Investidores!$K$3:$K$15, MATCH(V$1, Investidores!$B$3:$B$15, 0)), INDEX(Investidores!$K$3:$K$15, MATCH(V$1, Investidores!$B$3:$B$15, 0)))-IFERROR(INDEX(Permutas!$X:$AB, MATCH($A80, Permutas!$N:$N, 0), MATCH(V$1, Permutas!$X$2:$AB$2, 0)), 0)+IF($A80=EDATE(entrega,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80" s="415">
        <f ca="1">IF($A80&gt;baseData, -$Z80*IF($Z80&gt;0, INDEX(Investidores!$K$3:$K$15, MATCH(W$1, Investidores!$B$3:$B$15, 0)), INDEX(Investidores!$K$3:$K$15, MATCH(W$1, Investidores!$B$3:$B$15, 0)))-IFERROR(INDEX(Permutas!$X:$AB, MATCH($A80, Permutas!$N:$N, 0), MATCH(W$1, Permutas!$X$2:$AB$2, 0)), 0)+IF($A80=EDATE(entrega,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80" s="398">
        <f ca="1">IF($A80&gt;baseData, -$Z80*IF($Z80&gt;0, INDEX(Investidores!$K$3:$K$15, MATCH(X$1, Investidores!$B$3:$B$15, 0)), INDEX(Investidores!$K$3:$K$15, MATCH(X$1, Investidores!$B$3:$B$15, 0)))-IFERROR(INDEX(Permutas!$X:$AB, MATCH($A80, Permutas!$N:$N, 0), MATCH(X$1, Permutas!$X$2:$AB$2, 0)), 0)+IF($A80=EDATE(entrega,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80" s="390">
        <f t="shared" ca="1" si="35"/>
        <v>0</v>
      </c>
      <c r="Z80" s="397">
        <f ca="1">-INDEX('Fluxo Bandeira Co'!AZ:AZ, MATCH($A80, 'Fluxo Bandeira Co'!$A:$A, 0))</f>
        <v>0</v>
      </c>
      <c r="AA80" s="398">
        <f>INDEX('Fluxo Bandeira Co'!J:J, MATCH($A80, 'Fluxo Bandeira Co'!$A:$A, 0))+INDEX('Fluxo Bandeira Co'!AK:AK, MATCH($A80, 'Fluxo Bandeira Co'!$A:$A, 0))</f>
        <v>0</v>
      </c>
      <c r="AB80" s="371"/>
      <c r="AC80" s="397">
        <f>-INDEX('Fluxo Bandeira Co'!L:L, MATCH('Fluxo Investidores'!$A80, 'Fluxo Bandeira Co'!$A:$A, 0))</f>
        <v>0</v>
      </c>
      <c r="AD80" s="398">
        <f>-INDEX('Fluxo Bandeira Co'!M:M, MATCH('Fluxo Investidores'!$A80, 'Fluxo Bandeira Co'!$A:$A, 0))</f>
        <v>0</v>
      </c>
      <c r="AF80" s="397">
        <f t="shared" si="36"/>
        <v>0</v>
      </c>
      <c r="AG80" s="398">
        <f>IFERROR(INDEX('Fluxo Projeto'!AQ:AQ, MATCH('Fluxo Investidores'!A80, 'Fluxo Projeto'!A:A, 0)), 0)</f>
        <v>0</v>
      </c>
      <c r="AI80" s="397">
        <f t="shared" ca="1" si="37"/>
        <v>0</v>
      </c>
      <c r="AJ80" s="390">
        <f t="shared" ca="1" si="38"/>
        <v>0</v>
      </c>
      <c r="AK80" s="390">
        <f t="shared" ca="1" si="39"/>
        <v>0</v>
      </c>
      <c r="AL80" s="390">
        <f t="shared" ca="1" si="40"/>
        <v>0</v>
      </c>
      <c r="AM80" s="390">
        <f t="shared" ca="1" si="41"/>
        <v>0</v>
      </c>
      <c r="AN80" s="390">
        <f t="shared" ca="1" si="42"/>
        <v>0</v>
      </c>
      <c r="AO80" s="390">
        <f t="shared" ca="1" si="43"/>
        <v>0</v>
      </c>
      <c r="AP80" s="390">
        <f t="shared" ca="1" si="44"/>
        <v>0</v>
      </c>
      <c r="AQ80" s="390">
        <f t="shared" ca="1" si="45"/>
        <v>0</v>
      </c>
      <c r="AR80" s="390">
        <f t="shared" ca="1" si="46"/>
        <v>0</v>
      </c>
      <c r="AS80" s="390">
        <f t="shared" ca="1" si="47"/>
        <v>0</v>
      </c>
      <c r="AT80" s="415">
        <f t="shared" ca="1" si="48"/>
        <v>0</v>
      </c>
      <c r="AU80" s="398">
        <f t="shared" ca="1" si="49"/>
        <v>0</v>
      </c>
    </row>
    <row r="81" spans="1:47" x14ac:dyDescent="0.25">
      <c r="A81" s="197">
        <f t="shared" si="50"/>
        <v>45474</v>
      </c>
      <c r="B81" s="388">
        <f>IF($A81&lt;=baseData, INDEX(Indicadores!B:B, MATCH($A81,Indicadores!A:A, 0)), INDEX(Indicadores!B:B, MATCH(baseData,Indicadores!A:A, 0)))</f>
        <v>839.38199999999995</v>
      </c>
      <c r="C81" s="389">
        <f>IF($A81&lt;=baseData, INDEX(Indicadores!E:E, MATCH($A81, Indicadores!A:A, 0)), INDEX(Indicadores!E:E, MATCH(baseData, Indicadores!A:A, 0)))</f>
        <v>5486.52</v>
      </c>
      <c r="E81" s="397">
        <f t="shared" si="51"/>
        <v>0</v>
      </c>
      <c r="F81" s="398">
        <v>0</v>
      </c>
      <c r="G81" s="371"/>
      <c r="H81" s="393">
        <f t="shared" si="52"/>
        <v>0</v>
      </c>
      <c r="I81" s="371"/>
      <c r="J81" s="393">
        <f t="shared" si="53"/>
        <v>0</v>
      </c>
      <c r="L81" s="397">
        <f ca="1">IF($A81&gt;baseData, -$Z81*IF($Z81&gt;0, INDEX(Investidores!$K$3:$K$15, MATCH(L$1, Investidores!$B$3:$B$15, 0)), INDEX(Investidores!$K$3:$K$15, MATCH(L$1, Investidores!$B$3:$B$15, 0)))-IFERROR(INDEX(Permutas!$X:$AB, MATCH($A81, Permutas!$N:$N, 0), MATCH(L$1, Permutas!$X$2:$AB$2, 0)), 0)+IF($A81=EDATE(entrega,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81" s="390">
        <f ca="1">IF($A81&gt;baseData, -$Z81*IF($Z81&gt;0, INDEX(Investidores!$K$3:$K$15, MATCH(M$1, Investidores!$B$3:$B$15, 0)), INDEX(Investidores!$K$3:$K$15, MATCH(M$1, Investidores!$B$3:$B$15, 0)))-IFERROR(INDEX(Permutas!$X:$AB, MATCH($A81, Permutas!$N:$N, 0), MATCH(M$1, Permutas!$X$2:$AB$2, 0)), 0)+IF($A81=EDATE(entrega,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81" s="390">
        <f ca="1">IF($A81&gt;baseData, -$Z81*IF($Z81&gt;0, INDEX(Investidores!$K$3:$K$15, MATCH(N$1, Investidores!$B$3:$B$15, 0)), INDEX(Investidores!$K$3:$K$15, MATCH(N$1, Investidores!$B$3:$B$15, 0)))-IFERROR(INDEX(Permutas!$X:$AB, MATCH($A81, Permutas!$N:$N, 0), MATCH(N$1, Permutas!$X$2:$AB$2, 0)), 0)+IF($A81=EDATE(entrega,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81" s="390">
        <f ca="1">IF($A81&gt;baseData, -$Z81*IF($Z81&gt;0, INDEX(Investidores!$K$3:$K$15, MATCH(O$1, Investidores!$B$3:$B$15, 0)), INDEX(Investidores!$K$3:$K$15, MATCH(O$1, Investidores!$B$3:$B$15, 0)))-IFERROR(INDEX(Permutas!$X:$AB, MATCH($A81, Permutas!$N:$N, 0), MATCH(O$1, Permutas!$X$2:$AB$2, 0)), 0)+IF($A81=EDATE(entrega,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81" s="390">
        <f ca="1">IF($A81&gt;baseData, -$Z81*IF($Z81&gt;0, INDEX(Investidores!$K$3:$K$15, MATCH(P$1, Investidores!$B$3:$B$15, 0)), INDEX(Investidores!$K$3:$K$15, MATCH(P$1, Investidores!$B$3:$B$15, 0)))-IFERROR(INDEX(Permutas!$X:$AB, MATCH($A81, Permutas!$N:$N, 0), MATCH(P$1, Permutas!$X$2:$AB$2, 0)), 0)+IF($A81=EDATE(entrega,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81" s="390">
        <f ca="1">IF($A81&gt;baseData, -$Z81*IF($Z81&gt;0, INDEX(Investidores!$K$3:$K$15, MATCH(Q$1, Investidores!$B$3:$B$15, 0)), INDEX(Investidores!$K$3:$K$15, MATCH(Q$1, Investidores!$B$3:$B$15, 0)))-IFERROR(INDEX(Permutas!$X:$AB, MATCH($A81, Permutas!$N:$N, 0), MATCH(Q$1, Permutas!$X$2:$AB$2, 0)), 0)+IF($A81=EDATE(entrega,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81" s="390">
        <f ca="1">IF($A81&gt;baseData, -$Z81*IF($Z81&gt;0, INDEX(Investidores!$K$3:$K$15, MATCH(R$1, Investidores!$B$3:$B$15, 0)), INDEX(Investidores!$K$3:$K$15, MATCH(R$1, Investidores!$B$3:$B$15, 0)))-IFERROR(INDEX(Permutas!$X:$AB, MATCH($A81, Permutas!$N:$N, 0), MATCH(R$1, Permutas!$X$2:$AB$2, 0)), 0)+IF($A81=EDATE(entrega,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81" s="390">
        <f ca="1">IF($A81&gt;baseData, -$Z81*IF($Z81&gt;0, INDEX(Investidores!$K$3:$K$15, MATCH(S$1, Investidores!$B$3:$B$15, 0)), INDEX(Investidores!$K$3:$K$15, MATCH(S$1, Investidores!$B$3:$B$15, 0)))-IFERROR(INDEX(Permutas!$X:$AB, MATCH($A81, Permutas!$N:$N, 0), MATCH(S$1, Permutas!$X$2:$AB$2, 0)), 0)+IF($A81=EDATE(entrega,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81" s="390">
        <f ca="1">IF($A81&gt;baseData, -$Z81*IF($Z81&gt;0, INDEX(Investidores!$K$3:$K$15, MATCH(T$1, Investidores!$B$3:$B$15, 0)), INDEX(Investidores!$K$3:$K$15, MATCH(T$1, Investidores!$B$3:$B$15, 0)))-IFERROR(INDEX(Permutas!$X:$AB, MATCH($A81, Permutas!$N:$N, 0), MATCH(T$1, Permutas!$X$2:$AB$2, 0)), 0)+IF($A81=EDATE(entrega,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81" s="390">
        <f ca="1">IF($A81&gt;baseData, -$Z81*IF($Z81&gt;0, INDEX(Investidores!$K$3:$K$15, MATCH(U$1, Investidores!$B$3:$B$15, 0)), INDEX(Investidores!$K$3:$K$15, MATCH(U$1, Investidores!$B$3:$B$15, 0)))-IFERROR(INDEX(Permutas!$X:$AB, MATCH($A81, Permutas!$N:$N, 0), MATCH(U$1, Permutas!$X$2:$AB$2, 0)), 0)+IF($A81=EDATE(entrega,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81" s="390">
        <f ca="1">IF($A81&gt;baseData, -$Z81*IF($Z81&gt;0, INDEX(Investidores!$K$3:$K$15, MATCH(V$1, Investidores!$B$3:$B$15, 0)), INDEX(Investidores!$K$3:$K$15, MATCH(V$1, Investidores!$B$3:$B$15, 0)))-IFERROR(INDEX(Permutas!$X:$AB, MATCH($A81, Permutas!$N:$N, 0), MATCH(V$1, Permutas!$X$2:$AB$2, 0)), 0)+IF($A81=EDATE(entrega,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81" s="415">
        <f ca="1">IF($A81&gt;baseData, -$Z81*IF($Z81&gt;0, INDEX(Investidores!$K$3:$K$15, MATCH(W$1, Investidores!$B$3:$B$15, 0)), INDEX(Investidores!$K$3:$K$15, MATCH(W$1, Investidores!$B$3:$B$15, 0)))-IFERROR(INDEX(Permutas!$X:$AB, MATCH($A81, Permutas!$N:$N, 0), MATCH(W$1, Permutas!$X$2:$AB$2, 0)), 0)+IF($A81=EDATE(entrega,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81" s="398">
        <f ca="1">IF($A81&gt;baseData, -$Z81*IF($Z81&gt;0, INDEX(Investidores!$K$3:$K$15, MATCH(X$1, Investidores!$B$3:$B$15, 0)), INDEX(Investidores!$K$3:$K$15, MATCH(X$1, Investidores!$B$3:$B$15, 0)))-IFERROR(INDEX(Permutas!$X:$AB, MATCH($A81, Permutas!$N:$N, 0), MATCH(X$1, Permutas!$X$2:$AB$2, 0)), 0)+IF($A81=EDATE(entrega,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81" s="390">
        <f t="shared" ca="1" si="35"/>
        <v>0</v>
      </c>
      <c r="Z81" s="397">
        <f ca="1">-INDEX('Fluxo Bandeira Co'!AZ:AZ, MATCH($A81, 'Fluxo Bandeira Co'!$A:$A, 0))</f>
        <v>0</v>
      </c>
      <c r="AA81" s="398">
        <f>INDEX('Fluxo Bandeira Co'!J:J, MATCH($A81, 'Fluxo Bandeira Co'!$A:$A, 0))+INDEX('Fluxo Bandeira Co'!AK:AK, MATCH($A81, 'Fluxo Bandeira Co'!$A:$A, 0))</f>
        <v>0</v>
      </c>
      <c r="AB81" s="371"/>
      <c r="AC81" s="397">
        <f>-INDEX('Fluxo Bandeira Co'!L:L, MATCH('Fluxo Investidores'!$A81, 'Fluxo Bandeira Co'!$A:$A, 0))</f>
        <v>0</v>
      </c>
      <c r="AD81" s="398">
        <f>-INDEX('Fluxo Bandeira Co'!M:M, MATCH('Fluxo Investidores'!$A81, 'Fluxo Bandeira Co'!$A:$A, 0))</f>
        <v>0</v>
      </c>
      <c r="AF81" s="397">
        <f t="shared" si="36"/>
        <v>0</v>
      </c>
      <c r="AG81" s="398">
        <f>IFERROR(INDEX('Fluxo Projeto'!AQ:AQ, MATCH('Fluxo Investidores'!A81, 'Fluxo Projeto'!A:A, 0)), 0)</f>
        <v>0</v>
      </c>
      <c r="AI81" s="397">
        <f t="shared" ca="1" si="37"/>
        <v>0</v>
      </c>
      <c r="AJ81" s="390">
        <f t="shared" ca="1" si="38"/>
        <v>0</v>
      </c>
      <c r="AK81" s="390">
        <f t="shared" ca="1" si="39"/>
        <v>0</v>
      </c>
      <c r="AL81" s="390">
        <f t="shared" ca="1" si="40"/>
        <v>0</v>
      </c>
      <c r="AM81" s="390">
        <f t="shared" ca="1" si="41"/>
        <v>0</v>
      </c>
      <c r="AN81" s="390">
        <f t="shared" ca="1" si="42"/>
        <v>0</v>
      </c>
      <c r="AO81" s="390">
        <f t="shared" ca="1" si="43"/>
        <v>0</v>
      </c>
      <c r="AP81" s="390">
        <f t="shared" ca="1" si="44"/>
        <v>0</v>
      </c>
      <c r="AQ81" s="390">
        <f t="shared" ca="1" si="45"/>
        <v>0</v>
      </c>
      <c r="AR81" s="390">
        <f t="shared" ca="1" si="46"/>
        <v>0</v>
      </c>
      <c r="AS81" s="390">
        <f t="shared" ca="1" si="47"/>
        <v>0</v>
      </c>
      <c r="AT81" s="415">
        <f t="shared" ca="1" si="48"/>
        <v>0</v>
      </c>
      <c r="AU81" s="398">
        <f t="shared" ca="1" si="49"/>
        <v>0</v>
      </c>
    </row>
    <row r="82" spans="1:47" x14ac:dyDescent="0.25">
      <c r="A82" s="197">
        <f t="shared" si="50"/>
        <v>45505</v>
      </c>
      <c r="B82" s="388">
        <f>IF($A82&lt;=baseData, INDEX(Indicadores!B:B, MATCH($A82,Indicadores!A:A, 0)), INDEX(Indicadores!B:B, MATCH(baseData,Indicadores!A:A, 0)))</f>
        <v>839.38199999999995</v>
      </c>
      <c r="C82" s="389">
        <f>IF($A82&lt;=baseData, INDEX(Indicadores!E:E, MATCH($A82, Indicadores!A:A, 0)), INDEX(Indicadores!E:E, MATCH(baseData, Indicadores!A:A, 0)))</f>
        <v>5486.52</v>
      </c>
      <c r="E82" s="397">
        <f t="shared" si="51"/>
        <v>0</v>
      </c>
      <c r="F82" s="398">
        <v>0</v>
      </c>
      <c r="G82" s="371"/>
      <c r="H82" s="393">
        <f t="shared" si="52"/>
        <v>0</v>
      </c>
      <c r="I82" s="371"/>
      <c r="J82" s="393">
        <f t="shared" si="53"/>
        <v>0</v>
      </c>
      <c r="L82" s="397">
        <f ca="1">IF($A82&gt;baseData, -$Z82*IF($Z82&gt;0, INDEX(Investidores!$K$3:$K$15, MATCH(L$1, Investidores!$B$3:$B$15, 0)), INDEX(Investidores!$K$3:$K$15, MATCH(L$1, Investidores!$B$3:$B$15, 0)))-IFERROR(INDEX(Permutas!$X:$AB, MATCH($A82, Permutas!$N:$N, 0), MATCH(L$1, Permutas!$X$2:$AB$2, 0)), 0)+IF($A82=EDATE(entrega,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82" s="390">
        <f ca="1">IF($A82&gt;baseData, -$Z82*IF($Z82&gt;0, INDEX(Investidores!$K$3:$K$15, MATCH(M$1, Investidores!$B$3:$B$15, 0)), INDEX(Investidores!$K$3:$K$15, MATCH(M$1, Investidores!$B$3:$B$15, 0)))-IFERROR(INDEX(Permutas!$X:$AB, MATCH($A82, Permutas!$N:$N, 0), MATCH(M$1, Permutas!$X$2:$AB$2, 0)), 0)+IF($A82=EDATE(entrega,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82" s="390">
        <f ca="1">IF($A82&gt;baseData, -$Z82*IF($Z82&gt;0, INDEX(Investidores!$K$3:$K$15, MATCH(N$1, Investidores!$B$3:$B$15, 0)), INDEX(Investidores!$K$3:$K$15, MATCH(N$1, Investidores!$B$3:$B$15, 0)))-IFERROR(INDEX(Permutas!$X:$AB, MATCH($A82, Permutas!$N:$N, 0), MATCH(N$1, Permutas!$X$2:$AB$2, 0)), 0)+IF($A82=EDATE(entrega,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82" s="390">
        <f ca="1">IF($A82&gt;baseData, -$Z82*IF($Z82&gt;0, INDEX(Investidores!$K$3:$K$15, MATCH(O$1, Investidores!$B$3:$B$15, 0)), INDEX(Investidores!$K$3:$K$15, MATCH(O$1, Investidores!$B$3:$B$15, 0)))-IFERROR(INDEX(Permutas!$X:$AB, MATCH($A82, Permutas!$N:$N, 0), MATCH(O$1, Permutas!$X$2:$AB$2, 0)), 0)+IF($A82=EDATE(entrega,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82" s="390">
        <f ca="1">IF($A82&gt;baseData, -$Z82*IF($Z82&gt;0, INDEX(Investidores!$K$3:$K$15, MATCH(P$1, Investidores!$B$3:$B$15, 0)), INDEX(Investidores!$K$3:$K$15, MATCH(P$1, Investidores!$B$3:$B$15, 0)))-IFERROR(INDEX(Permutas!$X:$AB, MATCH($A82, Permutas!$N:$N, 0), MATCH(P$1, Permutas!$X$2:$AB$2, 0)), 0)+IF($A82=EDATE(entrega,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82" s="390">
        <f ca="1">IF($A82&gt;baseData, -$Z82*IF($Z82&gt;0, INDEX(Investidores!$K$3:$K$15, MATCH(Q$1, Investidores!$B$3:$B$15, 0)), INDEX(Investidores!$K$3:$K$15, MATCH(Q$1, Investidores!$B$3:$B$15, 0)))-IFERROR(INDEX(Permutas!$X:$AB, MATCH($A82, Permutas!$N:$N, 0), MATCH(Q$1, Permutas!$X$2:$AB$2, 0)), 0)+IF($A82=EDATE(entrega,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82" s="390">
        <f ca="1">IF($A82&gt;baseData, -$Z82*IF($Z82&gt;0, INDEX(Investidores!$K$3:$K$15, MATCH(R$1, Investidores!$B$3:$B$15, 0)), INDEX(Investidores!$K$3:$K$15, MATCH(R$1, Investidores!$B$3:$B$15, 0)))-IFERROR(INDEX(Permutas!$X:$AB, MATCH($A82, Permutas!$N:$N, 0), MATCH(R$1, Permutas!$X$2:$AB$2, 0)), 0)+IF($A82=EDATE(entrega,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82" s="390">
        <f ca="1">IF($A82&gt;baseData, -$Z82*IF($Z82&gt;0, INDEX(Investidores!$K$3:$K$15, MATCH(S$1, Investidores!$B$3:$B$15, 0)), INDEX(Investidores!$K$3:$K$15, MATCH(S$1, Investidores!$B$3:$B$15, 0)))-IFERROR(INDEX(Permutas!$X:$AB, MATCH($A82, Permutas!$N:$N, 0), MATCH(S$1, Permutas!$X$2:$AB$2, 0)), 0)+IF($A82=EDATE(entrega,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82" s="390">
        <f ca="1">IF($A82&gt;baseData, -$Z82*IF($Z82&gt;0, INDEX(Investidores!$K$3:$K$15, MATCH(T$1, Investidores!$B$3:$B$15, 0)), INDEX(Investidores!$K$3:$K$15, MATCH(T$1, Investidores!$B$3:$B$15, 0)))-IFERROR(INDEX(Permutas!$X:$AB, MATCH($A82, Permutas!$N:$N, 0), MATCH(T$1, Permutas!$X$2:$AB$2, 0)), 0)+IF($A82=EDATE(entrega,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82" s="390">
        <f ca="1">IF($A82&gt;baseData, -$Z82*IF($Z82&gt;0, INDEX(Investidores!$K$3:$K$15, MATCH(U$1, Investidores!$B$3:$B$15, 0)), INDEX(Investidores!$K$3:$K$15, MATCH(U$1, Investidores!$B$3:$B$15, 0)))-IFERROR(INDEX(Permutas!$X:$AB, MATCH($A82, Permutas!$N:$N, 0), MATCH(U$1, Permutas!$X$2:$AB$2, 0)), 0)+IF($A82=EDATE(entrega,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82" s="390">
        <f ca="1">IF($A82&gt;baseData, -$Z82*IF($Z82&gt;0, INDEX(Investidores!$K$3:$K$15, MATCH(V$1, Investidores!$B$3:$B$15, 0)), INDEX(Investidores!$K$3:$K$15, MATCH(V$1, Investidores!$B$3:$B$15, 0)))-IFERROR(INDEX(Permutas!$X:$AB, MATCH($A82, Permutas!$N:$N, 0), MATCH(V$1, Permutas!$X$2:$AB$2, 0)), 0)+IF($A82=EDATE(entrega,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82" s="415">
        <f ca="1">IF($A82&gt;baseData, -$Z82*IF($Z82&gt;0, INDEX(Investidores!$K$3:$K$15, MATCH(W$1, Investidores!$B$3:$B$15, 0)), INDEX(Investidores!$K$3:$K$15, MATCH(W$1, Investidores!$B$3:$B$15, 0)))-IFERROR(INDEX(Permutas!$X:$AB, MATCH($A82, Permutas!$N:$N, 0), MATCH(W$1, Permutas!$X$2:$AB$2, 0)), 0)+IF($A82=EDATE(entrega,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82" s="398">
        <f ca="1">IF($A82&gt;baseData, -$Z82*IF($Z82&gt;0, INDEX(Investidores!$K$3:$K$15, MATCH(X$1, Investidores!$B$3:$B$15, 0)), INDEX(Investidores!$K$3:$K$15, MATCH(X$1, Investidores!$B$3:$B$15, 0)))-IFERROR(INDEX(Permutas!$X:$AB, MATCH($A82, Permutas!$N:$N, 0), MATCH(X$1, Permutas!$X$2:$AB$2, 0)), 0)+IF($A82=EDATE(entrega,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82" s="390">
        <f t="shared" ca="1" si="35"/>
        <v>0</v>
      </c>
      <c r="Z82" s="397">
        <f ca="1">-INDEX('Fluxo Bandeira Co'!AZ:AZ, MATCH($A82, 'Fluxo Bandeira Co'!$A:$A, 0))</f>
        <v>0</v>
      </c>
      <c r="AA82" s="398">
        <f>INDEX('Fluxo Bandeira Co'!J:J, MATCH($A82, 'Fluxo Bandeira Co'!$A:$A, 0))+INDEX('Fluxo Bandeira Co'!AK:AK, MATCH($A82, 'Fluxo Bandeira Co'!$A:$A, 0))</f>
        <v>0</v>
      </c>
      <c r="AB82" s="371"/>
      <c r="AC82" s="397">
        <f>-INDEX('Fluxo Bandeira Co'!L:L, MATCH('Fluxo Investidores'!$A82, 'Fluxo Bandeira Co'!$A:$A, 0))</f>
        <v>0</v>
      </c>
      <c r="AD82" s="398">
        <f>-INDEX('Fluxo Bandeira Co'!M:M, MATCH('Fluxo Investidores'!$A82, 'Fluxo Bandeira Co'!$A:$A, 0))</f>
        <v>0</v>
      </c>
      <c r="AF82" s="397">
        <f t="shared" si="36"/>
        <v>0</v>
      </c>
      <c r="AG82" s="398">
        <f>IFERROR(INDEX('Fluxo Projeto'!AQ:AQ, MATCH('Fluxo Investidores'!A82, 'Fluxo Projeto'!A:A, 0)), 0)</f>
        <v>0</v>
      </c>
      <c r="AI82" s="397">
        <f t="shared" ca="1" si="37"/>
        <v>0</v>
      </c>
      <c r="AJ82" s="390">
        <f t="shared" ca="1" si="38"/>
        <v>0</v>
      </c>
      <c r="AK82" s="390">
        <f t="shared" ca="1" si="39"/>
        <v>0</v>
      </c>
      <c r="AL82" s="390">
        <f t="shared" ca="1" si="40"/>
        <v>0</v>
      </c>
      <c r="AM82" s="390">
        <f t="shared" ca="1" si="41"/>
        <v>0</v>
      </c>
      <c r="AN82" s="390">
        <f t="shared" ca="1" si="42"/>
        <v>0</v>
      </c>
      <c r="AO82" s="390">
        <f t="shared" ca="1" si="43"/>
        <v>0</v>
      </c>
      <c r="AP82" s="390">
        <f t="shared" ca="1" si="44"/>
        <v>0</v>
      </c>
      <c r="AQ82" s="390">
        <f t="shared" ca="1" si="45"/>
        <v>0</v>
      </c>
      <c r="AR82" s="390">
        <f t="shared" ca="1" si="46"/>
        <v>0</v>
      </c>
      <c r="AS82" s="390">
        <f t="shared" ca="1" si="47"/>
        <v>0</v>
      </c>
      <c r="AT82" s="415">
        <f t="shared" ca="1" si="48"/>
        <v>0</v>
      </c>
      <c r="AU82" s="398">
        <f t="shared" ca="1" si="49"/>
        <v>0</v>
      </c>
    </row>
    <row r="83" spans="1:47" x14ac:dyDescent="0.25">
      <c r="A83" s="197">
        <f t="shared" si="50"/>
        <v>45536</v>
      </c>
      <c r="B83" s="388">
        <f>IF($A83&lt;=baseData, INDEX(Indicadores!B:B, MATCH($A83,Indicadores!A:A, 0)), INDEX(Indicadores!B:B, MATCH(baseData,Indicadores!A:A, 0)))</f>
        <v>839.38199999999995</v>
      </c>
      <c r="C83" s="389">
        <f>IF($A83&lt;=baseData, INDEX(Indicadores!E:E, MATCH($A83, Indicadores!A:A, 0)), INDEX(Indicadores!E:E, MATCH(baseData, Indicadores!A:A, 0)))</f>
        <v>5486.52</v>
      </c>
      <c r="E83" s="397">
        <f t="shared" si="51"/>
        <v>0</v>
      </c>
      <c r="F83" s="398">
        <v>0</v>
      </c>
      <c r="G83" s="371"/>
      <c r="H83" s="393">
        <f t="shared" si="52"/>
        <v>0</v>
      </c>
      <c r="I83" s="371"/>
      <c r="J83" s="393">
        <f t="shared" si="53"/>
        <v>0</v>
      </c>
      <c r="L83" s="397">
        <f ca="1">IF($A83&gt;baseData, -$Z83*IF($Z83&gt;0, INDEX(Investidores!$K$3:$K$15, MATCH(L$1, Investidores!$B$3:$B$15, 0)), INDEX(Investidores!$K$3:$K$15, MATCH(L$1, Investidores!$B$3:$B$15, 0)))-IFERROR(INDEX(Permutas!$X:$AB, MATCH($A83, Permutas!$N:$N, 0), MATCH(L$1, Permutas!$X$2:$AB$2, 0)), 0)+IF($A83=EDATE(entrega,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83" s="390">
        <f ca="1">IF($A83&gt;baseData, -$Z83*IF($Z83&gt;0, INDEX(Investidores!$K$3:$K$15, MATCH(M$1, Investidores!$B$3:$B$15, 0)), INDEX(Investidores!$K$3:$K$15, MATCH(M$1, Investidores!$B$3:$B$15, 0)))-IFERROR(INDEX(Permutas!$X:$AB, MATCH($A83, Permutas!$N:$N, 0), MATCH(M$1, Permutas!$X$2:$AB$2, 0)), 0)+IF($A83=EDATE(entrega,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83" s="390">
        <f ca="1">IF($A83&gt;baseData, -$Z83*IF($Z83&gt;0, INDEX(Investidores!$K$3:$K$15, MATCH(N$1, Investidores!$B$3:$B$15, 0)), INDEX(Investidores!$K$3:$K$15, MATCH(N$1, Investidores!$B$3:$B$15, 0)))-IFERROR(INDEX(Permutas!$X:$AB, MATCH($A83, Permutas!$N:$N, 0), MATCH(N$1, Permutas!$X$2:$AB$2, 0)), 0)+IF($A83=EDATE(entrega,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83" s="390">
        <f ca="1">IF($A83&gt;baseData, -$Z83*IF($Z83&gt;0, INDEX(Investidores!$K$3:$K$15, MATCH(O$1, Investidores!$B$3:$B$15, 0)), INDEX(Investidores!$K$3:$K$15, MATCH(O$1, Investidores!$B$3:$B$15, 0)))-IFERROR(INDEX(Permutas!$X:$AB, MATCH($A83, Permutas!$N:$N, 0), MATCH(O$1, Permutas!$X$2:$AB$2, 0)), 0)+IF($A83=EDATE(entrega,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83" s="390">
        <f ca="1">IF($A83&gt;baseData, -$Z83*IF($Z83&gt;0, INDEX(Investidores!$K$3:$K$15, MATCH(P$1, Investidores!$B$3:$B$15, 0)), INDEX(Investidores!$K$3:$K$15, MATCH(P$1, Investidores!$B$3:$B$15, 0)))-IFERROR(INDEX(Permutas!$X:$AB, MATCH($A83, Permutas!$N:$N, 0), MATCH(P$1, Permutas!$X$2:$AB$2, 0)), 0)+IF($A83=EDATE(entrega,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83" s="390">
        <f ca="1">IF($A83&gt;baseData, -$Z83*IF($Z83&gt;0, INDEX(Investidores!$K$3:$K$15, MATCH(Q$1, Investidores!$B$3:$B$15, 0)), INDEX(Investidores!$K$3:$K$15, MATCH(Q$1, Investidores!$B$3:$B$15, 0)))-IFERROR(INDEX(Permutas!$X:$AB, MATCH($A83, Permutas!$N:$N, 0), MATCH(Q$1, Permutas!$X$2:$AB$2, 0)), 0)+IF($A83=EDATE(entrega,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83" s="390">
        <f ca="1">IF($A83&gt;baseData, -$Z83*IF($Z83&gt;0, INDEX(Investidores!$K$3:$K$15, MATCH(R$1, Investidores!$B$3:$B$15, 0)), INDEX(Investidores!$K$3:$K$15, MATCH(R$1, Investidores!$B$3:$B$15, 0)))-IFERROR(INDEX(Permutas!$X:$AB, MATCH($A83, Permutas!$N:$N, 0), MATCH(R$1, Permutas!$X$2:$AB$2, 0)), 0)+IF($A83=EDATE(entrega,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83" s="390">
        <f ca="1">IF($A83&gt;baseData, -$Z83*IF($Z83&gt;0, INDEX(Investidores!$K$3:$K$15, MATCH(S$1, Investidores!$B$3:$B$15, 0)), INDEX(Investidores!$K$3:$K$15, MATCH(S$1, Investidores!$B$3:$B$15, 0)))-IFERROR(INDEX(Permutas!$X:$AB, MATCH($A83, Permutas!$N:$N, 0), MATCH(S$1, Permutas!$X$2:$AB$2, 0)), 0)+IF($A83=EDATE(entrega,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83" s="390">
        <f ca="1">IF($A83&gt;baseData, -$Z83*IF($Z83&gt;0, INDEX(Investidores!$K$3:$K$15, MATCH(T$1, Investidores!$B$3:$B$15, 0)), INDEX(Investidores!$K$3:$K$15, MATCH(T$1, Investidores!$B$3:$B$15, 0)))-IFERROR(INDEX(Permutas!$X:$AB, MATCH($A83, Permutas!$N:$N, 0), MATCH(T$1, Permutas!$X$2:$AB$2, 0)), 0)+IF($A83=EDATE(entrega,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83" s="390">
        <f ca="1">IF($A83&gt;baseData, -$Z83*IF($Z83&gt;0, INDEX(Investidores!$K$3:$K$15, MATCH(U$1, Investidores!$B$3:$B$15, 0)), INDEX(Investidores!$K$3:$K$15, MATCH(U$1, Investidores!$B$3:$B$15, 0)))-IFERROR(INDEX(Permutas!$X:$AB, MATCH($A83, Permutas!$N:$N, 0), MATCH(U$1, Permutas!$X$2:$AB$2, 0)), 0)+IF($A83=EDATE(entrega,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83" s="390">
        <f ca="1">IF($A83&gt;baseData, -$Z83*IF($Z83&gt;0, INDEX(Investidores!$K$3:$K$15, MATCH(V$1, Investidores!$B$3:$B$15, 0)), INDEX(Investidores!$K$3:$K$15, MATCH(V$1, Investidores!$B$3:$B$15, 0)))-IFERROR(INDEX(Permutas!$X:$AB, MATCH($A83, Permutas!$N:$N, 0), MATCH(V$1, Permutas!$X$2:$AB$2, 0)), 0)+IF($A83=EDATE(entrega,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83" s="415">
        <f ca="1">IF($A83&gt;baseData, -$Z83*IF($Z83&gt;0, INDEX(Investidores!$K$3:$K$15, MATCH(W$1, Investidores!$B$3:$B$15, 0)), INDEX(Investidores!$K$3:$K$15, MATCH(W$1, Investidores!$B$3:$B$15, 0)))-IFERROR(INDEX(Permutas!$X:$AB, MATCH($A83, Permutas!$N:$N, 0), MATCH(W$1, Permutas!$X$2:$AB$2, 0)), 0)+IF($A83=EDATE(entrega,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83" s="398">
        <f ca="1">IF($A83&gt;baseData, -$Z83*IF($Z83&gt;0, INDEX(Investidores!$K$3:$K$15, MATCH(X$1, Investidores!$B$3:$B$15, 0)), INDEX(Investidores!$K$3:$K$15, MATCH(X$1, Investidores!$B$3:$B$15, 0)))-IFERROR(INDEX(Permutas!$X:$AB, MATCH($A83, Permutas!$N:$N, 0), MATCH(X$1, Permutas!$X$2:$AB$2, 0)), 0)+IF($A83=EDATE(entrega,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83" s="390">
        <f t="shared" ca="1" si="35"/>
        <v>0</v>
      </c>
      <c r="Z83" s="397">
        <f ca="1">-INDEX('Fluxo Bandeira Co'!AZ:AZ, MATCH($A83, 'Fluxo Bandeira Co'!$A:$A, 0))</f>
        <v>0</v>
      </c>
      <c r="AA83" s="398">
        <f>INDEX('Fluxo Bandeira Co'!J:J, MATCH($A83, 'Fluxo Bandeira Co'!$A:$A, 0))+INDEX('Fluxo Bandeira Co'!AK:AK, MATCH($A83, 'Fluxo Bandeira Co'!$A:$A, 0))</f>
        <v>0</v>
      </c>
      <c r="AB83" s="371"/>
      <c r="AC83" s="397">
        <f>-INDEX('Fluxo Bandeira Co'!L:L, MATCH('Fluxo Investidores'!$A83, 'Fluxo Bandeira Co'!$A:$A, 0))</f>
        <v>0</v>
      </c>
      <c r="AD83" s="398">
        <f>-INDEX('Fluxo Bandeira Co'!M:M, MATCH('Fluxo Investidores'!$A83, 'Fluxo Bandeira Co'!$A:$A, 0))</f>
        <v>0</v>
      </c>
      <c r="AF83" s="397">
        <f t="shared" si="36"/>
        <v>0</v>
      </c>
      <c r="AG83" s="398">
        <f>IFERROR(INDEX('Fluxo Projeto'!AQ:AQ, MATCH('Fluxo Investidores'!A83, 'Fluxo Projeto'!A:A, 0)), 0)</f>
        <v>0</v>
      </c>
      <c r="AI83" s="397">
        <f t="shared" ca="1" si="37"/>
        <v>0</v>
      </c>
      <c r="AJ83" s="390">
        <f t="shared" ca="1" si="38"/>
        <v>0</v>
      </c>
      <c r="AK83" s="390">
        <f t="shared" ca="1" si="39"/>
        <v>0</v>
      </c>
      <c r="AL83" s="390">
        <f t="shared" ca="1" si="40"/>
        <v>0</v>
      </c>
      <c r="AM83" s="390">
        <f t="shared" ca="1" si="41"/>
        <v>0</v>
      </c>
      <c r="AN83" s="390">
        <f t="shared" ca="1" si="42"/>
        <v>0</v>
      </c>
      <c r="AO83" s="390">
        <f t="shared" ca="1" si="43"/>
        <v>0</v>
      </c>
      <c r="AP83" s="390">
        <f t="shared" ca="1" si="44"/>
        <v>0</v>
      </c>
      <c r="AQ83" s="390">
        <f t="shared" ca="1" si="45"/>
        <v>0</v>
      </c>
      <c r="AR83" s="390">
        <f t="shared" ca="1" si="46"/>
        <v>0</v>
      </c>
      <c r="AS83" s="390">
        <f t="shared" ca="1" si="47"/>
        <v>0</v>
      </c>
      <c r="AT83" s="415">
        <f t="shared" ca="1" si="48"/>
        <v>0</v>
      </c>
      <c r="AU83" s="398">
        <f t="shared" ca="1" si="49"/>
        <v>0</v>
      </c>
    </row>
    <row r="84" spans="1:47" x14ac:dyDescent="0.25">
      <c r="A84" s="197">
        <f t="shared" si="50"/>
        <v>45566</v>
      </c>
      <c r="B84" s="388">
        <f>IF($A84&lt;=baseData, INDEX(Indicadores!B:B, MATCH($A84,Indicadores!A:A, 0)), INDEX(Indicadores!B:B, MATCH(baseData,Indicadores!A:A, 0)))</f>
        <v>839.38199999999995</v>
      </c>
      <c r="C84" s="389">
        <f>IF($A84&lt;=baseData, INDEX(Indicadores!E:E, MATCH($A84, Indicadores!A:A, 0)), INDEX(Indicadores!E:E, MATCH(baseData, Indicadores!A:A, 0)))</f>
        <v>5486.52</v>
      </c>
      <c r="E84" s="397">
        <f t="shared" si="51"/>
        <v>0</v>
      </c>
      <c r="F84" s="398">
        <v>0</v>
      </c>
      <c r="G84" s="371"/>
      <c r="H84" s="393">
        <f t="shared" si="52"/>
        <v>0</v>
      </c>
      <c r="I84" s="371"/>
      <c r="J84" s="393">
        <f t="shared" si="53"/>
        <v>0</v>
      </c>
      <c r="L84" s="397">
        <f ca="1">IF($A84&gt;baseData, -$Z84*IF($Z84&gt;0, INDEX(Investidores!$K$3:$K$15, MATCH(L$1, Investidores!$B$3:$B$15, 0)), INDEX(Investidores!$K$3:$K$15, MATCH(L$1, Investidores!$B$3:$B$15, 0)))-IFERROR(INDEX(Permutas!$X:$AB, MATCH($A84, Permutas!$N:$N, 0), MATCH(L$1, Permutas!$X$2:$AB$2, 0)), 0)+IF($A84=EDATE(entrega,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84" s="390">
        <f ca="1">IF($A84&gt;baseData, -$Z84*IF($Z84&gt;0, INDEX(Investidores!$K$3:$K$15, MATCH(M$1, Investidores!$B$3:$B$15, 0)), INDEX(Investidores!$K$3:$K$15, MATCH(M$1, Investidores!$B$3:$B$15, 0)))-IFERROR(INDEX(Permutas!$X:$AB, MATCH($A84, Permutas!$N:$N, 0), MATCH(M$1, Permutas!$X$2:$AB$2, 0)), 0)+IF($A84=EDATE(entrega,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84" s="390">
        <f ca="1">IF($A84&gt;baseData, -$Z84*IF($Z84&gt;0, INDEX(Investidores!$K$3:$K$15, MATCH(N$1, Investidores!$B$3:$B$15, 0)), INDEX(Investidores!$K$3:$K$15, MATCH(N$1, Investidores!$B$3:$B$15, 0)))-IFERROR(INDEX(Permutas!$X:$AB, MATCH($A84, Permutas!$N:$N, 0), MATCH(N$1, Permutas!$X$2:$AB$2, 0)), 0)+IF($A84=EDATE(entrega,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84" s="390">
        <f ca="1">IF($A84&gt;baseData, -$Z84*IF($Z84&gt;0, INDEX(Investidores!$K$3:$K$15, MATCH(O$1, Investidores!$B$3:$B$15, 0)), INDEX(Investidores!$K$3:$K$15, MATCH(O$1, Investidores!$B$3:$B$15, 0)))-IFERROR(INDEX(Permutas!$X:$AB, MATCH($A84, Permutas!$N:$N, 0), MATCH(O$1, Permutas!$X$2:$AB$2, 0)), 0)+IF($A84=EDATE(entrega,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84" s="390">
        <f ca="1">IF($A84&gt;baseData, -$Z84*IF($Z84&gt;0, INDEX(Investidores!$K$3:$K$15, MATCH(P$1, Investidores!$B$3:$B$15, 0)), INDEX(Investidores!$K$3:$K$15, MATCH(P$1, Investidores!$B$3:$B$15, 0)))-IFERROR(INDEX(Permutas!$X:$AB, MATCH($A84, Permutas!$N:$N, 0), MATCH(P$1, Permutas!$X$2:$AB$2, 0)), 0)+IF($A84=EDATE(entrega,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84" s="390">
        <f ca="1">IF($A84&gt;baseData, -$Z84*IF($Z84&gt;0, INDEX(Investidores!$K$3:$K$15, MATCH(Q$1, Investidores!$B$3:$B$15, 0)), INDEX(Investidores!$K$3:$K$15, MATCH(Q$1, Investidores!$B$3:$B$15, 0)))-IFERROR(INDEX(Permutas!$X:$AB, MATCH($A84, Permutas!$N:$N, 0), MATCH(Q$1, Permutas!$X$2:$AB$2, 0)), 0)+IF($A84=EDATE(entrega,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84" s="390">
        <f ca="1">IF($A84&gt;baseData, -$Z84*IF($Z84&gt;0, INDEX(Investidores!$K$3:$K$15, MATCH(R$1, Investidores!$B$3:$B$15, 0)), INDEX(Investidores!$K$3:$K$15, MATCH(R$1, Investidores!$B$3:$B$15, 0)))-IFERROR(INDEX(Permutas!$X:$AB, MATCH($A84, Permutas!$N:$N, 0), MATCH(R$1, Permutas!$X$2:$AB$2, 0)), 0)+IF($A84=EDATE(entrega,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84" s="390">
        <f ca="1">IF($A84&gt;baseData, -$Z84*IF($Z84&gt;0, INDEX(Investidores!$K$3:$K$15, MATCH(S$1, Investidores!$B$3:$B$15, 0)), INDEX(Investidores!$K$3:$K$15, MATCH(S$1, Investidores!$B$3:$B$15, 0)))-IFERROR(INDEX(Permutas!$X:$AB, MATCH($A84, Permutas!$N:$N, 0), MATCH(S$1, Permutas!$X$2:$AB$2, 0)), 0)+IF($A84=EDATE(entrega,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84" s="390">
        <f ca="1">IF($A84&gt;baseData, -$Z84*IF($Z84&gt;0, INDEX(Investidores!$K$3:$K$15, MATCH(T$1, Investidores!$B$3:$B$15, 0)), INDEX(Investidores!$K$3:$K$15, MATCH(T$1, Investidores!$B$3:$B$15, 0)))-IFERROR(INDEX(Permutas!$X:$AB, MATCH($A84, Permutas!$N:$N, 0), MATCH(T$1, Permutas!$X$2:$AB$2, 0)), 0)+IF($A84=EDATE(entrega,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84" s="390">
        <f ca="1">IF($A84&gt;baseData, -$Z84*IF($Z84&gt;0, INDEX(Investidores!$K$3:$K$15, MATCH(U$1, Investidores!$B$3:$B$15, 0)), INDEX(Investidores!$K$3:$K$15, MATCH(U$1, Investidores!$B$3:$B$15, 0)))-IFERROR(INDEX(Permutas!$X:$AB, MATCH($A84, Permutas!$N:$N, 0), MATCH(U$1, Permutas!$X$2:$AB$2, 0)), 0)+IF($A84=EDATE(entrega,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84" s="390">
        <f ca="1">IF($A84&gt;baseData, -$Z84*IF($Z84&gt;0, INDEX(Investidores!$K$3:$K$15, MATCH(V$1, Investidores!$B$3:$B$15, 0)), INDEX(Investidores!$K$3:$K$15, MATCH(V$1, Investidores!$B$3:$B$15, 0)))-IFERROR(INDEX(Permutas!$X:$AB, MATCH($A84, Permutas!$N:$N, 0), MATCH(V$1, Permutas!$X$2:$AB$2, 0)), 0)+IF($A84=EDATE(entrega,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84" s="415">
        <f ca="1">IF($A84&gt;baseData, -$Z84*IF($Z84&gt;0, INDEX(Investidores!$K$3:$K$15, MATCH(W$1, Investidores!$B$3:$B$15, 0)), INDEX(Investidores!$K$3:$K$15, MATCH(W$1, Investidores!$B$3:$B$15, 0)))-IFERROR(INDEX(Permutas!$X:$AB, MATCH($A84, Permutas!$N:$N, 0), MATCH(W$1, Permutas!$X$2:$AB$2, 0)), 0)+IF($A84=EDATE(entrega,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84" s="398">
        <f ca="1">IF($A84&gt;baseData, -$Z84*IF($Z84&gt;0, INDEX(Investidores!$K$3:$K$15, MATCH(X$1, Investidores!$B$3:$B$15, 0)), INDEX(Investidores!$K$3:$K$15, MATCH(X$1, Investidores!$B$3:$B$15, 0)))-IFERROR(INDEX(Permutas!$X:$AB, MATCH($A84, Permutas!$N:$N, 0), MATCH(X$1, Permutas!$X$2:$AB$2, 0)), 0)+IF($A84=EDATE(entrega,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84" s="390">
        <f t="shared" ca="1" si="35"/>
        <v>0</v>
      </c>
      <c r="Z84" s="397">
        <f ca="1">-INDEX('Fluxo Bandeira Co'!AZ:AZ, MATCH($A84, 'Fluxo Bandeira Co'!$A:$A, 0))</f>
        <v>0</v>
      </c>
      <c r="AA84" s="398">
        <f>INDEX('Fluxo Bandeira Co'!J:J, MATCH($A84, 'Fluxo Bandeira Co'!$A:$A, 0))+INDEX('Fluxo Bandeira Co'!AK:AK, MATCH($A84, 'Fluxo Bandeira Co'!$A:$A, 0))</f>
        <v>0</v>
      </c>
      <c r="AB84" s="371"/>
      <c r="AC84" s="397">
        <f>-INDEX('Fluxo Bandeira Co'!L:L, MATCH('Fluxo Investidores'!$A84, 'Fluxo Bandeira Co'!$A:$A, 0))</f>
        <v>0</v>
      </c>
      <c r="AD84" s="398">
        <f>-INDEX('Fluxo Bandeira Co'!M:M, MATCH('Fluxo Investidores'!$A84, 'Fluxo Bandeira Co'!$A:$A, 0))</f>
        <v>0</v>
      </c>
      <c r="AF84" s="397">
        <f t="shared" si="36"/>
        <v>0</v>
      </c>
      <c r="AG84" s="398">
        <f>IFERROR(INDEX('Fluxo Projeto'!AQ:AQ, MATCH('Fluxo Investidores'!A84, 'Fluxo Projeto'!A:A, 0)), 0)</f>
        <v>0</v>
      </c>
      <c r="AI84" s="397">
        <f t="shared" ca="1" si="37"/>
        <v>0</v>
      </c>
      <c r="AJ84" s="390">
        <f t="shared" ca="1" si="38"/>
        <v>0</v>
      </c>
      <c r="AK84" s="390">
        <f t="shared" ca="1" si="39"/>
        <v>0</v>
      </c>
      <c r="AL84" s="390">
        <f t="shared" ca="1" si="40"/>
        <v>0</v>
      </c>
      <c r="AM84" s="390">
        <f t="shared" ca="1" si="41"/>
        <v>0</v>
      </c>
      <c r="AN84" s="390">
        <f t="shared" ca="1" si="42"/>
        <v>0</v>
      </c>
      <c r="AO84" s="390">
        <f t="shared" ca="1" si="43"/>
        <v>0</v>
      </c>
      <c r="AP84" s="390">
        <f t="shared" ca="1" si="44"/>
        <v>0</v>
      </c>
      <c r="AQ84" s="390">
        <f t="shared" ca="1" si="45"/>
        <v>0</v>
      </c>
      <c r="AR84" s="390">
        <f t="shared" ca="1" si="46"/>
        <v>0</v>
      </c>
      <c r="AS84" s="390">
        <f t="shared" ca="1" si="47"/>
        <v>0</v>
      </c>
      <c r="AT84" s="415">
        <f t="shared" ca="1" si="48"/>
        <v>0</v>
      </c>
      <c r="AU84" s="398">
        <f t="shared" ca="1" si="49"/>
        <v>0</v>
      </c>
    </row>
    <row r="85" spans="1:47" x14ac:dyDescent="0.25">
      <c r="A85" s="197">
        <f t="shared" si="50"/>
        <v>45597</v>
      </c>
      <c r="B85" s="388">
        <f>IF($A85&lt;=baseData, INDEX(Indicadores!B:B, MATCH($A85,Indicadores!A:A, 0)), INDEX(Indicadores!B:B, MATCH(baseData,Indicadores!A:A, 0)))</f>
        <v>839.38199999999995</v>
      </c>
      <c r="C85" s="389">
        <f>IF($A85&lt;=baseData, INDEX(Indicadores!E:E, MATCH($A85, Indicadores!A:A, 0)), INDEX(Indicadores!E:E, MATCH(baseData, Indicadores!A:A, 0)))</f>
        <v>5486.52</v>
      </c>
      <c r="E85" s="397">
        <f t="shared" si="51"/>
        <v>0</v>
      </c>
      <c r="F85" s="398">
        <v>0</v>
      </c>
      <c r="G85" s="371"/>
      <c r="H85" s="393">
        <f t="shared" si="52"/>
        <v>0</v>
      </c>
      <c r="I85" s="371"/>
      <c r="J85" s="393">
        <f t="shared" si="53"/>
        <v>0</v>
      </c>
      <c r="L85" s="397">
        <f ca="1">IF($A85&gt;baseData, -$Z85*IF($Z85&gt;0, INDEX(Investidores!$K$3:$K$15, MATCH(L$1, Investidores!$B$3:$B$15, 0)), INDEX(Investidores!$K$3:$K$15, MATCH(L$1, Investidores!$B$3:$B$15, 0)))-IFERROR(INDEX(Permutas!$X:$AB, MATCH($A85, Permutas!$N:$N, 0), MATCH(L$1, Permutas!$X$2:$AB$2, 0)), 0)+IF($A85=EDATE(entrega,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85" s="390">
        <f ca="1">IF($A85&gt;baseData, -$Z85*IF($Z85&gt;0, INDEX(Investidores!$K$3:$K$15, MATCH(M$1, Investidores!$B$3:$B$15, 0)), INDEX(Investidores!$K$3:$K$15, MATCH(M$1, Investidores!$B$3:$B$15, 0)))-IFERROR(INDEX(Permutas!$X:$AB, MATCH($A85, Permutas!$N:$N, 0), MATCH(M$1, Permutas!$X$2:$AB$2, 0)), 0)+IF($A85=EDATE(entrega,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85" s="390">
        <f ca="1">IF($A85&gt;baseData, -$Z85*IF($Z85&gt;0, INDEX(Investidores!$K$3:$K$15, MATCH(N$1, Investidores!$B$3:$B$15, 0)), INDEX(Investidores!$K$3:$K$15, MATCH(N$1, Investidores!$B$3:$B$15, 0)))-IFERROR(INDEX(Permutas!$X:$AB, MATCH($A85, Permutas!$N:$N, 0), MATCH(N$1, Permutas!$X$2:$AB$2, 0)), 0)+IF($A85=EDATE(entrega,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85" s="390">
        <f ca="1">IF($A85&gt;baseData, -$Z85*IF($Z85&gt;0, INDEX(Investidores!$K$3:$K$15, MATCH(O$1, Investidores!$B$3:$B$15, 0)), INDEX(Investidores!$K$3:$K$15, MATCH(O$1, Investidores!$B$3:$B$15, 0)))-IFERROR(INDEX(Permutas!$X:$AB, MATCH($A85, Permutas!$N:$N, 0), MATCH(O$1, Permutas!$X$2:$AB$2, 0)), 0)+IF($A85=EDATE(entrega,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85" s="390">
        <f ca="1">IF($A85&gt;baseData, -$Z85*IF($Z85&gt;0, INDEX(Investidores!$K$3:$K$15, MATCH(P$1, Investidores!$B$3:$B$15, 0)), INDEX(Investidores!$K$3:$K$15, MATCH(P$1, Investidores!$B$3:$B$15, 0)))-IFERROR(INDEX(Permutas!$X:$AB, MATCH($A85, Permutas!$N:$N, 0), MATCH(P$1, Permutas!$X$2:$AB$2, 0)), 0)+IF($A85=EDATE(entrega,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85" s="390">
        <f ca="1">IF($A85&gt;baseData, -$Z85*IF($Z85&gt;0, INDEX(Investidores!$K$3:$K$15, MATCH(Q$1, Investidores!$B$3:$B$15, 0)), INDEX(Investidores!$K$3:$K$15, MATCH(Q$1, Investidores!$B$3:$B$15, 0)))-IFERROR(INDEX(Permutas!$X:$AB, MATCH($A85, Permutas!$N:$N, 0), MATCH(Q$1, Permutas!$X$2:$AB$2, 0)), 0)+IF($A85=EDATE(entrega,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85" s="390">
        <f ca="1">IF($A85&gt;baseData, -$Z85*IF($Z85&gt;0, INDEX(Investidores!$K$3:$K$15, MATCH(R$1, Investidores!$B$3:$B$15, 0)), INDEX(Investidores!$K$3:$K$15, MATCH(R$1, Investidores!$B$3:$B$15, 0)))-IFERROR(INDEX(Permutas!$X:$AB, MATCH($A85, Permutas!$N:$N, 0), MATCH(R$1, Permutas!$X$2:$AB$2, 0)), 0)+IF($A85=EDATE(entrega,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85" s="390">
        <f ca="1">IF($A85&gt;baseData, -$Z85*IF($Z85&gt;0, INDEX(Investidores!$K$3:$K$15, MATCH(S$1, Investidores!$B$3:$B$15, 0)), INDEX(Investidores!$K$3:$K$15, MATCH(S$1, Investidores!$B$3:$B$15, 0)))-IFERROR(INDEX(Permutas!$X:$AB, MATCH($A85, Permutas!$N:$N, 0), MATCH(S$1, Permutas!$X$2:$AB$2, 0)), 0)+IF($A85=EDATE(entrega,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85" s="390">
        <f ca="1">IF($A85&gt;baseData, -$Z85*IF($Z85&gt;0, INDEX(Investidores!$K$3:$K$15, MATCH(T$1, Investidores!$B$3:$B$15, 0)), INDEX(Investidores!$K$3:$K$15, MATCH(T$1, Investidores!$B$3:$B$15, 0)))-IFERROR(INDEX(Permutas!$X:$AB, MATCH($A85, Permutas!$N:$N, 0), MATCH(T$1, Permutas!$X$2:$AB$2, 0)), 0)+IF($A85=EDATE(entrega,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85" s="390">
        <f ca="1">IF($A85&gt;baseData, -$Z85*IF($Z85&gt;0, INDEX(Investidores!$K$3:$K$15, MATCH(U$1, Investidores!$B$3:$B$15, 0)), INDEX(Investidores!$K$3:$K$15, MATCH(U$1, Investidores!$B$3:$B$15, 0)))-IFERROR(INDEX(Permutas!$X:$AB, MATCH($A85, Permutas!$N:$N, 0), MATCH(U$1, Permutas!$X$2:$AB$2, 0)), 0)+IF($A85=EDATE(entrega,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85" s="390">
        <f ca="1">IF($A85&gt;baseData, -$Z85*IF($Z85&gt;0, INDEX(Investidores!$K$3:$K$15, MATCH(V$1, Investidores!$B$3:$B$15, 0)), INDEX(Investidores!$K$3:$K$15, MATCH(V$1, Investidores!$B$3:$B$15, 0)))-IFERROR(INDEX(Permutas!$X:$AB, MATCH($A85, Permutas!$N:$N, 0), MATCH(V$1, Permutas!$X$2:$AB$2, 0)), 0)+IF($A85=EDATE(entrega,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85" s="415">
        <f ca="1">IF($A85&gt;baseData, -$Z85*IF($Z85&gt;0, INDEX(Investidores!$K$3:$K$15, MATCH(W$1, Investidores!$B$3:$B$15, 0)), INDEX(Investidores!$K$3:$K$15, MATCH(W$1, Investidores!$B$3:$B$15, 0)))-IFERROR(INDEX(Permutas!$X:$AB, MATCH($A85, Permutas!$N:$N, 0), MATCH(W$1, Permutas!$X$2:$AB$2, 0)), 0)+IF($A85=EDATE(entrega,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85" s="398">
        <f ca="1">IF($A85&gt;baseData, -$Z85*IF($Z85&gt;0, INDEX(Investidores!$K$3:$K$15, MATCH(X$1, Investidores!$B$3:$B$15, 0)), INDEX(Investidores!$K$3:$K$15, MATCH(X$1, Investidores!$B$3:$B$15, 0)))-IFERROR(INDEX(Permutas!$X:$AB, MATCH($A85, Permutas!$N:$N, 0), MATCH(X$1, Permutas!$X$2:$AB$2, 0)), 0)+IF($A85=EDATE(entrega,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85" s="390">
        <f t="shared" ca="1" si="35"/>
        <v>0</v>
      </c>
      <c r="Z85" s="397">
        <f ca="1">-INDEX('Fluxo Bandeira Co'!AZ:AZ, MATCH($A85, 'Fluxo Bandeira Co'!$A:$A, 0))</f>
        <v>0</v>
      </c>
      <c r="AA85" s="398">
        <f>INDEX('Fluxo Bandeira Co'!J:J, MATCH($A85, 'Fluxo Bandeira Co'!$A:$A, 0))+INDEX('Fluxo Bandeira Co'!AK:AK, MATCH($A85, 'Fluxo Bandeira Co'!$A:$A, 0))</f>
        <v>0</v>
      </c>
      <c r="AB85" s="371"/>
      <c r="AC85" s="397">
        <f>-INDEX('Fluxo Bandeira Co'!L:L, MATCH('Fluxo Investidores'!$A85, 'Fluxo Bandeira Co'!$A:$A, 0))</f>
        <v>0</v>
      </c>
      <c r="AD85" s="398">
        <f>-INDEX('Fluxo Bandeira Co'!M:M, MATCH('Fluxo Investidores'!$A85, 'Fluxo Bandeira Co'!$A:$A, 0))</f>
        <v>0</v>
      </c>
      <c r="AF85" s="397">
        <f t="shared" si="36"/>
        <v>0</v>
      </c>
      <c r="AG85" s="398">
        <f>IFERROR(INDEX('Fluxo Projeto'!AQ:AQ, MATCH('Fluxo Investidores'!A85, 'Fluxo Projeto'!A:A, 0)), 0)</f>
        <v>0</v>
      </c>
      <c r="AI85" s="397">
        <f t="shared" ca="1" si="37"/>
        <v>0</v>
      </c>
      <c r="AJ85" s="390">
        <f t="shared" ca="1" si="38"/>
        <v>0</v>
      </c>
      <c r="AK85" s="390">
        <f t="shared" ca="1" si="39"/>
        <v>0</v>
      </c>
      <c r="AL85" s="390">
        <f t="shared" ca="1" si="40"/>
        <v>0</v>
      </c>
      <c r="AM85" s="390">
        <f t="shared" ca="1" si="41"/>
        <v>0</v>
      </c>
      <c r="AN85" s="390">
        <f t="shared" ca="1" si="42"/>
        <v>0</v>
      </c>
      <c r="AO85" s="390">
        <f t="shared" ca="1" si="43"/>
        <v>0</v>
      </c>
      <c r="AP85" s="390">
        <f t="shared" ca="1" si="44"/>
        <v>0</v>
      </c>
      <c r="AQ85" s="390">
        <f t="shared" ca="1" si="45"/>
        <v>0</v>
      </c>
      <c r="AR85" s="390">
        <f t="shared" ca="1" si="46"/>
        <v>0</v>
      </c>
      <c r="AS85" s="390">
        <f t="shared" ca="1" si="47"/>
        <v>0</v>
      </c>
      <c r="AT85" s="415">
        <f t="shared" ca="1" si="48"/>
        <v>0</v>
      </c>
      <c r="AU85" s="398">
        <f t="shared" ca="1" si="49"/>
        <v>0</v>
      </c>
    </row>
    <row r="86" spans="1:47" x14ac:dyDescent="0.25">
      <c r="A86" s="197">
        <f t="shared" si="50"/>
        <v>45627</v>
      </c>
      <c r="B86" s="388">
        <f>IF($A86&lt;=baseData, INDEX(Indicadores!B:B, MATCH($A86,Indicadores!A:A, 0)), INDEX(Indicadores!B:B, MATCH(baseData,Indicadores!A:A, 0)))</f>
        <v>839.38199999999995</v>
      </c>
      <c r="C86" s="389">
        <f>IF($A86&lt;=baseData, INDEX(Indicadores!E:E, MATCH($A86, Indicadores!A:A, 0)), INDEX(Indicadores!E:E, MATCH(baseData, Indicadores!A:A, 0)))</f>
        <v>5486.52</v>
      </c>
      <c r="E86" s="397">
        <f t="shared" si="51"/>
        <v>0</v>
      </c>
      <c r="F86" s="398">
        <v>0</v>
      </c>
      <c r="G86" s="371"/>
      <c r="H86" s="393">
        <f t="shared" si="52"/>
        <v>0</v>
      </c>
      <c r="I86" s="371"/>
      <c r="J86" s="393">
        <f t="shared" si="53"/>
        <v>0</v>
      </c>
      <c r="L86" s="397">
        <f ca="1">IF($A86&gt;baseData, -$Z86*IF($Z86&gt;0, INDEX(Investidores!$K$3:$K$15, MATCH(L$1, Investidores!$B$3:$B$15, 0)), INDEX(Investidores!$K$3:$K$15, MATCH(L$1, Investidores!$B$3:$B$15, 0)))-IFERROR(INDEX(Permutas!$X:$AB, MATCH($A86, Permutas!$N:$N, 0), MATCH(L$1, Permutas!$X$2:$AB$2, 0)), 0)+IF($A86=EDATE(entrega, 12), (IFERROR(INDEX('Tabela Vendas'!$AG:$AG, MATCH(INDEX(Permutas!$B$4:$B$10, MATCH(L$1, Permutas!$J$4:$J$10, 0)), 'Tabela Vendas'!$A:$A, 0)), 0)*(1+adicionalVenda-itbicartorioPermuta)-SUM($AA:$AA)*INDEX(Investidores!$L:$L, MATCH(L$1, Investidores!$B:$B, 0)))*(1-impostoPermuta)+SUM($AA:$AA)*INDEX(Investidores!$L:$L, MATCH(L$1, Investidores!$B:$B, 0)), 0), 0)</f>
        <v>0</v>
      </c>
      <c r="M86" s="390">
        <f ca="1">IF($A86&gt;baseData, -$Z86*IF($Z86&gt;0, INDEX(Investidores!$K$3:$K$15, MATCH(M$1, Investidores!$B$3:$B$15, 0)), INDEX(Investidores!$K$3:$K$15, MATCH(M$1, Investidores!$B$3:$B$15, 0)))-IFERROR(INDEX(Permutas!$X:$AB, MATCH($A86, Permutas!$N:$N, 0), MATCH(M$1, Permutas!$X$2:$AB$2, 0)), 0)+IF($A86=EDATE(entrega, 12), (IFERROR(INDEX('Tabela Vendas'!$AG:$AG, MATCH(INDEX(Permutas!$B$4:$B$10, MATCH(M$1, Permutas!$J$4:$J$10, 0)), 'Tabela Vendas'!$A:$A, 0)), 0)*(1+adicionalVenda-itbicartorioPermuta)-SUM($AA:$AA)*INDEX(Investidores!$L:$L, MATCH(M$1, Investidores!$B:$B, 0)))*(1-impostoPermuta)+SUM($AA:$AA)*INDEX(Investidores!$L:$L, MATCH(M$1, Investidores!$B:$B, 0)), 0), 0)</f>
        <v>0</v>
      </c>
      <c r="N86" s="390">
        <f ca="1">IF($A86&gt;baseData, -$Z86*IF($Z86&gt;0, INDEX(Investidores!$K$3:$K$15, MATCH(N$1, Investidores!$B$3:$B$15, 0)), INDEX(Investidores!$K$3:$K$15, MATCH(N$1, Investidores!$B$3:$B$15, 0)))-IFERROR(INDEX(Permutas!$X:$AB, MATCH($A86, Permutas!$N:$N, 0), MATCH(N$1, Permutas!$X$2:$AB$2, 0)), 0)+IF($A86=EDATE(entrega, 12), (IFERROR(INDEX('Tabela Vendas'!$AG:$AG, MATCH(INDEX(Permutas!$B$4:$B$10, MATCH(N$1, Permutas!$J$4:$J$10, 0)), 'Tabela Vendas'!$A:$A, 0)), 0)*(1+adicionalVenda-itbicartorioPermuta)-SUM($AA:$AA)*INDEX(Investidores!$L:$L, MATCH(N$1, Investidores!$B:$B, 0)))*(1-impostoPermuta)+SUM($AA:$AA)*INDEX(Investidores!$L:$L, MATCH(N$1, Investidores!$B:$B, 0)), 0), 0)</f>
        <v>0</v>
      </c>
      <c r="O86" s="390">
        <f ca="1">IF($A86&gt;baseData, -$Z86*IF($Z86&gt;0, INDEX(Investidores!$K$3:$K$15, MATCH(O$1, Investidores!$B$3:$B$15, 0)), INDEX(Investidores!$K$3:$K$15, MATCH(O$1, Investidores!$B$3:$B$15, 0)))-IFERROR(INDEX(Permutas!$X:$AB, MATCH($A86, Permutas!$N:$N, 0), MATCH(O$1, Permutas!$X$2:$AB$2, 0)), 0)+IF($A86=EDATE(entrega, 12), (IFERROR(INDEX('Tabela Vendas'!$AG:$AG, MATCH(INDEX(Permutas!$B$4:$B$10, MATCH(O$1, Permutas!$J$4:$J$10, 0)), 'Tabela Vendas'!$A:$A, 0)), 0)*(1+adicionalVenda-itbicartorioPermuta)-SUM($AA:$AA)*INDEX(Investidores!$L:$L, MATCH(O$1, Investidores!$B:$B, 0)))*(1-impostoPermuta)+SUM($AA:$AA)*INDEX(Investidores!$L:$L, MATCH(O$1, Investidores!$B:$B, 0)), 0), 0)</f>
        <v>0</v>
      </c>
      <c r="P86" s="390">
        <f ca="1">IF($A86&gt;baseData, -$Z86*IF($Z86&gt;0, INDEX(Investidores!$K$3:$K$15, MATCH(P$1, Investidores!$B$3:$B$15, 0)), INDEX(Investidores!$K$3:$K$15, MATCH(P$1, Investidores!$B$3:$B$15, 0)))-IFERROR(INDEX(Permutas!$X:$AB, MATCH($A86, Permutas!$N:$N, 0), MATCH(P$1, Permutas!$X$2:$AB$2, 0)), 0)+IF($A86=EDATE(entrega, 12), (IFERROR(INDEX('Tabela Vendas'!$AG:$AG, MATCH(INDEX(Permutas!$B$4:$B$10, MATCH(P$1, Permutas!$J$4:$J$10, 0)), 'Tabela Vendas'!$A:$A, 0)), 0)*(1+adicionalVenda-itbicartorioPermuta)-SUM($AA:$AA)*INDEX(Investidores!$L:$L, MATCH(P$1, Investidores!$B:$B, 0)))*(1-impostoPermuta)+SUM($AA:$AA)*INDEX(Investidores!$L:$L, MATCH(P$1, Investidores!$B:$B, 0)), 0), 0)</f>
        <v>0</v>
      </c>
      <c r="Q86" s="390">
        <f ca="1">IF($A86&gt;baseData, -$Z86*IF($Z86&gt;0, INDEX(Investidores!$K$3:$K$15, MATCH(Q$1, Investidores!$B$3:$B$15, 0)), INDEX(Investidores!$K$3:$K$15, MATCH(Q$1, Investidores!$B$3:$B$15, 0)))-IFERROR(INDEX(Permutas!$X:$AB, MATCH($A86, Permutas!$N:$N, 0), MATCH(Q$1, Permutas!$X$2:$AB$2, 0)), 0)+IF($A86=EDATE(entrega, 12), (IFERROR(INDEX('Tabela Vendas'!$AG:$AG, MATCH(INDEX(Permutas!$B$4:$B$10, MATCH(Q$1, Permutas!$J$4:$J$10, 0)), 'Tabela Vendas'!$A:$A, 0)), 0)*(1+adicionalVenda-itbicartorioPermuta)-SUM($AA:$AA)*INDEX(Investidores!$L:$L, MATCH(Q$1, Investidores!$B:$B, 0)))*(1-impostoPermuta)+SUM($AA:$AA)*INDEX(Investidores!$L:$L, MATCH(Q$1, Investidores!$B:$B, 0)), 0), 0)</f>
        <v>0</v>
      </c>
      <c r="R86" s="390">
        <f ca="1">IF($A86&gt;baseData, -$Z86*IF($Z86&gt;0, INDEX(Investidores!$K$3:$K$15, MATCH(R$1, Investidores!$B$3:$B$15, 0)), INDEX(Investidores!$K$3:$K$15, MATCH(R$1, Investidores!$B$3:$B$15, 0)))-IFERROR(INDEX(Permutas!$X:$AB, MATCH($A86, Permutas!$N:$N, 0), MATCH(R$1, Permutas!$X$2:$AB$2, 0)), 0)+IF($A86=EDATE(entrega, 12), (IFERROR(INDEX('Tabela Vendas'!$AG:$AG, MATCH(INDEX(Permutas!$B$4:$B$10, MATCH(R$1, Permutas!$J$4:$J$10, 0)), 'Tabela Vendas'!$A:$A, 0)), 0)*(1+adicionalVenda-itbicartorioPermuta)-SUM($AA:$AA)*INDEX(Investidores!$L:$L, MATCH(R$1, Investidores!$B:$B, 0)))*(1-impostoPermuta)+SUM($AA:$AA)*INDEX(Investidores!$L:$L, MATCH(R$1, Investidores!$B:$B, 0)), 0), 0)</f>
        <v>0</v>
      </c>
      <c r="S86" s="390">
        <f ca="1">IF($A86&gt;baseData, -$Z86*IF($Z86&gt;0, INDEX(Investidores!$K$3:$K$15, MATCH(S$1, Investidores!$B$3:$B$15, 0)), INDEX(Investidores!$K$3:$K$15, MATCH(S$1, Investidores!$B$3:$B$15, 0)))-IFERROR(INDEX(Permutas!$X:$AB, MATCH($A86, Permutas!$N:$N, 0), MATCH(S$1, Permutas!$X$2:$AB$2, 0)), 0)+IF($A86=EDATE(entrega, 12), (IFERROR(INDEX('Tabela Vendas'!$AG:$AG, MATCH(INDEX(Permutas!$B$4:$B$10, MATCH(S$1, Permutas!$J$4:$J$10, 0)), 'Tabela Vendas'!$A:$A, 0)), 0)*(1+adicionalVenda-itbicartorioPermuta)-SUM($AA:$AA)*INDEX(Investidores!$L:$L, MATCH(S$1, Investidores!$B:$B, 0)))*(1-impostoPermuta)+SUM($AA:$AA)*INDEX(Investidores!$L:$L, MATCH(S$1, Investidores!$B:$B, 0)), 0), 0)</f>
        <v>0</v>
      </c>
      <c r="T86" s="390">
        <f ca="1">IF($A86&gt;baseData, -$Z86*IF($Z86&gt;0, INDEX(Investidores!$K$3:$K$15, MATCH(T$1, Investidores!$B$3:$B$15, 0)), INDEX(Investidores!$K$3:$K$15, MATCH(T$1, Investidores!$B$3:$B$15, 0)))-IFERROR(INDEX(Permutas!$X:$AB, MATCH($A86, Permutas!$N:$N, 0), MATCH(T$1, Permutas!$X$2:$AB$2, 0)), 0)+IF($A86=EDATE(entrega, 12), (IFERROR(INDEX('Tabela Vendas'!$AG:$AG, MATCH(INDEX(Permutas!$B$4:$B$10, MATCH(T$1, Permutas!$J$4:$J$10, 0)), 'Tabela Vendas'!$A:$A, 0)), 0)*(1+adicionalVenda-itbicartorioPermuta)-SUM($AA:$AA)*INDEX(Investidores!$L:$L, MATCH(T$1, Investidores!$B:$B, 0)))*(1-impostoPermuta)+SUM($AA:$AA)*INDEX(Investidores!$L:$L, MATCH(T$1, Investidores!$B:$B, 0)), 0), 0)</f>
        <v>0</v>
      </c>
      <c r="U86" s="390">
        <f ca="1">IF($A86&gt;baseData, -$Z86*IF($Z86&gt;0, INDEX(Investidores!$K$3:$K$15, MATCH(U$1, Investidores!$B$3:$B$15, 0)), INDEX(Investidores!$K$3:$K$15, MATCH(U$1, Investidores!$B$3:$B$15, 0)))-IFERROR(INDEX(Permutas!$X:$AB, MATCH($A86, Permutas!$N:$N, 0), MATCH(U$1, Permutas!$X$2:$AB$2, 0)), 0)+IF($A86=EDATE(entrega, 12), (IFERROR(INDEX('Tabela Vendas'!$AG:$AG, MATCH(INDEX(Permutas!$B$4:$B$10, MATCH(U$1, Permutas!$J$4:$J$10, 0)), 'Tabela Vendas'!$A:$A, 0)), 0)*(1+adicionalVenda-itbicartorioPermuta)-SUM($AA:$AA)*INDEX(Investidores!$L:$L, MATCH(U$1, Investidores!$B:$B, 0)))*(1-impostoPermuta)+SUM($AA:$AA)*INDEX(Investidores!$L:$L, MATCH(U$1, Investidores!$B:$B, 0)), 0), 0)</f>
        <v>0</v>
      </c>
      <c r="V86" s="390">
        <f ca="1">IF($A86&gt;baseData, -$Z86*IF($Z86&gt;0, INDEX(Investidores!$K$3:$K$15, MATCH(V$1, Investidores!$B$3:$B$15, 0)), INDEX(Investidores!$K$3:$K$15, MATCH(V$1, Investidores!$B$3:$B$15, 0)))-IFERROR(INDEX(Permutas!$X:$AB, MATCH($A86, Permutas!$N:$N, 0), MATCH(V$1, Permutas!$X$2:$AB$2, 0)), 0)+IF($A86=EDATE(entrega, 12), (IFERROR(INDEX('Tabela Vendas'!$AG:$AG, MATCH(INDEX(Permutas!$B$4:$B$10, MATCH(V$1, Permutas!$J$4:$J$10, 0)), 'Tabela Vendas'!$A:$A, 0)), 0)*(1+adicionalVenda-itbicartorioPermuta)-SUM($AA:$AA)*INDEX(Investidores!$L:$L, MATCH(V$1, Investidores!$B:$B, 0)))*(1-impostoPermuta)+SUM($AA:$AA)*INDEX(Investidores!$L:$L, MATCH(V$1, Investidores!$B:$B, 0)), 0), 0)</f>
        <v>0</v>
      </c>
      <c r="W86" s="415">
        <f ca="1">IF($A86&gt;baseData, -$Z86*IF($Z86&gt;0, INDEX(Investidores!$K$3:$K$15, MATCH(W$1, Investidores!$B$3:$B$15, 0)), INDEX(Investidores!$K$3:$K$15, MATCH(W$1, Investidores!$B$3:$B$15, 0)))-IFERROR(INDEX(Permutas!$X:$AB, MATCH($A86, Permutas!$N:$N, 0), MATCH(W$1, Permutas!$X$2:$AB$2, 0)), 0)+IF($A86=EDATE(entrega, 12), (IFERROR(INDEX('Tabela Vendas'!$AG:$AG, MATCH(INDEX(Permutas!$B$4:$B$10, MATCH(W$1, Permutas!$J$4:$J$10, 0)), 'Tabela Vendas'!$A:$A, 0)), 0)*(1+adicionalVenda-itbicartorioPermuta)-SUM($AA:$AA)*INDEX(Investidores!$L:$L, MATCH(W$1, Investidores!$B:$B, 0)))*(1-impostoPermuta)+SUM($AA:$AA)*INDEX(Investidores!$L:$L, MATCH(W$1, Investidores!$B:$B, 0)), 0), 0)</f>
        <v>0</v>
      </c>
      <c r="X86" s="398">
        <f ca="1">IF($A86&gt;baseData, -$Z86*IF($Z86&gt;0, INDEX(Investidores!$K$3:$K$15, MATCH(X$1, Investidores!$B$3:$B$15, 0)), INDEX(Investidores!$K$3:$K$15, MATCH(X$1, Investidores!$B$3:$B$15, 0)))-IFERROR(INDEX(Permutas!$X:$AB, MATCH($A86, Permutas!$N:$N, 0), MATCH(X$1, Permutas!$X$2:$AB$2, 0)), 0)+IF($A86=EDATE(entrega, 12), (IFERROR(INDEX('Tabela Vendas'!$AG:$AG, MATCH(INDEX(Permutas!$B$4:$B$10, MATCH(X$1, Permutas!$J$4:$J$10, 0)), 'Tabela Vendas'!$A:$A, 0)), 0)*(1+adicionalVenda-itbicartorioPermuta)-SUM($AA:$AA)*INDEX(Investidores!$L:$L, MATCH(X$1, Investidores!$B:$B, 0)))*(1-impostoPermuta)+SUM($AA:$AA)*INDEX(Investidores!$L:$L, MATCH(X$1, Investidores!$B:$B, 0)), 0), 0)</f>
        <v>0</v>
      </c>
      <c r="Y86" s="390">
        <f t="shared" ca="1" si="35"/>
        <v>0</v>
      </c>
      <c r="Z86" s="397">
        <f ca="1">-INDEX('Fluxo Bandeira Co'!AZ:AZ, MATCH($A86, 'Fluxo Bandeira Co'!$A:$A, 0))</f>
        <v>0</v>
      </c>
      <c r="AA86" s="398">
        <f>INDEX('Fluxo Bandeira Co'!J:J, MATCH($A86, 'Fluxo Bandeira Co'!$A:$A, 0))+INDEX('Fluxo Bandeira Co'!AK:AK, MATCH($A86, 'Fluxo Bandeira Co'!$A:$A, 0))</f>
        <v>0</v>
      </c>
      <c r="AB86" s="371"/>
      <c r="AC86" s="397">
        <f>-INDEX('Fluxo Bandeira Co'!L:L, MATCH('Fluxo Investidores'!$A86, 'Fluxo Bandeira Co'!$A:$A, 0))</f>
        <v>0</v>
      </c>
      <c r="AD86" s="398">
        <f>-INDEX('Fluxo Bandeira Co'!M:M, MATCH('Fluxo Investidores'!$A86, 'Fluxo Bandeira Co'!$A:$A, 0))</f>
        <v>0</v>
      </c>
      <c r="AF86" s="397">
        <f t="shared" si="36"/>
        <v>0</v>
      </c>
      <c r="AG86" s="398">
        <f>IFERROR(INDEX('Fluxo Projeto'!AQ:AQ, MATCH('Fluxo Investidores'!A86, 'Fluxo Projeto'!A:A, 0)), 0)</f>
        <v>0</v>
      </c>
      <c r="AI86" s="397">
        <f t="shared" ca="1" si="37"/>
        <v>0</v>
      </c>
      <c r="AJ86" s="390">
        <f t="shared" ca="1" si="38"/>
        <v>0</v>
      </c>
      <c r="AK86" s="390">
        <f t="shared" ca="1" si="39"/>
        <v>0</v>
      </c>
      <c r="AL86" s="390">
        <f t="shared" ca="1" si="40"/>
        <v>0</v>
      </c>
      <c r="AM86" s="390">
        <f t="shared" ca="1" si="41"/>
        <v>0</v>
      </c>
      <c r="AN86" s="390">
        <f t="shared" ca="1" si="42"/>
        <v>0</v>
      </c>
      <c r="AO86" s="390">
        <f t="shared" ca="1" si="43"/>
        <v>0</v>
      </c>
      <c r="AP86" s="390">
        <f t="shared" ca="1" si="44"/>
        <v>0</v>
      </c>
      <c r="AQ86" s="390">
        <f t="shared" ca="1" si="45"/>
        <v>0</v>
      </c>
      <c r="AR86" s="390">
        <f t="shared" ca="1" si="46"/>
        <v>0</v>
      </c>
      <c r="AS86" s="390">
        <f t="shared" ca="1" si="47"/>
        <v>0</v>
      </c>
      <c r="AT86" s="415">
        <f t="shared" ca="1" si="48"/>
        <v>0</v>
      </c>
      <c r="AU86" s="398">
        <f t="shared" ca="1" si="49"/>
        <v>0</v>
      </c>
    </row>
    <row r="90" spans="1:47" x14ac:dyDescent="0.25">
      <c r="L90" s="139"/>
      <c r="M90" s="139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</row>
  </sheetData>
  <conditionalFormatting sqref="AB2 A2:D2 G2:L2 V2:W2 Q2 W27:W29 Q4 V4:W8 K4:K22 G4:L4 A4:D4 AB4 W9:W25">
    <cfRule type="expression" dxfId="9067" priority="8344">
      <formula>#REF!="TO"</formula>
    </cfRule>
    <cfRule type="expression" dxfId="9066" priority="8345">
      <formula>#REF!="IO"</formula>
    </cfRule>
    <cfRule type="expression" dxfId="9065" priority="8346">
      <formula>#REF!="L"</formula>
    </cfRule>
  </conditionalFormatting>
  <conditionalFormatting sqref="A9:A12 A38:A41 A23:A29">
    <cfRule type="expression" dxfId="9064" priority="8473">
      <formula>#REF!="TO"</formula>
    </cfRule>
    <cfRule type="expression" dxfId="9063" priority="8474">
      <formula>#REF!="IO"</formula>
    </cfRule>
    <cfRule type="expression" dxfId="9062" priority="8475">
      <formula>#REF!="L"</formula>
    </cfRule>
  </conditionalFormatting>
  <conditionalFormatting sqref="B38:B41 B23:B29">
    <cfRule type="expression" dxfId="9061" priority="8467">
      <formula>#REF!="TO"</formula>
    </cfRule>
    <cfRule type="expression" dxfId="9060" priority="8468">
      <formula>#REF!="IO"</formula>
    </cfRule>
    <cfRule type="expression" dxfId="9059" priority="8469">
      <formula>#REF!="L"</formula>
    </cfRule>
  </conditionalFormatting>
  <conditionalFormatting sqref="L38:Q41">
    <cfRule type="expression" dxfId="9058" priority="8443">
      <formula>#REF!="TO"</formula>
    </cfRule>
    <cfRule type="expression" dxfId="9057" priority="8444">
      <formula>#REF!="IO"</formula>
    </cfRule>
    <cfRule type="expression" dxfId="9056" priority="8445">
      <formula>#REF!="L"</formula>
    </cfRule>
  </conditionalFormatting>
  <conditionalFormatting sqref="R38:V41">
    <cfRule type="expression" dxfId="9055" priority="8440">
      <formula>#REF!="TO"</formula>
    </cfRule>
    <cfRule type="expression" dxfId="9054" priority="8441">
      <formula>#REF!="IO"</formula>
    </cfRule>
    <cfRule type="expression" dxfId="9053" priority="8442">
      <formula>#REF!="L"</formula>
    </cfRule>
  </conditionalFormatting>
  <conditionalFormatting sqref="W23:W25 W27:W29">
    <cfRule type="expression" dxfId="9052" priority="8341">
      <formula>#REF!="TO"</formula>
    </cfRule>
    <cfRule type="expression" dxfId="9051" priority="8342">
      <formula>#REF!="IO"</formula>
    </cfRule>
    <cfRule type="expression" dxfId="9050" priority="8343">
      <formula>#REF!="L"</formula>
    </cfRule>
  </conditionalFormatting>
  <conditionalFormatting sqref="A5">
    <cfRule type="expression" dxfId="9049" priority="8317">
      <formula>#REF!="TO"</formula>
    </cfRule>
    <cfRule type="expression" dxfId="9048" priority="8318">
      <formula>#REF!="IO"</formula>
    </cfRule>
    <cfRule type="expression" dxfId="9047" priority="8319">
      <formula>#REF!="L"</formula>
    </cfRule>
  </conditionalFormatting>
  <conditionalFormatting sqref="B5">
    <cfRule type="expression" dxfId="9046" priority="8314">
      <formula>#REF!="TO"</formula>
    </cfRule>
    <cfRule type="expression" dxfId="9045" priority="8315">
      <formula>#REF!="IO"</formula>
    </cfRule>
    <cfRule type="expression" dxfId="9044" priority="8316">
      <formula>#REF!="L"</formula>
    </cfRule>
  </conditionalFormatting>
  <conditionalFormatting sqref="I5">
    <cfRule type="expression" dxfId="9043" priority="8311">
      <formula>#REF!="TO"</formula>
    </cfRule>
    <cfRule type="expression" dxfId="9042" priority="8312">
      <formula>#REF!="IO"</formula>
    </cfRule>
    <cfRule type="expression" dxfId="9041" priority="8313">
      <formula>#REF!="L"</formula>
    </cfRule>
  </conditionalFormatting>
  <conditionalFormatting sqref="K5">
    <cfRule type="expression" dxfId="9040" priority="8308">
      <formula>#REF!="TO"</formula>
    </cfRule>
    <cfRule type="expression" dxfId="9039" priority="8309">
      <formula>#REF!="IO"</formula>
    </cfRule>
    <cfRule type="expression" dxfId="9038" priority="8310">
      <formula>#REF!="L"</formula>
    </cfRule>
  </conditionalFormatting>
  <conditionalFormatting sqref="L5 Q5">
    <cfRule type="expression" dxfId="9037" priority="8302">
      <formula>#REF!="TO"</formula>
    </cfRule>
    <cfRule type="expression" dxfId="9036" priority="8303">
      <formula>#REF!="IO"</formula>
    </cfRule>
    <cfRule type="expression" dxfId="9035" priority="8304">
      <formula>#REF!="L"</formula>
    </cfRule>
  </conditionalFormatting>
  <conditionalFormatting sqref="I6">
    <cfRule type="expression" dxfId="9034" priority="8236">
      <formula>#REF!="TO"</formula>
    </cfRule>
    <cfRule type="expression" dxfId="9033" priority="8237">
      <formula>#REF!="IO"</formula>
    </cfRule>
    <cfRule type="expression" dxfId="9032" priority="8238">
      <formula>#REF!="L"</formula>
    </cfRule>
  </conditionalFormatting>
  <conditionalFormatting sqref="AB5">
    <cfRule type="expression" dxfId="9031" priority="8296">
      <formula>#REF!="TO"</formula>
    </cfRule>
    <cfRule type="expression" dxfId="9030" priority="8297">
      <formula>#REF!="IO"</formula>
    </cfRule>
    <cfRule type="expression" dxfId="9029" priority="8298">
      <formula>#REF!="L"</formula>
    </cfRule>
    <cfRule type="expression" dxfId="9028" priority="8299">
      <formula>#REF!="TO"</formula>
    </cfRule>
    <cfRule type="expression" dxfId="9027" priority="8300">
      <formula>#REF!="IO"</formula>
    </cfRule>
    <cfRule type="expression" dxfId="9026" priority="8301">
      <formula>#REF!="L"</formula>
    </cfRule>
  </conditionalFormatting>
  <conditionalFormatting sqref="A6">
    <cfRule type="expression" dxfId="9025" priority="8242">
      <formula>#REF!="TO"</formula>
    </cfRule>
    <cfRule type="expression" dxfId="9024" priority="8243">
      <formula>#REF!="IO"</formula>
    </cfRule>
    <cfRule type="expression" dxfId="9023" priority="8244">
      <formula>#REF!="L"</formula>
    </cfRule>
  </conditionalFormatting>
  <conditionalFormatting sqref="B6">
    <cfRule type="expression" dxfId="9022" priority="8239">
      <formula>#REF!="TO"</formula>
    </cfRule>
    <cfRule type="expression" dxfId="9021" priority="8240">
      <formula>#REF!="IO"</formula>
    </cfRule>
    <cfRule type="expression" dxfId="9020" priority="8241">
      <formula>#REF!="L"</formula>
    </cfRule>
  </conditionalFormatting>
  <conditionalFormatting sqref="K6">
    <cfRule type="expression" dxfId="9019" priority="8233">
      <formula>#REF!="TO"</formula>
    </cfRule>
    <cfRule type="expression" dxfId="9018" priority="8234">
      <formula>#REF!="IO"</formula>
    </cfRule>
    <cfRule type="expression" dxfId="9017" priority="8235">
      <formula>#REF!="L"</formula>
    </cfRule>
  </conditionalFormatting>
  <conditionalFormatting sqref="L6 Q6">
    <cfRule type="expression" dxfId="9016" priority="8227">
      <formula>#REF!="TO"</formula>
    </cfRule>
    <cfRule type="expression" dxfId="9015" priority="8228">
      <formula>#REF!="IO"</formula>
    </cfRule>
    <cfRule type="expression" dxfId="9014" priority="8229">
      <formula>#REF!="L"</formula>
    </cfRule>
  </conditionalFormatting>
  <conditionalFormatting sqref="I7">
    <cfRule type="expression" dxfId="9013" priority="8164">
      <formula>#REF!="TO"</formula>
    </cfRule>
    <cfRule type="expression" dxfId="9012" priority="8165">
      <formula>#REF!="IO"</formula>
    </cfRule>
    <cfRule type="expression" dxfId="9011" priority="8166">
      <formula>#REF!="L"</formula>
    </cfRule>
  </conditionalFormatting>
  <conditionalFormatting sqref="AB6">
    <cfRule type="expression" dxfId="9010" priority="8221">
      <formula>#REF!="TO"</formula>
    </cfRule>
    <cfRule type="expression" dxfId="9009" priority="8222">
      <formula>#REF!="IO"</formula>
    </cfRule>
    <cfRule type="expression" dxfId="9008" priority="8223">
      <formula>#REF!="L"</formula>
    </cfRule>
    <cfRule type="expression" dxfId="9007" priority="8224">
      <formula>#REF!="TO"</formula>
    </cfRule>
    <cfRule type="expression" dxfId="9006" priority="8225">
      <formula>#REF!="IO"</formula>
    </cfRule>
    <cfRule type="expression" dxfId="9005" priority="8226">
      <formula>#REF!="L"</formula>
    </cfRule>
  </conditionalFormatting>
  <conditionalFormatting sqref="A7">
    <cfRule type="expression" dxfId="9004" priority="8170">
      <formula>#REF!="TO"</formula>
    </cfRule>
    <cfRule type="expression" dxfId="9003" priority="8171">
      <formula>#REF!="IO"</formula>
    </cfRule>
    <cfRule type="expression" dxfId="9002" priority="8172">
      <formula>#REF!="L"</formula>
    </cfRule>
  </conditionalFormatting>
  <conditionalFormatting sqref="B7">
    <cfRule type="expression" dxfId="9001" priority="8167">
      <formula>#REF!="TO"</formula>
    </cfRule>
    <cfRule type="expression" dxfId="9000" priority="8168">
      <formula>#REF!="IO"</formula>
    </cfRule>
    <cfRule type="expression" dxfId="8999" priority="8169">
      <formula>#REF!="L"</formula>
    </cfRule>
  </conditionalFormatting>
  <conditionalFormatting sqref="K7">
    <cfRule type="expression" dxfId="8998" priority="8161">
      <formula>#REF!="TO"</formula>
    </cfRule>
    <cfRule type="expression" dxfId="8997" priority="8162">
      <formula>#REF!="IO"</formula>
    </cfRule>
    <cfRule type="expression" dxfId="8996" priority="8163">
      <formula>#REF!="L"</formula>
    </cfRule>
  </conditionalFormatting>
  <conditionalFormatting sqref="L7 Q7">
    <cfRule type="expression" dxfId="8995" priority="8155">
      <formula>#REF!="TO"</formula>
    </cfRule>
    <cfRule type="expression" dxfId="8994" priority="8156">
      <formula>#REF!="IO"</formula>
    </cfRule>
    <cfRule type="expression" dxfId="8993" priority="8157">
      <formula>#REF!="L"</formula>
    </cfRule>
  </conditionalFormatting>
  <conditionalFormatting sqref="I8">
    <cfRule type="expression" dxfId="8992" priority="8092">
      <formula>#REF!="TO"</formula>
    </cfRule>
    <cfRule type="expression" dxfId="8991" priority="8093">
      <formula>#REF!="IO"</formula>
    </cfRule>
    <cfRule type="expression" dxfId="8990" priority="8094">
      <formula>#REF!="L"</formula>
    </cfRule>
  </conditionalFormatting>
  <conditionalFormatting sqref="AB7">
    <cfRule type="expression" dxfId="8989" priority="8149">
      <formula>#REF!="TO"</formula>
    </cfRule>
    <cfRule type="expression" dxfId="8988" priority="8150">
      <formula>#REF!="IO"</formula>
    </cfRule>
    <cfRule type="expression" dxfId="8987" priority="8151">
      <formula>#REF!="L"</formula>
    </cfRule>
    <cfRule type="expression" dxfId="8986" priority="8152">
      <formula>#REF!="TO"</formula>
    </cfRule>
    <cfRule type="expression" dxfId="8985" priority="8153">
      <formula>#REF!="IO"</formula>
    </cfRule>
    <cfRule type="expression" dxfId="8984" priority="8154">
      <formula>#REF!="L"</formula>
    </cfRule>
  </conditionalFormatting>
  <conditionalFormatting sqref="A8">
    <cfRule type="expression" dxfId="8983" priority="8098">
      <formula>#REF!="TO"</formula>
    </cfRule>
    <cfRule type="expression" dxfId="8982" priority="8099">
      <formula>#REF!="IO"</formula>
    </cfRule>
    <cfRule type="expression" dxfId="8981" priority="8100">
      <formula>#REF!="L"</formula>
    </cfRule>
  </conditionalFormatting>
  <conditionalFormatting sqref="B8">
    <cfRule type="expression" dxfId="8980" priority="8095">
      <formula>#REF!="TO"</formula>
    </cfRule>
    <cfRule type="expression" dxfId="8979" priority="8096">
      <formula>#REF!="IO"</formula>
    </cfRule>
    <cfRule type="expression" dxfId="8978" priority="8097">
      <formula>#REF!="L"</formula>
    </cfRule>
  </conditionalFormatting>
  <conditionalFormatting sqref="K8">
    <cfRule type="expression" dxfId="8977" priority="8089">
      <formula>#REF!="TO"</formula>
    </cfRule>
    <cfRule type="expression" dxfId="8976" priority="8090">
      <formula>#REF!="IO"</formula>
    </cfRule>
    <cfRule type="expression" dxfId="8975" priority="8091">
      <formula>#REF!="L"</formula>
    </cfRule>
  </conditionalFormatting>
  <conditionalFormatting sqref="L8 Q8">
    <cfRule type="expression" dxfId="8974" priority="8083">
      <formula>#REF!="TO"</formula>
    </cfRule>
    <cfRule type="expression" dxfId="8973" priority="8084">
      <formula>#REF!="IO"</formula>
    </cfRule>
    <cfRule type="expression" dxfId="8972" priority="8085">
      <formula>#REF!="L"</formula>
    </cfRule>
  </conditionalFormatting>
  <conditionalFormatting sqref="AB8">
    <cfRule type="expression" dxfId="8971" priority="8077">
      <formula>#REF!="TO"</formula>
    </cfRule>
    <cfRule type="expression" dxfId="8970" priority="8078">
      <formula>#REF!="IO"</formula>
    </cfRule>
    <cfRule type="expression" dxfId="8969" priority="8079">
      <formula>#REF!="L"</formula>
    </cfRule>
    <cfRule type="expression" dxfId="8968" priority="8080">
      <formula>#REF!="TO"</formula>
    </cfRule>
    <cfRule type="expression" dxfId="8967" priority="8081">
      <formula>#REF!="IO"</formula>
    </cfRule>
    <cfRule type="expression" dxfId="8966" priority="8082">
      <formula>#REF!="L"</formula>
    </cfRule>
  </conditionalFormatting>
  <conditionalFormatting sqref="B9:B12">
    <cfRule type="expression" dxfId="8965" priority="8023">
      <formula>#REF!="TO"</formula>
    </cfRule>
    <cfRule type="expression" dxfId="8964" priority="8024">
      <formula>#REF!="IO"</formula>
    </cfRule>
    <cfRule type="expression" dxfId="8963" priority="8025">
      <formula>#REF!="L"</formula>
    </cfRule>
  </conditionalFormatting>
  <conditionalFormatting sqref="I9:I12">
    <cfRule type="expression" dxfId="8962" priority="8020">
      <formula>#REF!="TO"</formula>
    </cfRule>
    <cfRule type="expression" dxfId="8961" priority="8021">
      <formula>#REF!="IO"</formula>
    </cfRule>
    <cfRule type="expression" dxfId="8960" priority="8022">
      <formula>#REF!="L"</formula>
    </cfRule>
  </conditionalFormatting>
  <conditionalFormatting sqref="K9:K12">
    <cfRule type="expression" dxfId="8959" priority="8017">
      <formula>#REF!="TO"</formula>
    </cfRule>
    <cfRule type="expression" dxfId="8958" priority="8018">
      <formula>#REF!="IO"</formula>
    </cfRule>
    <cfRule type="expression" dxfId="8957" priority="8019">
      <formula>#REF!="L"</formula>
    </cfRule>
  </conditionalFormatting>
  <conditionalFormatting sqref="L9:L12 Q9:Q12">
    <cfRule type="expression" dxfId="8956" priority="8011">
      <formula>#REF!="TO"</formula>
    </cfRule>
    <cfRule type="expression" dxfId="8955" priority="8012">
      <formula>#REF!="IO"</formula>
    </cfRule>
    <cfRule type="expression" dxfId="8954" priority="8013">
      <formula>#REF!="L"</formula>
    </cfRule>
  </conditionalFormatting>
  <conditionalFormatting sqref="AB9:AB12">
    <cfRule type="expression" dxfId="8953" priority="8002">
      <formula>#REF!="TO"</formula>
    </cfRule>
    <cfRule type="expression" dxfId="8952" priority="8003">
      <formula>#REF!="IO"</formula>
    </cfRule>
    <cfRule type="expression" dxfId="8951" priority="8004">
      <formula>#REF!="L"</formula>
    </cfRule>
    <cfRule type="expression" dxfId="8950" priority="8005">
      <formula>#REF!="TO"</formula>
    </cfRule>
    <cfRule type="expression" dxfId="8949" priority="8006">
      <formula>#REF!="IO"</formula>
    </cfRule>
    <cfRule type="expression" dxfId="8948" priority="8007">
      <formula>#REF!="L"</formula>
    </cfRule>
  </conditionalFormatting>
  <conditionalFormatting sqref="I14">
    <cfRule type="expression" dxfId="8947" priority="7855">
      <formula>#REF!="TO"</formula>
    </cfRule>
    <cfRule type="expression" dxfId="8946" priority="7856">
      <formula>#REF!="IO"</formula>
    </cfRule>
    <cfRule type="expression" dxfId="8945" priority="7857">
      <formula>#REF!="L"</formula>
    </cfRule>
  </conditionalFormatting>
  <conditionalFormatting sqref="L14 Q14">
    <cfRule type="expression" dxfId="8944" priority="7846">
      <formula>#REF!="TO"</formula>
    </cfRule>
    <cfRule type="expression" dxfId="8943" priority="7847">
      <formula>#REF!="IO"</formula>
    </cfRule>
    <cfRule type="expression" dxfId="8942" priority="7848">
      <formula>#REF!="L"</formula>
    </cfRule>
  </conditionalFormatting>
  <conditionalFormatting sqref="AB14">
    <cfRule type="expression" dxfId="8941" priority="7840">
      <formula>#REF!="TO"</formula>
    </cfRule>
    <cfRule type="expression" dxfId="8940" priority="7841">
      <formula>#REF!="IO"</formula>
    </cfRule>
    <cfRule type="expression" dxfId="8939" priority="7842">
      <formula>#REF!="L"</formula>
    </cfRule>
    <cfRule type="expression" dxfId="8938" priority="7843">
      <formula>#REF!="TO"</formula>
    </cfRule>
    <cfRule type="expression" dxfId="8937" priority="7844">
      <formula>#REF!="IO"</formula>
    </cfRule>
    <cfRule type="expression" dxfId="8936" priority="7845">
      <formula>#REF!="L"</formula>
    </cfRule>
  </conditionalFormatting>
  <conditionalFormatting sqref="A13">
    <cfRule type="expression" dxfId="8935" priority="7942">
      <formula>#REF!="TO"</formula>
    </cfRule>
    <cfRule type="expression" dxfId="8934" priority="7943">
      <formula>#REF!="IO"</formula>
    </cfRule>
    <cfRule type="expression" dxfId="8933" priority="7944">
      <formula>#REF!="L"</formula>
    </cfRule>
  </conditionalFormatting>
  <conditionalFormatting sqref="B13">
    <cfRule type="expression" dxfId="8932" priority="7939">
      <formula>#REF!="TO"</formula>
    </cfRule>
    <cfRule type="expression" dxfId="8931" priority="7940">
      <formula>#REF!="IO"</formula>
    </cfRule>
    <cfRule type="expression" dxfId="8930" priority="7941">
      <formula>#REF!="L"</formula>
    </cfRule>
  </conditionalFormatting>
  <conditionalFormatting sqref="I13">
    <cfRule type="expression" dxfId="8929" priority="7936">
      <formula>#REF!="TO"</formula>
    </cfRule>
    <cfRule type="expression" dxfId="8928" priority="7937">
      <formula>#REF!="IO"</formula>
    </cfRule>
    <cfRule type="expression" dxfId="8927" priority="7938">
      <formula>#REF!="L"</formula>
    </cfRule>
  </conditionalFormatting>
  <conditionalFormatting sqref="K13">
    <cfRule type="expression" dxfId="8926" priority="7933">
      <formula>#REF!="TO"</formula>
    </cfRule>
    <cfRule type="expression" dxfId="8925" priority="7934">
      <formula>#REF!="IO"</formula>
    </cfRule>
    <cfRule type="expression" dxfId="8924" priority="7935">
      <formula>#REF!="L"</formula>
    </cfRule>
  </conditionalFormatting>
  <conditionalFormatting sqref="L13 Q13">
    <cfRule type="expression" dxfId="8923" priority="7927">
      <formula>#REF!="TO"</formula>
    </cfRule>
    <cfRule type="expression" dxfId="8922" priority="7928">
      <formula>#REF!="IO"</formula>
    </cfRule>
    <cfRule type="expression" dxfId="8921" priority="7929">
      <formula>#REF!="L"</formula>
    </cfRule>
  </conditionalFormatting>
  <conditionalFormatting sqref="AB13">
    <cfRule type="expression" dxfId="8920" priority="7921">
      <formula>#REF!="TO"</formula>
    </cfRule>
    <cfRule type="expression" dxfId="8919" priority="7922">
      <formula>#REF!="IO"</formula>
    </cfRule>
    <cfRule type="expression" dxfId="8918" priority="7923">
      <formula>#REF!="L"</formula>
    </cfRule>
    <cfRule type="expression" dxfId="8917" priority="7924">
      <formula>#REF!="TO"</formula>
    </cfRule>
    <cfRule type="expression" dxfId="8916" priority="7925">
      <formula>#REF!="IO"</formula>
    </cfRule>
    <cfRule type="expression" dxfId="8915" priority="7926">
      <formula>#REF!="L"</formula>
    </cfRule>
  </conditionalFormatting>
  <conditionalFormatting sqref="A14">
    <cfRule type="expression" dxfId="8914" priority="7861">
      <formula>#REF!="TO"</formula>
    </cfRule>
    <cfRule type="expression" dxfId="8913" priority="7862">
      <formula>#REF!="IO"</formula>
    </cfRule>
    <cfRule type="expression" dxfId="8912" priority="7863">
      <formula>#REF!="L"</formula>
    </cfRule>
  </conditionalFormatting>
  <conditionalFormatting sqref="B14">
    <cfRule type="expression" dxfId="8911" priority="7858">
      <formula>#REF!="TO"</formula>
    </cfRule>
    <cfRule type="expression" dxfId="8910" priority="7859">
      <formula>#REF!="IO"</formula>
    </cfRule>
    <cfRule type="expression" dxfId="8909" priority="7860">
      <formula>#REF!="L"</formula>
    </cfRule>
  </conditionalFormatting>
  <conditionalFormatting sqref="K14">
    <cfRule type="expression" dxfId="8908" priority="7852">
      <formula>#REF!="TO"</formula>
    </cfRule>
    <cfRule type="expression" dxfId="8907" priority="7853">
      <formula>#REF!="IO"</formula>
    </cfRule>
    <cfRule type="expression" dxfId="8906" priority="7854">
      <formula>#REF!="L"</formula>
    </cfRule>
  </conditionalFormatting>
  <conditionalFormatting sqref="A15">
    <cfRule type="expression" dxfId="8905" priority="7780">
      <formula>#REF!="TO"</formula>
    </cfRule>
    <cfRule type="expression" dxfId="8904" priority="7781">
      <formula>#REF!="IO"</formula>
    </cfRule>
    <cfRule type="expression" dxfId="8903" priority="7782">
      <formula>#REF!="L"</formula>
    </cfRule>
  </conditionalFormatting>
  <conditionalFormatting sqref="B15">
    <cfRule type="expression" dxfId="8902" priority="7777">
      <formula>#REF!="TO"</formula>
    </cfRule>
    <cfRule type="expression" dxfId="8901" priority="7778">
      <formula>#REF!="IO"</formula>
    </cfRule>
    <cfRule type="expression" dxfId="8900" priority="7779">
      <formula>#REF!="L"</formula>
    </cfRule>
  </conditionalFormatting>
  <conditionalFormatting sqref="I15">
    <cfRule type="expression" dxfId="8899" priority="7774">
      <formula>#REF!="TO"</formula>
    </cfRule>
    <cfRule type="expression" dxfId="8898" priority="7775">
      <formula>#REF!="IO"</formula>
    </cfRule>
    <cfRule type="expression" dxfId="8897" priority="7776">
      <formula>#REF!="L"</formula>
    </cfRule>
  </conditionalFormatting>
  <conditionalFormatting sqref="K15">
    <cfRule type="expression" dxfId="8896" priority="7771">
      <formula>#REF!="TO"</formula>
    </cfRule>
    <cfRule type="expression" dxfId="8895" priority="7772">
      <formula>#REF!="IO"</formula>
    </cfRule>
    <cfRule type="expression" dxfId="8894" priority="7773">
      <formula>#REF!="L"</formula>
    </cfRule>
  </conditionalFormatting>
  <conditionalFormatting sqref="L15 Q15">
    <cfRule type="expression" dxfId="8893" priority="7765">
      <formula>#REF!="TO"</formula>
    </cfRule>
    <cfRule type="expression" dxfId="8892" priority="7766">
      <formula>#REF!="IO"</formula>
    </cfRule>
    <cfRule type="expression" dxfId="8891" priority="7767">
      <formula>#REF!="L"</formula>
    </cfRule>
  </conditionalFormatting>
  <conditionalFormatting sqref="AB15">
    <cfRule type="expression" dxfId="8890" priority="7759">
      <formula>#REF!="TO"</formula>
    </cfRule>
    <cfRule type="expression" dxfId="8889" priority="7760">
      <formula>#REF!="IO"</formula>
    </cfRule>
    <cfRule type="expression" dxfId="8888" priority="7761">
      <formula>#REF!="L"</formula>
    </cfRule>
    <cfRule type="expression" dxfId="8887" priority="7762">
      <formula>#REF!="TO"</formula>
    </cfRule>
    <cfRule type="expression" dxfId="8886" priority="7763">
      <formula>#REF!="IO"</formula>
    </cfRule>
    <cfRule type="expression" dxfId="8885" priority="7764">
      <formula>#REF!="L"</formula>
    </cfRule>
  </conditionalFormatting>
  <conditionalFormatting sqref="A16">
    <cfRule type="expression" dxfId="8884" priority="7699">
      <formula>#REF!="TO"</formula>
    </cfRule>
    <cfRule type="expression" dxfId="8883" priority="7700">
      <formula>#REF!="IO"</formula>
    </cfRule>
    <cfRule type="expression" dxfId="8882" priority="7701">
      <formula>#REF!="L"</formula>
    </cfRule>
  </conditionalFormatting>
  <conditionalFormatting sqref="B16">
    <cfRule type="expression" dxfId="8881" priority="7696">
      <formula>#REF!="TO"</formula>
    </cfRule>
    <cfRule type="expression" dxfId="8880" priority="7697">
      <formula>#REF!="IO"</formula>
    </cfRule>
    <cfRule type="expression" dxfId="8879" priority="7698">
      <formula>#REF!="L"</formula>
    </cfRule>
  </conditionalFormatting>
  <conditionalFormatting sqref="I16">
    <cfRule type="expression" dxfId="8878" priority="7693">
      <formula>#REF!="TO"</formula>
    </cfRule>
    <cfRule type="expression" dxfId="8877" priority="7694">
      <formula>#REF!="IO"</formula>
    </cfRule>
    <cfRule type="expression" dxfId="8876" priority="7695">
      <formula>#REF!="L"</formula>
    </cfRule>
  </conditionalFormatting>
  <conditionalFormatting sqref="K16">
    <cfRule type="expression" dxfId="8875" priority="7690">
      <formula>#REF!="TO"</formula>
    </cfRule>
    <cfRule type="expression" dxfId="8874" priority="7691">
      <formula>#REF!="IO"</formula>
    </cfRule>
    <cfRule type="expression" dxfId="8873" priority="7692">
      <formula>#REF!="L"</formula>
    </cfRule>
  </conditionalFormatting>
  <conditionalFormatting sqref="L16 Q16">
    <cfRule type="expression" dxfId="8872" priority="7684">
      <formula>#REF!="TO"</formula>
    </cfRule>
    <cfRule type="expression" dxfId="8871" priority="7685">
      <formula>#REF!="IO"</formula>
    </cfRule>
    <cfRule type="expression" dxfId="8870" priority="7686">
      <formula>#REF!="L"</formula>
    </cfRule>
  </conditionalFormatting>
  <conditionalFormatting sqref="AB16">
    <cfRule type="expression" dxfId="8869" priority="7675">
      <formula>#REF!="TO"</formula>
    </cfRule>
    <cfRule type="expression" dxfId="8868" priority="7676">
      <formula>#REF!="IO"</formula>
    </cfRule>
    <cfRule type="expression" dxfId="8867" priority="7677">
      <formula>#REF!="L"</formula>
    </cfRule>
    <cfRule type="expression" dxfId="8866" priority="7678">
      <formula>#REF!="TO"</formula>
    </cfRule>
    <cfRule type="expression" dxfId="8865" priority="7679">
      <formula>#REF!="IO"</formula>
    </cfRule>
    <cfRule type="expression" dxfId="8864" priority="7680">
      <formula>#REF!="L"</formula>
    </cfRule>
  </conditionalFormatting>
  <conditionalFormatting sqref="A20">
    <cfRule type="expression" dxfId="8863" priority="7366">
      <formula>#REF!="TO"</formula>
    </cfRule>
    <cfRule type="expression" dxfId="8862" priority="7367">
      <formula>#REF!="IO"</formula>
    </cfRule>
    <cfRule type="expression" dxfId="8861" priority="7368">
      <formula>#REF!="L"</formula>
    </cfRule>
  </conditionalFormatting>
  <conditionalFormatting sqref="B20">
    <cfRule type="expression" dxfId="8860" priority="7363">
      <formula>#REF!="TO"</formula>
    </cfRule>
    <cfRule type="expression" dxfId="8859" priority="7364">
      <formula>#REF!="IO"</formula>
    </cfRule>
    <cfRule type="expression" dxfId="8858" priority="7365">
      <formula>#REF!="L"</formula>
    </cfRule>
  </conditionalFormatting>
  <conditionalFormatting sqref="I20">
    <cfRule type="expression" dxfId="8857" priority="7360">
      <formula>#REF!="TO"</formula>
    </cfRule>
    <cfRule type="expression" dxfId="8856" priority="7361">
      <formula>#REF!="IO"</formula>
    </cfRule>
    <cfRule type="expression" dxfId="8855" priority="7362">
      <formula>#REF!="L"</formula>
    </cfRule>
  </conditionalFormatting>
  <conditionalFormatting sqref="AB20">
    <cfRule type="expression" dxfId="8854" priority="7342">
      <formula>#REF!="TO"</formula>
    </cfRule>
    <cfRule type="expression" dxfId="8853" priority="7343">
      <formula>#REF!="IO"</formula>
    </cfRule>
    <cfRule type="expression" dxfId="8852" priority="7344">
      <formula>#REF!="L"</formula>
    </cfRule>
    <cfRule type="expression" dxfId="8851" priority="7345">
      <formula>#REF!="TO"</formula>
    </cfRule>
    <cfRule type="expression" dxfId="8850" priority="7346">
      <formula>#REF!="IO"</formula>
    </cfRule>
    <cfRule type="expression" dxfId="8849" priority="7347">
      <formula>#REF!="L"</formula>
    </cfRule>
  </conditionalFormatting>
  <conditionalFormatting sqref="A17">
    <cfRule type="expression" dxfId="8848" priority="7615">
      <formula>#REF!="TO"</formula>
    </cfRule>
    <cfRule type="expression" dxfId="8847" priority="7616">
      <formula>#REF!="IO"</formula>
    </cfRule>
    <cfRule type="expression" dxfId="8846" priority="7617">
      <formula>#REF!="L"</formula>
    </cfRule>
  </conditionalFormatting>
  <conditionalFormatting sqref="B17">
    <cfRule type="expression" dxfId="8845" priority="7612">
      <formula>#REF!="TO"</formula>
    </cfRule>
    <cfRule type="expression" dxfId="8844" priority="7613">
      <formula>#REF!="IO"</formula>
    </cfRule>
    <cfRule type="expression" dxfId="8843" priority="7614">
      <formula>#REF!="L"</formula>
    </cfRule>
  </conditionalFormatting>
  <conditionalFormatting sqref="I17">
    <cfRule type="expression" dxfId="8842" priority="7609">
      <formula>#REF!="TO"</formula>
    </cfRule>
    <cfRule type="expression" dxfId="8841" priority="7610">
      <formula>#REF!="IO"</formula>
    </cfRule>
    <cfRule type="expression" dxfId="8840" priority="7611">
      <formula>#REF!="L"</formula>
    </cfRule>
  </conditionalFormatting>
  <conditionalFormatting sqref="L17 Q17">
    <cfRule type="expression" dxfId="8839" priority="7600">
      <formula>#REF!="TO"</formula>
    </cfRule>
    <cfRule type="expression" dxfId="8838" priority="7601">
      <formula>#REF!="IO"</formula>
    </cfRule>
    <cfRule type="expression" dxfId="8837" priority="7602">
      <formula>#REF!="L"</formula>
    </cfRule>
  </conditionalFormatting>
  <conditionalFormatting sqref="K17">
    <cfRule type="expression" dxfId="8836" priority="7606">
      <formula>#REF!="TO"</formula>
    </cfRule>
    <cfRule type="expression" dxfId="8835" priority="7607">
      <formula>#REF!="IO"</formula>
    </cfRule>
    <cfRule type="expression" dxfId="8834" priority="7608">
      <formula>#REF!="L"</formula>
    </cfRule>
  </conditionalFormatting>
  <conditionalFormatting sqref="AB17">
    <cfRule type="expression" dxfId="8833" priority="7591">
      <formula>#REF!="TO"</formula>
    </cfRule>
    <cfRule type="expression" dxfId="8832" priority="7592">
      <formula>#REF!="IO"</formula>
    </cfRule>
    <cfRule type="expression" dxfId="8831" priority="7593">
      <formula>#REF!="L"</formula>
    </cfRule>
    <cfRule type="expression" dxfId="8830" priority="7594">
      <formula>#REF!="TO"</formula>
    </cfRule>
    <cfRule type="expression" dxfId="8829" priority="7595">
      <formula>#REF!="IO"</formula>
    </cfRule>
    <cfRule type="expression" dxfId="8828" priority="7596">
      <formula>#REF!="L"</formula>
    </cfRule>
  </conditionalFormatting>
  <conditionalFormatting sqref="A18">
    <cfRule type="expression" dxfId="8827" priority="7531">
      <formula>#REF!="TO"</formula>
    </cfRule>
    <cfRule type="expression" dxfId="8826" priority="7532">
      <formula>#REF!="IO"</formula>
    </cfRule>
    <cfRule type="expression" dxfId="8825" priority="7533">
      <formula>#REF!="L"</formula>
    </cfRule>
  </conditionalFormatting>
  <conditionalFormatting sqref="B18">
    <cfRule type="expression" dxfId="8824" priority="7528">
      <formula>#REF!="TO"</formula>
    </cfRule>
    <cfRule type="expression" dxfId="8823" priority="7529">
      <formula>#REF!="IO"</formula>
    </cfRule>
    <cfRule type="expression" dxfId="8822" priority="7530">
      <formula>#REF!="L"</formula>
    </cfRule>
  </conditionalFormatting>
  <conditionalFormatting sqref="I18">
    <cfRule type="expression" dxfId="8821" priority="7525">
      <formula>#REF!="TO"</formula>
    </cfRule>
    <cfRule type="expression" dxfId="8820" priority="7526">
      <formula>#REF!="IO"</formula>
    </cfRule>
    <cfRule type="expression" dxfId="8819" priority="7527">
      <formula>#REF!="L"</formula>
    </cfRule>
  </conditionalFormatting>
  <conditionalFormatting sqref="K18">
    <cfRule type="expression" dxfId="8818" priority="7522">
      <formula>#REF!="TO"</formula>
    </cfRule>
    <cfRule type="expression" dxfId="8817" priority="7523">
      <formula>#REF!="IO"</formula>
    </cfRule>
    <cfRule type="expression" dxfId="8816" priority="7524">
      <formula>#REF!="L"</formula>
    </cfRule>
  </conditionalFormatting>
  <conditionalFormatting sqref="L18:P18">
    <cfRule type="expression" dxfId="8815" priority="7516">
      <formula>#REF!="TO"</formula>
    </cfRule>
    <cfRule type="expression" dxfId="8814" priority="7517">
      <formula>#REF!="IO"</formula>
    </cfRule>
    <cfRule type="expression" dxfId="8813" priority="7518">
      <formula>#REF!="L"</formula>
    </cfRule>
  </conditionalFormatting>
  <conditionalFormatting sqref="AB18">
    <cfRule type="expression" dxfId="8812" priority="7510">
      <formula>#REF!="TO"</formula>
    </cfRule>
    <cfRule type="expression" dxfId="8811" priority="7511">
      <formula>#REF!="IO"</formula>
    </cfRule>
    <cfRule type="expression" dxfId="8810" priority="7512">
      <formula>#REF!="L"</formula>
    </cfRule>
    <cfRule type="expression" dxfId="8809" priority="7513">
      <formula>#REF!="TO"</formula>
    </cfRule>
    <cfRule type="expression" dxfId="8808" priority="7514">
      <formula>#REF!="IO"</formula>
    </cfRule>
    <cfRule type="expression" dxfId="8807" priority="7515">
      <formula>#REF!="L"</formula>
    </cfRule>
  </conditionalFormatting>
  <conditionalFormatting sqref="A19">
    <cfRule type="expression" dxfId="8806" priority="7450">
      <formula>#REF!="TO"</formula>
    </cfRule>
    <cfRule type="expression" dxfId="8805" priority="7451">
      <formula>#REF!="IO"</formula>
    </cfRule>
    <cfRule type="expression" dxfId="8804" priority="7452">
      <formula>#REF!="L"</formula>
    </cfRule>
  </conditionalFormatting>
  <conditionalFormatting sqref="B19">
    <cfRule type="expression" dxfId="8803" priority="7447">
      <formula>#REF!="TO"</formula>
    </cfRule>
    <cfRule type="expression" dxfId="8802" priority="7448">
      <formula>#REF!="IO"</formula>
    </cfRule>
    <cfRule type="expression" dxfId="8801" priority="7449">
      <formula>#REF!="L"</formula>
    </cfRule>
  </conditionalFormatting>
  <conditionalFormatting sqref="I19">
    <cfRule type="expression" dxfId="8800" priority="7444">
      <formula>#REF!="TO"</formula>
    </cfRule>
    <cfRule type="expression" dxfId="8799" priority="7445">
      <formula>#REF!="IO"</formula>
    </cfRule>
    <cfRule type="expression" dxfId="8798" priority="7446">
      <formula>#REF!="L"</formula>
    </cfRule>
  </conditionalFormatting>
  <conditionalFormatting sqref="K19">
    <cfRule type="expression" dxfId="8797" priority="7441">
      <formula>#REF!="TO"</formula>
    </cfRule>
    <cfRule type="expression" dxfId="8796" priority="7442">
      <formula>#REF!="IO"</formula>
    </cfRule>
    <cfRule type="expression" dxfId="8795" priority="7443">
      <formula>#REF!="L"</formula>
    </cfRule>
  </conditionalFormatting>
  <conditionalFormatting sqref="L19:Q19">
    <cfRule type="expression" dxfId="8794" priority="7435">
      <formula>#REF!="TO"</formula>
    </cfRule>
    <cfRule type="expression" dxfId="8793" priority="7436">
      <formula>#REF!="IO"</formula>
    </cfRule>
    <cfRule type="expression" dxfId="8792" priority="7437">
      <formula>#REF!="L"</formula>
    </cfRule>
  </conditionalFormatting>
  <conditionalFormatting sqref="R19:T19">
    <cfRule type="expression" dxfId="8791" priority="7432">
      <formula>#REF!="TO"</formula>
    </cfRule>
    <cfRule type="expression" dxfId="8790" priority="7433">
      <formula>#REF!="IO"</formula>
    </cfRule>
    <cfRule type="expression" dxfId="8789" priority="7434">
      <formula>#REF!="L"</formula>
    </cfRule>
  </conditionalFormatting>
  <conditionalFormatting sqref="AB19">
    <cfRule type="expression" dxfId="8788" priority="7426">
      <formula>#REF!="TO"</formula>
    </cfRule>
    <cfRule type="expression" dxfId="8787" priority="7427">
      <formula>#REF!="IO"</formula>
    </cfRule>
    <cfRule type="expression" dxfId="8786" priority="7428">
      <formula>#REF!="L"</formula>
    </cfRule>
    <cfRule type="expression" dxfId="8785" priority="7429">
      <formula>#REF!="TO"</formula>
    </cfRule>
    <cfRule type="expression" dxfId="8784" priority="7430">
      <formula>#REF!="IO"</formula>
    </cfRule>
    <cfRule type="expression" dxfId="8783" priority="7431">
      <formula>#REF!="L"</formula>
    </cfRule>
  </conditionalFormatting>
  <conditionalFormatting sqref="K20">
    <cfRule type="expression" dxfId="8782" priority="7357">
      <formula>#REF!="TO"</formula>
    </cfRule>
    <cfRule type="expression" dxfId="8781" priority="7358">
      <formula>#REF!="IO"</formula>
    </cfRule>
    <cfRule type="expression" dxfId="8780" priority="7359">
      <formula>#REF!="L"</formula>
    </cfRule>
  </conditionalFormatting>
  <conditionalFormatting sqref="L20:Q20">
    <cfRule type="expression" dxfId="8779" priority="7351">
      <formula>#REF!="TO"</formula>
    </cfRule>
    <cfRule type="expression" dxfId="8778" priority="7352">
      <formula>#REF!="IO"</formula>
    </cfRule>
    <cfRule type="expression" dxfId="8777" priority="7353">
      <formula>#REF!="L"</formula>
    </cfRule>
  </conditionalFormatting>
  <conditionalFormatting sqref="R20:T20">
    <cfRule type="expression" dxfId="8776" priority="7348">
      <formula>#REF!="TO"</formula>
    </cfRule>
    <cfRule type="expression" dxfId="8775" priority="7349">
      <formula>#REF!="IO"</formula>
    </cfRule>
    <cfRule type="expression" dxfId="8774" priority="7350">
      <formula>#REF!="L"</formula>
    </cfRule>
  </conditionalFormatting>
  <conditionalFormatting sqref="A21">
    <cfRule type="expression" dxfId="8773" priority="7282">
      <formula>#REF!="TO"</formula>
    </cfRule>
    <cfRule type="expression" dxfId="8772" priority="7283">
      <formula>#REF!="IO"</formula>
    </cfRule>
    <cfRule type="expression" dxfId="8771" priority="7284">
      <formula>#REF!="L"</formula>
    </cfRule>
  </conditionalFormatting>
  <conditionalFormatting sqref="B21">
    <cfRule type="expression" dxfId="8770" priority="7279">
      <formula>#REF!="TO"</formula>
    </cfRule>
    <cfRule type="expression" dxfId="8769" priority="7280">
      <formula>#REF!="IO"</formula>
    </cfRule>
    <cfRule type="expression" dxfId="8768" priority="7281">
      <formula>#REF!="L"</formula>
    </cfRule>
  </conditionalFormatting>
  <conditionalFormatting sqref="I21">
    <cfRule type="expression" dxfId="8767" priority="7276">
      <formula>#REF!="TO"</formula>
    </cfRule>
    <cfRule type="expression" dxfId="8766" priority="7277">
      <formula>#REF!="IO"</formula>
    </cfRule>
    <cfRule type="expression" dxfId="8765" priority="7278">
      <formula>#REF!="L"</formula>
    </cfRule>
  </conditionalFormatting>
  <conditionalFormatting sqref="K21">
    <cfRule type="expression" dxfId="8764" priority="7273">
      <formula>#REF!="TO"</formula>
    </cfRule>
    <cfRule type="expression" dxfId="8763" priority="7274">
      <formula>#REF!="IO"</formula>
    </cfRule>
    <cfRule type="expression" dxfId="8762" priority="7275">
      <formula>#REF!="L"</formula>
    </cfRule>
  </conditionalFormatting>
  <conditionalFormatting sqref="L21:Q21">
    <cfRule type="expression" dxfId="8761" priority="7267">
      <formula>#REF!="TO"</formula>
    </cfRule>
    <cfRule type="expression" dxfId="8760" priority="7268">
      <formula>#REF!="IO"</formula>
    </cfRule>
    <cfRule type="expression" dxfId="8759" priority="7269">
      <formula>#REF!="L"</formula>
    </cfRule>
  </conditionalFormatting>
  <conditionalFormatting sqref="AB21">
    <cfRule type="expression" dxfId="8758" priority="7261">
      <formula>#REF!="TO"</formula>
    </cfRule>
    <cfRule type="expression" dxfId="8757" priority="7262">
      <formula>#REF!="IO"</formula>
    </cfRule>
    <cfRule type="expression" dxfId="8756" priority="7263">
      <formula>#REF!="L"</formula>
    </cfRule>
    <cfRule type="expression" dxfId="8755" priority="7264">
      <formula>#REF!="TO"</formula>
    </cfRule>
    <cfRule type="expression" dxfId="8754" priority="7265">
      <formula>#REF!="IO"</formula>
    </cfRule>
    <cfRule type="expression" dxfId="8753" priority="7266">
      <formula>#REF!="L"</formula>
    </cfRule>
  </conditionalFormatting>
  <conditionalFormatting sqref="B22:B29">
    <cfRule type="expression" dxfId="8752" priority="7198">
      <formula>#REF!="TO"</formula>
    </cfRule>
    <cfRule type="expression" dxfId="8751" priority="7199">
      <formula>#REF!="IO"</formula>
    </cfRule>
    <cfRule type="expression" dxfId="8750" priority="7200">
      <formula>#REF!="L"</formula>
    </cfRule>
  </conditionalFormatting>
  <conditionalFormatting sqref="I22">
    <cfRule type="expression" dxfId="8749" priority="7195">
      <formula>#REF!="TO"</formula>
    </cfRule>
    <cfRule type="expression" dxfId="8748" priority="7196">
      <formula>#REF!="IO"</formula>
    </cfRule>
    <cfRule type="expression" dxfId="8747" priority="7197">
      <formula>#REF!="L"</formula>
    </cfRule>
  </conditionalFormatting>
  <conditionalFormatting sqref="K22">
    <cfRule type="expression" dxfId="8746" priority="7192">
      <formula>#REF!="TO"</formula>
    </cfRule>
    <cfRule type="expression" dxfId="8745" priority="7193">
      <formula>#REF!="IO"</formula>
    </cfRule>
    <cfRule type="expression" dxfId="8744" priority="7194">
      <formula>#REF!="L"</formula>
    </cfRule>
  </conditionalFormatting>
  <conditionalFormatting sqref="L22 P22:Q22">
    <cfRule type="expression" dxfId="8743" priority="7186">
      <formula>#REF!="TO"</formula>
    </cfRule>
    <cfRule type="expression" dxfId="8742" priority="7187">
      <formula>#REF!="IO"</formula>
    </cfRule>
    <cfRule type="expression" dxfId="8741" priority="7188">
      <formula>#REF!="L"</formula>
    </cfRule>
  </conditionalFormatting>
  <conditionalFormatting sqref="A22">
    <cfRule type="expression" dxfId="8740" priority="7201">
      <formula>#REF!="TO"</formula>
    </cfRule>
    <cfRule type="expression" dxfId="8739" priority="7202">
      <formula>#REF!="IO"</formula>
    </cfRule>
    <cfRule type="expression" dxfId="8738" priority="7203">
      <formula>#REF!="L"</formula>
    </cfRule>
  </conditionalFormatting>
  <conditionalFormatting sqref="AB22">
    <cfRule type="expression" dxfId="8737" priority="7180">
      <formula>#REF!="TO"</formula>
    </cfRule>
    <cfRule type="expression" dxfId="8736" priority="7181">
      <formula>#REF!="IO"</formula>
    </cfRule>
    <cfRule type="expression" dxfId="8735" priority="7182">
      <formula>#REF!="L"</formula>
    </cfRule>
    <cfRule type="expression" dxfId="8734" priority="7183">
      <formula>#REF!="TO"</formula>
    </cfRule>
    <cfRule type="expression" dxfId="8733" priority="7184">
      <formula>#REF!="IO"</formula>
    </cfRule>
    <cfRule type="expression" dxfId="8732" priority="7185">
      <formula>#REF!="L"</formula>
    </cfRule>
  </conditionalFormatting>
  <conditionalFormatting sqref="L23:Q29">
    <cfRule type="expression" dxfId="8731" priority="7120">
      <formula>#REF!="TO"</formula>
    </cfRule>
    <cfRule type="expression" dxfId="8730" priority="7121">
      <formula>#REF!="IO"</formula>
    </cfRule>
    <cfRule type="expression" dxfId="8729" priority="7122">
      <formula>#REF!="L"</formula>
    </cfRule>
  </conditionalFormatting>
  <conditionalFormatting sqref="A42">
    <cfRule type="expression" dxfId="8728" priority="7117">
      <formula>#REF!="TO"</formula>
    </cfRule>
    <cfRule type="expression" dxfId="8727" priority="7118">
      <formula>#REF!="IO"</formula>
    </cfRule>
    <cfRule type="expression" dxfId="8726" priority="7119">
      <formula>#REF!="L"</formula>
    </cfRule>
  </conditionalFormatting>
  <conditionalFormatting sqref="B42">
    <cfRule type="expression" dxfId="8725" priority="7114">
      <formula>#REF!="TO"</formula>
    </cfRule>
    <cfRule type="expression" dxfId="8724" priority="7115">
      <formula>#REF!="IO"</formula>
    </cfRule>
    <cfRule type="expression" dxfId="8723" priority="7116">
      <formula>#REF!="L"</formula>
    </cfRule>
  </conditionalFormatting>
  <conditionalFormatting sqref="L42:Q42">
    <cfRule type="expression" dxfId="8722" priority="7108">
      <formula>#REF!="TO"</formula>
    </cfRule>
    <cfRule type="expression" dxfId="8721" priority="7109">
      <formula>#REF!="IO"</formula>
    </cfRule>
    <cfRule type="expression" dxfId="8720" priority="7110">
      <formula>#REF!="L"</formula>
    </cfRule>
  </conditionalFormatting>
  <conditionalFormatting sqref="R42:V42">
    <cfRule type="expression" dxfId="8719" priority="7105">
      <formula>#REF!="TO"</formula>
    </cfRule>
    <cfRule type="expression" dxfId="8718" priority="7106">
      <formula>#REF!="IO"</formula>
    </cfRule>
    <cfRule type="expression" dxfId="8717" priority="7107">
      <formula>#REF!="L"</formula>
    </cfRule>
  </conditionalFormatting>
  <conditionalFormatting sqref="A43">
    <cfRule type="expression" dxfId="8716" priority="7075">
      <formula>#REF!="TO"</formula>
    </cfRule>
    <cfRule type="expression" dxfId="8715" priority="7076">
      <formula>#REF!="IO"</formula>
    </cfRule>
    <cfRule type="expression" dxfId="8714" priority="7077">
      <formula>#REF!="L"</formula>
    </cfRule>
  </conditionalFormatting>
  <conditionalFormatting sqref="B43">
    <cfRule type="expression" dxfId="8713" priority="7072">
      <formula>#REF!="TO"</formula>
    </cfRule>
    <cfRule type="expression" dxfId="8712" priority="7073">
      <formula>#REF!="IO"</formula>
    </cfRule>
    <cfRule type="expression" dxfId="8711" priority="7074">
      <formula>#REF!="L"</formula>
    </cfRule>
  </conditionalFormatting>
  <conditionalFormatting sqref="L43:Q43">
    <cfRule type="expression" dxfId="8710" priority="7066">
      <formula>#REF!="TO"</formula>
    </cfRule>
    <cfRule type="expression" dxfId="8709" priority="7067">
      <formula>#REF!="IO"</formula>
    </cfRule>
    <cfRule type="expression" dxfId="8708" priority="7068">
      <formula>#REF!="L"</formula>
    </cfRule>
  </conditionalFormatting>
  <conditionalFormatting sqref="R43:V43">
    <cfRule type="expression" dxfId="8707" priority="7063">
      <formula>#REF!="TO"</formula>
    </cfRule>
    <cfRule type="expression" dxfId="8706" priority="7064">
      <formula>#REF!="IO"</formula>
    </cfRule>
    <cfRule type="expression" dxfId="8705" priority="7065">
      <formula>#REF!="L"</formula>
    </cfRule>
  </conditionalFormatting>
  <conditionalFormatting sqref="L45:Q45">
    <cfRule type="expression" dxfId="8704" priority="6946">
      <formula>#REF!="TO"</formula>
    </cfRule>
    <cfRule type="expression" dxfId="8703" priority="6947">
      <formula>#REF!="IO"</formula>
    </cfRule>
    <cfRule type="expression" dxfId="8702" priority="6948">
      <formula>#REF!="L"</formula>
    </cfRule>
  </conditionalFormatting>
  <conditionalFormatting sqref="A44">
    <cfRule type="expression" dxfId="8701" priority="7033">
      <formula>#REF!="TO"</formula>
    </cfRule>
    <cfRule type="expression" dxfId="8700" priority="7034">
      <formula>#REF!="IO"</formula>
    </cfRule>
    <cfRule type="expression" dxfId="8699" priority="7035">
      <formula>#REF!="L"</formula>
    </cfRule>
  </conditionalFormatting>
  <conditionalFormatting sqref="B44">
    <cfRule type="expression" dxfId="8698" priority="7030">
      <formula>#REF!="TO"</formula>
    </cfRule>
    <cfRule type="expression" dxfId="8697" priority="7031">
      <formula>#REF!="IO"</formula>
    </cfRule>
    <cfRule type="expression" dxfId="8696" priority="7032">
      <formula>#REF!="L"</formula>
    </cfRule>
  </conditionalFormatting>
  <conditionalFormatting sqref="L44:Q44">
    <cfRule type="expression" dxfId="8695" priority="7024">
      <formula>#REF!="TO"</formula>
    </cfRule>
    <cfRule type="expression" dxfId="8694" priority="7025">
      <formula>#REF!="IO"</formula>
    </cfRule>
    <cfRule type="expression" dxfId="8693" priority="7026">
      <formula>#REF!="L"</formula>
    </cfRule>
  </conditionalFormatting>
  <conditionalFormatting sqref="R44:V44">
    <cfRule type="expression" dxfId="8692" priority="7021">
      <formula>#REF!="TO"</formula>
    </cfRule>
    <cfRule type="expression" dxfId="8691" priority="7022">
      <formula>#REF!="IO"</formula>
    </cfRule>
    <cfRule type="expression" dxfId="8690" priority="7023">
      <formula>#REF!="L"</formula>
    </cfRule>
  </conditionalFormatting>
  <conditionalFormatting sqref="L46:Q46">
    <cfRule type="expression" dxfId="8689" priority="6901">
      <formula>#REF!="TO"</formula>
    </cfRule>
    <cfRule type="expression" dxfId="8688" priority="6902">
      <formula>#REF!="IO"</formula>
    </cfRule>
    <cfRule type="expression" dxfId="8687" priority="6903">
      <formula>#REF!="L"</formula>
    </cfRule>
  </conditionalFormatting>
  <conditionalFormatting sqref="R18:T18">
    <cfRule type="expression" dxfId="8686" priority="6982">
      <formula>#REF!="TO"</formula>
    </cfRule>
    <cfRule type="expression" dxfId="8685" priority="6983">
      <formula>#REF!="IO"</formula>
    </cfRule>
    <cfRule type="expression" dxfId="8684" priority="6984">
      <formula>#REF!="L"</formula>
    </cfRule>
  </conditionalFormatting>
  <conditionalFormatting sqref="R21:T21">
    <cfRule type="expression" dxfId="8683" priority="6979">
      <formula>#REF!="TO"</formula>
    </cfRule>
    <cfRule type="expression" dxfId="8682" priority="6980">
      <formula>#REF!="IO"</formula>
    </cfRule>
    <cfRule type="expression" dxfId="8681" priority="6981">
      <formula>#REF!="L"</formula>
    </cfRule>
  </conditionalFormatting>
  <conditionalFormatting sqref="R22:T22">
    <cfRule type="expression" dxfId="8680" priority="6976">
      <formula>#REF!="TO"</formula>
    </cfRule>
    <cfRule type="expression" dxfId="8679" priority="6977">
      <formula>#REF!="IO"</formula>
    </cfRule>
    <cfRule type="expression" dxfId="8678" priority="6978">
      <formula>#REF!="L"</formula>
    </cfRule>
  </conditionalFormatting>
  <conditionalFormatting sqref="R23:T24">
    <cfRule type="expression" dxfId="8677" priority="6973">
      <formula>#REF!="TO"</formula>
    </cfRule>
    <cfRule type="expression" dxfId="8676" priority="6974">
      <formula>#REF!="IO"</formula>
    </cfRule>
    <cfRule type="expression" dxfId="8675" priority="6975">
      <formula>#REF!="L"</formula>
    </cfRule>
  </conditionalFormatting>
  <conditionalFormatting sqref="R25:T25 R27:T29">
    <cfRule type="expression" dxfId="8674" priority="6970">
      <formula>#REF!="TO"</formula>
    </cfRule>
    <cfRule type="expression" dxfId="8673" priority="6971">
      <formula>#REF!="IO"</formula>
    </cfRule>
    <cfRule type="expression" dxfId="8672" priority="6972">
      <formula>#REF!="L"</formula>
    </cfRule>
  </conditionalFormatting>
  <conditionalFormatting sqref="W38:W41">
    <cfRule type="expression" dxfId="8671" priority="6967">
      <formula>#REF!="TO"</formula>
    </cfRule>
    <cfRule type="expression" dxfId="8670" priority="6968">
      <formula>#REF!="IO"</formula>
    </cfRule>
    <cfRule type="expression" dxfId="8669" priority="6969">
      <formula>#REF!="L"</formula>
    </cfRule>
  </conditionalFormatting>
  <conditionalFormatting sqref="W42">
    <cfRule type="expression" dxfId="8668" priority="6964">
      <formula>#REF!="TO"</formula>
    </cfRule>
    <cfRule type="expression" dxfId="8667" priority="6965">
      <formula>#REF!="IO"</formula>
    </cfRule>
    <cfRule type="expression" dxfId="8666" priority="6966">
      <formula>#REF!="L"</formula>
    </cfRule>
  </conditionalFormatting>
  <conditionalFormatting sqref="W43">
    <cfRule type="expression" dxfId="8665" priority="6961">
      <formula>#REF!="TO"</formula>
    </cfRule>
    <cfRule type="expression" dxfId="8664" priority="6962">
      <formula>#REF!="IO"</formula>
    </cfRule>
    <cfRule type="expression" dxfId="8663" priority="6963">
      <formula>#REF!="L"</formula>
    </cfRule>
  </conditionalFormatting>
  <conditionalFormatting sqref="W44">
    <cfRule type="expression" dxfId="8662" priority="6958">
      <formula>#REF!="TO"</formula>
    </cfRule>
    <cfRule type="expression" dxfId="8661" priority="6959">
      <formula>#REF!="IO"</formula>
    </cfRule>
    <cfRule type="expression" dxfId="8660" priority="6960">
      <formula>#REF!="L"</formula>
    </cfRule>
  </conditionalFormatting>
  <conditionalFormatting sqref="L47:Q47">
    <cfRule type="expression" dxfId="8659" priority="6856">
      <formula>#REF!="TO"</formula>
    </cfRule>
    <cfRule type="expression" dxfId="8658" priority="6857">
      <formula>#REF!="IO"</formula>
    </cfRule>
    <cfRule type="expression" dxfId="8657" priority="6858">
      <formula>#REF!="L"</formula>
    </cfRule>
  </conditionalFormatting>
  <conditionalFormatting sqref="A45">
    <cfRule type="expression" dxfId="8656" priority="6955">
      <formula>#REF!="TO"</formula>
    </cfRule>
    <cfRule type="expression" dxfId="8655" priority="6956">
      <formula>#REF!="IO"</formula>
    </cfRule>
    <cfRule type="expression" dxfId="8654" priority="6957">
      <formula>#REF!="L"</formula>
    </cfRule>
  </conditionalFormatting>
  <conditionalFormatting sqref="B45">
    <cfRule type="expression" dxfId="8653" priority="6952">
      <formula>#REF!="TO"</formula>
    </cfRule>
    <cfRule type="expression" dxfId="8652" priority="6953">
      <formula>#REF!="IO"</formula>
    </cfRule>
    <cfRule type="expression" dxfId="8651" priority="6954">
      <formula>#REF!="L"</formula>
    </cfRule>
  </conditionalFormatting>
  <conditionalFormatting sqref="R45:V45">
    <cfRule type="expression" dxfId="8650" priority="6943">
      <formula>#REF!="TO"</formula>
    </cfRule>
    <cfRule type="expression" dxfId="8649" priority="6944">
      <formula>#REF!="IO"</formula>
    </cfRule>
    <cfRule type="expression" dxfId="8648" priority="6945">
      <formula>#REF!="L"</formula>
    </cfRule>
  </conditionalFormatting>
  <conditionalFormatting sqref="A48">
    <cfRule type="expression" dxfId="8647" priority="6820">
      <formula>#REF!="TO"</formula>
    </cfRule>
    <cfRule type="expression" dxfId="8646" priority="6821">
      <formula>#REF!="IO"</formula>
    </cfRule>
    <cfRule type="expression" dxfId="8645" priority="6822">
      <formula>#REF!="L"</formula>
    </cfRule>
  </conditionalFormatting>
  <conditionalFormatting sqref="W45">
    <cfRule type="expression" dxfId="8644" priority="6913">
      <formula>#REF!="TO"</formula>
    </cfRule>
    <cfRule type="expression" dxfId="8643" priority="6914">
      <formula>#REF!="IO"</formula>
    </cfRule>
    <cfRule type="expression" dxfId="8642" priority="6915">
      <formula>#REF!="L"</formula>
    </cfRule>
  </conditionalFormatting>
  <conditionalFormatting sqref="A46">
    <cfRule type="expression" dxfId="8641" priority="6910">
      <formula>#REF!="TO"</formula>
    </cfRule>
    <cfRule type="expression" dxfId="8640" priority="6911">
      <formula>#REF!="IO"</formula>
    </cfRule>
    <cfRule type="expression" dxfId="8639" priority="6912">
      <formula>#REF!="L"</formula>
    </cfRule>
  </conditionalFormatting>
  <conditionalFormatting sqref="B46">
    <cfRule type="expression" dxfId="8638" priority="6907">
      <formula>#REF!="TO"</formula>
    </cfRule>
    <cfRule type="expression" dxfId="8637" priority="6908">
      <formula>#REF!="IO"</formula>
    </cfRule>
    <cfRule type="expression" dxfId="8636" priority="6909">
      <formula>#REF!="L"</formula>
    </cfRule>
  </conditionalFormatting>
  <conditionalFormatting sqref="R46:V46">
    <cfRule type="expression" dxfId="8635" priority="6898">
      <formula>#REF!="TO"</formula>
    </cfRule>
    <cfRule type="expression" dxfId="8634" priority="6899">
      <formula>#REF!="IO"</formula>
    </cfRule>
    <cfRule type="expression" dxfId="8633" priority="6900">
      <formula>#REF!="L"</formula>
    </cfRule>
  </conditionalFormatting>
  <conditionalFormatting sqref="A49">
    <cfRule type="expression" dxfId="8632" priority="6775">
      <formula>#REF!="TO"</formula>
    </cfRule>
    <cfRule type="expression" dxfId="8631" priority="6776">
      <formula>#REF!="IO"</formula>
    </cfRule>
    <cfRule type="expression" dxfId="8630" priority="6777">
      <formula>#REF!="L"</formula>
    </cfRule>
  </conditionalFormatting>
  <conditionalFormatting sqref="W46">
    <cfRule type="expression" dxfId="8629" priority="6868">
      <formula>#REF!="TO"</formula>
    </cfRule>
    <cfRule type="expression" dxfId="8628" priority="6869">
      <formula>#REF!="IO"</formula>
    </cfRule>
    <cfRule type="expression" dxfId="8627" priority="6870">
      <formula>#REF!="L"</formula>
    </cfRule>
  </conditionalFormatting>
  <conditionalFormatting sqref="A47">
    <cfRule type="expression" dxfId="8626" priority="6865">
      <formula>#REF!="TO"</formula>
    </cfRule>
    <cfRule type="expression" dxfId="8625" priority="6866">
      <formula>#REF!="IO"</formula>
    </cfRule>
    <cfRule type="expression" dxfId="8624" priority="6867">
      <formula>#REF!="L"</formula>
    </cfRule>
  </conditionalFormatting>
  <conditionalFormatting sqref="B47">
    <cfRule type="expression" dxfId="8623" priority="6862">
      <formula>#REF!="TO"</formula>
    </cfRule>
    <cfRule type="expression" dxfId="8622" priority="6863">
      <formula>#REF!="IO"</formula>
    </cfRule>
    <cfRule type="expression" dxfId="8621" priority="6864">
      <formula>#REF!="L"</formula>
    </cfRule>
  </conditionalFormatting>
  <conditionalFormatting sqref="R47:V47">
    <cfRule type="expression" dxfId="8620" priority="6853">
      <formula>#REF!="TO"</formula>
    </cfRule>
    <cfRule type="expression" dxfId="8619" priority="6854">
      <formula>#REF!="IO"</formula>
    </cfRule>
    <cfRule type="expression" dxfId="8618" priority="6855">
      <formula>#REF!="L"</formula>
    </cfRule>
  </conditionalFormatting>
  <conditionalFormatting sqref="A50">
    <cfRule type="expression" dxfId="8617" priority="6730">
      <formula>#REF!="TO"</formula>
    </cfRule>
    <cfRule type="expression" dxfId="8616" priority="6731">
      <formula>#REF!="IO"</formula>
    </cfRule>
    <cfRule type="expression" dxfId="8615" priority="6732">
      <formula>#REF!="L"</formula>
    </cfRule>
  </conditionalFormatting>
  <conditionalFormatting sqref="W47">
    <cfRule type="expression" dxfId="8614" priority="6823">
      <formula>#REF!="TO"</formula>
    </cfRule>
    <cfRule type="expression" dxfId="8613" priority="6824">
      <formula>#REF!="IO"</formula>
    </cfRule>
    <cfRule type="expression" dxfId="8612" priority="6825">
      <formula>#REF!="L"</formula>
    </cfRule>
  </conditionalFormatting>
  <conditionalFormatting sqref="B48">
    <cfRule type="expression" dxfId="8611" priority="6817">
      <formula>#REF!="TO"</formula>
    </cfRule>
    <cfRule type="expression" dxfId="8610" priority="6818">
      <formula>#REF!="IO"</formula>
    </cfRule>
    <cfRule type="expression" dxfId="8609" priority="6819">
      <formula>#REF!="L"</formula>
    </cfRule>
  </conditionalFormatting>
  <conditionalFormatting sqref="L48:Q48">
    <cfRule type="expression" dxfId="8608" priority="6811">
      <formula>#REF!="TO"</formula>
    </cfRule>
    <cfRule type="expression" dxfId="8607" priority="6812">
      <formula>#REF!="IO"</formula>
    </cfRule>
    <cfRule type="expression" dxfId="8606" priority="6813">
      <formula>#REF!="L"</formula>
    </cfRule>
  </conditionalFormatting>
  <conditionalFormatting sqref="R48:V48">
    <cfRule type="expression" dxfId="8605" priority="6808">
      <formula>#REF!="TO"</formula>
    </cfRule>
    <cfRule type="expression" dxfId="8604" priority="6809">
      <formula>#REF!="IO"</formula>
    </cfRule>
    <cfRule type="expression" dxfId="8603" priority="6810">
      <formula>#REF!="L"</formula>
    </cfRule>
  </conditionalFormatting>
  <conditionalFormatting sqref="W48">
    <cfRule type="expression" dxfId="8602" priority="6778">
      <formula>#REF!="TO"</formula>
    </cfRule>
    <cfRule type="expression" dxfId="8601" priority="6779">
      <formula>#REF!="IO"</formula>
    </cfRule>
    <cfRule type="expression" dxfId="8600" priority="6780">
      <formula>#REF!="L"</formula>
    </cfRule>
  </conditionalFormatting>
  <conditionalFormatting sqref="B49">
    <cfRule type="expression" dxfId="8599" priority="6772">
      <formula>#REF!="TO"</formula>
    </cfRule>
    <cfRule type="expression" dxfId="8598" priority="6773">
      <formula>#REF!="IO"</formula>
    </cfRule>
    <cfRule type="expression" dxfId="8597" priority="6774">
      <formula>#REF!="L"</formula>
    </cfRule>
  </conditionalFormatting>
  <conditionalFormatting sqref="L49:Q49">
    <cfRule type="expression" dxfId="8596" priority="6766">
      <formula>#REF!="TO"</formula>
    </cfRule>
    <cfRule type="expression" dxfId="8595" priority="6767">
      <formula>#REF!="IO"</formula>
    </cfRule>
    <cfRule type="expression" dxfId="8594" priority="6768">
      <formula>#REF!="L"</formula>
    </cfRule>
  </conditionalFormatting>
  <conditionalFormatting sqref="R49:V49">
    <cfRule type="expression" dxfId="8593" priority="6763">
      <formula>#REF!="TO"</formula>
    </cfRule>
    <cfRule type="expression" dxfId="8592" priority="6764">
      <formula>#REF!="IO"</formula>
    </cfRule>
    <cfRule type="expression" dxfId="8591" priority="6765">
      <formula>#REF!="L"</formula>
    </cfRule>
  </conditionalFormatting>
  <conditionalFormatting sqref="W49">
    <cfRule type="expression" dxfId="8590" priority="6733">
      <formula>#REF!="TO"</formula>
    </cfRule>
    <cfRule type="expression" dxfId="8589" priority="6734">
      <formula>#REF!="IO"</formula>
    </cfRule>
    <cfRule type="expression" dxfId="8588" priority="6735">
      <formula>#REF!="L"</formula>
    </cfRule>
  </conditionalFormatting>
  <conditionalFormatting sqref="B50">
    <cfRule type="expression" dxfId="8587" priority="6727">
      <formula>#REF!="TO"</formula>
    </cfRule>
    <cfRule type="expression" dxfId="8586" priority="6728">
      <formula>#REF!="IO"</formula>
    </cfRule>
    <cfRule type="expression" dxfId="8585" priority="6729">
      <formula>#REF!="L"</formula>
    </cfRule>
  </conditionalFormatting>
  <conditionalFormatting sqref="L50:Q50">
    <cfRule type="expression" dxfId="8584" priority="6721">
      <formula>#REF!="TO"</formula>
    </cfRule>
    <cfRule type="expression" dxfId="8583" priority="6722">
      <formula>#REF!="IO"</formula>
    </cfRule>
    <cfRule type="expression" dxfId="8582" priority="6723">
      <formula>#REF!="L"</formula>
    </cfRule>
  </conditionalFormatting>
  <conditionalFormatting sqref="R50:V50">
    <cfRule type="expression" dxfId="8581" priority="6718">
      <formula>#REF!="TO"</formula>
    </cfRule>
    <cfRule type="expression" dxfId="8580" priority="6719">
      <formula>#REF!="IO"</formula>
    </cfRule>
    <cfRule type="expression" dxfId="8579" priority="6720">
      <formula>#REF!="L"</formula>
    </cfRule>
  </conditionalFormatting>
  <conditionalFormatting sqref="W50">
    <cfRule type="expression" dxfId="8578" priority="6688">
      <formula>#REF!="TO"</formula>
    </cfRule>
    <cfRule type="expression" dxfId="8577" priority="6689">
      <formula>#REF!="IO"</formula>
    </cfRule>
    <cfRule type="expression" dxfId="8576" priority="6690">
      <formula>#REF!="L"</formula>
    </cfRule>
  </conditionalFormatting>
  <conditionalFormatting sqref="V9:V12">
    <cfRule type="expression" dxfId="8575" priority="6679">
      <formula>#REF!="TO"</formula>
    </cfRule>
    <cfRule type="expression" dxfId="8574" priority="6680">
      <formula>#REF!="IO"</formula>
    </cfRule>
    <cfRule type="expression" dxfId="8573" priority="6681">
      <formula>#REF!="L"</formula>
    </cfRule>
  </conditionalFormatting>
  <conditionalFormatting sqref="V16">
    <cfRule type="expression" dxfId="8572" priority="6676">
      <formula>#REF!="TO"</formula>
    </cfRule>
    <cfRule type="expression" dxfId="8571" priority="6677">
      <formula>#REF!="IO"</formula>
    </cfRule>
    <cfRule type="expression" dxfId="8570" priority="6678">
      <formula>#REF!="L"</formula>
    </cfRule>
  </conditionalFormatting>
  <conditionalFormatting sqref="U17:V17">
    <cfRule type="expression" dxfId="8569" priority="6673">
      <formula>#REF!="TO"</formula>
    </cfRule>
    <cfRule type="expression" dxfId="8568" priority="6674">
      <formula>#REF!="IO"</formula>
    </cfRule>
    <cfRule type="expression" dxfId="8567" priority="6675">
      <formula>#REF!="L"</formula>
    </cfRule>
  </conditionalFormatting>
  <conditionalFormatting sqref="U19:V19">
    <cfRule type="expression" dxfId="8566" priority="6670">
      <formula>#REF!="TO"</formula>
    </cfRule>
    <cfRule type="expression" dxfId="8565" priority="6671">
      <formula>#REF!="IO"</formula>
    </cfRule>
    <cfRule type="expression" dxfId="8564" priority="6672">
      <formula>#REF!="L"</formula>
    </cfRule>
  </conditionalFormatting>
  <conditionalFormatting sqref="U20:V20">
    <cfRule type="expression" dxfId="8563" priority="6667">
      <formula>#REF!="TO"</formula>
    </cfRule>
    <cfRule type="expression" dxfId="8562" priority="6668">
      <formula>#REF!="IO"</formula>
    </cfRule>
    <cfRule type="expression" dxfId="8561" priority="6669">
      <formula>#REF!="L"</formula>
    </cfRule>
  </conditionalFormatting>
  <conditionalFormatting sqref="V13">
    <cfRule type="expression" dxfId="8560" priority="6664">
      <formula>#REF!="TO"</formula>
    </cfRule>
    <cfRule type="expression" dxfId="8559" priority="6665">
      <formula>#REF!="IO"</formula>
    </cfRule>
    <cfRule type="expression" dxfId="8558" priority="6666">
      <formula>#REF!="L"</formula>
    </cfRule>
  </conditionalFormatting>
  <conditionalFormatting sqref="V14">
    <cfRule type="expression" dxfId="8557" priority="6661">
      <formula>#REF!="TO"</formula>
    </cfRule>
    <cfRule type="expression" dxfId="8556" priority="6662">
      <formula>#REF!="IO"</formula>
    </cfRule>
    <cfRule type="expression" dxfId="8555" priority="6663">
      <formula>#REF!="L"</formula>
    </cfRule>
  </conditionalFormatting>
  <conditionalFormatting sqref="V15">
    <cfRule type="expression" dxfId="8554" priority="6658">
      <formula>#REF!="TO"</formula>
    </cfRule>
    <cfRule type="expression" dxfId="8553" priority="6659">
      <formula>#REF!="IO"</formula>
    </cfRule>
    <cfRule type="expression" dxfId="8552" priority="6660">
      <formula>#REF!="L"</formula>
    </cfRule>
  </conditionalFormatting>
  <conditionalFormatting sqref="V18">
    <cfRule type="expression" dxfId="8551" priority="6655">
      <formula>#REF!="TO"</formula>
    </cfRule>
    <cfRule type="expression" dxfId="8550" priority="6656">
      <formula>#REF!="IO"</formula>
    </cfRule>
    <cfRule type="expression" dxfId="8549" priority="6657">
      <formula>#REF!="L"</formula>
    </cfRule>
  </conditionalFormatting>
  <conditionalFormatting sqref="U21:V21">
    <cfRule type="expression" dxfId="8548" priority="6652">
      <formula>#REF!="TO"</formula>
    </cfRule>
    <cfRule type="expression" dxfId="8547" priority="6653">
      <formula>#REF!="IO"</formula>
    </cfRule>
    <cfRule type="expression" dxfId="8546" priority="6654">
      <formula>#REF!="L"</formula>
    </cfRule>
  </conditionalFormatting>
  <conditionalFormatting sqref="U22:V22">
    <cfRule type="expression" dxfId="8545" priority="6649">
      <formula>#REF!="TO"</formula>
    </cfRule>
    <cfRule type="expression" dxfId="8544" priority="6650">
      <formula>#REF!="IO"</formula>
    </cfRule>
    <cfRule type="expression" dxfId="8543" priority="6651">
      <formula>#REF!="L"</formula>
    </cfRule>
  </conditionalFormatting>
  <conditionalFormatting sqref="U23:V24">
    <cfRule type="expression" dxfId="8542" priority="6646">
      <formula>#REF!="TO"</formula>
    </cfRule>
    <cfRule type="expression" dxfId="8541" priority="6647">
      <formula>#REF!="IO"</formula>
    </cfRule>
    <cfRule type="expression" dxfId="8540" priority="6648">
      <formula>#REF!="L"</formula>
    </cfRule>
  </conditionalFormatting>
  <conditionalFormatting sqref="U25:V25 U27:V29">
    <cfRule type="expression" dxfId="8539" priority="6643">
      <formula>#REF!="TO"</formula>
    </cfRule>
    <cfRule type="expression" dxfId="8538" priority="6644">
      <formula>#REF!="IO"</formula>
    </cfRule>
    <cfRule type="expression" dxfId="8537" priority="6645">
      <formula>#REF!="L"</formula>
    </cfRule>
  </conditionalFormatting>
  <conditionalFormatting sqref="L51:Q86">
    <cfRule type="expression" dxfId="8536" priority="6631">
      <formula>#REF!="TO"</formula>
    </cfRule>
    <cfRule type="expression" dxfId="8535" priority="6632">
      <formula>#REF!="IO"</formula>
    </cfRule>
    <cfRule type="expression" dxfId="8534" priority="6633">
      <formula>#REF!="L"</formula>
    </cfRule>
  </conditionalFormatting>
  <conditionalFormatting sqref="R51:V86">
    <cfRule type="expression" dxfId="8533" priority="6628">
      <formula>#REF!="TO"</formula>
    </cfRule>
    <cfRule type="expression" dxfId="8532" priority="6629">
      <formula>#REF!="IO"</formula>
    </cfRule>
    <cfRule type="expression" dxfId="8531" priority="6630">
      <formula>#REF!="L"</formula>
    </cfRule>
  </conditionalFormatting>
  <conditionalFormatting sqref="A51:A86">
    <cfRule type="expression" dxfId="8530" priority="6640">
      <formula>#REF!="TO"</formula>
    </cfRule>
    <cfRule type="expression" dxfId="8529" priority="6641">
      <formula>#REF!="IO"</formula>
    </cfRule>
    <cfRule type="expression" dxfId="8528" priority="6642">
      <formula>#REF!="L"</formula>
    </cfRule>
  </conditionalFormatting>
  <conditionalFormatting sqref="B51:B86">
    <cfRule type="expression" dxfId="8527" priority="6637">
      <formula>#REF!="TO"</formula>
    </cfRule>
    <cfRule type="expression" dxfId="8526" priority="6638">
      <formula>#REF!="IO"</formula>
    </cfRule>
    <cfRule type="expression" dxfId="8525" priority="6639">
      <formula>#REF!="L"</formula>
    </cfRule>
  </conditionalFormatting>
  <conditionalFormatting sqref="W51:W86">
    <cfRule type="expression" dxfId="8524" priority="6598">
      <formula>#REF!="TO"</formula>
    </cfRule>
    <cfRule type="expression" dxfId="8523" priority="6599">
      <formula>#REF!="IO"</formula>
    </cfRule>
    <cfRule type="expression" dxfId="8522" priority="6600">
      <formula>#REF!="L"</formula>
    </cfRule>
  </conditionalFormatting>
  <conditionalFormatting sqref="A28:A29">
    <cfRule type="expression" dxfId="8521" priority="6337">
      <formula>#REF!="TO"</formula>
    </cfRule>
    <cfRule type="expression" dxfId="8520" priority="6338">
      <formula>#REF!="IO"</formula>
    </cfRule>
    <cfRule type="expression" dxfId="8519" priority="6339">
      <formula>#REF!="L"</formula>
    </cfRule>
  </conditionalFormatting>
  <conditionalFormatting sqref="B28:B29">
    <cfRule type="expression" dxfId="8518" priority="6334">
      <formula>#REF!="TO"</formula>
    </cfRule>
    <cfRule type="expression" dxfId="8517" priority="6335">
      <formula>#REF!="IO"</formula>
    </cfRule>
    <cfRule type="expression" dxfId="8516" priority="6336">
      <formula>#REF!="L"</formula>
    </cfRule>
    <cfRule type="expression" dxfId="8515" priority="6295">
      <formula>#REF!="TO"</formula>
    </cfRule>
    <cfRule type="expression" dxfId="8514" priority="6296">
      <formula>#REF!="IO"</formula>
    </cfRule>
    <cfRule type="expression" dxfId="8513" priority="6297">
      <formula>#REF!="L"</formula>
    </cfRule>
  </conditionalFormatting>
  <conditionalFormatting sqref="W28:W29">
    <cfRule type="expression" dxfId="8512" priority="6304">
      <formula>#REF!="TO"</formula>
    </cfRule>
    <cfRule type="expression" dxfId="8511" priority="6305">
      <formula>#REF!="IO"</formula>
    </cfRule>
    <cfRule type="expression" dxfId="8510" priority="6306">
      <formula>#REF!="L"</formula>
    </cfRule>
  </conditionalFormatting>
  <conditionalFormatting sqref="L28:Q29">
    <cfRule type="expression" dxfId="8509" priority="6274">
      <formula>#REF!="TO"</formula>
    </cfRule>
    <cfRule type="expression" dxfId="8508" priority="6275">
      <formula>#REF!="IO"</formula>
    </cfRule>
    <cfRule type="expression" dxfId="8507" priority="6276">
      <formula>#REF!="L"</formula>
    </cfRule>
  </conditionalFormatting>
  <conditionalFormatting sqref="R28:T29">
    <cfRule type="expression" dxfId="8506" priority="6271">
      <formula>#REF!="TO"</formula>
    </cfRule>
    <cfRule type="expression" dxfId="8505" priority="6272">
      <formula>#REF!="IO"</formula>
    </cfRule>
    <cfRule type="expression" dxfId="8504" priority="6273">
      <formula>#REF!="L"</formula>
    </cfRule>
  </conditionalFormatting>
  <conditionalFormatting sqref="U28:V29">
    <cfRule type="expression" dxfId="8503" priority="6268">
      <formula>#REF!="TO"</formula>
    </cfRule>
    <cfRule type="expression" dxfId="8502" priority="6269">
      <formula>#REF!="IO"</formula>
    </cfRule>
    <cfRule type="expression" dxfId="8501" priority="6270">
      <formula>#REF!="L"</formula>
    </cfRule>
  </conditionalFormatting>
  <conditionalFormatting sqref="C28:C29">
    <cfRule type="expression" dxfId="8500" priority="5851">
      <formula>#REF!="TO"</formula>
    </cfRule>
    <cfRule type="expression" dxfId="8499" priority="5852">
      <formula>#REF!="IO"</formula>
    </cfRule>
    <cfRule type="expression" dxfId="8498" priority="5853">
      <formula>#REF!="L"</formula>
    </cfRule>
    <cfRule type="expression" dxfId="8497" priority="5848">
      <formula>#REF!="TO"</formula>
    </cfRule>
    <cfRule type="expression" dxfId="8496" priority="5849">
      <formula>#REF!="IO"</formula>
    </cfRule>
    <cfRule type="expression" dxfId="8495" priority="5850">
      <formula>#REF!="L"</formula>
    </cfRule>
  </conditionalFormatting>
  <conditionalFormatting sqref="C38:C41 C23:C29">
    <cfRule type="expression" dxfId="8494" priority="5932">
      <formula>#REF!="TO"</formula>
    </cfRule>
    <cfRule type="expression" dxfId="8493" priority="5933">
      <formula>#REF!="IO"</formula>
    </cfRule>
    <cfRule type="expression" dxfId="8492" priority="5934">
      <formula>#REF!="L"</formula>
    </cfRule>
  </conditionalFormatting>
  <conditionalFormatting sqref="C5">
    <cfRule type="expression" dxfId="8491" priority="5929">
      <formula>#REF!="TO"</formula>
    </cfRule>
    <cfRule type="expression" dxfId="8490" priority="5930">
      <formula>#REF!="IO"</formula>
    </cfRule>
    <cfRule type="expression" dxfId="8489" priority="5931">
      <formula>#REF!="L"</formula>
    </cfRule>
  </conditionalFormatting>
  <conditionalFormatting sqref="C6">
    <cfRule type="expression" dxfId="8488" priority="5926">
      <formula>#REF!="TO"</formula>
    </cfRule>
    <cfRule type="expression" dxfId="8487" priority="5927">
      <formula>#REF!="IO"</formula>
    </cfRule>
    <cfRule type="expression" dxfId="8486" priority="5928">
      <formula>#REF!="L"</formula>
    </cfRule>
  </conditionalFormatting>
  <conditionalFormatting sqref="C7">
    <cfRule type="expression" dxfId="8485" priority="5923">
      <formula>#REF!="TO"</formula>
    </cfRule>
    <cfRule type="expression" dxfId="8484" priority="5924">
      <formula>#REF!="IO"</formula>
    </cfRule>
    <cfRule type="expression" dxfId="8483" priority="5925">
      <formula>#REF!="L"</formula>
    </cfRule>
  </conditionalFormatting>
  <conditionalFormatting sqref="C8">
    <cfRule type="expression" dxfId="8482" priority="5920">
      <formula>#REF!="TO"</formula>
    </cfRule>
    <cfRule type="expression" dxfId="8481" priority="5921">
      <formula>#REF!="IO"</formula>
    </cfRule>
    <cfRule type="expression" dxfId="8480" priority="5922">
      <formula>#REF!="L"</formula>
    </cfRule>
  </conditionalFormatting>
  <conditionalFormatting sqref="C9:C12">
    <cfRule type="expression" dxfId="8479" priority="5917">
      <formula>#REF!="TO"</formula>
    </cfRule>
    <cfRule type="expression" dxfId="8478" priority="5918">
      <formula>#REF!="IO"</formula>
    </cfRule>
    <cfRule type="expression" dxfId="8477" priority="5919">
      <formula>#REF!="L"</formula>
    </cfRule>
  </conditionalFormatting>
  <conditionalFormatting sqref="C13">
    <cfRule type="expression" dxfId="8476" priority="5914">
      <formula>#REF!="TO"</formula>
    </cfRule>
    <cfRule type="expression" dxfId="8475" priority="5915">
      <formula>#REF!="IO"</formula>
    </cfRule>
    <cfRule type="expression" dxfId="8474" priority="5916">
      <formula>#REF!="L"</formula>
    </cfRule>
  </conditionalFormatting>
  <conditionalFormatting sqref="C14">
    <cfRule type="expression" dxfId="8473" priority="5911">
      <formula>#REF!="TO"</formula>
    </cfRule>
    <cfRule type="expression" dxfId="8472" priority="5912">
      <formula>#REF!="IO"</formula>
    </cfRule>
    <cfRule type="expression" dxfId="8471" priority="5913">
      <formula>#REF!="L"</formula>
    </cfRule>
  </conditionalFormatting>
  <conditionalFormatting sqref="C15">
    <cfRule type="expression" dxfId="8470" priority="5908">
      <formula>#REF!="TO"</formula>
    </cfRule>
    <cfRule type="expression" dxfId="8469" priority="5909">
      <formula>#REF!="IO"</formula>
    </cfRule>
    <cfRule type="expression" dxfId="8468" priority="5910">
      <formula>#REF!="L"</formula>
    </cfRule>
  </conditionalFormatting>
  <conditionalFormatting sqref="C16">
    <cfRule type="expression" dxfId="8467" priority="5905">
      <formula>#REF!="TO"</formula>
    </cfRule>
    <cfRule type="expression" dxfId="8466" priority="5906">
      <formula>#REF!="IO"</formula>
    </cfRule>
    <cfRule type="expression" dxfId="8465" priority="5907">
      <formula>#REF!="L"</formula>
    </cfRule>
  </conditionalFormatting>
  <conditionalFormatting sqref="C20">
    <cfRule type="expression" dxfId="8464" priority="5893">
      <formula>#REF!="TO"</formula>
    </cfRule>
    <cfRule type="expression" dxfId="8463" priority="5894">
      <formula>#REF!="IO"</formula>
    </cfRule>
    <cfRule type="expression" dxfId="8462" priority="5895">
      <formula>#REF!="L"</formula>
    </cfRule>
  </conditionalFormatting>
  <conditionalFormatting sqref="C17">
    <cfRule type="expression" dxfId="8461" priority="5902">
      <formula>#REF!="TO"</formula>
    </cfRule>
    <cfRule type="expression" dxfId="8460" priority="5903">
      <formula>#REF!="IO"</formula>
    </cfRule>
    <cfRule type="expression" dxfId="8459" priority="5904">
      <formula>#REF!="L"</formula>
    </cfRule>
  </conditionalFormatting>
  <conditionalFormatting sqref="C18">
    <cfRule type="expression" dxfId="8458" priority="5899">
      <formula>#REF!="TO"</formula>
    </cfRule>
    <cfRule type="expression" dxfId="8457" priority="5900">
      <formula>#REF!="IO"</formula>
    </cfRule>
    <cfRule type="expression" dxfId="8456" priority="5901">
      <formula>#REF!="L"</formula>
    </cfRule>
  </conditionalFormatting>
  <conditionalFormatting sqref="C19">
    <cfRule type="expression" dxfId="8455" priority="5896">
      <formula>#REF!="TO"</formula>
    </cfRule>
    <cfRule type="expression" dxfId="8454" priority="5897">
      <formula>#REF!="IO"</formula>
    </cfRule>
    <cfRule type="expression" dxfId="8453" priority="5898">
      <formula>#REF!="L"</formula>
    </cfRule>
  </conditionalFormatting>
  <conditionalFormatting sqref="C21">
    <cfRule type="expression" dxfId="8452" priority="5890">
      <formula>#REF!="TO"</formula>
    </cfRule>
    <cfRule type="expression" dxfId="8451" priority="5891">
      <formula>#REF!="IO"</formula>
    </cfRule>
    <cfRule type="expression" dxfId="8450" priority="5892">
      <formula>#REF!="L"</formula>
    </cfRule>
  </conditionalFormatting>
  <conditionalFormatting sqref="C22:C29">
    <cfRule type="expression" dxfId="8449" priority="5887">
      <formula>#REF!="TO"</formula>
    </cfRule>
    <cfRule type="expression" dxfId="8448" priority="5888">
      <formula>#REF!="IO"</formula>
    </cfRule>
    <cfRule type="expression" dxfId="8447" priority="5889">
      <formula>#REF!="L"</formula>
    </cfRule>
  </conditionalFormatting>
  <conditionalFormatting sqref="C42">
    <cfRule type="expression" dxfId="8446" priority="5884">
      <formula>#REF!="TO"</formula>
    </cfRule>
    <cfRule type="expression" dxfId="8445" priority="5885">
      <formula>#REF!="IO"</formula>
    </cfRule>
    <cfRule type="expression" dxfId="8444" priority="5886">
      <formula>#REF!="L"</formula>
    </cfRule>
  </conditionalFormatting>
  <conditionalFormatting sqref="C43">
    <cfRule type="expression" dxfId="8443" priority="5881">
      <formula>#REF!="TO"</formula>
    </cfRule>
    <cfRule type="expression" dxfId="8442" priority="5882">
      <formula>#REF!="IO"</formula>
    </cfRule>
    <cfRule type="expression" dxfId="8441" priority="5883">
      <formula>#REF!="L"</formula>
    </cfRule>
  </conditionalFormatting>
  <conditionalFormatting sqref="C44">
    <cfRule type="expression" dxfId="8440" priority="5878">
      <formula>#REF!="TO"</formula>
    </cfRule>
    <cfRule type="expression" dxfId="8439" priority="5879">
      <formula>#REF!="IO"</formula>
    </cfRule>
    <cfRule type="expression" dxfId="8438" priority="5880">
      <formula>#REF!="L"</formula>
    </cfRule>
  </conditionalFormatting>
  <conditionalFormatting sqref="C45">
    <cfRule type="expression" dxfId="8437" priority="5875">
      <formula>#REF!="TO"</formula>
    </cfRule>
    <cfRule type="expression" dxfId="8436" priority="5876">
      <formula>#REF!="IO"</formula>
    </cfRule>
    <cfRule type="expression" dxfId="8435" priority="5877">
      <formula>#REF!="L"</formula>
    </cfRule>
  </conditionalFormatting>
  <conditionalFormatting sqref="C46">
    <cfRule type="expression" dxfId="8434" priority="5872">
      <formula>#REF!="TO"</formula>
    </cfRule>
    <cfRule type="expression" dxfId="8433" priority="5873">
      <formula>#REF!="IO"</formula>
    </cfRule>
    <cfRule type="expression" dxfId="8432" priority="5874">
      <formula>#REF!="L"</formula>
    </cfRule>
  </conditionalFormatting>
  <conditionalFormatting sqref="C47">
    <cfRule type="expression" dxfId="8431" priority="5869">
      <formula>#REF!="TO"</formula>
    </cfRule>
    <cfRule type="expression" dxfId="8430" priority="5870">
      <formula>#REF!="IO"</formula>
    </cfRule>
    <cfRule type="expression" dxfId="8429" priority="5871">
      <formula>#REF!="L"</formula>
    </cfRule>
  </conditionalFormatting>
  <conditionalFormatting sqref="C48">
    <cfRule type="expression" dxfId="8428" priority="5866">
      <formula>#REF!="TO"</formula>
    </cfRule>
    <cfRule type="expression" dxfId="8427" priority="5867">
      <formula>#REF!="IO"</formula>
    </cfRule>
    <cfRule type="expression" dxfId="8426" priority="5868">
      <formula>#REF!="L"</formula>
    </cfRule>
  </conditionalFormatting>
  <conditionalFormatting sqref="C49">
    <cfRule type="expression" dxfId="8425" priority="5863">
      <formula>#REF!="TO"</formula>
    </cfRule>
    <cfRule type="expression" dxfId="8424" priority="5864">
      <formula>#REF!="IO"</formula>
    </cfRule>
    <cfRule type="expression" dxfId="8423" priority="5865">
      <formula>#REF!="L"</formula>
    </cfRule>
  </conditionalFormatting>
  <conditionalFormatting sqref="C50">
    <cfRule type="expression" dxfId="8422" priority="5860">
      <formula>#REF!="TO"</formula>
    </cfRule>
    <cfRule type="expression" dxfId="8421" priority="5861">
      <formula>#REF!="IO"</formula>
    </cfRule>
    <cfRule type="expression" dxfId="8420" priority="5862">
      <formula>#REF!="L"</formula>
    </cfRule>
  </conditionalFormatting>
  <conditionalFormatting sqref="C51:C86">
    <cfRule type="expression" dxfId="8419" priority="5857">
      <formula>#REF!="TO"</formula>
    </cfRule>
    <cfRule type="expression" dxfId="8418" priority="5858">
      <formula>#REF!="IO"</formula>
    </cfRule>
    <cfRule type="expression" dxfId="8417" priority="5859">
      <formula>#REF!="L"</formula>
    </cfRule>
  </conditionalFormatting>
  <conditionalFormatting sqref="J14">
    <cfRule type="expression" dxfId="8416" priority="5626">
      <formula>#REF!="TO"</formula>
    </cfRule>
    <cfRule type="expression" dxfId="8415" priority="5627">
      <formula>#REF!="IO"</formula>
    </cfRule>
    <cfRule type="expression" dxfId="8414" priority="5628">
      <formula>#REF!="L"</formula>
    </cfRule>
  </conditionalFormatting>
  <conditionalFormatting sqref="J18">
    <cfRule type="expression" dxfId="8413" priority="5614">
      <formula>#REF!="TO"</formula>
    </cfRule>
    <cfRule type="expression" dxfId="8412" priority="5615">
      <formula>#REF!="IO"</formula>
    </cfRule>
    <cfRule type="expression" dxfId="8411" priority="5616">
      <formula>#REF!="L"</formula>
    </cfRule>
  </conditionalFormatting>
  <conditionalFormatting sqref="J38:J41 J23:J29">
    <cfRule type="expression" dxfId="8410" priority="5647">
      <formula>#REF!="TO"</formula>
    </cfRule>
    <cfRule type="expression" dxfId="8409" priority="5648">
      <formula>#REF!="IO"</formula>
    </cfRule>
    <cfRule type="expression" dxfId="8408" priority="5649">
      <formula>#REF!="L"</formula>
    </cfRule>
  </conditionalFormatting>
  <conditionalFormatting sqref="J5">
    <cfRule type="expression" dxfId="8407" priority="5644">
      <formula>#REF!="TO"</formula>
    </cfRule>
    <cfRule type="expression" dxfId="8406" priority="5645">
      <formula>#REF!="IO"</formula>
    </cfRule>
    <cfRule type="expression" dxfId="8405" priority="5646">
      <formula>#REF!="L"</formula>
    </cfRule>
  </conditionalFormatting>
  <conditionalFormatting sqref="J6">
    <cfRule type="expression" dxfId="8404" priority="5641">
      <formula>#REF!="TO"</formula>
    </cfRule>
    <cfRule type="expression" dxfId="8403" priority="5642">
      <formula>#REF!="IO"</formula>
    </cfRule>
    <cfRule type="expression" dxfId="8402" priority="5643">
      <formula>#REF!="L"</formula>
    </cfRule>
  </conditionalFormatting>
  <conditionalFormatting sqref="J7">
    <cfRule type="expression" dxfId="8401" priority="5638">
      <formula>#REF!="TO"</formula>
    </cfRule>
    <cfRule type="expression" dxfId="8400" priority="5639">
      <formula>#REF!="IO"</formula>
    </cfRule>
    <cfRule type="expression" dxfId="8399" priority="5640">
      <formula>#REF!="L"</formula>
    </cfRule>
  </conditionalFormatting>
  <conditionalFormatting sqref="J8">
    <cfRule type="expression" dxfId="8398" priority="5635">
      <formula>#REF!="TO"</formula>
    </cfRule>
    <cfRule type="expression" dxfId="8397" priority="5636">
      <formula>#REF!="IO"</formula>
    </cfRule>
    <cfRule type="expression" dxfId="8396" priority="5637">
      <formula>#REF!="L"</formula>
    </cfRule>
  </conditionalFormatting>
  <conditionalFormatting sqref="J9:J12">
    <cfRule type="expression" dxfId="8395" priority="5632">
      <formula>#REF!="TO"</formula>
    </cfRule>
    <cfRule type="expression" dxfId="8394" priority="5633">
      <formula>#REF!="IO"</formula>
    </cfRule>
    <cfRule type="expression" dxfId="8393" priority="5634">
      <formula>#REF!="L"</formula>
    </cfRule>
  </conditionalFormatting>
  <conditionalFormatting sqref="J13">
    <cfRule type="expression" dxfId="8392" priority="5629">
      <formula>#REF!="TO"</formula>
    </cfRule>
    <cfRule type="expression" dxfId="8391" priority="5630">
      <formula>#REF!="IO"</formula>
    </cfRule>
    <cfRule type="expression" dxfId="8390" priority="5631">
      <formula>#REF!="L"</formula>
    </cfRule>
  </conditionalFormatting>
  <conditionalFormatting sqref="J15">
    <cfRule type="expression" dxfId="8389" priority="5623">
      <formula>#REF!="TO"</formula>
    </cfRule>
    <cfRule type="expression" dxfId="8388" priority="5624">
      <formula>#REF!="IO"</formula>
    </cfRule>
    <cfRule type="expression" dxfId="8387" priority="5625">
      <formula>#REF!="L"</formula>
    </cfRule>
  </conditionalFormatting>
  <conditionalFormatting sqref="J16">
    <cfRule type="expression" dxfId="8386" priority="5620">
      <formula>#REF!="TO"</formula>
    </cfRule>
    <cfRule type="expression" dxfId="8385" priority="5621">
      <formula>#REF!="IO"</formula>
    </cfRule>
    <cfRule type="expression" dxfId="8384" priority="5622">
      <formula>#REF!="L"</formula>
    </cfRule>
  </conditionalFormatting>
  <conditionalFormatting sqref="J17">
    <cfRule type="expression" dxfId="8383" priority="5617">
      <formula>#REF!="TO"</formula>
    </cfRule>
    <cfRule type="expression" dxfId="8382" priority="5618">
      <formula>#REF!="IO"</formula>
    </cfRule>
    <cfRule type="expression" dxfId="8381" priority="5619">
      <formula>#REF!="L"</formula>
    </cfRule>
  </conditionalFormatting>
  <conditionalFormatting sqref="J19">
    <cfRule type="expression" dxfId="8380" priority="5611">
      <formula>#REF!="TO"</formula>
    </cfRule>
    <cfRule type="expression" dxfId="8379" priority="5612">
      <formula>#REF!="IO"</formula>
    </cfRule>
    <cfRule type="expression" dxfId="8378" priority="5613">
      <formula>#REF!="L"</formula>
    </cfRule>
  </conditionalFormatting>
  <conditionalFormatting sqref="J20">
    <cfRule type="expression" dxfId="8377" priority="5608">
      <formula>#REF!="TO"</formula>
    </cfRule>
    <cfRule type="expression" dxfId="8376" priority="5609">
      <formula>#REF!="IO"</formula>
    </cfRule>
    <cfRule type="expression" dxfId="8375" priority="5610">
      <formula>#REF!="L"</formula>
    </cfRule>
  </conditionalFormatting>
  <conditionalFormatting sqref="J21">
    <cfRule type="expression" dxfId="8374" priority="5605">
      <formula>#REF!="TO"</formula>
    </cfRule>
    <cfRule type="expression" dxfId="8373" priority="5606">
      <formula>#REF!="IO"</formula>
    </cfRule>
    <cfRule type="expression" dxfId="8372" priority="5607">
      <formula>#REF!="L"</formula>
    </cfRule>
  </conditionalFormatting>
  <conditionalFormatting sqref="J22:J29">
    <cfRule type="expression" dxfId="8371" priority="5602">
      <formula>#REF!="TO"</formula>
    </cfRule>
    <cfRule type="expression" dxfId="8370" priority="5603">
      <formula>#REF!="IO"</formula>
    </cfRule>
    <cfRule type="expression" dxfId="8369" priority="5604">
      <formula>#REF!="L"</formula>
    </cfRule>
  </conditionalFormatting>
  <conditionalFormatting sqref="J42">
    <cfRule type="expression" dxfId="8368" priority="5599">
      <formula>#REF!="TO"</formula>
    </cfRule>
    <cfRule type="expression" dxfId="8367" priority="5600">
      <formula>#REF!="IO"</formula>
    </cfRule>
    <cfRule type="expression" dxfId="8366" priority="5601">
      <formula>#REF!="L"</formula>
    </cfRule>
  </conditionalFormatting>
  <conditionalFormatting sqref="J43">
    <cfRule type="expression" dxfId="8365" priority="5596">
      <formula>#REF!="TO"</formula>
    </cfRule>
    <cfRule type="expression" dxfId="8364" priority="5597">
      <formula>#REF!="IO"</formula>
    </cfRule>
    <cfRule type="expression" dxfId="8363" priority="5598">
      <formula>#REF!="L"</formula>
    </cfRule>
  </conditionalFormatting>
  <conditionalFormatting sqref="J44">
    <cfRule type="expression" dxfId="8362" priority="5593">
      <formula>#REF!="TO"</formula>
    </cfRule>
    <cfRule type="expression" dxfId="8361" priority="5594">
      <formula>#REF!="IO"</formula>
    </cfRule>
    <cfRule type="expression" dxfId="8360" priority="5595">
      <formula>#REF!="L"</formula>
    </cfRule>
  </conditionalFormatting>
  <conditionalFormatting sqref="J45">
    <cfRule type="expression" dxfId="8359" priority="5590">
      <formula>#REF!="TO"</formula>
    </cfRule>
    <cfRule type="expression" dxfId="8358" priority="5591">
      <formula>#REF!="IO"</formula>
    </cfRule>
    <cfRule type="expression" dxfId="8357" priority="5592">
      <formula>#REF!="L"</formula>
    </cfRule>
  </conditionalFormatting>
  <conditionalFormatting sqref="J46">
    <cfRule type="expression" dxfId="8356" priority="5587">
      <formula>#REF!="TO"</formula>
    </cfRule>
    <cfRule type="expression" dxfId="8355" priority="5588">
      <formula>#REF!="IO"</formula>
    </cfRule>
    <cfRule type="expression" dxfId="8354" priority="5589">
      <formula>#REF!="L"</formula>
    </cfRule>
  </conditionalFormatting>
  <conditionalFormatting sqref="J47">
    <cfRule type="expression" dxfId="8353" priority="5584">
      <formula>#REF!="TO"</formula>
    </cfRule>
    <cfRule type="expression" dxfId="8352" priority="5585">
      <formula>#REF!="IO"</formula>
    </cfRule>
    <cfRule type="expression" dxfId="8351" priority="5586">
      <formula>#REF!="L"</formula>
    </cfRule>
  </conditionalFormatting>
  <conditionalFormatting sqref="J48">
    <cfRule type="expression" dxfId="8350" priority="5581">
      <formula>#REF!="TO"</formula>
    </cfRule>
    <cfRule type="expression" dxfId="8349" priority="5582">
      <formula>#REF!="IO"</formula>
    </cfRule>
    <cfRule type="expression" dxfId="8348" priority="5583">
      <formula>#REF!="L"</formula>
    </cfRule>
  </conditionalFormatting>
  <conditionalFormatting sqref="J49">
    <cfRule type="expression" dxfId="8347" priority="5578">
      <formula>#REF!="TO"</formula>
    </cfRule>
    <cfRule type="expression" dxfId="8346" priority="5579">
      <formula>#REF!="IO"</formula>
    </cfRule>
    <cfRule type="expression" dxfId="8345" priority="5580">
      <formula>#REF!="L"</formula>
    </cfRule>
  </conditionalFormatting>
  <conditionalFormatting sqref="J50">
    <cfRule type="expression" dxfId="8344" priority="5575">
      <formula>#REF!="TO"</formula>
    </cfRule>
    <cfRule type="expression" dxfId="8343" priority="5576">
      <formula>#REF!="IO"</formula>
    </cfRule>
    <cfRule type="expression" dxfId="8342" priority="5577">
      <formula>#REF!="L"</formula>
    </cfRule>
  </conditionalFormatting>
  <conditionalFormatting sqref="J51:J86">
    <cfRule type="expression" dxfId="8341" priority="5572">
      <formula>#REF!="TO"</formula>
    </cfRule>
    <cfRule type="expression" dxfId="8340" priority="5573">
      <formula>#REF!="IO"</formula>
    </cfRule>
    <cfRule type="expression" dxfId="8339" priority="5574">
      <formula>#REF!="L"</formula>
    </cfRule>
  </conditionalFormatting>
  <conditionalFormatting sqref="H45">
    <cfRule type="expression" dxfId="8338" priority="5341">
      <formula>#REF!="TO"</formula>
    </cfRule>
    <cfRule type="expression" dxfId="8337" priority="5342">
      <formula>#REF!="IO"</formula>
    </cfRule>
    <cfRule type="expression" dxfId="8336" priority="5343">
      <formula>#REF!="L"</formula>
    </cfRule>
  </conditionalFormatting>
  <conditionalFormatting sqref="J28:J29">
    <cfRule type="expression" dxfId="8335" priority="5566">
      <formula>#REF!="TO"</formula>
    </cfRule>
    <cfRule type="expression" dxfId="8334" priority="5567">
      <formula>#REF!="IO"</formula>
    </cfRule>
    <cfRule type="expression" dxfId="8333" priority="5568">
      <formula>#REF!="L"</formula>
    </cfRule>
    <cfRule type="expression" dxfId="8332" priority="5563">
      <formula>#REF!="TO"</formula>
    </cfRule>
    <cfRule type="expression" dxfId="8331" priority="5564">
      <formula>#REF!="IO"</formula>
    </cfRule>
    <cfRule type="expression" dxfId="8330" priority="5565">
      <formula>#REF!="L"</formula>
    </cfRule>
  </conditionalFormatting>
  <conditionalFormatting sqref="X2:Y2 X4:Y4">
    <cfRule type="expression" dxfId="8329" priority="5557">
      <formula>#REF!="TO"</formula>
    </cfRule>
    <cfRule type="expression" dxfId="8328" priority="5558">
      <formula>#REF!="IO"</formula>
    </cfRule>
    <cfRule type="expression" dxfId="8327" priority="5559">
      <formula>#REF!="L"</formula>
    </cfRule>
  </conditionalFormatting>
  <conditionalFormatting sqref="X38:Y41 X23:Y29">
    <cfRule type="expression" dxfId="8326" priority="5554">
      <formula>#REF!="TO"</formula>
    </cfRule>
    <cfRule type="expression" dxfId="8325" priority="5555">
      <formula>#REF!="IO"</formula>
    </cfRule>
    <cfRule type="expression" dxfId="8324" priority="5556">
      <formula>#REF!="L"</formula>
    </cfRule>
  </conditionalFormatting>
  <conditionalFormatting sqref="X5:Y5">
    <cfRule type="expression" dxfId="8323" priority="5551">
      <formula>#REF!="TO"</formula>
    </cfRule>
    <cfRule type="expression" dxfId="8322" priority="5552">
      <formula>#REF!="IO"</formula>
    </cfRule>
    <cfRule type="expression" dxfId="8321" priority="5553">
      <formula>#REF!="L"</formula>
    </cfRule>
  </conditionalFormatting>
  <conditionalFormatting sqref="X6:Y6">
    <cfRule type="expression" dxfId="8320" priority="5548">
      <formula>#REF!="TO"</formula>
    </cfRule>
    <cfRule type="expression" dxfId="8319" priority="5549">
      <formula>#REF!="IO"</formula>
    </cfRule>
    <cfRule type="expression" dxfId="8318" priority="5550">
      <formula>#REF!="L"</formula>
    </cfRule>
  </conditionalFormatting>
  <conditionalFormatting sqref="X7:Y7">
    <cfRule type="expression" dxfId="8317" priority="5545">
      <formula>#REF!="TO"</formula>
    </cfRule>
    <cfRule type="expression" dxfId="8316" priority="5546">
      <formula>#REF!="IO"</formula>
    </cfRule>
    <cfRule type="expression" dxfId="8315" priority="5547">
      <formula>#REF!="L"</formula>
    </cfRule>
  </conditionalFormatting>
  <conditionalFormatting sqref="X8:Y8">
    <cfRule type="expression" dxfId="8314" priority="5542">
      <formula>#REF!="TO"</formula>
    </cfRule>
    <cfRule type="expression" dxfId="8313" priority="5543">
      <formula>#REF!="IO"</formula>
    </cfRule>
    <cfRule type="expression" dxfId="8312" priority="5544">
      <formula>#REF!="L"</formula>
    </cfRule>
  </conditionalFormatting>
  <conditionalFormatting sqref="X9:Y12">
    <cfRule type="expression" dxfId="8311" priority="5539">
      <formula>#REF!="TO"</formula>
    </cfRule>
    <cfRule type="expression" dxfId="8310" priority="5540">
      <formula>#REF!="IO"</formula>
    </cfRule>
    <cfRule type="expression" dxfId="8309" priority="5541">
      <formula>#REF!="L"</formula>
    </cfRule>
  </conditionalFormatting>
  <conditionalFormatting sqref="X14:Y14">
    <cfRule type="expression" dxfId="8308" priority="5533">
      <formula>#REF!="TO"</formula>
    </cfRule>
    <cfRule type="expression" dxfId="8307" priority="5534">
      <formula>#REF!="IO"</formula>
    </cfRule>
    <cfRule type="expression" dxfId="8306" priority="5535">
      <formula>#REF!="L"</formula>
    </cfRule>
  </conditionalFormatting>
  <conditionalFormatting sqref="X13:Y13">
    <cfRule type="expression" dxfId="8305" priority="5536">
      <formula>#REF!="TO"</formula>
    </cfRule>
    <cfRule type="expression" dxfId="8304" priority="5537">
      <formula>#REF!="IO"</formula>
    </cfRule>
    <cfRule type="expression" dxfId="8303" priority="5538">
      <formula>#REF!="L"</formula>
    </cfRule>
  </conditionalFormatting>
  <conditionalFormatting sqref="X15:Y15">
    <cfRule type="expression" dxfId="8302" priority="5530">
      <formula>#REF!="TO"</formula>
    </cfRule>
    <cfRule type="expression" dxfId="8301" priority="5531">
      <formula>#REF!="IO"</formula>
    </cfRule>
    <cfRule type="expression" dxfId="8300" priority="5532">
      <formula>#REF!="L"</formula>
    </cfRule>
  </conditionalFormatting>
  <conditionalFormatting sqref="X16:Y16">
    <cfRule type="expression" dxfId="8299" priority="5527">
      <formula>#REF!="TO"</formula>
    </cfRule>
    <cfRule type="expression" dxfId="8298" priority="5528">
      <formula>#REF!="IO"</formula>
    </cfRule>
    <cfRule type="expression" dxfId="8297" priority="5529">
      <formula>#REF!="L"</formula>
    </cfRule>
  </conditionalFormatting>
  <conditionalFormatting sqref="X17:Y17">
    <cfRule type="expression" dxfId="8296" priority="5524">
      <formula>#REF!="TO"</formula>
    </cfRule>
    <cfRule type="expression" dxfId="8295" priority="5525">
      <formula>#REF!="IO"</formula>
    </cfRule>
    <cfRule type="expression" dxfId="8294" priority="5526">
      <formula>#REF!="L"</formula>
    </cfRule>
  </conditionalFormatting>
  <conditionalFormatting sqref="X18:Y18">
    <cfRule type="expression" dxfId="8293" priority="5521">
      <formula>#REF!="TO"</formula>
    </cfRule>
    <cfRule type="expression" dxfId="8292" priority="5522">
      <formula>#REF!="IO"</formula>
    </cfRule>
    <cfRule type="expression" dxfId="8291" priority="5523">
      <formula>#REF!="L"</formula>
    </cfRule>
  </conditionalFormatting>
  <conditionalFormatting sqref="X19:Y19">
    <cfRule type="expression" dxfId="8290" priority="5518">
      <formula>#REF!="TO"</formula>
    </cfRule>
    <cfRule type="expression" dxfId="8289" priority="5519">
      <formula>#REF!="IO"</formula>
    </cfRule>
    <cfRule type="expression" dxfId="8288" priority="5520">
      <formula>#REF!="L"</formula>
    </cfRule>
  </conditionalFormatting>
  <conditionalFormatting sqref="X20:Y20">
    <cfRule type="expression" dxfId="8287" priority="5515">
      <formula>#REF!="TO"</formula>
    </cfRule>
    <cfRule type="expression" dxfId="8286" priority="5516">
      <formula>#REF!="IO"</formula>
    </cfRule>
    <cfRule type="expression" dxfId="8285" priority="5517">
      <formula>#REF!="L"</formula>
    </cfRule>
  </conditionalFormatting>
  <conditionalFormatting sqref="X21:Y21">
    <cfRule type="expression" dxfId="8284" priority="5512">
      <formula>#REF!="TO"</formula>
    </cfRule>
    <cfRule type="expression" dxfId="8283" priority="5513">
      <formula>#REF!="IO"</formula>
    </cfRule>
    <cfRule type="expression" dxfId="8282" priority="5514">
      <formula>#REF!="L"</formula>
    </cfRule>
  </conditionalFormatting>
  <conditionalFormatting sqref="X22:Y29">
    <cfRule type="expression" dxfId="8281" priority="5509">
      <formula>#REF!="TO"</formula>
    </cfRule>
    <cfRule type="expression" dxfId="8280" priority="5510">
      <formula>#REF!="IO"</formula>
    </cfRule>
    <cfRule type="expression" dxfId="8279" priority="5511">
      <formula>#REF!="L"</formula>
    </cfRule>
  </conditionalFormatting>
  <conditionalFormatting sqref="X42:Y42">
    <cfRule type="expression" dxfId="8278" priority="5506">
      <formula>#REF!="TO"</formula>
    </cfRule>
    <cfRule type="expression" dxfId="8277" priority="5507">
      <formula>#REF!="IO"</formula>
    </cfRule>
    <cfRule type="expression" dxfId="8276" priority="5508">
      <formula>#REF!="L"</formula>
    </cfRule>
  </conditionalFormatting>
  <conditionalFormatting sqref="X43:Y43">
    <cfRule type="expression" dxfId="8275" priority="5503">
      <formula>#REF!="TO"</formula>
    </cfRule>
    <cfRule type="expression" dxfId="8274" priority="5504">
      <formula>#REF!="IO"</formula>
    </cfRule>
    <cfRule type="expression" dxfId="8273" priority="5505">
      <formula>#REF!="L"</formula>
    </cfRule>
  </conditionalFormatting>
  <conditionalFormatting sqref="X44:Y44">
    <cfRule type="expression" dxfId="8272" priority="5500">
      <formula>#REF!="TO"</formula>
    </cfRule>
    <cfRule type="expression" dxfId="8271" priority="5501">
      <formula>#REF!="IO"</formula>
    </cfRule>
    <cfRule type="expression" dxfId="8270" priority="5502">
      <formula>#REF!="L"</formula>
    </cfRule>
  </conditionalFormatting>
  <conditionalFormatting sqref="X45:Y45">
    <cfRule type="expression" dxfId="8269" priority="5497">
      <formula>#REF!="TO"</formula>
    </cfRule>
    <cfRule type="expression" dxfId="8268" priority="5498">
      <formula>#REF!="IO"</formula>
    </cfRule>
    <cfRule type="expression" dxfId="8267" priority="5499">
      <formula>#REF!="L"</formula>
    </cfRule>
  </conditionalFormatting>
  <conditionalFormatting sqref="X46:Y46">
    <cfRule type="expression" dxfId="8266" priority="5494">
      <formula>#REF!="TO"</formula>
    </cfRule>
    <cfRule type="expression" dxfId="8265" priority="5495">
      <formula>#REF!="IO"</formula>
    </cfRule>
    <cfRule type="expression" dxfId="8264" priority="5496">
      <formula>#REF!="L"</formula>
    </cfRule>
  </conditionalFormatting>
  <conditionalFormatting sqref="X47:Y47">
    <cfRule type="expression" dxfId="8263" priority="5491">
      <formula>#REF!="TO"</formula>
    </cfRule>
    <cfRule type="expression" dxfId="8262" priority="5492">
      <formula>#REF!="IO"</formula>
    </cfRule>
    <cfRule type="expression" dxfId="8261" priority="5493">
      <formula>#REF!="L"</formula>
    </cfRule>
  </conditionalFormatting>
  <conditionalFormatting sqref="X48:Y48">
    <cfRule type="expression" dxfId="8260" priority="5488">
      <formula>#REF!="TO"</formula>
    </cfRule>
    <cfRule type="expression" dxfId="8259" priority="5489">
      <formula>#REF!="IO"</formula>
    </cfRule>
    <cfRule type="expression" dxfId="8258" priority="5490">
      <formula>#REF!="L"</formula>
    </cfRule>
  </conditionalFormatting>
  <conditionalFormatting sqref="X49:Y49">
    <cfRule type="expression" dxfId="8257" priority="5485">
      <formula>#REF!="TO"</formula>
    </cfRule>
    <cfRule type="expression" dxfId="8256" priority="5486">
      <formula>#REF!="IO"</formula>
    </cfRule>
    <cfRule type="expression" dxfId="8255" priority="5487">
      <formula>#REF!="L"</formula>
    </cfRule>
  </conditionalFormatting>
  <conditionalFormatting sqref="X50:Y50">
    <cfRule type="expression" dxfId="8254" priority="5482">
      <formula>#REF!="TO"</formula>
    </cfRule>
    <cfRule type="expression" dxfId="8253" priority="5483">
      <formula>#REF!="IO"</formula>
    </cfRule>
    <cfRule type="expression" dxfId="8252" priority="5484">
      <formula>#REF!="L"</formula>
    </cfRule>
  </conditionalFormatting>
  <conditionalFormatting sqref="X51:Y86">
    <cfRule type="expression" dxfId="8251" priority="5479">
      <formula>#REF!="TO"</formula>
    </cfRule>
    <cfRule type="expression" dxfId="8250" priority="5480">
      <formula>#REF!="IO"</formula>
    </cfRule>
    <cfRule type="expression" dxfId="8249" priority="5481">
      <formula>#REF!="L"</formula>
    </cfRule>
  </conditionalFormatting>
  <conditionalFormatting sqref="X28:Y29">
    <cfRule type="expression" dxfId="8248" priority="5473">
      <formula>#REF!="TO"</formula>
    </cfRule>
    <cfRule type="expression" dxfId="8247" priority="5474">
      <formula>#REF!="IO"</formula>
    </cfRule>
    <cfRule type="expression" dxfId="8246" priority="5475">
      <formula>#REF!="L"</formula>
    </cfRule>
    <cfRule type="expression" dxfId="8245" priority="5470">
      <formula>#REF!="TO"</formula>
    </cfRule>
    <cfRule type="expression" dxfId="8244" priority="5471">
      <formula>#REF!="IO"</formula>
    </cfRule>
    <cfRule type="expression" dxfId="8243" priority="5472">
      <formula>#REF!="L"</formula>
    </cfRule>
  </conditionalFormatting>
  <conditionalFormatting sqref="G5">
    <cfRule type="expression" dxfId="8242" priority="5455">
      <formula>#REF!="TO"</formula>
    </cfRule>
    <cfRule type="expression" dxfId="8241" priority="5456">
      <formula>#REF!="IO"</formula>
    </cfRule>
    <cfRule type="expression" dxfId="8240" priority="5457">
      <formula>#REF!="L"</formula>
    </cfRule>
  </conditionalFormatting>
  <conditionalFormatting sqref="G6">
    <cfRule type="expression" dxfId="8239" priority="5452">
      <formula>#REF!="TO"</formula>
    </cfRule>
    <cfRule type="expression" dxfId="8238" priority="5453">
      <formula>#REF!="IO"</formula>
    </cfRule>
    <cfRule type="expression" dxfId="8237" priority="5454">
      <formula>#REF!="L"</formula>
    </cfRule>
  </conditionalFormatting>
  <conditionalFormatting sqref="G7">
    <cfRule type="expression" dxfId="8236" priority="5449">
      <formula>#REF!="TO"</formula>
    </cfRule>
    <cfRule type="expression" dxfId="8235" priority="5450">
      <formula>#REF!="IO"</formula>
    </cfRule>
    <cfRule type="expression" dxfId="8234" priority="5451">
      <formula>#REF!="L"</formula>
    </cfRule>
  </conditionalFormatting>
  <conditionalFormatting sqref="G8">
    <cfRule type="expression" dxfId="8233" priority="5446">
      <formula>#REF!="TO"</formula>
    </cfRule>
    <cfRule type="expression" dxfId="8232" priority="5447">
      <formula>#REF!="IO"</formula>
    </cfRule>
    <cfRule type="expression" dxfId="8231" priority="5448">
      <formula>#REF!="L"</formula>
    </cfRule>
  </conditionalFormatting>
  <conditionalFormatting sqref="G9:G12">
    <cfRule type="expression" dxfId="8230" priority="5443">
      <formula>#REF!="TO"</formula>
    </cfRule>
    <cfRule type="expression" dxfId="8229" priority="5444">
      <formula>#REF!="IO"</formula>
    </cfRule>
    <cfRule type="expression" dxfId="8228" priority="5445">
      <formula>#REF!="L"</formula>
    </cfRule>
  </conditionalFormatting>
  <conditionalFormatting sqref="G14">
    <cfRule type="expression" dxfId="8227" priority="5437">
      <formula>#REF!="TO"</formula>
    </cfRule>
    <cfRule type="expression" dxfId="8226" priority="5438">
      <formula>#REF!="IO"</formula>
    </cfRule>
    <cfRule type="expression" dxfId="8225" priority="5439">
      <formula>#REF!="L"</formula>
    </cfRule>
  </conditionalFormatting>
  <conditionalFormatting sqref="G13">
    <cfRule type="expression" dxfId="8224" priority="5440">
      <formula>#REF!="TO"</formula>
    </cfRule>
    <cfRule type="expression" dxfId="8223" priority="5441">
      <formula>#REF!="IO"</formula>
    </cfRule>
    <cfRule type="expression" dxfId="8222" priority="5442">
      <formula>#REF!="L"</formula>
    </cfRule>
  </conditionalFormatting>
  <conditionalFormatting sqref="G15">
    <cfRule type="expression" dxfId="8221" priority="5434">
      <formula>#REF!="TO"</formula>
    </cfRule>
    <cfRule type="expression" dxfId="8220" priority="5435">
      <formula>#REF!="IO"</formula>
    </cfRule>
    <cfRule type="expression" dxfId="8219" priority="5436">
      <formula>#REF!="L"</formula>
    </cfRule>
  </conditionalFormatting>
  <conditionalFormatting sqref="G16">
    <cfRule type="expression" dxfId="8218" priority="5431">
      <formula>#REF!="TO"</formula>
    </cfRule>
    <cfRule type="expression" dxfId="8217" priority="5432">
      <formula>#REF!="IO"</formula>
    </cfRule>
    <cfRule type="expression" dxfId="8216" priority="5433">
      <formula>#REF!="L"</formula>
    </cfRule>
  </conditionalFormatting>
  <conditionalFormatting sqref="G20">
    <cfRule type="expression" dxfId="8215" priority="5419">
      <formula>#REF!="TO"</formula>
    </cfRule>
    <cfRule type="expression" dxfId="8214" priority="5420">
      <formula>#REF!="IO"</formula>
    </cfRule>
    <cfRule type="expression" dxfId="8213" priority="5421">
      <formula>#REF!="L"</formula>
    </cfRule>
  </conditionalFormatting>
  <conditionalFormatting sqref="G17">
    <cfRule type="expression" dxfId="8212" priority="5428">
      <formula>#REF!="TO"</formula>
    </cfRule>
    <cfRule type="expression" dxfId="8211" priority="5429">
      <formula>#REF!="IO"</formula>
    </cfRule>
    <cfRule type="expression" dxfId="8210" priority="5430">
      <formula>#REF!="L"</formula>
    </cfRule>
  </conditionalFormatting>
  <conditionalFormatting sqref="G18">
    <cfRule type="expression" dxfId="8209" priority="5425">
      <formula>#REF!="TO"</formula>
    </cfRule>
    <cfRule type="expression" dxfId="8208" priority="5426">
      <formula>#REF!="IO"</formula>
    </cfRule>
    <cfRule type="expression" dxfId="8207" priority="5427">
      <formula>#REF!="L"</formula>
    </cfRule>
  </conditionalFormatting>
  <conditionalFormatting sqref="G19">
    <cfRule type="expression" dxfId="8206" priority="5422">
      <formula>#REF!="TO"</formula>
    </cfRule>
    <cfRule type="expression" dxfId="8205" priority="5423">
      <formula>#REF!="IO"</formula>
    </cfRule>
    <cfRule type="expression" dxfId="8204" priority="5424">
      <formula>#REF!="L"</formula>
    </cfRule>
  </conditionalFormatting>
  <conditionalFormatting sqref="G21">
    <cfRule type="expression" dxfId="8203" priority="5416">
      <formula>#REF!="TO"</formula>
    </cfRule>
    <cfRule type="expression" dxfId="8202" priority="5417">
      <formula>#REF!="IO"</formula>
    </cfRule>
    <cfRule type="expression" dxfId="8201" priority="5418">
      <formula>#REF!="L"</formula>
    </cfRule>
  </conditionalFormatting>
  <conditionalFormatting sqref="G22">
    <cfRule type="expression" dxfId="8200" priority="5413">
      <formula>#REF!="TO"</formula>
    </cfRule>
    <cfRule type="expression" dxfId="8199" priority="5414">
      <formula>#REF!="IO"</formula>
    </cfRule>
    <cfRule type="expression" dxfId="8198" priority="5415">
      <formula>#REF!="L"</formula>
    </cfRule>
  </conditionalFormatting>
  <conditionalFormatting sqref="H38:H41 H23:H29">
    <cfRule type="expression" dxfId="8197" priority="5398">
      <formula>#REF!="TO"</formula>
    </cfRule>
    <cfRule type="expression" dxfId="8196" priority="5399">
      <formula>#REF!="IO"</formula>
    </cfRule>
    <cfRule type="expression" dxfId="8195" priority="5400">
      <formula>#REF!="L"</formula>
    </cfRule>
  </conditionalFormatting>
  <conditionalFormatting sqref="H5">
    <cfRule type="expression" dxfId="8194" priority="5395">
      <formula>#REF!="TO"</formula>
    </cfRule>
    <cfRule type="expression" dxfId="8193" priority="5396">
      <formula>#REF!="IO"</formula>
    </cfRule>
    <cfRule type="expression" dxfId="8192" priority="5397">
      <formula>#REF!="L"</formula>
    </cfRule>
  </conditionalFormatting>
  <conditionalFormatting sqref="H6">
    <cfRule type="expression" dxfId="8191" priority="5392">
      <formula>#REF!="TO"</formula>
    </cfRule>
    <cfRule type="expression" dxfId="8190" priority="5393">
      <formula>#REF!="IO"</formula>
    </cfRule>
    <cfRule type="expression" dxfId="8189" priority="5394">
      <formula>#REF!="L"</formula>
    </cfRule>
  </conditionalFormatting>
  <conditionalFormatting sqref="H7">
    <cfRule type="expression" dxfId="8188" priority="5389">
      <formula>#REF!="TO"</formula>
    </cfRule>
    <cfRule type="expression" dxfId="8187" priority="5390">
      <formula>#REF!="IO"</formula>
    </cfRule>
    <cfRule type="expression" dxfId="8186" priority="5391">
      <formula>#REF!="L"</formula>
    </cfRule>
  </conditionalFormatting>
  <conditionalFormatting sqref="H8">
    <cfRule type="expression" dxfId="8185" priority="5386">
      <formula>#REF!="TO"</formula>
    </cfRule>
    <cfRule type="expression" dxfId="8184" priority="5387">
      <formula>#REF!="IO"</formula>
    </cfRule>
    <cfRule type="expression" dxfId="8183" priority="5388">
      <formula>#REF!="L"</formula>
    </cfRule>
  </conditionalFormatting>
  <conditionalFormatting sqref="H9:H12">
    <cfRule type="expression" dxfId="8182" priority="5383">
      <formula>#REF!="TO"</formula>
    </cfRule>
    <cfRule type="expression" dxfId="8181" priority="5384">
      <formula>#REF!="IO"</formula>
    </cfRule>
    <cfRule type="expression" dxfId="8180" priority="5385">
      <formula>#REF!="L"</formula>
    </cfRule>
  </conditionalFormatting>
  <conditionalFormatting sqref="H13">
    <cfRule type="expression" dxfId="8179" priority="5380">
      <formula>#REF!="TO"</formula>
    </cfRule>
    <cfRule type="expression" dxfId="8178" priority="5381">
      <formula>#REF!="IO"</formula>
    </cfRule>
    <cfRule type="expression" dxfId="8177" priority="5382">
      <formula>#REF!="L"</formula>
    </cfRule>
  </conditionalFormatting>
  <conditionalFormatting sqref="H14">
    <cfRule type="expression" dxfId="8176" priority="5377">
      <formula>#REF!="TO"</formula>
    </cfRule>
    <cfRule type="expression" dxfId="8175" priority="5378">
      <formula>#REF!="IO"</formula>
    </cfRule>
    <cfRule type="expression" dxfId="8174" priority="5379">
      <formula>#REF!="L"</formula>
    </cfRule>
  </conditionalFormatting>
  <conditionalFormatting sqref="H15">
    <cfRule type="expression" dxfId="8173" priority="5374">
      <formula>#REF!="TO"</formula>
    </cfRule>
    <cfRule type="expression" dxfId="8172" priority="5375">
      <formula>#REF!="IO"</formula>
    </cfRule>
    <cfRule type="expression" dxfId="8171" priority="5376">
      <formula>#REF!="L"</formula>
    </cfRule>
  </conditionalFormatting>
  <conditionalFormatting sqref="H16">
    <cfRule type="expression" dxfId="8170" priority="5371">
      <formula>#REF!="TO"</formula>
    </cfRule>
    <cfRule type="expression" dxfId="8169" priority="5372">
      <formula>#REF!="IO"</formula>
    </cfRule>
    <cfRule type="expression" dxfId="8168" priority="5373">
      <formula>#REF!="L"</formula>
    </cfRule>
  </conditionalFormatting>
  <conditionalFormatting sqref="H17">
    <cfRule type="expression" dxfId="8167" priority="5368">
      <formula>#REF!="TO"</formula>
    </cfRule>
    <cfRule type="expression" dxfId="8166" priority="5369">
      <formula>#REF!="IO"</formula>
    </cfRule>
    <cfRule type="expression" dxfId="8165" priority="5370">
      <formula>#REF!="L"</formula>
    </cfRule>
  </conditionalFormatting>
  <conditionalFormatting sqref="H18">
    <cfRule type="expression" dxfId="8164" priority="5365">
      <formula>#REF!="TO"</formula>
    </cfRule>
    <cfRule type="expression" dxfId="8163" priority="5366">
      <formula>#REF!="IO"</formula>
    </cfRule>
    <cfRule type="expression" dxfId="8162" priority="5367">
      <formula>#REF!="L"</formula>
    </cfRule>
  </conditionalFormatting>
  <conditionalFormatting sqref="H19">
    <cfRule type="expression" dxfId="8161" priority="5362">
      <formula>#REF!="TO"</formula>
    </cfRule>
    <cfRule type="expression" dxfId="8160" priority="5363">
      <formula>#REF!="IO"</formula>
    </cfRule>
    <cfRule type="expression" dxfId="8159" priority="5364">
      <formula>#REF!="L"</formula>
    </cfRule>
  </conditionalFormatting>
  <conditionalFormatting sqref="H20">
    <cfRule type="expression" dxfId="8158" priority="5359">
      <formula>#REF!="TO"</formula>
    </cfRule>
    <cfRule type="expression" dxfId="8157" priority="5360">
      <formula>#REF!="IO"</formula>
    </cfRule>
    <cfRule type="expression" dxfId="8156" priority="5361">
      <formula>#REF!="L"</formula>
    </cfRule>
  </conditionalFormatting>
  <conditionalFormatting sqref="H21">
    <cfRule type="expression" dxfId="8155" priority="5356">
      <formula>#REF!="TO"</formula>
    </cfRule>
    <cfRule type="expression" dxfId="8154" priority="5357">
      <formula>#REF!="IO"</formula>
    </cfRule>
    <cfRule type="expression" dxfId="8153" priority="5358">
      <formula>#REF!="L"</formula>
    </cfRule>
  </conditionalFormatting>
  <conditionalFormatting sqref="H22:H29">
    <cfRule type="expression" dxfId="8152" priority="5353">
      <formula>#REF!="TO"</formula>
    </cfRule>
    <cfRule type="expression" dxfId="8151" priority="5354">
      <formula>#REF!="IO"</formula>
    </cfRule>
    <cfRule type="expression" dxfId="8150" priority="5355">
      <formula>#REF!="L"</formula>
    </cfRule>
  </conditionalFormatting>
  <conditionalFormatting sqref="H42">
    <cfRule type="expression" dxfId="8149" priority="5350">
      <formula>#REF!="TO"</formula>
    </cfRule>
    <cfRule type="expression" dxfId="8148" priority="5351">
      <formula>#REF!="IO"</formula>
    </cfRule>
    <cfRule type="expression" dxfId="8147" priority="5352">
      <formula>#REF!="L"</formula>
    </cfRule>
  </conditionalFormatting>
  <conditionalFormatting sqref="H43">
    <cfRule type="expression" dxfId="8146" priority="5347">
      <formula>#REF!="TO"</formula>
    </cfRule>
    <cfRule type="expression" dxfId="8145" priority="5348">
      <formula>#REF!="IO"</formula>
    </cfRule>
    <cfRule type="expression" dxfId="8144" priority="5349">
      <formula>#REF!="L"</formula>
    </cfRule>
  </conditionalFormatting>
  <conditionalFormatting sqref="H44">
    <cfRule type="expression" dxfId="8143" priority="5344">
      <formula>#REF!="TO"</formula>
    </cfRule>
    <cfRule type="expression" dxfId="8142" priority="5345">
      <formula>#REF!="IO"</formula>
    </cfRule>
    <cfRule type="expression" dxfId="8141" priority="5346">
      <formula>#REF!="L"</formula>
    </cfRule>
  </conditionalFormatting>
  <conditionalFormatting sqref="H46">
    <cfRule type="expression" dxfId="8140" priority="5338">
      <formula>#REF!="TO"</formula>
    </cfRule>
    <cfRule type="expression" dxfId="8139" priority="5339">
      <formula>#REF!="IO"</formula>
    </cfRule>
    <cfRule type="expression" dxfId="8138" priority="5340">
      <formula>#REF!="L"</formula>
    </cfRule>
  </conditionalFormatting>
  <conditionalFormatting sqref="H47">
    <cfRule type="expression" dxfId="8137" priority="5335">
      <formula>#REF!="TO"</formula>
    </cfRule>
    <cfRule type="expression" dxfId="8136" priority="5336">
      <formula>#REF!="IO"</formula>
    </cfRule>
    <cfRule type="expression" dxfId="8135" priority="5337">
      <formula>#REF!="L"</formula>
    </cfRule>
  </conditionalFormatting>
  <conditionalFormatting sqref="H48">
    <cfRule type="expression" dxfId="8134" priority="5332">
      <formula>#REF!="TO"</formula>
    </cfRule>
    <cfRule type="expression" dxfId="8133" priority="5333">
      <formula>#REF!="IO"</formula>
    </cfRule>
    <cfRule type="expression" dxfId="8132" priority="5334">
      <formula>#REF!="L"</formula>
    </cfRule>
  </conditionalFormatting>
  <conditionalFormatting sqref="H49">
    <cfRule type="expression" dxfId="8131" priority="5329">
      <formula>#REF!="TO"</formula>
    </cfRule>
    <cfRule type="expression" dxfId="8130" priority="5330">
      <formula>#REF!="IO"</formula>
    </cfRule>
    <cfRule type="expression" dxfId="8129" priority="5331">
      <formula>#REF!="L"</formula>
    </cfRule>
  </conditionalFormatting>
  <conditionalFormatting sqref="H50">
    <cfRule type="expression" dxfId="8128" priority="5326">
      <formula>#REF!="TO"</formula>
    </cfRule>
    <cfRule type="expression" dxfId="8127" priority="5327">
      <formula>#REF!="IO"</formula>
    </cfRule>
    <cfRule type="expression" dxfId="8126" priority="5328">
      <formula>#REF!="L"</formula>
    </cfRule>
  </conditionalFormatting>
  <conditionalFormatting sqref="H51:H86">
    <cfRule type="expression" dxfId="8125" priority="5323">
      <formula>#REF!="TO"</formula>
    </cfRule>
    <cfRule type="expression" dxfId="8124" priority="5324">
      <formula>#REF!="IO"</formula>
    </cfRule>
    <cfRule type="expression" dxfId="8123" priority="5325">
      <formula>#REF!="L"</formula>
    </cfRule>
  </conditionalFormatting>
  <conditionalFormatting sqref="T16">
    <cfRule type="expression" dxfId="8122" priority="5092">
      <formula>#REF!="TO"</formula>
    </cfRule>
    <cfRule type="expression" dxfId="8121" priority="5093">
      <formula>#REF!="IO"</formula>
    </cfRule>
    <cfRule type="expression" dxfId="8120" priority="5094">
      <formula>#REF!="L"</formula>
    </cfRule>
  </conditionalFormatting>
  <conditionalFormatting sqref="H28:H29">
    <cfRule type="expression" dxfId="8119" priority="5317">
      <formula>#REF!="TO"</formula>
    </cfRule>
    <cfRule type="expression" dxfId="8118" priority="5318">
      <formula>#REF!="IO"</formula>
    </cfRule>
    <cfRule type="expression" dxfId="8117" priority="5319">
      <formula>#REF!="L"</formula>
    </cfRule>
    <cfRule type="expression" dxfId="8116" priority="5314">
      <formula>#REF!="TO"</formula>
    </cfRule>
    <cfRule type="expression" dxfId="8115" priority="5315">
      <formula>#REF!="IO"</formula>
    </cfRule>
    <cfRule type="expression" dxfId="8114" priority="5316">
      <formula>#REF!="L"</formula>
    </cfRule>
  </conditionalFormatting>
  <conditionalFormatting sqref="I2 I4:I22 G2:G22">
    <cfRule type="expression" dxfId="8113" priority="5464">
      <formula>XEB2="TO"</formula>
    </cfRule>
    <cfRule type="expression" dxfId="8112" priority="5465">
      <formula>XEB2="IO"</formula>
    </cfRule>
    <cfRule type="expression" dxfId="8111" priority="5466">
      <formula>XEB2="L"</formula>
    </cfRule>
  </conditionalFormatting>
  <conditionalFormatting sqref="D5">
    <cfRule type="expression" dxfId="8110" priority="5299">
      <formula>#REF!="TO"</formula>
    </cfRule>
    <cfRule type="expression" dxfId="8109" priority="5300">
      <formula>#REF!="IO"</formula>
    </cfRule>
    <cfRule type="expression" dxfId="8108" priority="5301">
      <formula>#REF!="L"</formula>
    </cfRule>
  </conditionalFormatting>
  <conditionalFormatting sqref="D6">
    <cfRule type="expression" dxfId="8107" priority="5296">
      <formula>#REF!="TO"</formula>
    </cfRule>
    <cfRule type="expression" dxfId="8106" priority="5297">
      <formula>#REF!="IO"</formula>
    </cfRule>
    <cfRule type="expression" dxfId="8105" priority="5298">
      <formula>#REF!="L"</formula>
    </cfRule>
  </conditionalFormatting>
  <conditionalFormatting sqref="D7">
    <cfRule type="expression" dxfId="8104" priority="5293">
      <formula>#REF!="TO"</formula>
    </cfRule>
    <cfRule type="expression" dxfId="8103" priority="5294">
      <formula>#REF!="IO"</formula>
    </cfRule>
    <cfRule type="expression" dxfId="8102" priority="5295">
      <formula>#REF!="L"</formula>
    </cfRule>
  </conditionalFormatting>
  <conditionalFormatting sqref="D8">
    <cfRule type="expression" dxfId="8101" priority="5290">
      <formula>#REF!="TO"</formula>
    </cfRule>
    <cfRule type="expression" dxfId="8100" priority="5291">
      <formula>#REF!="IO"</formula>
    </cfRule>
    <cfRule type="expression" dxfId="8099" priority="5292">
      <formula>#REF!="L"</formula>
    </cfRule>
  </conditionalFormatting>
  <conditionalFormatting sqref="D9:D12">
    <cfRule type="expression" dxfId="8098" priority="5287">
      <formula>#REF!="TO"</formula>
    </cfRule>
    <cfRule type="expression" dxfId="8097" priority="5288">
      <formula>#REF!="IO"</formula>
    </cfRule>
    <cfRule type="expression" dxfId="8096" priority="5289">
      <formula>#REF!="L"</formula>
    </cfRule>
  </conditionalFormatting>
  <conditionalFormatting sqref="D14">
    <cfRule type="expression" dxfId="8095" priority="5281">
      <formula>#REF!="TO"</formula>
    </cfRule>
    <cfRule type="expression" dxfId="8094" priority="5282">
      <formula>#REF!="IO"</formula>
    </cfRule>
    <cfRule type="expression" dxfId="8093" priority="5283">
      <formula>#REF!="L"</formula>
    </cfRule>
  </conditionalFormatting>
  <conditionalFormatting sqref="D13">
    <cfRule type="expression" dxfId="8092" priority="5284">
      <formula>#REF!="TO"</formula>
    </cfRule>
    <cfRule type="expression" dxfId="8091" priority="5285">
      <formula>#REF!="IO"</formula>
    </cfRule>
    <cfRule type="expression" dxfId="8090" priority="5286">
      <formula>#REF!="L"</formula>
    </cfRule>
  </conditionalFormatting>
  <conditionalFormatting sqref="D15">
    <cfRule type="expression" dxfId="8089" priority="5278">
      <formula>#REF!="TO"</formula>
    </cfRule>
    <cfRule type="expression" dxfId="8088" priority="5279">
      <formula>#REF!="IO"</formula>
    </cfRule>
    <cfRule type="expression" dxfId="8087" priority="5280">
      <formula>#REF!="L"</formula>
    </cfRule>
  </conditionalFormatting>
  <conditionalFormatting sqref="D16">
    <cfRule type="expression" dxfId="8086" priority="5275">
      <formula>#REF!="TO"</formula>
    </cfRule>
    <cfRule type="expression" dxfId="8085" priority="5276">
      <formula>#REF!="IO"</formula>
    </cfRule>
    <cfRule type="expression" dxfId="8084" priority="5277">
      <formula>#REF!="L"</formula>
    </cfRule>
  </conditionalFormatting>
  <conditionalFormatting sqref="D20">
    <cfRule type="expression" dxfId="8083" priority="5263">
      <formula>#REF!="TO"</formula>
    </cfRule>
    <cfRule type="expression" dxfId="8082" priority="5264">
      <formula>#REF!="IO"</formula>
    </cfRule>
    <cfRule type="expression" dxfId="8081" priority="5265">
      <formula>#REF!="L"</formula>
    </cfRule>
  </conditionalFormatting>
  <conditionalFormatting sqref="D17">
    <cfRule type="expression" dxfId="8080" priority="5272">
      <formula>#REF!="TO"</formula>
    </cfRule>
    <cfRule type="expression" dxfId="8079" priority="5273">
      <formula>#REF!="IO"</formula>
    </cfRule>
    <cfRule type="expression" dxfId="8078" priority="5274">
      <formula>#REF!="L"</formula>
    </cfRule>
  </conditionalFormatting>
  <conditionalFormatting sqref="D18">
    <cfRule type="expression" dxfId="8077" priority="5269">
      <formula>#REF!="TO"</formula>
    </cfRule>
    <cfRule type="expression" dxfId="8076" priority="5270">
      <formula>#REF!="IO"</formula>
    </cfRule>
    <cfRule type="expression" dxfId="8075" priority="5271">
      <formula>#REF!="L"</formula>
    </cfRule>
  </conditionalFormatting>
  <conditionalFormatting sqref="D19">
    <cfRule type="expression" dxfId="8074" priority="5266">
      <formula>#REF!="TO"</formula>
    </cfRule>
    <cfRule type="expression" dxfId="8073" priority="5267">
      <formula>#REF!="IO"</formula>
    </cfRule>
    <cfRule type="expression" dxfId="8072" priority="5268">
      <formula>#REF!="L"</formula>
    </cfRule>
  </conditionalFormatting>
  <conditionalFormatting sqref="D21">
    <cfRule type="expression" dxfId="8071" priority="5260">
      <formula>#REF!="TO"</formula>
    </cfRule>
    <cfRule type="expression" dxfId="8070" priority="5261">
      <formula>#REF!="IO"</formula>
    </cfRule>
    <cfRule type="expression" dxfId="8069" priority="5262">
      <formula>#REF!="L"</formula>
    </cfRule>
  </conditionalFormatting>
  <conditionalFormatting sqref="D22">
    <cfRule type="expression" dxfId="8068" priority="5257">
      <formula>#REF!="TO"</formula>
    </cfRule>
    <cfRule type="expression" dxfId="8067" priority="5258">
      <formula>#REF!="IO"</formula>
    </cfRule>
    <cfRule type="expression" dxfId="8066" priority="5259">
      <formula>#REF!="L"</formula>
    </cfRule>
  </conditionalFormatting>
  <conditionalFormatting sqref="P17">
    <cfRule type="expression" dxfId="8065" priority="5026">
      <formula>#REF!="TO"</formula>
    </cfRule>
    <cfRule type="expression" dxfId="8064" priority="5027">
      <formula>#REF!="IO"</formula>
    </cfRule>
    <cfRule type="expression" dxfId="8063" priority="5028">
      <formula>#REF!="L"</formula>
    </cfRule>
  </conditionalFormatting>
  <conditionalFormatting sqref="O2 O4:O8">
    <cfRule type="expression" dxfId="8062" priority="5014">
      <formula>#REF!="TO"</formula>
    </cfRule>
    <cfRule type="expression" dxfId="8061" priority="5015">
      <formula>#REF!="IO"</formula>
    </cfRule>
    <cfRule type="expression" dxfId="8060" priority="5016">
      <formula>#REF!="L"</formula>
    </cfRule>
  </conditionalFormatting>
  <conditionalFormatting sqref="R15">
    <cfRule type="expression" dxfId="8059" priority="5038">
      <formula>#REF!="TO"</formula>
    </cfRule>
    <cfRule type="expression" dxfId="8058" priority="5039">
      <formula>#REF!="IO"</formula>
    </cfRule>
    <cfRule type="expression" dxfId="8057" priority="5040">
      <formula>#REF!="L"</formula>
    </cfRule>
  </conditionalFormatting>
  <conditionalFormatting sqref="P2 P4:P8">
    <cfRule type="expression" dxfId="8056" priority="5035">
      <formula>#REF!="TO"</formula>
    </cfRule>
    <cfRule type="expression" dxfId="8055" priority="5036">
      <formula>#REF!="IO"</formula>
    </cfRule>
    <cfRule type="expression" dxfId="8054" priority="5037">
      <formula>#REF!="L"</formula>
    </cfRule>
  </conditionalFormatting>
  <conditionalFormatting sqref="P9:P12">
    <cfRule type="expression" dxfId="8053" priority="5032">
      <formula>#REF!="TO"</formula>
    </cfRule>
    <cfRule type="expression" dxfId="8052" priority="5033">
      <formula>#REF!="IO"</formula>
    </cfRule>
    <cfRule type="expression" dxfId="8051" priority="5034">
      <formula>#REF!="L"</formula>
    </cfRule>
  </conditionalFormatting>
  <conditionalFormatting sqref="P16">
    <cfRule type="expression" dxfId="8050" priority="5029">
      <formula>#REF!="TO"</formula>
    </cfRule>
    <cfRule type="expression" dxfId="8049" priority="5030">
      <formula>#REF!="IO"</formula>
    </cfRule>
    <cfRule type="expression" dxfId="8048" priority="5031">
      <formula>#REF!="L"</formula>
    </cfRule>
  </conditionalFormatting>
  <conditionalFormatting sqref="P13">
    <cfRule type="expression" dxfId="8047" priority="5023">
      <formula>#REF!="TO"</formula>
    </cfRule>
    <cfRule type="expression" dxfId="8046" priority="5024">
      <formula>#REF!="IO"</formula>
    </cfRule>
    <cfRule type="expression" dxfId="8045" priority="5025">
      <formula>#REF!="L"</formula>
    </cfRule>
  </conditionalFormatting>
  <conditionalFormatting sqref="P14">
    <cfRule type="expression" dxfId="8044" priority="5020">
      <formula>#REF!="TO"</formula>
    </cfRule>
    <cfRule type="expression" dxfId="8043" priority="5021">
      <formula>#REF!="IO"</formula>
    </cfRule>
    <cfRule type="expression" dxfId="8042" priority="5022">
      <formula>#REF!="L"</formula>
    </cfRule>
  </conditionalFormatting>
  <conditionalFormatting sqref="P15">
    <cfRule type="expression" dxfId="8041" priority="5017">
      <formula>#REF!="TO"</formula>
    </cfRule>
    <cfRule type="expression" dxfId="8040" priority="5018">
      <formula>#REF!="IO"</formula>
    </cfRule>
    <cfRule type="expression" dxfId="8039" priority="5019">
      <formula>#REF!="L"</formula>
    </cfRule>
  </conditionalFormatting>
  <conditionalFormatting sqref="O9:O12">
    <cfRule type="expression" dxfId="8038" priority="5011">
      <formula>#REF!="TO"</formula>
    </cfRule>
    <cfRule type="expression" dxfId="8037" priority="5012">
      <formula>#REF!="IO"</formula>
    </cfRule>
    <cfRule type="expression" dxfId="8036" priority="5013">
      <formula>#REF!="L"</formula>
    </cfRule>
  </conditionalFormatting>
  <conditionalFormatting sqref="N13">
    <cfRule type="expression" dxfId="8035" priority="4981">
      <formula>#REF!="TO"</formula>
    </cfRule>
    <cfRule type="expression" dxfId="8034" priority="4982">
      <formula>#REF!="IO"</formula>
    </cfRule>
    <cfRule type="expression" dxfId="8033" priority="4983">
      <formula>#REF!="L"</formula>
    </cfRule>
  </conditionalFormatting>
  <conditionalFormatting sqref="N14">
    <cfRule type="expression" dxfId="8032" priority="4978">
      <formula>#REF!="TO"</formula>
    </cfRule>
    <cfRule type="expression" dxfId="8031" priority="4979">
      <formula>#REF!="IO"</formula>
    </cfRule>
    <cfRule type="expression" dxfId="8030" priority="4980">
      <formula>#REF!="L"</formula>
    </cfRule>
  </conditionalFormatting>
  <conditionalFormatting sqref="N15">
    <cfRule type="expression" dxfId="8029" priority="4975">
      <formula>#REF!="TO"</formula>
    </cfRule>
    <cfRule type="expression" dxfId="8028" priority="4976">
      <formula>#REF!="IO"</formula>
    </cfRule>
    <cfRule type="expression" dxfId="8027" priority="4977">
      <formula>#REF!="L"</formula>
    </cfRule>
  </conditionalFormatting>
  <conditionalFormatting sqref="M2 M4:M8">
    <cfRule type="expression" dxfId="8026" priority="4972">
      <formula>#REF!="TO"</formula>
    </cfRule>
    <cfRule type="expression" dxfId="8025" priority="4973">
      <formula>#REF!="IO"</formula>
    </cfRule>
    <cfRule type="expression" dxfId="8024" priority="4974">
      <formula>#REF!="L"</formula>
    </cfRule>
  </conditionalFormatting>
  <conditionalFormatting sqref="M9:M12">
    <cfRule type="expression" dxfId="8023" priority="4969">
      <formula>#REF!="TO"</formula>
    </cfRule>
    <cfRule type="expression" dxfId="8022" priority="4970">
      <formula>#REF!="IO"</formula>
    </cfRule>
    <cfRule type="expression" dxfId="8021" priority="4971">
      <formula>#REF!="L"</formula>
    </cfRule>
  </conditionalFormatting>
  <conditionalFormatting sqref="M16">
    <cfRule type="expression" dxfId="8020" priority="4966">
      <formula>#REF!="TO"</formula>
    </cfRule>
    <cfRule type="expression" dxfId="8019" priority="4967">
      <formula>#REF!="IO"</formula>
    </cfRule>
    <cfRule type="expression" dxfId="8018" priority="4968">
      <formula>#REF!="L"</formula>
    </cfRule>
  </conditionalFormatting>
  <conditionalFormatting sqref="M17">
    <cfRule type="expression" dxfId="8017" priority="4963">
      <formula>#REF!="TO"</formula>
    </cfRule>
    <cfRule type="expression" dxfId="8016" priority="4964">
      <formula>#REF!="IO"</formula>
    </cfRule>
    <cfRule type="expression" dxfId="8015" priority="4965">
      <formula>#REF!="L"</formula>
    </cfRule>
  </conditionalFormatting>
  <conditionalFormatting sqref="M13">
    <cfRule type="expression" dxfId="8014" priority="4960">
      <formula>#REF!="TO"</formula>
    </cfRule>
    <cfRule type="expression" dxfId="8013" priority="4961">
      <formula>#REF!="IO"</formula>
    </cfRule>
    <cfRule type="expression" dxfId="8012" priority="4962">
      <formula>#REF!="L"</formula>
    </cfRule>
  </conditionalFormatting>
  <conditionalFormatting sqref="M14">
    <cfRule type="expression" dxfId="8011" priority="4957">
      <formula>#REF!="TO"</formula>
    </cfRule>
    <cfRule type="expression" dxfId="8010" priority="4958">
      <formula>#REF!="IO"</formula>
    </cfRule>
    <cfRule type="expression" dxfId="8009" priority="4959">
      <formula>#REF!="L"</formula>
    </cfRule>
  </conditionalFormatting>
  <conditionalFormatting sqref="M15">
    <cfRule type="expression" dxfId="8008" priority="4954">
      <formula>#REF!="TO"</formula>
    </cfRule>
    <cfRule type="expression" dxfId="8007" priority="4955">
      <formula>#REF!="IO"</formula>
    </cfRule>
    <cfRule type="expression" dxfId="8006" priority="4956">
      <formula>#REF!="L"</formula>
    </cfRule>
  </conditionalFormatting>
  <conditionalFormatting sqref="Z2 Z4">
    <cfRule type="expression" dxfId="8005" priority="4951">
      <formula>#REF!="TO"</formula>
    </cfRule>
    <cfRule type="expression" dxfId="8004" priority="4952">
      <formula>#REF!="IO"</formula>
    </cfRule>
    <cfRule type="expression" dxfId="8003" priority="4953">
      <formula>#REF!="L"</formula>
    </cfRule>
  </conditionalFormatting>
  <conditionalFormatting sqref="Z38:Z41 Z23:Z29">
    <cfRule type="expression" dxfId="8002" priority="4948">
      <formula>#REF!="TO"</formula>
    </cfRule>
    <cfRule type="expression" dxfId="8001" priority="4949">
      <formula>#REF!="IO"</formula>
    </cfRule>
    <cfRule type="expression" dxfId="8000" priority="4950">
      <formula>#REF!="L"</formula>
    </cfRule>
  </conditionalFormatting>
  <conditionalFormatting sqref="Z5">
    <cfRule type="expression" dxfId="7999" priority="4945">
      <formula>#REF!="TO"</formula>
    </cfRule>
    <cfRule type="expression" dxfId="7998" priority="4946">
      <formula>#REF!="IO"</formula>
    </cfRule>
    <cfRule type="expression" dxfId="7997" priority="4947">
      <formula>#REF!="L"</formula>
    </cfRule>
  </conditionalFormatting>
  <conditionalFormatting sqref="Z6">
    <cfRule type="expression" dxfId="7996" priority="4942">
      <formula>#REF!="TO"</formula>
    </cfRule>
    <cfRule type="expression" dxfId="7995" priority="4943">
      <formula>#REF!="IO"</formula>
    </cfRule>
    <cfRule type="expression" dxfId="7994" priority="4944">
      <formula>#REF!="L"</formula>
    </cfRule>
  </conditionalFormatting>
  <conditionalFormatting sqref="Z7">
    <cfRule type="expression" dxfId="7993" priority="4939">
      <formula>#REF!="TO"</formula>
    </cfRule>
    <cfRule type="expression" dxfId="7992" priority="4940">
      <formula>#REF!="IO"</formula>
    </cfRule>
    <cfRule type="expression" dxfId="7991" priority="4941">
      <formula>#REF!="L"</formula>
    </cfRule>
  </conditionalFormatting>
  <conditionalFormatting sqref="Z8">
    <cfRule type="expression" dxfId="7990" priority="4936">
      <formula>#REF!="TO"</formula>
    </cfRule>
    <cfRule type="expression" dxfId="7989" priority="4937">
      <formula>#REF!="IO"</formula>
    </cfRule>
    <cfRule type="expression" dxfId="7988" priority="4938">
      <formula>#REF!="L"</formula>
    </cfRule>
  </conditionalFormatting>
  <conditionalFormatting sqref="Z9:Z12">
    <cfRule type="expression" dxfId="7987" priority="4933">
      <formula>#REF!="TO"</formula>
    </cfRule>
    <cfRule type="expression" dxfId="7986" priority="4934">
      <formula>#REF!="IO"</formula>
    </cfRule>
    <cfRule type="expression" dxfId="7985" priority="4935">
      <formula>#REF!="L"</formula>
    </cfRule>
  </conditionalFormatting>
  <conditionalFormatting sqref="Z13">
    <cfRule type="expression" dxfId="7984" priority="4930">
      <formula>#REF!="TO"</formula>
    </cfRule>
    <cfRule type="expression" dxfId="7983" priority="4931">
      <formula>#REF!="IO"</formula>
    </cfRule>
    <cfRule type="expression" dxfId="7982" priority="4932">
      <formula>#REF!="L"</formula>
    </cfRule>
  </conditionalFormatting>
  <conditionalFormatting sqref="Z16">
    <cfRule type="expression" dxfId="7981" priority="4921">
      <formula>#REF!="TO"</formula>
    </cfRule>
    <cfRule type="expression" dxfId="7980" priority="4922">
      <formula>#REF!="IO"</formula>
    </cfRule>
    <cfRule type="expression" dxfId="7979" priority="4923">
      <formula>#REF!="L"</formula>
    </cfRule>
  </conditionalFormatting>
  <conditionalFormatting sqref="Z17">
    <cfRule type="expression" dxfId="7978" priority="4918">
      <formula>#REF!="TO"</formula>
    </cfRule>
    <cfRule type="expression" dxfId="7977" priority="4919">
      <formula>#REF!="IO"</formula>
    </cfRule>
    <cfRule type="expression" dxfId="7976" priority="4920">
      <formula>#REF!="L"</formula>
    </cfRule>
  </conditionalFormatting>
  <conditionalFormatting sqref="Z18">
    <cfRule type="expression" dxfId="7975" priority="4915">
      <formula>#REF!="TO"</formula>
    </cfRule>
    <cfRule type="expression" dxfId="7974" priority="4916">
      <formula>#REF!="IO"</formula>
    </cfRule>
    <cfRule type="expression" dxfId="7973" priority="4917">
      <formula>#REF!="L"</formula>
    </cfRule>
  </conditionalFormatting>
  <conditionalFormatting sqref="Z19">
    <cfRule type="expression" dxfId="7972" priority="4912">
      <formula>#REF!="TO"</formula>
    </cfRule>
    <cfRule type="expression" dxfId="7971" priority="4913">
      <formula>#REF!="IO"</formula>
    </cfRule>
    <cfRule type="expression" dxfId="7970" priority="4914">
      <formula>#REF!="L"</formula>
    </cfRule>
  </conditionalFormatting>
  <conditionalFormatting sqref="Z20">
    <cfRule type="expression" dxfId="7969" priority="4909">
      <formula>#REF!="TO"</formula>
    </cfRule>
    <cfRule type="expression" dxfId="7968" priority="4910">
      <formula>#REF!="IO"</formula>
    </cfRule>
    <cfRule type="expression" dxfId="7967" priority="4911">
      <formula>#REF!="L"</formula>
    </cfRule>
  </conditionalFormatting>
  <conditionalFormatting sqref="Z21">
    <cfRule type="expression" dxfId="7966" priority="4906">
      <formula>#REF!="TO"</formula>
    </cfRule>
    <cfRule type="expression" dxfId="7965" priority="4907">
      <formula>#REF!="IO"</formula>
    </cfRule>
    <cfRule type="expression" dxfId="7964" priority="4908">
      <formula>#REF!="L"</formula>
    </cfRule>
  </conditionalFormatting>
  <conditionalFormatting sqref="Z22:Z29">
    <cfRule type="expression" dxfId="7963" priority="4903">
      <formula>#REF!="TO"</formula>
    </cfRule>
    <cfRule type="expression" dxfId="7962" priority="4904">
      <formula>#REF!="IO"</formula>
    </cfRule>
    <cfRule type="expression" dxfId="7961" priority="4905">
      <formula>#REF!="L"</formula>
    </cfRule>
  </conditionalFormatting>
  <conditionalFormatting sqref="Z42">
    <cfRule type="expression" dxfId="7960" priority="4900">
      <formula>#REF!="TO"</formula>
    </cfRule>
    <cfRule type="expression" dxfId="7959" priority="4901">
      <formula>#REF!="IO"</formula>
    </cfRule>
    <cfRule type="expression" dxfId="7958" priority="4902">
      <formula>#REF!="L"</formula>
    </cfRule>
  </conditionalFormatting>
  <conditionalFormatting sqref="Z43">
    <cfRule type="expression" dxfId="7957" priority="4897">
      <formula>#REF!="TO"</formula>
    </cfRule>
    <cfRule type="expression" dxfId="7956" priority="4898">
      <formula>#REF!="IO"</formula>
    </cfRule>
    <cfRule type="expression" dxfId="7955" priority="4899">
      <formula>#REF!="L"</formula>
    </cfRule>
  </conditionalFormatting>
  <conditionalFormatting sqref="Z44">
    <cfRule type="expression" dxfId="7954" priority="4894">
      <formula>#REF!="TO"</formula>
    </cfRule>
    <cfRule type="expression" dxfId="7953" priority="4895">
      <formula>#REF!="IO"</formula>
    </cfRule>
    <cfRule type="expression" dxfId="7952" priority="4896">
      <formula>#REF!="L"</formula>
    </cfRule>
  </conditionalFormatting>
  <conditionalFormatting sqref="Z45">
    <cfRule type="expression" dxfId="7951" priority="4891">
      <formula>#REF!="TO"</formula>
    </cfRule>
    <cfRule type="expression" dxfId="7950" priority="4892">
      <formula>#REF!="IO"</formula>
    </cfRule>
    <cfRule type="expression" dxfId="7949" priority="4893">
      <formula>#REF!="L"</formula>
    </cfRule>
  </conditionalFormatting>
  <conditionalFormatting sqref="U2 U4:U8">
    <cfRule type="expression" dxfId="7948" priority="5116">
      <formula>#REF!="TO"</formula>
    </cfRule>
    <cfRule type="expression" dxfId="7947" priority="5117">
      <formula>#REF!="IO"</formula>
    </cfRule>
    <cfRule type="expression" dxfId="7946" priority="5118">
      <formula>#REF!="L"</formula>
    </cfRule>
  </conditionalFormatting>
  <conditionalFormatting sqref="U9:U12">
    <cfRule type="expression" dxfId="7945" priority="5113">
      <formula>#REF!="TO"</formula>
    </cfRule>
    <cfRule type="expression" dxfId="7944" priority="5114">
      <formula>#REF!="IO"</formula>
    </cfRule>
    <cfRule type="expression" dxfId="7943" priority="5115">
      <formula>#REF!="L"</formula>
    </cfRule>
  </conditionalFormatting>
  <conditionalFormatting sqref="U16">
    <cfRule type="expression" dxfId="7942" priority="5110">
      <formula>#REF!="TO"</formula>
    </cfRule>
    <cfRule type="expression" dxfId="7941" priority="5111">
      <formula>#REF!="IO"</formula>
    </cfRule>
    <cfRule type="expression" dxfId="7940" priority="5112">
      <formula>#REF!="L"</formula>
    </cfRule>
  </conditionalFormatting>
  <conditionalFormatting sqref="U13">
    <cfRule type="expression" dxfId="7939" priority="5107">
      <formula>#REF!="TO"</formula>
    </cfRule>
    <cfRule type="expression" dxfId="7938" priority="5108">
      <formula>#REF!="IO"</formula>
    </cfRule>
    <cfRule type="expression" dxfId="7937" priority="5109">
      <formula>#REF!="L"</formula>
    </cfRule>
  </conditionalFormatting>
  <conditionalFormatting sqref="U14">
    <cfRule type="expression" dxfId="7936" priority="5104">
      <formula>#REF!="TO"</formula>
    </cfRule>
    <cfRule type="expression" dxfId="7935" priority="5105">
      <formula>#REF!="IO"</formula>
    </cfRule>
    <cfRule type="expression" dxfId="7934" priority="5106">
      <formula>#REF!="L"</formula>
    </cfRule>
  </conditionalFormatting>
  <conditionalFormatting sqref="U15">
    <cfRule type="expression" dxfId="7933" priority="5101">
      <formula>#REF!="TO"</formula>
    </cfRule>
    <cfRule type="expression" dxfId="7932" priority="5102">
      <formula>#REF!="IO"</formula>
    </cfRule>
    <cfRule type="expression" dxfId="7931" priority="5103">
      <formula>#REF!="L"</formula>
    </cfRule>
  </conditionalFormatting>
  <conditionalFormatting sqref="T2 T4:T8">
    <cfRule type="expression" dxfId="7930" priority="5098">
      <formula>#REF!="TO"</formula>
    </cfRule>
    <cfRule type="expression" dxfId="7929" priority="5099">
      <formula>#REF!="IO"</formula>
    </cfRule>
    <cfRule type="expression" dxfId="7928" priority="5100">
      <formula>#REF!="L"</formula>
    </cfRule>
  </conditionalFormatting>
  <conditionalFormatting sqref="T9:T12">
    <cfRule type="expression" dxfId="7927" priority="5095">
      <formula>#REF!="TO"</formula>
    </cfRule>
    <cfRule type="expression" dxfId="7926" priority="5096">
      <formula>#REF!="IO"</formula>
    </cfRule>
    <cfRule type="expression" dxfId="7925" priority="5097">
      <formula>#REF!="L"</formula>
    </cfRule>
  </conditionalFormatting>
  <conditionalFormatting sqref="T17">
    <cfRule type="expression" dxfId="7924" priority="5089">
      <formula>#REF!="TO"</formula>
    </cfRule>
    <cfRule type="expression" dxfId="7923" priority="5090">
      <formula>#REF!="IO"</formula>
    </cfRule>
    <cfRule type="expression" dxfId="7922" priority="5091">
      <formula>#REF!="L"</formula>
    </cfRule>
  </conditionalFormatting>
  <conditionalFormatting sqref="T13">
    <cfRule type="expression" dxfId="7921" priority="5086">
      <formula>#REF!="TO"</formula>
    </cfRule>
    <cfRule type="expression" dxfId="7920" priority="5087">
      <formula>#REF!="IO"</formula>
    </cfRule>
    <cfRule type="expression" dxfId="7919" priority="5088">
      <formula>#REF!="L"</formula>
    </cfRule>
  </conditionalFormatting>
  <conditionalFormatting sqref="T14">
    <cfRule type="expression" dxfId="7918" priority="5083">
      <formula>#REF!="TO"</formula>
    </cfRule>
    <cfRule type="expression" dxfId="7917" priority="5084">
      <formula>#REF!="IO"</formula>
    </cfRule>
    <cfRule type="expression" dxfId="7916" priority="5085">
      <formula>#REF!="L"</formula>
    </cfRule>
  </conditionalFormatting>
  <conditionalFormatting sqref="T15">
    <cfRule type="expression" dxfId="7915" priority="5080">
      <formula>#REF!="TO"</formula>
    </cfRule>
    <cfRule type="expression" dxfId="7914" priority="5081">
      <formula>#REF!="IO"</formula>
    </cfRule>
    <cfRule type="expression" dxfId="7913" priority="5082">
      <formula>#REF!="L"</formula>
    </cfRule>
  </conditionalFormatting>
  <conditionalFormatting sqref="S2 S4:S8">
    <cfRule type="expression" dxfId="7912" priority="5077">
      <formula>#REF!="TO"</formula>
    </cfRule>
    <cfRule type="expression" dxfId="7911" priority="5078">
      <formula>#REF!="IO"</formula>
    </cfRule>
    <cfRule type="expression" dxfId="7910" priority="5079">
      <formula>#REF!="L"</formula>
    </cfRule>
  </conditionalFormatting>
  <conditionalFormatting sqref="S9:S12">
    <cfRule type="expression" dxfId="7909" priority="5074">
      <formula>#REF!="TO"</formula>
    </cfRule>
    <cfRule type="expression" dxfId="7908" priority="5075">
      <formula>#REF!="IO"</formula>
    </cfRule>
    <cfRule type="expression" dxfId="7907" priority="5076">
      <formula>#REF!="L"</formula>
    </cfRule>
  </conditionalFormatting>
  <conditionalFormatting sqref="S16">
    <cfRule type="expression" dxfId="7906" priority="5071">
      <formula>#REF!="TO"</formula>
    </cfRule>
    <cfRule type="expression" dxfId="7905" priority="5072">
      <formula>#REF!="IO"</formula>
    </cfRule>
    <cfRule type="expression" dxfId="7904" priority="5073">
      <formula>#REF!="L"</formula>
    </cfRule>
  </conditionalFormatting>
  <conditionalFormatting sqref="S17">
    <cfRule type="expression" dxfId="7903" priority="5068">
      <formula>#REF!="TO"</formula>
    </cfRule>
    <cfRule type="expression" dxfId="7902" priority="5069">
      <formula>#REF!="IO"</formula>
    </cfRule>
    <cfRule type="expression" dxfId="7901" priority="5070">
      <formula>#REF!="L"</formula>
    </cfRule>
  </conditionalFormatting>
  <conditionalFormatting sqref="S13">
    <cfRule type="expression" dxfId="7900" priority="5065">
      <formula>#REF!="TO"</formula>
    </cfRule>
    <cfRule type="expression" dxfId="7899" priority="5066">
      <formula>#REF!="IO"</formula>
    </cfRule>
    <cfRule type="expression" dxfId="7898" priority="5067">
      <formula>#REF!="L"</formula>
    </cfRule>
  </conditionalFormatting>
  <conditionalFormatting sqref="S14">
    <cfRule type="expression" dxfId="7897" priority="5062">
      <formula>#REF!="TO"</formula>
    </cfRule>
    <cfRule type="expression" dxfId="7896" priority="5063">
      <formula>#REF!="IO"</formula>
    </cfRule>
    <cfRule type="expression" dxfId="7895" priority="5064">
      <formula>#REF!="L"</formula>
    </cfRule>
  </conditionalFormatting>
  <conditionalFormatting sqref="S15">
    <cfRule type="expression" dxfId="7894" priority="5059">
      <formula>#REF!="TO"</formula>
    </cfRule>
    <cfRule type="expression" dxfId="7893" priority="5060">
      <formula>#REF!="IO"</formula>
    </cfRule>
    <cfRule type="expression" dxfId="7892" priority="5061">
      <formula>#REF!="L"</formula>
    </cfRule>
  </conditionalFormatting>
  <conditionalFormatting sqref="R2 R4:R8">
    <cfRule type="expression" dxfId="7891" priority="5056">
      <formula>#REF!="TO"</formula>
    </cfRule>
    <cfRule type="expression" dxfId="7890" priority="5057">
      <formula>#REF!="IO"</formula>
    </cfRule>
    <cfRule type="expression" dxfId="7889" priority="5058">
      <formula>#REF!="L"</formula>
    </cfRule>
  </conditionalFormatting>
  <conditionalFormatting sqref="R9:R12">
    <cfRule type="expression" dxfId="7888" priority="5053">
      <formula>#REF!="TO"</formula>
    </cfRule>
    <cfRule type="expression" dxfId="7887" priority="5054">
      <formula>#REF!="IO"</formula>
    </cfRule>
    <cfRule type="expression" dxfId="7886" priority="5055">
      <formula>#REF!="L"</formula>
    </cfRule>
  </conditionalFormatting>
  <conditionalFormatting sqref="R16">
    <cfRule type="expression" dxfId="7885" priority="5050">
      <formula>#REF!="TO"</formula>
    </cfRule>
    <cfRule type="expression" dxfId="7884" priority="5051">
      <formula>#REF!="IO"</formula>
    </cfRule>
    <cfRule type="expression" dxfId="7883" priority="5052">
      <formula>#REF!="L"</formula>
    </cfRule>
  </conditionalFormatting>
  <conditionalFormatting sqref="R17">
    <cfRule type="expression" dxfId="7882" priority="5047">
      <formula>#REF!="TO"</formula>
    </cfRule>
    <cfRule type="expression" dxfId="7881" priority="5048">
      <formula>#REF!="IO"</formula>
    </cfRule>
    <cfRule type="expression" dxfId="7880" priority="5049">
      <formula>#REF!="L"</formula>
    </cfRule>
  </conditionalFormatting>
  <conditionalFormatting sqref="R13">
    <cfRule type="expression" dxfId="7879" priority="5044">
      <formula>#REF!="TO"</formula>
    </cfRule>
    <cfRule type="expression" dxfId="7878" priority="5045">
      <formula>#REF!="IO"</formula>
    </cfRule>
    <cfRule type="expression" dxfId="7877" priority="5046">
      <formula>#REF!="L"</formula>
    </cfRule>
  </conditionalFormatting>
  <conditionalFormatting sqref="R14">
    <cfRule type="expression" dxfId="7876" priority="5041">
      <formula>#REF!="TO"</formula>
    </cfRule>
    <cfRule type="expression" dxfId="7875" priority="5042">
      <formula>#REF!="IO"</formula>
    </cfRule>
    <cfRule type="expression" dxfId="7874" priority="5043">
      <formula>#REF!="L"</formula>
    </cfRule>
  </conditionalFormatting>
  <conditionalFormatting sqref="O16">
    <cfRule type="expression" dxfId="7873" priority="5008">
      <formula>#REF!="TO"</formula>
    </cfRule>
    <cfRule type="expression" dxfId="7872" priority="5009">
      <formula>#REF!="IO"</formula>
    </cfRule>
    <cfRule type="expression" dxfId="7871" priority="5010">
      <formula>#REF!="L"</formula>
    </cfRule>
  </conditionalFormatting>
  <conditionalFormatting sqref="O17">
    <cfRule type="expression" dxfId="7870" priority="5005">
      <formula>#REF!="TO"</formula>
    </cfRule>
    <cfRule type="expression" dxfId="7869" priority="5006">
      <formula>#REF!="IO"</formula>
    </cfRule>
    <cfRule type="expression" dxfId="7868" priority="5007">
      <formula>#REF!="L"</formula>
    </cfRule>
  </conditionalFormatting>
  <conditionalFormatting sqref="O13">
    <cfRule type="expression" dxfId="7867" priority="5002">
      <formula>#REF!="TO"</formula>
    </cfRule>
    <cfRule type="expression" dxfId="7866" priority="5003">
      <formula>#REF!="IO"</formula>
    </cfRule>
    <cfRule type="expression" dxfId="7865" priority="5004">
      <formula>#REF!="L"</formula>
    </cfRule>
  </conditionalFormatting>
  <conditionalFormatting sqref="O14">
    <cfRule type="expression" dxfId="7864" priority="4999">
      <formula>#REF!="TO"</formula>
    </cfRule>
    <cfRule type="expression" dxfId="7863" priority="5000">
      <formula>#REF!="IO"</formula>
    </cfRule>
    <cfRule type="expression" dxfId="7862" priority="5001">
      <formula>#REF!="L"</formula>
    </cfRule>
  </conditionalFormatting>
  <conditionalFormatting sqref="O15">
    <cfRule type="expression" dxfId="7861" priority="4996">
      <formula>#REF!="TO"</formula>
    </cfRule>
    <cfRule type="expression" dxfId="7860" priority="4997">
      <formula>#REF!="IO"</formula>
    </cfRule>
    <cfRule type="expression" dxfId="7859" priority="4998">
      <formula>#REF!="L"</formula>
    </cfRule>
  </conditionalFormatting>
  <conditionalFormatting sqref="N2 N4:N8">
    <cfRule type="expression" dxfId="7858" priority="4993">
      <formula>#REF!="TO"</formula>
    </cfRule>
    <cfRule type="expression" dxfId="7857" priority="4994">
      <formula>#REF!="IO"</formula>
    </cfRule>
    <cfRule type="expression" dxfId="7856" priority="4995">
      <formula>#REF!="L"</formula>
    </cfRule>
  </conditionalFormatting>
  <conditionalFormatting sqref="N9:N12">
    <cfRule type="expression" dxfId="7855" priority="4990">
      <formula>#REF!="TO"</formula>
    </cfRule>
    <cfRule type="expression" dxfId="7854" priority="4991">
      <formula>#REF!="IO"</formula>
    </cfRule>
    <cfRule type="expression" dxfId="7853" priority="4992">
      <formula>#REF!="L"</formula>
    </cfRule>
  </conditionalFormatting>
  <conditionalFormatting sqref="N16">
    <cfRule type="expression" dxfId="7852" priority="4987">
      <formula>#REF!="TO"</formula>
    </cfRule>
    <cfRule type="expression" dxfId="7851" priority="4988">
      <formula>#REF!="IO"</formula>
    </cfRule>
    <cfRule type="expression" dxfId="7850" priority="4989">
      <formula>#REF!="L"</formula>
    </cfRule>
  </conditionalFormatting>
  <conditionalFormatting sqref="N17">
    <cfRule type="expression" dxfId="7849" priority="4984">
      <formula>#REF!="TO"</formula>
    </cfRule>
    <cfRule type="expression" dxfId="7848" priority="4985">
      <formula>#REF!="IO"</formula>
    </cfRule>
    <cfRule type="expression" dxfId="7847" priority="4986">
      <formula>#REF!="L"</formula>
    </cfRule>
  </conditionalFormatting>
  <conditionalFormatting sqref="Z14">
    <cfRule type="expression" dxfId="7846" priority="4927">
      <formula>#REF!="TO"</formula>
    </cfRule>
    <cfRule type="expression" dxfId="7845" priority="4928">
      <formula>#REF!="IO"</formula>
    </cfRule>
    <cfRule type="expression" dxfId="7844" priority="4929">
      <formula>#REF!="L"</formula>
    </cfRule>
  </conditionalFormatting>
  <conditionalFormatting sqref="Z15">
    <cfRule type="expression" dxfId="7843" priority="4924">
      <formula>#REF!="TO"</formula>
    </cfRule>
    <cfRule type="expression" dxfId="7842" priority="4925">
      <formula>#REF!="IO"</formula>
    </cfRule>
    <cfRule type="expression" dxfId="7841" priority="4926">
      <formula>#REF!="L"</formula>
    </cfRule>
  </conditionalFormatting>
  <conditionalFormatting sqref="Z46">
    <cfRule type="expression" dxfId="7840" priority="4888">
      <formula>#REF!="TO"</formula>
    </cfRule>
    <cfRule type="expression" dxfId="7839" priority="4889">
      <formula>#REF!="IO"</formula>
    </cfRule>
    <cfRule type="expression" dxfId="7838" priority="4890">
      <formula>#REF!="L"</formula>
    </cfRule>
  </conditionalFormatting>
  <conditionalFormatting sqref="Z47">
    <cfRule type="expression" dxfId="7837" priority="4885">
      <formula>#REF!="TO"</formula>
    </cfRule>
    <cfRule type="expression" dxfId="7836" priority="4886">
      <formula>#REF!="IO"</formula>
    </cfRule>
    <cfRule type="expression" dxfId="7835" priority="4887">
      <formula>#REF!="L"</formula>
    </cfRule>
  </conditionalFormatting>
  <conditionalFormatting sqref="Z48">
    <cfRule type="expression" dxfId="7834" priority="4882">
      <formula>#REF!="TO"</formula>
    </cfRule>
    <cfRule type="expression" dxfId="7833" priority="4883">
      <formula>#REF!="IO"</formula>
    </cfRule>
    <cfRule type="expression" dxfId="7832" priority="4884">
      <formula>#REF!="L"</formula>
    </cfRule>
  </conditionalFormatting>
  <conditionalFormatting sqref="Z49">
    <cfRule type="expression" dxfId="7831" priority="4879">
      <formula>#REF!="TO"</formula>
    </cfRule>
    <cfRule type="expression" dxfId="7830" priority="4880">
      <formula>#REF!="IO"</formula>
    </cfRule>
    <cfRule type="expression" dxfId="7829" priority="4881">
      <formula>#REF!="L"</formula>
    </cfRule>
  </conditionalFormatting>
  <conditionalFormatting sqref="Z50">
    <cfRule type="expression" dxfId="7828" priority="4876">
      <formula>#REF!="TO"</formula>
    </cfRule>
    <cfRule type="expression" dxfId="7827" priority="4877">
      <formula>#REF!="IO"</formula>
    </cfRule>
    <cfRule type="expression" dxfId="7826" priority="4878">
      <formula>#REF!="L"</formula>
    </cfRule>
  </conditionalFormatting>
  <conditionalFormatting sqref="Z51:Z86">
    <cfRule type="expression" dxfId="7825" priority="4873">
      <formula>#REF!="TO"</formula>
    </cfRule>
    <cfRule type="expression" dxfId="7824" priority="4874">
      <formula>#REF!="IO"</formula>
    </cfRule>
    <cfRule type="expression" dxfId="7823" priority="4875">
      <formula>#REF!="L"</formula>
    </cfRule>
  </conditionalFormatting>
  <conditionalFormatting sqref="AE17">
    <cfRule type="expression" dxfId="7822" priority="4642">
      <formula>#REF!="TO"</formula>
    </cfRule>
    <cfRule type="expression" dxfId="7821" priority="4643">
      <formula>#REF!="IO"</formula>
    </cfRule>
    <cfRule type="expression" dxfId="7820" priority="4644">
      <formula>#REF!="L"</formula>
    </cfRule>
    <cfRule type="expression" dxfId="7819" priority="4639">
      <formula>#REF!="TO"</formula>
    </cfRule>
    <cfRule type="expression" dxfId="7818" priority="4640">
      <formula>#REF!="IO"</formula>
    </cfRule>
    <cfRule type="expression" dxfId="7817" priority="4641">
      <formula>#REF!="L"</formula>
    </cfRule>
  </conditionalFormatting>
  <conditionalFormatting sqref="Z28:Z29">
    <cfRule type="expression" dxfId="7816" priority="4867">
      <formula>#REF!="TO"</formula>
    </cfRule>
    <cfRule type="expression" dxfId="7815" priority="4868">
      <formula>#REF!="IO"</formula>
    </cfRule>
    <cfRule type="expression" dxfId="7814" priority="4869">
      <formula>#REF!="L"</formula>
    </cfRule>
    <cfRule type="expression" dxfId="7813" priority="4864">
      <formula>#REF!="TO"</formula>
    </cfRule>
    <cfRule type="expression" dxfId="7812" priority="4865">
      <formula>#REF!="IO"</formula>
    </cfRule>
    <cfRule type="expression" dxfId="7811" priority="4866">
      <formula>#REF!="L"</formula>
    </cfRule>
  </conditionalFormatting>
  <conditionalFormatting sqref="O22">
    <cfRule type="expression" dxfId="7810" priority="4861">
      <formula>#REF!="TO"</formula>
    </cfRule>
    <cfRule type="expression" dxfId="7809" priority="4862">
      <formula>#REF!="IO"</formula>
    </cfRule>
    <cfRule type="expression" dxfId="7808" priority="4863">
      <formula>#REF!="L"</formula>
    </cfRule>
  </conditionalFormatting>
  <conditionalFormatting sqref="N22">
    <cfRule type="expression" dxfId="7807" priority="4858">
      <formula>#REF!="TO"</formula>
    </cfRule>
    <cfRule type="expression" dxfId="7806" priority="4859">
      <formula>#REF!="IO"</formula>
    </cfRule>
    <cfRule type="expression" dxfId="7805" priority="4860">
      <formula>#REF!="L"</formula>
    </cfRule>
  </conditionalFormatting>
  <conditionalFormatting sqref="M22">
    <cfRule type="expression" dxfId="7804" priority="4855">
      <formula>#REF!="TO"</formula>
    </cfRule>
    <cfRule type="expression" dxfId="7803" priority="4856">
      <formula>#REF!="IO"</formula>
    </cfRule>
    <cfRule type="expression" dxfId="7802" priority="4857">
      <formula>#REF!="L"</formula>
    </cfRule>
  </conditionalFormatting>
  <conditionalFormatting sqref="S26">
    <cfRule type="expression" dxfId="7801" priority="4852">
      <formula>#REF!="TO"</formula>
    </cfRule>
    <cfRule type="expression" dxfId="7800" priority="4853">
      <formula>#REF!="IO"</formula>
    </cfRule>
    <cfRule type="expression" dxfId="7799" priority="4854">
      <formula>#REF!="L"</formula>
    </cfRule>
  </conditionalFormatting>
  <conditionalFormatting sqref="R26">
    <cfRule type="expression" dxfId="7798" priority="4849">
      <formula>#REF!="TO"</formula>
    </cfRule>
    <cfRule type="expression" dxfId="7797" priority="4850">
      <formula>#REF!="IO"</formula>
    </cfRule>
    <cfRule type="expression" dxfId="7796" priority="4851">
      <formula>#REF!="L"</formula>
    </cfRule>
  </conditionalFormatting>
  <conditionalFormatting sqref="T26">
    <cfRule type="expression" dxfId="7795" priority="4846">
      <formula>#REF!="TO"</formula>
    </cfRule>
    <cfRule type="expression" dxfId="7794" priority="4847">
      <formula>#REF!="IO"</formula>
    </cfRule>
    <cfRule type="expression" dxfId="7793" priority="4848">
      <formula>#REF!="L"</formula>
    </cfRule>
  </conditionalFormatting>
  <conditionalFormatting sqref="U26">
    <cfRule type="expression" dxfId="7792" priority="4843">
      <formula>#REF!="TO"</formula>
    </cfRule>
    <cfRule type="expression" dxfId="7791" priority="4844">
      <formula>#REF!="IO"</formula>
    </cfRule>
    <cfRule type="expression" dxfId="7790" priority="4845">
      <formula>#REF!="L"</formula>
    </cfRule>
  </conditionalFormatting>
  <conditionalFormatting sqref="V26">
    <cfRule type="expression" dxfId="7789" priority="4840">
      <formula>#REF!="TO"</formula>
    </cfRule>
    <cfRule type="expression" dxfId="7788" priority="4841">
      <formula>#REF!="IO"</formula>
    </cfRule>
    <cfRule type="expression" dxfId="7787" priority="4842">
      <formula>#REF!="L"</formula>
    </cfRule>
  </conditionalFormatting>
  <conditionalFormatting sqref="W26">
    <cfRule type="expression" dxfId="7786" priority="4837">
      <formula>#REF!="TO"</formula>
    </cfRule>
    <cfRule type="expression" dxfId="7785" priority="4838">
      <formula>#REF!="IO"</formula>
    </cfRule>
    <cfRule type="expression" dxfId="7784" priority="4839">
      <formula>#REF!="L"</formula>
    </cfRule>
  </conditionalFormatting>
  <conditionalFormatting sqref="AC2 AC4">
    <cfRule type="expression" dxfId="7783" priority="4834">
      <formula>#REF!="TO"</formula>
    </cfRule>
    <cfRule type="expression" dxfId="7782" priority="4835">
      <formula>#REF!="IO"</formula>
    </cfRule>
    <cfRule type="expression" dxfId="7781" priority="4836">
      <formula>#REF!="L"</formula>
    </cfRule>
  </conditionalFormatting>
  <conditionalFormatting sqref="AC38:AC41 AC23:AC29">
    <cfRule type="expression" dxfId="7780" priority="4831">
      <formula>#REF!="TO"</formula>
    </cfRule>
    <cfRule type="expression" dxfId="7779" priority="4832">
      <formula>#REF!="IO"</formula>
    </cfRule>
    <cfRule type="expression" dxfId="7778" priority="4833">
      <formula>#REF!="L"</formula>
    </cfRule>
  </conditionalFormatting>
  <conditionalFormatting sqref="AC5">
    <cfRule type="expression" dxfId="7777" priority="4828">
      <formula>#REF!="TO"</formula>
    </cfRule>
    <cfRule type="expression" dxfId="7776" priority="4829">
      <formula>#REF!="IO"</formula>
    </cfRule>
    <cfRule type="expression" dxfId="7775" priority="4830">
      <formula>#REF!="L"</formula>
    </cfRule>
  </conditionalFormatting>
  <conditionalFormatting sqref="AC6">
    <cfRule type="expression" dxfId="7774" priority="4825">
      <formula>#REF!="TO"</formula>
    </cfRule>
    <cfRule type="expression" dxfId="7773" priority="4826">
      <formula>#REF!="IO"</formula>
    </cfRule>
    <cfRule type="expression" dxfId="7772" priority="4827">
      <formula>#REF!="L"</formula>
    </cfRule>
  </conditionalFormatting>
  <conditionalFormatting sqref="AC7">
    <cfRule type="expression" dxfId="7771" priority="4822">
      <formula>#REF!="TO"</formula>
    </cfRule>
    <cfRule type="expression" dxfId="7770" priority="4823">
      <formula>#REF!="IO"</formula>
    </cfRule>
    <cfRule type="expression" dxfId="7769" priority="4824">
      <formula>#REF!="L"</formula>
    </cfRule>
  </conditionalFormatting>
  <conditionalFormatting sqref="AC8">
    <cfRule type="expression" dxfId="7768" priority="4819">
      <formula>#REF!="TO"</formula>
    </cfRule>
    <cfRule type="expression" dxfId="7767" priority="4820">
      <formula>#REF!="IO"</formula>
    </cfRule>
    <cfRule type="expression" dxfId="7766" priority="4821">
      <formula>#REF!="L"</formula>
    </cfRule>
  </conditionalFormatting>
  <conditionalFormatting sqref="AC9:AC12">
    <cfRule type="expression" dxfId="7765" priority="4816">
      <formula>#REF!="TO"</formula>
    </cfRule>
    <cfRule type="expression" dxfId="7764" priority="4817">
      <formula>#REF!="IO"</formula>
    </cfRule>
    <cfRule type="expression" dxfId="7763" priority="4818">
      <formula>#REF!="L"</formula>
    </cfRule>
  </conditionalFormatting>
  <conditionalFormatting sqref="AC13">
    <cfRule type="expression" dxfId="7762" priority="4813">
      <formula>#REF!="TO"</formula>
    </cfRule>
    <cfRule type="expression" dxfId="7761" priority="4814">
      <formula>#REF!="IO"</formula>
    </cfRule>
    <cfRule type="expression" dxfId="7760" priority="4815">
      <formula>#REF!="L"</formula>
    </cfRule>
  </conditionalFormatting>
  <conditionalFormatting sqref="AC14">
    <cfRule type="expression" dxfId="7759" priority="4810">
      <formula>#REF!="TO"</formula>
    </cfRule>
    <cfRule type="expression" dxfId="7758" priority="4811">
      <formula>#REF!="IO"</formula>
    </cfRule>
    <cfRule type="expression" dxfId="7757" priority="4812">
      <formula>#REF!="L"</formula>
    </cfRule>
  </conditionalFormatting>
  <conditionalFormatting sqref="AC15">
    <cfRule type="expression" dxfId="7756" priority="4807">
      <formula>#REF!="TO"</formula>
    </cfRule>
    <cfRule type="expression" dxfId="7755" priority="4808">
      <formula>#REF!="IO"</formula>
    </cfRule>
    <cfRule type="expression" dxfId="7754" priority="4809">
      <formula>#REF!="L"</formula>
    </cfRule>
  </conditionalFormatting>
  <conditionalFormatting sqref="AC16">
    <cfRule type="expression" dxfId="7753" priority="4804">
      <formula>#REF!="TO"</formula>
    </cfRule>
    <cfRule type="expression" dxfId="7752" priority="4805">
      <formula>#REF!="IO"</formula>
    </cfRule>
    <cfRule type="expression" dxfId="7751" priority="4806">
      <formula>#REF!="L"</formula>
    </cfRule>
  </conditionalFormatting>
  <conditionalFormatting sqref="AC17">
    <cfRule type="expression" dxfId="7750" priority="4801">
      <formula>#REF!="TO"</formula>
    </cfRule>
    <cfRule type="expression" dxfId="7749" priority="4802">
      <formula>#REF!="IO"</formula>
    </cfRule>
    <cfRule type="expression" dxfId="7748" priority="4803">
      <formula>#REF!="L"</formula>
    </cfRule>
  </conditionalFormatting>
  <conditionalFormatting sqref="AC18">
    <cfRule type="expression" dxfId="7747" priority="4798">
      <formula>#REF!="TO"</formula>
    </cfRule>
    <cfRule type="expression" dxfId="7746" priority="4799">
      <formula>#REF!="IO"</formula>
    </cfRule>
    <cfRule type="expression" dxfId="7745" priority="4800">
      <formula>#REF!="L"</formula>
    </cfRule>
  </conditionalFormatting>
  <conditionalFormatting sqref="AC19">
    <cfRule type="expression" dxfId="7744" priority="4795">
      <formula>#REF!="TO"</formula>
    </cfRule>
    <cfRule type="expression" dxfId="7743" priority="4796">
      <formula>#REF!="IO"</formula>
    </cfRule>
    <cfRule type="expression" dxfId="7742" priority="4797">
      <formula>#REF!="L"</formula>
    </cfRule>
  </conditionalFormatting>
  <conditionalFormatting sqref="AC20">
    <cfRule type="expression" dxfId="7741" priority="4792">
      <formula>#REF!="TO"</formula>
    </cfRule>
    <cfRule type="expression" dxfId="7740" priority="4793">
      <formula>#REF!="IO"</formula>
    </cfRule>
    <cfRule type="expression" dxfId="7739" priority="4794">
      <formula>#REF!="L"</formula>
    </cfRule>
  </conditionalFormatting>
  <conditionalFormatting sqref="AC21">
    <cfRule type="expression" dxfId="7738" priority="4789">
      <formula>#REF!="TO"</formula>
    </cfRule>
    <cfRule type="expression" dxfId="7737" priority="4790">
      <formula>#REF!="IO"</formula>
    </cfRule>
    <cfRule type="expression" dxfId="7736" priority="4791">
      <formula>#REF!="L"</formula>
    </cfRule>
  </conditionalFormatting>
  <conditionalFormatting sqref="AC22:AC29">
    <cfRule type="expression" dxfId="7735" priority="4786">
      <formula>#REF!="TO"</formula>
    </cfRule>
    <cfRule type="expression" dxfId="7734" priority="4787">
      <formula>#REF!="IO"</formula>
    </cfRule>
    <cfRule type="expression" dxfId="7733" priority="4788">
      <formula>#REF!="L"</formula>
    </cfRule>
  </conditionalFormatting>
  <conditionalFormatting sqref="AC42">
    <cfRule type="expression" dxfId="7732" priority="4783">
      <formula>#REF!="TO"</formula>
    </cfRule>
    <cfRule type="expression" dxfId="7731" priority="4784">
      <formula>#REF!="IO"</formula>
    </cfRule>
    <cfRule type="expression" dxfId="7730" priority="4785">
      <formula>#REF!="L"</formula>
    </cfRule>
  </conditionalFormatting>
  <conditionalFormatting sqref="AC43">
    <cfRule type="expression" dxfId="7729" priority="4780">
      <formula>#REF!="TO"</formula>
    </cfRule>
    <cfRule type="expression" dxfId="7728" priority="4781">
      <formula>#REF!="IO"</formula>
    </cfRule>
    <cfRule type="expression" dxfId="7727" priority="4782">
      <formula>#REF!="L"</formula>
    </cfRule>
  </conditionalFormatting>
  <conditionalFormatting sqref="AC44">
    <cfRule type="expression" dxfId="7726" priority="4777">
      <formula>#REF!="TO"</formula>
    </cfRule>
    <cfRule type="expression" dxfId="7725" priority="4778">
      <formula>#REF!="IO"</formula>
    </cfRule>
    <cfRule type="expression" dxfId="7724" priority="4779">
      <formula>#REF!="L"</formula>
    </cfRule>
  </conditionalFormatting>
  <conditionalFormatting sqref="AC45">
    <cfRule type="expression" dxfId="7723" priority="4774">
      <formula>#REF!="TO"</formula>
    </cfRule>
    <cfRule type="expression" dxfId="7722" priority="4775">
      <formula>#REF!="IO"</formula>
    </cfRule>
    <cfRule type="expression" dxfId="7721" priority="4776">
      <formula>#REF!="L"</formula>
    </cfRule>
  </conditionalFormatting>
  <conditionalFormatting sqref="AC46">
    <cfRule type="expression" dxfId="7720" priority="4771">
      <formula>#REF!="TO"</formula>
    </cfRule>
    <cfRule type="expression" dxfId="7719" priority="4772">
      <formula>#REF!="IO"</formula>
    </cfRule>
    <cfRule type="expression" dxfId="7718" priority="4773">
      <formula>#REF!="L"</formula>
    </cfRule>
  </conditionalFormatting>
  <conditionalFormatting sqref="AC47">
    <cfRule type="expression" dxfId="7717" priority="4768">
      <formula>#REF!="TO"</formula>
    </cfRule>
    <cfRule type="expression" dxfId="7716" priority="4769">
      <formula>#REF!="IO"</formula>
    </cfRule>
    <cfRule type="expression" dxfId="7715" priority="4770">
      <formula>#REF!="L"</formula>
    </cfRule>
  </conditionalFormatting>
  <conditionalFormatting sqref="AC48">
    <cfRule type="expression" dxfId="7714" priority="4765">
      <formula>#REF!="TO"</formula>
    </cfRule>
    <cfRule type="expression" dxfId="7713" priority="4766">
      <formula>#REF!="IO"</formula>
    </cfRule>
    <cfRule type="expression" dxfId="7712" priority="4767">
      <formula>#REF!="L"</formula>
    </cfRule>
  </conditionalFormatting>
  <conditionalFormatting sqref="AC49">
    <cfRule type="expression" dxfId="7711" priority="4762">
      <formula>#REF!="TO"</formula>
    </cfRule>
    <cfRule type="expression" dxfId="7710" priority="4763">
      <formula>#REF!="IO"</formula>
    </cfRule>
    <cfRule type="expression" dxfId="7709" priority="4764">
      <formula>#REF!="L"</formula>
    </cfRule>
  </conditionalFormatting>
  <conditionalFormatting sqref="AC50">
    <cfRule type="expression" dxfId="7708" priority="4759">
      <formula>#REF!="TO"</formula>
    </cfRule>
    <cfRule type="expression" dxfId="7707" priority="4760">
      <formula>#REF!="IO"</formula>
    </cfRule>
    <cfRule type="expression" dxfId="7706" priority="4761">
      <formula>#REF!="L"</formula>
    </cfRule>
  </conditionalFormatting>
  <conditionalFormatting sqref="AC51:AC86">
    <cfRule type="expression" dxfId="7705" priority="4756">
      <formula>#REF!="TO"</formula>
    </cfRule>
    <cfRule type="expression" dxfId="7704" priority="4757">
      <formula>#REF!="IO"</formula>
    </cfRule>
    <cfRule type="expression" dxfId="7703" priority="4758">
      <formula>#REF!="L"</formula>
    </cfRule>
  </conditionalFormatting>
  <conditionalFormatting sqref="AD51:AD86">
    <cfRule type="expression" dxfId="7702" priority="4426">
      <formula>#REF!="TO"</formula>
    </cfRule>
    <cfRule type="expression" dxfId="7701" priority="4427">
      <formula>#REF!="IO"</formula>
    </cfRule>
    <cfRule type="expression" dxfId="7700" priority="4428">
      <formula>#REF!="L"</formula>
    </cfRule>
  </conditionalFormatting>
  <conditionalFormatting sqref="AC28:AC29">
    <cfRule type="expression" dxfId="7699" priority="4750">
      <formula>#REF!="TO"</formula>
    </cfRule>
    <cfRule type="expression" dxfId="7698" priority="4751">
      <formula>#REF!="IO"</formula>
    </cfRule>
    <cfRule type="expression" dxfId="7697" priority="4752">
      <formula>#REF!="L"</formula>
    </cfRule>
    <cfRule type="expression" dxfId="7696" priority="4747">
      <formula>#REF!="TO"</formula>
    </cfRule>
    <cfRule type="expression" dxfId="7695" priority="4748">
      <formula>#REF!="IO"</formula>
    </cfRule>
    <cfRule type="expression" dxfId="7694" priority="4749">
      <formula>#REF!="L"</formula>
    </cfRule>
  </conditionalFormatting>
  <conditionalFormatting sqref="AB3 B3:D3 G3:L3 V3:W3 Q3">
    <cfRule type="expression" dxfId="7693" priority="4744">
      <formula>#REF!="TO"</formula>
    </cfRule>
    <cfRule type="expression" dxfId="7692" priority="4745">
      <formula>#REF!="IO"</formula>
    </cfRule>
    <cfRule type="expression" dxfId="7691" priority="4746">
      <formula>#REF!="L"</formula>
    </cfRule>
  </conditionalFormatting>
  <conditionalFormatting sqref="X3:Y3">
    <cfRule type="expression" dxfId="7690" priority="4741">
      <formula>#REF!="TO"</formula>
    </cfRule>
    <cfRule type="expression" dxfId="7689" priority="4742">
      <formula>#REF!="IO"</formula>
    </cfRule>
    <cfRule type="expression" dxfId="7688" priority="4743">
      <formula>#REF!="L"</formula>
    </cfRule>
  </conditionalFormatting>
  <conditionalFormatting sqref="I3">
    <cfRule type="expression" dxfId="7687" priority="4738">
      <formula>XED3="TO"</formula>
    </cfRule>
    <cfRule type="expression" dxfId="7686" priority="4739">
      <formula>XED3="IO"</formula>
    </cfRule>
    <cfRule type="expression" dxfId="7685" priority="4740">
      <formula>XED3="L"</formula>
    </cfRule>
  </conditionalFormatting>
  <conditionalFormatting sqref="P3">
    <cfRule type="expression" dxfId="7684" priority="4720">
      <formula>#REF!="TO"</formula>
    </cfRule>
    <cfRule type="expression" dxfId="7683" priority="4721">
      <formula>#REF!="IO"</formula>
    </cfRule>
    <cfRule type="expression" dxfId="7682" priority="4722">
      <formula>#REF!="L"</formula>
    </cfRule>
  </conditionalFormatting>
  <conditionalFormatting sqref="O3">
    <cfRule type="expression" dxfId="7681" priority="4717">
      <formula>#REF!="TO"</formula>
    </cfRule>
    <cfRule type="expression" dxfId="7680" priority="4718">
      <formula>#REF!="IO"</formula>
    </cfRule>
    <cfRule type="expression" dxfId="7679" priority="4719">
      <formula>#REF!="L"</formula>
    </cfRule>
  </conditionalFormatting>
  <conditionalFormatting sqref="U3">
    <cfRule type="expression" dxfId="7678" priority="4732">
      <formula>#REF!="TO"</formula>
    </cfRule>
    <cfRule type="expression" dxfId="7677" priority="4733">
      <formula>#REF!="IO"</formula>
    </cfRule>
    <cfRule type="expression" dxfId="7676" priority="4734">
      <formula>#REF!="L"</formula>
    </cfRule>
  </conditionalFormatting>
  <conditionalFormatting sqref="T3">
    <cfRule type="expression" dxfId="7675" priority="4729">
      <formula>#REF!="TO"</formula>
    </cfRule>
    <cfRule type="expression" dxfId="7674" priority="4730">
      <formula>#REF!="IO"</formula>
    </cfRule>
    <cfRule type="expression" dxfId="7673" priority="4731">
      <formula>#REF!="L"</formula>
    </cfRule>
  </conditionalFormatting>
  <conditionalFormatting sqref="S3">
    <cfRule type="expression" dxfId="7672" priority="4726">
      <formula>#REF!="TO"</formula>
    </cfRule>
    <cfRule type="expression" dxfId="7671" priority="4727">
      <formula>#REF!="IO"</formula>
    </cfRule>
    <cfRule type="expression" dxfId="7670" priority="4728">
      <formula>#REF!="L"</formula>
    </cfRule>
  </conditionalFormatting>
  <conditionalFormatting sqref="R3">
    <cfRule type="expression" dxfId="7669" priority="4723">
      <formula>#REF!="TO"</formula>
    </cfRule>
    <cfRule type="expression" dxfId="7668" priority="4724">
      <formula>#REF!="IO"</formula>
    </cfRule>
    <cfRule type="expression" dxfId="7667" priority="4725">
      <formula>#REF!="L"</formula>
    </cfRule>
  </conditionalFormatting>
  <conditionalFormatting sqref="N3">
    <cfRule type="expression" dxfId="7666" priority="4714">
      <formula>#REF!="TO"</formula>
    </cfRule>
    <cfRule type="expression" dxfId="7665" priority="4715">
      <formula>#REF!="IO"</formula>
    </cfRule>
    <cfRule type="expression" dxfId="7664" priority="4716">
      <formula>#REF!="L"</formula>
    </cfRule>
  </conditionalFormatting>
  <conditionalFormatting sqref="M3">
    <cfRule type="expression" dxfId="7663" priority="4711">
      <formula>#REF!="TO"</formula>
    </cfRule>
    <cfRule type="expression" dxfId="7662" priority="4712">
      <formula>#REF!="IO"</formula>
    </cfRule>
    <cfRule type="expression" dxfId="7661" priority="4713">
      <formula>#REF!="L"</formula>
    </cfRule>
  </conditionalFormatting>
  <conditionalFormatting sqref="Z3">
    <cfRule type="expression" dxfId="7660" priority="4708">
      <formula>#REF!="TO"</formula>
    </cfRule>
    <cfRule type="expression" dxfId="7659" priority="4709">
      <formula>#REF!="IO"</formula>
    </cfRule>
    <cfRule type="expression" dxfId="7658" priority="4710">
      <formula>#REF!="L"</formula>
    </cfRule>
  </conditionalFormatting>
  <conditionalFormatting sqref="AC3">
    <cfRule type="expression" dxfId="7657" priority="4705">
      <formula>#REF!="TO"</formula>
    </cfRule>
    <cfRule type="expression" dxfId="7656" priority="4706">
      <formula>#REF!="IO"</formula>
    </cfRule>
    <cfRule type="expression" dxfId="7655" priority="4707">
      <formula>#REF!="L"</formula>
    </cfRule>
  </conditionalFormatting>
  <conditionalFormatting sqref="A3">
    <cfRule type="expression" dxfId="7654" priority="4702">
      <formula>#REF!="TO"</formula>
    </cfRule>
    <cfRule type="expression" dxfId="7653" priority="4703">
      <formula>#REF!="IO"</formula>
    </cfRule>
    <cfRule type="expression" dxfId="7652" priority="4704">
      <formula>#REF!="L"</formula>
    </cfRule>
  </conditionalFormatting>
  <conditionalFormatting sqref="AF19">
    <cfRule type="expression" dxfId="7651" priority="4276">
      <formula>#REF!="TO"</formula>
    </cfRule>
    <cfRule type="expression" dxfId="7650" priority="4277">
      <formula>#REF!="IO"</formula>
    </cfRule>
    <cfRule type="expression" dxfId="7649" priority="4278">
      <formula>#REF!="L"</formula>
    </cfRule>
  </conditionalFormatting>
  <conditionalFormatting sqref="AE2 AE4">
    <cfRule type="expression" dxfId="7648" priority="4699">
      <formula>#REF!="TO"</formula>
    </cfRule>
    <cfRule type="expression" dxfId="7647" priority="4700">
      <formula>#REF!="IO"</formula>
    </cfRule>
    <cfRule type="expression" dxfId="7646" priority="4701">
      <formula>#REF!="L"</formula>
    </cfRule>
  </conditionalFormatting>
  <conditionalFormatting sqref="AE5">
    <cfRule type="expression" dxfId="7645" priority="4693">
      <formula>#REF!="TO"</formula>
    </cfRule>
    <cfRule type="expression" dxfId="7644" priority="4694">
      <formula>#REF!="IO"</formula>
    </cfRule>
    <cfRule type="expression" dxfId="7643" priority="4695">
      <formula>#REF!="L"</formula>
    </cfRule>
    <cfRule type="expression" dxfId="7642" priority="4696">
      <formula>#REF!="TO"</formula>
    </cfRule>
    <cfRule type="expression" dxfId="7641" priority="4697">
      <formula>#REF!="IO"</formula>
    </cfRule>
    <cfRule type="expression" dxfId="7640" priority="4698">
      <formula>#REF!="L"</formula>
    </cfRule>
  </conditionalFormatting>
  <conditionalFormatting sqref="AE6">
    <cfRule type="expression" dxfId="7639" priority="4687">
      <formula>#REF!="TO"</formula>
    </cfRule>
    <cfRule type="expression" dxfId="7638" priority="4688">
      <formula>#REF!="IO"</formula>
    </cfRule>
    <cfRule type="expression" dxfId="7637" priority="4689">
      <formula>#REF!="L"</formula>
    </cfRule>
    <cfRule type="expression" dxfId="7636" priority="4690">
      <formula>#REF!="TO"</formula>
    </cfRule>
    <cfRule type="expression" dxfId="7635" priority="4691">
      <formula>#REF!="IO"</formula>
    </cfRule>
    <cfRule type="expression" dxfId="7634" priority="4692">
      <formula>#REF!="L"</formula>
    </cfRule>
  </conditionalFormatting>
  <conditionalFormatting sqref="AE7">
    <cfRule type="expression" dxfId="7633" priority="4681">
      <formula>#REF!="TO"</formula>
    </cfRule>
    <cfRule type="expression" dxfId="7632" priority="4682">
      <formula>#REF!="IO"</formula>
    </cfRule>
    <cfRule type="expression" dxfId="7631" priority="4683">
      <formula>#REF!="L"</formula>
    </cfRule>
    <cfRule type="expression" dxfId="7630" priority="4684">
      <formula>#REF!="TO"</formula>
    </cfRule>
    <cfRule type="expression" dxfId="7629" priority="4685">
      <formula>#REF!="IO"</formula>
    </cfRule>
    <cfRule type="expression" dxfId="7628" priority="4686">
      <formula>#REF!="L"</formula>
    </cfRule>
  </conditionalFormatting>
  <conditionalFormatting sqref="AE8">
    <cfRule type="expression" dxfId="7627" priority="4675">
      <formula>#REF!="TO"</formula>
    </cfRule>
    <cfRule type="expression" dxfId="7626" priority="4676">
      <formula>#REF!="IO"</formula>
    </cfRule>
    <cfRule type="expression" dxfId="7625" priority="4677">
      <formula>#REF!="L"</formula>
    </cfRule>
    <cfRule type="expression" dxfId="7624" priority="4678">
      <formula>#REF!="TO"</formula>
    </cfRule>
    <cfRule type="expression" dxfId="7623" priority="4679">
      <formula>#REF!="IO"</formula>
    </cfRule>
    <cfRule type="expression" dxfId="7622" priority="4680">
      <formula>#REF!="L"</formula>
    </cfRule>
  </conditionalFormatting>
  <conditionalFormatting sqref="AE9:AE12">
    <cfRule type="expression" dxfId="7621" priority="4669">
      <formula>#REF!="TO"</formula>
    </cfRule>
    <cfRule type="expression" dxfId="7620" priority="4670">
      <formula>#REF!="IO"</formula>
    </cfRule>
    <cfRule type="expression" dxfId="7619" priority="4671">
      <formula>#REF!="L"</formula>
    </cfRule>
    <cfRule type="expression" dxfId="7618" priority="4672">
      <formula>#REF!="TO"</formula>
    </cfRule>
    <cfRule type="expression" dxfId="7617" priority="4673">
      <formula>#REF!="IO"</formula>
    </cfRule>
    <cfRule type="expression" dxfId="7616" priority="4674">
      <formula>#REF!="L"</formula>
    </cfRule>
  </conditionalFormatting>
  <conditionalFormatting sqref="AE14">
    <cfRule type="expression" dxfId="7615" priority="4657">
      <formula>#REF!="TO"</formula>
    </cfRule>
    <cfRule type="expression" dxfId="7614" priority="4658">
      <formula>#REF!="IO"</formula>
    </cfRule>
    <cfRule type="expression" dxfId="7613" priority="4659">
      <formula>#REF!="L"</formula>
    </cfRule>
    <cfRule type="expression" dxfId="7612" priority="4660">
      <formula>#REF!="TO"</formula>
    </cfRule>
    <cfRule type="expression" dxfId="7611" priority="4661">
      <formula>#REF!="IO"</formula>
    </cfRule>
    <cfRule type="expression" dxfId="7610" priority="4662">
      <formula>#REF!="L"</formula>
    </cfRule>
  </conditionalFormatting>
  <conditionalFormatting sqref="AE13">
    <cfRule type="expression" dxfId="7609" priority="4663">
      <formula>#REF!="TO"</formula>
    </cfRule>
    <cfRule type="expression" dxfId="7608" priority="4664">
      <formula>#REF!="IO"</formula>
    </cfRule>
    <cfRule type="expression" dxfId="7607" priority="4665">
      <formula>#REF!="L"</formula>
    </cfRule>
    <cfRule type="expression" dxfId="7606" priority="4666">
      <formula>#REF!="TO"</formula>
    </cfRule>
    <cfRule type="expression" dxfId="7605" priority="4667">
      <formula>#REF!="IO"</formula>
    </cfRule>
    <cfRule type="expression" dxfId="7604" priority="4668">
      <formula>#REF!="L"</formula>
    </cfRule>
  </conditionalFormatting>
  <conditionalFormatting sqref="AE15">
    <cfRule type="expression" dxfId="7603" priority="4651">
      <formula>#REF!="TO"</formula>
    </cfRule>
    <cfRule type="expression" dxfId="7602" priority="4652">
      <formula>#REF!="IO"</formula>
    </cfRule>
    <cfRule type="expression" dxfId="7601" priority="4653">
      <formula>#REF!="L"</formula>
    </cfRule>
    <cfRule type="expression" dxfId="7600" priority="4654">
      <formula>#REF!="TO"</formula>
    </cfRule>
    <cfRule type="expression" dxfId="7599" priority="4655">
      <formula>#REF!="IO"</formula>
    </cfRule>
    <cfRule type="expression" dxfId="7598" priority="4656">
      <formula>#REF!="L"</formula>
    </cfRule>
  </conditionalFormatting>
  <conditionalFormatting sqref="AE16">
    <cfRule type="expression" dxfId="7597" priority="4645">
      <formula>#REF!="TO"</formula>
    </cfRule>
    <cfRule type="expression" dxfId="7596" priority="4646">
      <formula>#REF!="IO"</formula>
    </cfRule>
    <cfRule type="expression" dxfId="7595" priority="4647">
      <formula>#REF!="L"</formula>
    </cfRule>
    <cfRule type="expression" dxfId="7594" priority="4648">
      <formula>#REF!="TO"</formula>
    </cfRule>
    <cfRule type="expression" dxfId="7593" priority="4649">
      <formula>#REF!="IO"</formula>
    </cfRule>
    <cfRule type="expression" dxfId="7592" priority="4650">
      <formula>#REF!="L"</formula>
    </cfRule>
  </conditionalFormatting>
  <conditionalFormatting sqref="AE20">
    <cfRule type="expression" dxfId="7591" priority="4621">
      <formula>#REF!="TO"</formula>
    </cfRule>
    <cfRule type="expression" dxfId="7590" priority="4622">
      <formula>#REF!="IO"</formula>
    </cfRule>
    <cfRule type="expression" dxfId="7589" priority="4623">
      <formula>#REF!="L"</formula>
    </cfRule>
    <cfRule type="expression" dxfId="7588" priority="4624">
      <formula>#REF!="TO"</formula>
    </cfRule>
    <cfRule type="expression" dxfId="7587" priority="4625">
      <formula>#REF!="IO"</formula>
    </cfRule>
    <cfRule type="expression" dxfId="7586" priority="4626">
      <formula>#REF!="L"</formula>
    </cfRule>
  </conditionalFormatting>
  <conditionalFormatting sqref="AE18">
    <cfRule type="expression" dxfId="7585" priority="4633">
      <formula>#REF!="TO"</formula>
    </cfRule>
    <cfRule type="expression" dxfId="7584" priority="4634">
      <formula>#REF!="IO"</formula>
    </cfRule>
    <cfRule type="expression" dxfId="7583" priority="4635">
      <formula>#REF!="L"</formula>
    </cfRule>
    <cfRule type="expression" dxfId="7582" priority="4636">
      <formula>#REF!="TO"</formula>
    </cfRule>
    <cfRule type="expression" dxfId="7581" priority="4637">
      <formula>#REF!="IO"</formula>
    </cfRule>
    <cfRule type="expression" dxfId="7580" priority="4638">
      <formula>#REF!="L"</formula>
    </cfRule>
  </conditionalFormatting>
  <conditionalFormatting sqref="AE19">
    <cfRule type="expression" dxfId="7579" priority="4627">
      <formula>#REF!="TO"</formula>
    </cfRule>
    <cfRule type="expression" dxfId="7578" priority="4628">
      <formula>#REF!="IO"</formula>
    </cfRule>
    <cfRule type="expression" dxfId="7577" priority="4629">
      <formula>#REF!="L"</formula>
    </cfRule>
    <cfRule type="expression" dxfId="7576" priority="4630">
      <formula>#REF!="TO"</formula>
    </cfRule>
    <cfRule type="expression" dxfId="7575" priority="4631">
      <formula>#REF!="IO"</formula>
    </cfRule>
    <cfRule type="expression" dxfId="7574" priority="4632">
      <formula>#REF!="L"</formula>
    </cfRule>
  </conditionalFormatting>
  <conditionalFormatting sqref="AE21">
    <cfRule type="expression" dxfId="7573" priority="4615">
      <formula>#REF!="TO"</formula>
    </cfRule>
    <cfRule type="expression" dxfId="7572" priority="4616">
      <formula>#REF!="IO"</formula>
    </cfRule>
    <cfRule type="expression" dxfId="7571" priority="4617">
      <formula>#REF!="L"</formula>
    </cfRule>
    <cfRule type="expression" dxfId="7570" priority="4618">
      <formula>#REF!="TO"</formula>
    </cfRule>
    <cfRule type="expression" dxfId="7569" priority="4619">
      <formula>#REF!="IO"</formula>
    </cfRule>
    <cfRule type="expression" dxfId="7568" priority="4620">
      <formula>#REF!="L"</formula>
    </cfRule>
  </conditionalFormatting>
  <conditionalFormatting sqref="AE22">
    <cfRule type="expression" dxfId="7567" priority="4609">
      <formula>#REF!="TO"</formula>
    </cfRule>
    <cfRule type="expression" dxfId="7566" priority="4610">
      <formula>#REF!="IO"</formula>
    </cfRule>
    <cfRule type="expression" dxfId="7565" priority="4611">
      <formula>#REF!="L"</formula>
    </cfRule>
    <cfRule type="expression" dxfId="7564" priority="4612">
      <formula>#REF!="TO"</formula>
    </cfRule>
    <cfRule type="expression" dxfId="7563" priority="4613">
      <formula>#REF!="IO"</formula>
    </cfRule>
    <cfRule type="expression" dxfId="7562" priority="4614">
      <formula>#REF!="L"</formula>
    </cfRule>
  </conditionalFormatting>
  <conditionalFormatting sqref="AF2 AF4">
    <cfRule type="expression" dxfId="7561" priority="4315">
      <formula>#REF!="TO"</formula>
    </cfRule>
    <cfRule type="expression" dxfId="7560" priority="4316">
      <formula>#REF!="IO"</formula>
    </cfRule>
    <cfRule type="expression" dxfId="7559" priority="4317">
      <formula>#REF!="L"</formula>
    </cfRule>
  </conditionalFormatting>
  <conditionalFormatting sqref="AF38:AF41 AF23:AF29">
    <cfRule type="expression" dxfId="7558" priority="4312">
      <formula>#REF!="TO"</formula>
    </cfRule>
    <cfRule type="expression" dxfId="7557" priority="4313">
      <formula>#REF!="IO"</formula>
    </cfRule>
    <cfRule type="expression" dxfId="7556" priority="4314">
      <formula>#REF!="L"</formula>
    </cfRule>
  </conditionalFormatting>
  <conditionalFormatting sqref="AF5">
    <cfRule type="expression" dxfId="7555" priority="4309">
      <formula>#REF!="TO"</formula>
    </cfRule>
    <cfRule type="expression" dxfId="7554" priority="4310">
      <formula>#REF!="IO"</formula>
    </cfRule>
    <cfRule type="expression" dxfId="7553" priority="4311">
      <formula>#REF!="L"</formula>
    </cfRule>
  </conditionalFormatting>
  <conditionalFormatting sqref="AF6">
    <cfRule type="expression" dxfId="7552" priority="4306">
      <formula>#REF!="TO"</formula>
    </cfRule>
    <cfRule type="expression" dxfId="7551" priority="4307">
      <formula>#REF!="IO"</formula>
    </cfRule>
    <cfRule type="expression" dxfId="7550" priority="4308">
      <formula>#REF!="L"</formula>
    </cfRule>
  </conditionalFormatting>
  <conditionalFormatting sqref="AF7">
    <cfRule type="expression" dxfId="7549" priority="4303">
      <formula>#REF!="TO"</formula>
    </cfRule>
    <cfRule type="expression" dxfId="7548" priority="4304">
      <formula>#REF!="IO"</formula>
    </cfRule>
    <cfRule type="expression" dxfId="7547" priority="4305">
      <formula>#REF!="L"</formula>
    </cfRule>
  </conditionalFormatting>
  <conditionalFormatting sqref="AF8">
    <cfRule type="expression" dxfId="7546" priority="4300">
      <formula>#REF!="TO"</formula>
    </cfRule>
    <cfRule type="expression" dxfId="7545" priority="4301">
      <formula>#REF!="IO"</formula>
    </cfRule>
    <cfRule type="expression" dxfId="7544" priority="4302">
      <formula>#REF!="L"</formula>
    </cfRule>
  </conditionalFormatting>
  <conditionalFormatting sqref="AF9:AF12">
    <cfRule type="expression" dxfId="7543" priority="4297">
      <formula>#REF!="TO"</formula>
    </cfRule>
    <cfRule type="expression" dxfId="7542" priority="4298">
      <formula>#REF!="IO"</formula>
    </cfRule>
    <cfRule type="expression" dxfId="7541" priority="4299">
      <formula>#REF!="L"</formula>
    </cfRule>
  </conditionalFormatting>
  <conditionalFormatting sqref="AF13">
    <cfRule type="expression" dxfId="7540" priority="4294">
      <formula>#REF!="TO"</formula>
    </cfRule>
    <cfRule type="expression" dxfId="7539" priority="4295">
      <formula>#REF!="IO"</formula>
    </cfRule>
    <cfRule type="expression" dxfId="7538" priority="4296">
      <formula>#REF!="L"</formula>
    </cfRule>
  </conditionalFormatting>
  <conditionalFormatting sqref="AF14">
    <cfRule type="expression" dxfId="7537" priority="4291">
      <formula>#REF!="TO"</formula>
    </cfRule>
    <cfRule type="expression" dxfId="7536" priority="4292">
      <formula>#REF!="IO"</formula>
    </cfRule>
    <cfRule type="expression" dxfId="7535" priority="4293">
      <formula>#REF!="L"</formula>
    </cfRule>
  </conditionalFormatting>
  <conditionalFormatting sqref="AF15">
    <cfRule type="expression" dxfId="7534" priority="4288">
      <formula>#REF!="TO"</formula>
    </cfRule>
    <cfRule type="expression" dxfId="7533" priority="4289">
      <formula>#REF!="IO"</formula>
    </cfRule>
    <cfRule type="expression" dxfId="7532" priority="4290">
      <formula>#REF!="L"</formula>
    </cfRule>
  </conditionalFormatting>
  <conditionalFormatting sqref="AF16">
    <cfRule type="expression" dxfId="7531" priority="4285">
      <formula>#REF!="TO"</formula>
    </cfRule>
    <cfRule type="expression" dxfId="7530" priority="4286">
      <formula>#REF!="IO"</formula>
    </cfRule>
    <cfRule type="expression" dxfId="7529" priority="4287">
      <formula>#REF!="L"</formula>
    </cfRule>
  </conditionalFormatting>
  <conditionalFormatting sqref="AF17">
    <cfRule type="expression" dxfId="7528" priority="4282">
      <formula>#REF!="TO"</formula>
    </cfRule>
    <cfRule type="expression" dxfId="7527" priority="4283">
      <formula>#REF!="IO"</formula>
    </cfRule>
    <cfRule type="expression" dxfId="7526" priority="4284">
      <formula>#REF!="L"</formula>
    </cfRule>
  </conditionalFormatting>
  <conditionalFormatting sqref="AE3">
    <cfRule type="expression" dxfId="7525" priority="4510">
      <formula>#REF!="TO"</formula>
    </cfRule>
    <cfRule type="expression" dxfId="7524" priority="4511">
      <formula>#REF!="IO"</formula>
    </cfRule>
    <cfRule type="expression" dxfId="7523" priority="4512">
      <formula>#REF!="L"</formula>
    </cfRule>
  </conditionalFormatting>
  <conditionalFormatting sqref="AD2 AD4">
    <cfRule type="expression" dxfId="7522" priority="4504">
      <formula>#REF!="TO"</formula>
    </cfRule>
    <cfRule type="expression" dxfId="7521" priority="4505">
      <formula>#REF!="IO"</formula>
    </cfRule>
    <cfRule type="expression" dxfId="7520" priority="4506">
      <formula>#REF!="L"</formula>
    </cfRule>
  </conditionalFormatting>
  <conditionalFormatting sqref="AD38:AD41 AD23:AD29">
    <cfRule type="expression" dxfId="7519" priority="4501">
      <formula>#REF!="TO"</formula>
    </cfRule>
    <cfRule type="expression" dxfId="7518" priority="4502">
      <formula>#REF!="IO"</formula>
    </cfRule>
    <cfRule type="expression" dxfId="7517" priority="4503">
      <formula>#REF!="L"</formula>
    </cfRule>
  </conditionalFormatting>
  <conditionalFormatting sqref="AD5">
    <cfRule type="expression" dxfId="7516" priority="4498">
      <formula>#REF!="TO"</formula>
    </cfRule>
    <cfRule type="expression" dxfId="7515" priority="4499">
      <formula>#REF!="IO"</formula>
    </cfRule>
    <cfRule type="expression" dxfId="7514" priority="4500">
      <formula>#REF!="L"</formula>
    </cfRule>
  </conditionalFormatting>
  <conditionalFormatting sqref="AD6">
    <cfRule type="expression" dxfId="7513" priority="4495">
      <formula>#REF!="TO"</formula>
    </cfRule>
    <cfRule type="expression" dxfId="7512" priority="4496">
      <formula>#REF!="IO"</formula>
    </cfRule>
    <cfRule type="expression" dxfId="7511" priority="4497">
      <formula>#REF!="L"</formula>
    </cfRule>
  </conditionalFormatting>
  <conditionalFormatting sqref="AD7">
    <cfRule type="expression" dxfId="7510" priority="4492">
      <formula>#REF!="TO"</formula>
    </cfRule>
    <cfRule type="expression" dxfId="7509" priority="4493">
      <formula>#REF!="IO"</formula>
    </cfRule>
    <cfRule type="expression" dxfId="7508" priority="4494">
      <formula>#REF!="L"</formula>
    </cfRule>
  </conditionalFormatting>
  <conditionalFormatting sqref="AD8">
    <cfRule type="expression" dxfId="7507" priority="4489">
      <formula>#REF!="TO"</formula>
    </cfRule>
    <cfRule type="expression" dxfId="7506" priority="4490">
      <formula>#REF!="IO"</formula>
    </cfRule>
    <cfRule type="expression" dxfId="7505" priority="4491">
      <formula>#REF!="L"</formula>
    </cfRule>
  </conditionalFormatting>
  <conditionalFormatting sqref="AD9:AD12">
    <cfRule type="expression" dxfId="7504" priority="4486">
      <formula>#REF!="TO"</formula>
    </cfRule>
    <cfRule type="expression" dxfId="7503" priority="4487">
      <formula>#REF!="IO"</formula>
    </cfRule>
    <cfRule type="expression" dxfId="7502" priority="4488">
      <formula>#REF!="L"</formula>
    </cfRule>
  </conditionalFormatting>
  <conditionalFormatting sqref="AD13">
    <cfRule type="expression" dxfId="7501" priority="4483">
      <formula>#REF!="TO"</formula>
    </cfRule>
    <cfRule type="expression" dxfId="7500" priority="4484">
      <formula>#REF!="IO"</formula>
    </cfRule>
    <cfRule type="expression" dxfId="7499" priority="4485">
      <formula>#REF!="L"</formula>
    </cfRule>
  </conditionalFormatting>
  <conditionalFormatting sqref="AD14">
    <cfRule type="expression" dxfId="7498" priority="4480">
      <formula>#REF!="TO"</formula>
    </cfRule>
    <cfRule type="expression" dxfId="7497" priority="4481">
      <formula>#REF!="IO"</formula>
    </cfRule>
    <cfRule type="expression" dxfId="7496" priority="4482">
      <formula>#REF!="L"</formula>
    </cfRule>
  </conditionalFormatting>
  <conditionalFormatting sqref="AD15">
    <cfRule type="expression" dxfId="7495" priority="4477">
      <formula>#REF!="TO"</formula>
    </cfRule>
    <cfRule type="expression" dxfId="7494" priority="4478">
      <formula>#REF!="IO"</formula>
    </cfRule>
    <cfRule type="expression" dxfId="7493" priority="4479">
      <formula>#REF!="L"</formula>
    </cfRule>
  </conditionalFormatting>
  <conditionalFormatting sqref="AD16">
    <cfRule type="expression" dxfId="7492" priority="4474">
      <formula>#REF!="TO"</formula>
    </cfRule>
    <cfRule type="expression" dxfId="7491" priority="4475">
      <formula>#REF!="IO"</formula>
    </cfRule>
    <cfRule type="expression" dxfId="7490" priority="4476">
      <formula>#REF!="L"</formula>
    </cfRule>
  </conditionalFormatting>
  <conditionalFormatting sqref="AD17">
    <cfRule type="expression" dxfId="7489" priority="4471">
      <formula>#REF!="TO"</formula>
    </cfRule>
    <cfRule type="expression" dxfId="7488" priority="4472">
      <formula>#REF!="IO"</formula>
    </cfRule>
    <cfRule type="expression" dxfId="7487" priority="4473">
      <formula>#REF!="L"</formula>
    </cfRule>
  </conditionalFormatting>
  <conditionalFormatting sqref="AD18">
    <cfRule type="expression" dxfId="7486" priority="4468">
      <formula>#REF!="TO"</formula>
    </cfRule>
    <cfRule type="expression" dxfId="7485" priority="4469">
      <formula>#REF!="IO"</formula>
    </cfRule>
    <cfRule type="expression" dxfId="7484" priority="4470">
      <formula>#REF!="L"</formula>
    </cfRule>
  </conditionalFormatting>
  <conditionalFormatting sqref="AD19">
    <cfRule type="expression" dxfId="7483" priority="4465">
      <formula>#REF!="TO"</formula>
    </cfRule>
    <cfRule type="expression" dxfId="7482" priority="4466">
      <formula>#REF!="IO"</formula>
    </cfRule>
    <cfRule type="expression" dxfId="7481" priority="4467">
      <formula>#REF!="L"</formula>
    </cfRule>
  </conditionalFormatting>
  <conditionalFormatting sqref="AD20">
    <cfRule type="expression" dxfId="7480" priority="4462">
      <formula>#REF!="TO"</formula>
    </cfRule>
    <cfRule type="expression" dxfId="7479" priority="4463">
      <formula>#REF!="IO"</formula>
    </cfRule>
    <cfRule type="expression" dxfId="7478" priority="4464">
      <formula>#REF!="L"</formula>
    </cfRule>
  </conditionalFormatting>
  <conditionalFormatting sqref="AD21">
    <cfRule type="expression" dxfId="7477" priority="4459">
      <formula>#REF!="TO"</formula>
    </cfRule>
    <cfRule type="expression" dxfId="7476" priority="4460">
      <formula>#REF!="IO"</formula>
    </cfRule>
    <cfRule type="expression" dxfId="7475" priority="4461">
      <formula>#REF!="L"</formula>
    </cfRule>
  </conditionalFormatting>
  <conditionalFormatting sqref="AD22:AD29">
    <cfRule type="expression" dxfId="7474" priority="4456">
      <formula>#REF!="TO"</formula>
    </cfRule>
    <cfRule type="expression" dxfId="7473" priority="4457">
      <formula>#REF!="IO"</formula>
    </cfRule>
    <cfRule type="expression" dxfId="7472" priority="4458">
      <formula>#REF!="L"</formula>
    </cfRule>
  </conditionalFormatting>
  <conditionalFormatting sqref="AD42">
    <cfRule type="expression" dxfId="7471" priority="4453">
      <formula>#REF!="TO"</formula>
    </cfRule>
    <cfRule type="expression" dxfId="7470" priority="4454">
      <formula>#REF!="IO"</formula>
    </cfRule>
    <cfRule type="expression" dxfId="7469" priority="4455">
      <formula>#REF!="L"</formula>
    </cfRule>
  </conditionalFormatting>
  <conditionalFormatting sqref="AD43">
    <cfRule type="expression" dxfId="7468" priority="4450">
      <formula>#REF!="TO"</formula>
    </cfRule>
    <cfRule type="expression" dxfId="7467" priority="4451">
      <formula>#REF!="IO"</formula>
    </cfRule>
    <cfRule type="expression" dxfId="7466" priority="4452">
      <formula>#REF!="L"</formula>
    </cfRule>
  </conditionalFormatting>
  <conditionalFormatting sqref="AD44">
    <cfRule type="expression" dxfId="7465" priority="4447">
      <formula>#REF!="TO"</formula>
    </cfRule>
    <cfRule type="expression" dxfId="7464" priority="4448">
      <formula>#REF!="IO"</formula>
    </cfRule>
    <cfRule type="expression" dxfId="7463" priority="4449">
      <formula>#REF!="L"</formula>
    </cfRule>
  </conditionalFormatting>
  <conditionalFormatting sqref="AD45">
    <cfRule type="expression" dxfId="7462" priority="4444">
      <formula>#REF!="TO"</formula>
    </cfRule>
    <cfRule type="expression" dxfId="7461" priority="4445">
      <formula>#REF!="IO"</formula>
    </cfRule>
    <cfRule type="expression" dxfId="7460" priority="4446">
      <formula>#REF!="L"</formula>
    </cfRule>
  </conditionalFormatting>
  <conditionalFormatting sqref="AD46">
    <cfRule type="expression" dxfId="7459" priority="4441">
      <formula>#REF!="TO"</formula>
    </cfRule>
    <cfRule type="expression" dxfId="7458" priority="4442">
      <formula>#REF!="IO"</formula>
    </cfRule>
    <cfRule type="expression" dxfId="7457" priority="4443">
      <formula>#REF!="L"</formula>
    </cfRule>
  </conditionalFormatting>
  <conditionalFormatting sqref="AD47">
    <cfRule type="expression" dxfId="7456" priority="4438">
      <formula>#REF!="TO"</formula>
    </cfRule>
    <cfRule type="expression" dxfId="7455" priority="4439">
      <formula>#REF!="IO"</formula>
    </cfRule>
    <cfRule type="expression" dxfId="7454" priority="4440">
      <formula>#REF!="L"</formula>
    </cfRule>
  </conditionalFormatting>
  <conditionalFormatting sqref="AD48">
    <cfRule type="expression" dxfId="7453" priority="4435">
      <formula>#REF!="TO"</formula>
    </cfRule>
    <cfRule type="expression" dxfId="7452" priority="4436">
      <formula>#REF!="IO"</formula>
    </cfRule>
    <cfRule type="expression" dxfId="7451" priority="4437">
      <formula>#REF!="L"</formula>
    </cfRule>
  </conditionalFormatting>
  <conditionalFormatting sqref="AD49">
    <cfRule type="expression" dxfId="7450" priority="4432">
      <formula>#REF!="TO"</formula>
    </cfRule>
    <cfRule type="expression" dxfId="7449" priority="4433">
      <formula>#REF!="IO"</formula>
    </cfRule>
    <cfRule type="expression" dxfId="7448" priority="4434">
      <formula>#REF!="L"</formula>
    </cfRule>
  </conditionalFormatting>
  <conditionalFormatting sqref="AD50">
    <cfRule type="expression" dxfId="7447" priority="4429">
      <formula>#REF!="TO"</formula>
    </cfRule>
    <cfRule type="expression" dxfId="7446" priority="4430">
      <formula>#REF!="IO"</formula>
    </cfRule>
    <cfRule type="expression" dxfId="7445" priority="4431">
      <formula>#REF!="L"</formula>
    </cfRule>
  </conditionalFormatting>
  <conditionalFormatting sqref="AG16">
    <cfRule type="expression" dxfId="7444" priority="4195">
      <formula>#REF!="TO"</formula>
    </cfRule>
    <cfRule type="expression" dxfId="7443" priority="4196">
      <formula>#REF!="IO"</formula>
    </cfRule>
    <cfRule type="expression" dxfId="7442" priority="4197">
      <formula>#REF!="L"</formula>
    </cfRule>
  </conditionalFormatting>
  <conditionalFormatting sqref="AD28:AD29">
    <cfRule type="expression" dxfId="7441" priority="4420">
      <formula>#REF!="TO"</formula>
    </cfRule>
    <cfRule type="expression" dxfId="7440" priority="4421">
      <formula>#REF!="IO"</formula>
    </cfRule>
    <cfRule type="expression" dxfId="7439" priority="4422">
      <formula>#REF!="L"</formula>
    </cfRule>
    <cfRule type="expression" dxfId="7438" priority="4417">
      <formula>#REF!="TO"</formula>
    </cfRule>
    <cfRule type="expression" dxfId="7437" priority="4418">
      <formula>#REF!="IO"</formula>
    </cfRule>
    <cfRule type="expression" dxfId="7436" priority="4419">
      <formula>#REF!="L"</formula>
    </cfRule>
  </conditionalFormatting>
  <conditionalFormatting sqref="AD3">
    <cfRule type="expression" dxfId="7435" priority="4414">
      <formula>#REF!="TO"</formula>
    </cfRule>
    <cfRule type="expression" dxfId="7434" priority="4415">
      <formula>#REF!="IO"</formula>
    </cfRule>
    <cfRule type="expression" dxfId="7433" priority="4416">
      <formula>#REF!="L"</formula>
    </cfRule>
  </conditionalFormatting>
  <conditionalFormatting sqref="AG20">
    <cfRule type="expression" dxfId="7432" priority="4183">
      <formula>#REF!="TO"</formula>
    </cfRule>
    <cfRule type="expression" dxfId="7431" priority="4184">
      <formula>#REF!="IO"</formula>
    </cfRule>
    <cfRule type="expression" dxfId="7430" priority="4185">
      <formula>#REF!="L"</formula>
    </cfRule>
  </conditionalFormatting>
  <conditionalFormatting sqref="E20">
    <cfRule type="expression" dxfId="7429" priority="3859">
      <formula>#REF!="TO"</formula>
    </cfRule>
    <cfRule type="expression" dxfId="7428" priority="3860">
      <formula>#REF!="IO"</formula>
    </cfRule>
    <cfRule type="expression" dxfId="7427" priority="3861">
      <formula>#REF!="L"</formula>
    </cfRule>
    <cfRule type="expression" dxfId="7426" priority="4042">
      <formula>#REF!="TO"</formula>
    </cfRule>
    <cfRule type="expression" dxfId="7425" priority="4043">
      <formula>#REF!="IO"</formula>
    </cfRule>
    <cfRule type="expression" dxfId="7424" priority="4044">
      <formula>#REF!="L"</formula>
    </cfRule>
    <cfRule type="expression" dxfId="7423" priority="3775">
      <formula>#REF!="TO"</formula>
    </cfRule>
    <cfRule type="expression" dxfId="7422" priority="3776">
      <formula>#REF!="IO"</formula>
    </cfRule>
    <cfRule type="expression" dxfId="7421" priority="3777">
      <formula>#REF!="L"</formula>
    </cfRule>
    <cfRule type="expression" dxfId="7420" priority="3823">
      <formula>#REF!="TO"</formula>
    </cfRule>
    <cfRule type="expression" dxfId="7419" priority="3824">
      <formula>#REF!="IO"</formula>
    </cfRule>
    <cfRule type="expression" dxfId="7418" priority="3825">
      <formula>#REF!="L"</formula>
    </cfRule>
  </conditionalFormatting>
  <conditionalFormatting sqref="AG22:AG29">
    <cfRule type="expression" dxfId="7417" priority="4177">
      <formula>#REF!="TO"</formula>
    </cfRule>
    <cfRule type="expression" dxfId="7416" priority="4178">
      <formula>#REF!="IO"</formula>
    </cfRule>
    <cfRule type="expression" dxfId="7415" priority="4179">
      <formula>#REF!="L"</formula>
    </cfRule>
  </conditionalFormatting>
  <conditionalFormatting sqref="AG42">
    <cfRule type="expression" dxfId="7414" priority="4174">
      <formula>#REF!="TO"</formula>
    </cfRule>
    <cfRule type="expression" dxfId="7413" priority="4175">
      <formula>#REF!="IO"</formula>
    </cfRule>
    <cfRule type="expression" dxfId="7412" priority="4176">
      <formula>#REF!="L"</formula>
    </cfRule>
  </conditionalFormatting>
  <conditionalFormatting sqref="AG43">
    <cfRule type="expression" dxfId="7411" priority="4171">
      <formula>#REF!="TO"</formula>
    </cfRule>
    <cfRule type="expression" dxfId="7410" priority="4172">
      <formula>#REF!="IO"</formula>
    </cfRule>
    <cfRule type="expression" dxfId="7409" priority="4173">
      <formula>#REF!="L"</formula>
    </cfRule>
  </conditionalFormatting>
  <conditionalFormatting sqref="AG44">
    <cfRule type="expression" dxfId="7408" priority="4168">
      <formula>#REF!="TO"</formula>
    </cfRule>
    <cfRule type="expression" dxfId="7407" priority="4169">
      <formula>#REF!="IO"</formula>
    </cfRule>
    <cfRule type="expression" dxfId="7406" priority="4170">
      <formula>#REF!="L"</formula>
    </cfRule>
  </conditionalFormatting>
  <conditionalFormatting sqref="AG45">
    <cfRule type="expression" dxfId="7405" priority="4165">
      <formula>#REF!="TO"</formula>
    </cfRule>
    <cfRule type="expression" dxfId="7404" priority="4166">
      <formula>#REF!="IO"</formula>
    </cfRule>
    <cfRule type="expression" dxfId="7403" priority="4167">
      <formula>#REF!="L"</formula>
    </cfRule>
  </conditionalFormatting>
  <conditionalFormatting sqref="AG46">
    <cfRule type="expression" dxfId="7402" priority="4162">
      <formula>#REF!="TO"</formula>
    </cfRule>
    <cfRule type="expression" dxfId="7401" priority="4163">
      <formula>#REF!="IO"</formula>
    </cfRule>
    <cfRule type="expression" dxfId="7400" priority="4164">
      <formula>#REF!="L"</formula>
    </cfRule>
  </conditionalFormatting>
  <conditionalFormatting sqref="AG47">
    <cfRule type="expression" dxfId="7399" priority="4159">
      <formula>#REF!="TO"</formula>
    </cfRule>
    <cfRule type="expression" dxfId="7398" priority="4160">
      <formula>#REF!="IO"</formula>
    </cfRule>
    <cfRule type="expression" dxfId="7397" priority="4161">
      <formula>#REF!="L"</formula>
    </cfRule>
  </conditionalFormatting>
  <conditionalFormatting sqref="AG48">
    <cfRule type="expression" dxfId="7396" priority="4156">
      <formula>#REF!="TO"</formula>
    </cfRule>
    <cfRule type="expression" dxfId="7395" priority="4157">
      <formula>#REF!="IO"</formula>
    </cfRule>
    <cfRule type="expression" dxfId="7394" priority="4158">
      <formula>#REF!="L"</formula>
    </cfRule>
  </conditionalFormatting>
  <conditionalFormatting sqref="AG49">
    <cfRule type="expression" dxfId="7393" priority="4153">
      <formula>#REF!="TO"</formula>
    </cfRule>
    <cfRule type="expression" dxfId="7392" priority="4154">
      <formula>#REF!="IO"</formula>
    </cfRule>
    <cfRule type="expression" dxfId="7391" priority="4155">
      <formula>#REF!="L"</formula>
    </cfRule>
  </conditionalFormatting>
  <conditionalFormatting sqref="AG50">
    <cfRule type="expression" dxfId="7390" priority="4150">
      <formula>#REF!="TO"</formula>
    </cfRule>
    <cfRule type="expression" dxfId="7389" priority="4151">
      <formula>#REF!="IO"</formula>
    </cfRule>
    <cfRule type="expression" dxfId="7388" priority="4152">
      <formula>#REF!="L"</formula>
    </cfRule>
  </conditionalFormatting>
  <conditionalFormatting sqref="AG51:AG86">
    <cfRule type="expression" dxfId="7387" priority="4147">
      <formula>#REF!="TO"</formula>
    </cfRule>
    <cfRule type="expression" dxfId="7386" priority="4148">
      <formula>#REF!="IO"</formula>
    </cfRule>
    <cfRule type="expression" dxfId="7385" priority="4149">
      <formula>#REF!="L"</formula>
    </cfRule>
  </conditionalFormatting>
  <conditionalFormatting sqref="F51:F86">
    <cfRule type="expression" dxfId="7384" priority="3916">
      <formula>#REF!="TO"</formula>
    </cfRule>
    <cfRule type="expression" dxfId="7383" priority="3917">
      <formula>#REF!="IO"</formula>
    </cfRule>
    <cfRule type="expression" dxfId="7382" priority="3918">
      <formula>#REF!="L"</formula>
    </cfRule>
  </conditionalFormatting>
  <conditionalFormatting sqref="AG28:AG29">
    <cfRule type="expression" dxfId="7381" priority="4141">
      <formula>#REF!="TO"</formula>
    </cfRule>
    <cfRule type="expression" dxfId="7380" priority="4142">
      <formula>#REF!="IO"</formula>
    </cfRule>
    <cfRule type="expression" dxfId="7379" priority="4143">
      <formula>#REF!="L"</formula>
    </cfRule>
    <cfRule type="expression" dxfId="7378" priority="4138">
      <formula>#REF!="TO"</formula>
    </cfRule>
    <cfRule type="expression" dxfId="7377" priority="4139">
      <formula>#REF!="IO"</formula>
    </cfRule>
    <cfRule type="expression" dxfId="7376" priority="4140">
      <formula>#REF!="L"</formula>
    </cfRule>
  </conditionalFormatting>
  <conditionalFormatting sqref="AG3">
    <cfRule type="expression" dxfId="7375" priority="4135">
      <formula>#REF!="TO"</formula>
    </cfRule>
    <cfRule type="expression" dxfId="7374" priority="4136">
      <formula>#REF!="IO"</formula>
    </cfRule>
    <cfRule type="expression" dxfId="7373" priority="4137">
      <formula>#REF!="L"</formula>
    </cfRule>
  </conditionalFormatting>
  <conditionalFormatting sqref="F3">
    <cfRule type="expression" dxfId="7372" priority="3904">
      <formula>#REF!="TO"</formula>
    </cfRule>
    <cfRule type="expression" dxfId="7371" priority="3905">
      <formula>#REF!="IO"</formula>
    </cfRule>
    <cfRule type="expression" dxfId="7370" priority="3906">
      <formula>#REF!="L"</formula>
    </cfRule>
  </conditionalFormatting>
  <conditionalFormatting sqref="AA38:AA41 AA23:AA29">
    <cfRule type="expression" dxfId="7369" priority="3673">
      <formula>#REF!="TO"</formula>
    </cfRule>
    <cfRule type="expression" dxfId="7368" priority="3674">
      <formula>#REF!="IO"</formula>
    </cfRule>
    <cfRule type="expression" dxfId="7367" priority="3675">
      <formula>#REF!="L"</formula>
    </cfRule>
  </conditionalFormatting>
  <conditionalFormatting sqref="E3">
    <cfRule type="expression" dxfId="7366" priority="3898">
      <formula>#REF!="TO"</formula>
    </cfRule>
    <cfRule type="expression" dxfId="7365" priority="3899">
      <formula>#REF!="IO"</formula>
    </cfRule>
    <cfRule type="expression" dxfId="7364" priority="3900">
      <formula>#REF!="L"</formula>
    </cfRule>
    <cfRule type="expression" dxfId="7363" priority="3997">
      <formula>#REF!="TO"</formula>
    </cfRule>
    <cfRule type="expression" dxfId="7362" priority="3998">
      <formula>#REF!="IO"</formula>
    </cfRule>
    <cfRule type="expression" dxfId="7361" priority="3999">
      <formula>#REF!="L"</formula>
    </cfRule>
  </conditionalFormatting>
  <conditionalFormatting sqref="E4">
    <cfRule type="expression" dxfId="7360" priority="3895">
      <formula>#REF!="TO"</formula>
    </cfRule>
    <cfRule type="expression" dxfId="7359" priority="3896">
      <formula>#REF!="IO"</formula>
    </cfRule>
    <cfRule type="expression" dxfId="7358" priority="3897">
      <formula>#REF!="L"</formula>
    </cfRule>
    <cfRule type="expression" dxfId="7357" priority="3811">
      <formula>#REF!="TO"</formula>
    </cfRule>
    <cfRule type="expression" dxfId="7356" priority="3812">
      <formula>#REF!="IO"</formula>
    </cfRule>
    <cfRule type="expression" dxfId="7355" priority="3813">
      <formula>#REF!="L"</formula>
    </cfRule>
    <cfRule type="expression" dxfId="7354" priority="3814">
      <formula>#REF!="TO"</formula>
    </cfRule>
    <cfRule type="expression" dxfId="7353" priority="3815">
      <formula>#REF!="IO"</formula>
    </cfRule>
    <cfRule type="expression" dxfId="7352" priority="3816">
      <formula>#REF!="L"</formula>
    </cfRule>
  </conditionalFormatting>
  <conditionalFormatting sqref="E5">
    <cfRule type="expression" dxfId="7351" priority="3892">
      <formula>#REF!="TO"</formula>
    </cfRule>
    <cfRule type="expression" dxfId="7350" priority="3893">
      <formula>#REF!="IO"</formula>
    </cfRule>
    <cfRule type="expression" dxfId="7349" priority="3894">
      <formula>#REF!="L"</formula>
    </cfRule>
    <cfRule type="expression" dxfId="7348" priority="4078">
      <formula>#REF!="TO"</formula>
    </cfRule>
    <cfRule type="expression" dxfId="7347" priority="4079">
      <formula>#REF!="IO"</formula>
    </cfRule>
    <cfRule type="expression" dxfId="7346" priority="4080">
      <formula>#REF!="L"</formula>
    </cfRule>
    <cfRule type="expression" dxfId="7345" priority="3808">
      <formula>#REF!="TO"</formula>
    </cfRule>
    <cfRule type="expression" dxfId="7344" priority="3809">
      <formula>#REF!="IO"</formula>
    </cfRule>
    <cfRule type="expression" dxfId="7343" priority="3810">
      <formula>#REF!="L"</formula>
    </cfRule>
    <cfRule type="expression" dxfId="7342" priority="3856">
      <formula>#REF!="TO"</formula>
    </cfRule>
    <cfRule type="expression" dxfId="7341" priority="3857">
      <formula>#REF!="IO"</formula>
    </cfRule>
    <cfRule type="expression" dxfId="7340" priority="3858">
      <formula>#REF!="L"</formula>
    </cfRule>
  </conditionalFormatting>
  <conditionalFormatting sqref="E6">
    <cfRule type="expression" dxfId="7339" priority="3889">
      <formula>#REF!="TO"</formula>
    </cfRule>
    <cfRule type="expression" dxfId="7338" priority="3890">
      <formula>#REF!="IO"</formula>
    </cfRule>
    <cfRule type="expression" dxfId="7337" priority="3891">
      <formula>#REF!="L"</formula>
    </cfRule>
    <cfRule type="expression" dxfId="7336" priority="4075">
      <formula>#REF!="TO"</formula>
    </cfRule>
    <cfRule type="expression" dxfId="7335" priority="4076">
      <formula>#REF!="IO"</formula>
    </cfRule>
    <cfRule type="expression" dxfId="7334" priority="4077">
      <formula>#REF!="L"</formula>
    </cfRule>
    <cfRule type="expression" dxfId="7333" priority="3805">
      <formula>#REF!="TO"</formula>
    </cfRule>
    <cfRule type="expression" dxfId="7332" priority="3806">
      <formula>#REF!="IO"</formula>
    </cfRule>
    <cfRule type="expression" dxfId="7331" priority="3807">
      <formula>#REF!="L"</formula>
    </cfRule>
    <cfRule type="expression" dxfId="7330" priority="3853">
      <formula>#REF!="TO"</formula>
    </cfRule>
    <cfRule type="expression" dxfId="7329" priority="3854">
      <formula>#REF!="IO"</formula>
    </cfRule>
    <cfRule type="expression" dxfId="7328" priority="3855">
      <formula>#REF!="L"</formula>
    </cfRule>
  </conditionalFormatting>
  <conditionalFormatting sqref="E7">
    <cfRule type="expression" dxfId="7327" priority="3886">
      <formula>#REF!="TO"</formula>
    </cfRule>
    <cfRule type="expression" dxfId="7326" priority="3887">
      <formula>#REF!="IO"</formula>
    </cfRule>
    <cfRule type="expression" dxfId="7325" priority="3888">
      <formula>#REF!="L"</formula>
    </cfRule>
    <cfRule type="expression" dxfId="7324" priority="4072">
      <formula>#REF!="TO"</formula>
    </cfRule>
    <cfRule type="expression" dxfId="7323" priority="4073">
      <formula>#REF!="IO"</formula>
    </cfRule>
    <cfRule type="expression" dxfId="7322" priority="4074">
      <formula>#REF!="L"</formula>
    </cfRule>
    <cfRule type="expression" dxfId="7321" priority="3802">
      <formula>#REF!="TO"</formula>
    </cfRule>
    <cfRule type="expression" dxfId="7320" priority="3803">
      <formula>#REF!="IO"</formula>
    </cfRule>
    <cfRule type="expression" dxfId="7319" priority="3804">
      <formula>#REF!="L"</formula>
    </cfRule>
    <cfRule type="expression" dxfId="7318" priority="3850">
      <formula>#REF!="TO"</formula>
    </cfRule>
    <cfRule type="expression" dxfId="7317" priority="3851">
      <formula>#REF!="IO"</formula>
    </cfRule>
    <cfRule type="expression" dxfId="7316" priority="3852">
      <formula>#REF!="L"</formula>
    </cfRule>
  </conditionalFormatting>
  <conditionalFormatting sqref="E12">
    <cfRule type="expression" dxfId="7315" priority="3883">
      <formula>#REF!="TO"</formula>
    </cfRule>
    <cfRule type="expression" dxfId="7314" priority="3884">
      <formula>#REF!="IO"</formula>
    </cfRule>
    <cfRule type="expression" dxfId="7313" priority="3885">
      <formula>#REF!="L"</formula>
    </cfRule>
  </conditionalFormatting>
  <conditionalFormatting sqref="E13">
    <cfRule type="expression" dxfId="7312" priority="3880">
      <formula>#REF!="TO"</formula>
    </cfRule>
    <cfRule type="expression" dxfId="7311" priority="3881">
      <formula>#REF!="IO"</formula>
    </cfRule>
    <cfRule type="expression" dxfId="7310" priority="3882">
      <formula>#REF!="L"</formula>
    </cfRule>
    <cfRule type="expression" dxfId="7309" priority="4063">
      <formula>#REF!="TO"</formula>
    </cfRule>
    <cfRule type="expression" dxfId="7308" priority="4064">
      <formula>#REF!="IO"</formula>
    </cfRule>
    <cfRule type="expression" dxfId="7307" priority="4065">
      <formula>#REF!="L"</formula>
    </cfRule>
    <cfRule type="expression" dxfId="7306" priority="3796">
      <formula>#REF!="TO"</formula>
    </cfRule>
    <cfRule type="expression" dxfId="7305" priority="3797">
      <formula>#REF!="IO"</formula>
    </cfRule>
    <cfRule type="expression" dxfId="7304" priority="3798">
      <formula>#REF!="L"</formula>
    </cfRule>
  </conditionalFormatting>
  <conditionalFormatting sqref="E14">
    <cfRule type="expression" dxfId="7303" priority="3877">
      <formula>#REF!="TO"</formula>
    </cfRule>
    <cfRule type="expression" dxfId="7302" priority="3878">
      <formula>#REF!="IO"</formula>
    </cfRule>
    <cfRule type="expression" dxfId="7301" priority="3879">
      <formula>#REF!="L"</formula>
    </cfRule>
    <cfRule type="expression" dxfId="7300" priority="4060">
      <formula>#REF!="TO"</formula>
    </cfRule>
    <cfRule type="expression" dxfId="7299" priority="4061">
      <formula>#REF!="IO"</formula>
    </cfRule>
    <cfRule type="expression" dxfId="7298" priority="4062">
      <formula>#REF!="L"</formula>
    </cfRule>
    <cfRule type="expression" dxfId="7297" priority="3793">
      <formula>#REF!="TO"</formula>
    </cfRule>
    <cfRule type="expression" dxfId="7296" priority="3794">
      <formula>#REF!="IO"</formula>
    </cfRule>
    <cfRule type="expression" dxfId="7295" priority="3795">
      <formula>#REF!="L"</formula>
    </cfRule>
    <cfRule type="expression" dxfId="7294" priority="3841">
      <formula>#REF!="TO"</formula>
    </cfRule>
    <cfRule type="expression" dxfId="7293" priority="3842">
      <formula>#REF!="IO"</formula>
    </cfRule>
    <cfRule type="expression" dxfId="7292" priority="3843">
      <formula>#REF!="L"</formula>
    </cfRule>
  </conditionalFormatting>
  <conditionalFormatting sqref="E15">
    <cfRule type="expression" dxfId="7291" priority="3874">
      <formula>#REF!="TO"</formula>
    </cfRule>
    <cfRule type="expression" dxfId="7290" priority="3875">
      <formula>#REF!="IO"</formula>
    </cfRule>
    <cfRule type="expression" dxfId="7289" priority="3876">
      <formula>#REF!="L"</formula>
    </cfRule>
    <cfRule type="expression" dxfId="7288" priority="4057">
      <formula>#REF!="TO"</formula>
    </cfRule>
    <cfRule type="expression" dxfId="7287" priority="4058">
      <formula>#REF!="IO"</formula>
    </cfRule>
    <cfRule type="expression" dxfId="7286" priority="4059">
      <formula>#REF!="L"</formula>
    </cfRule>
    <cfRule type="expression" dxfId="7285" priority="3790">
      <formula>#REF!="TO"</formula>
    </cfRule>
    <cfRule type="expression" dxfId="7284" priority="3791">
      <formula>#REF!="IO"</formula>
    </cfRule>
    <cfRule type="expression" dxfId="7283" priority="3792">
      <formula>#REF!="L"</formula>
    </cfRule>
    <cfRule type="expression" dxfId="7282" priority="3838">
      <formula>#REF!="TO"</formula>
    </cfRule>
    <cfRule type="expression" dxfId="7281" priority="3839">
      <formula>#REF!="IO"</formula>
    </cfRule>
    <cfRule type="expression" dxfId="7280" priority="3840">
      <formula>#REF!="L"</formula>
    </cfRule>
  </conditionalFormatting>
  <conditionalFormatting sqref="E16">
    <cfRule type="expression" dxfId="7279" priority="3871">
      <formula>#REF!="TO"</formula>
    </cfRule>
    <cfRule type="expression" dxfId="7278" priority="3872">
      <formula>#REF!="IO"</formula>
    </cfRule>
    <cfRule type="expression" dxfId="7277" priority="3873">
      <formula>#REF!="L"</formula>
    </cfRule>
    <cfRule type="expression" dxfId="7276" priority="4054">
      <formula>#REF!="TO"</formula>
    </cfRule>
    <cfRule type="expression" dxfId="7275" priority="4055">
      <formula>#REF!="IO"</formula>
    </cfRule>
    <cfRule type="expression" dxfId="7274" priority="4056">
      <formula>#REF!="L"</formula>
    </cfRule>
    <cfRule type="expression" dxfId="7273" priority="3787">
      <formula>#REF!="TO"</formula>
    </cfRule>
    <cfRule type="expression" dxfId="7272" priority="3788">
      <formula>#REF!="IO"</formula>
    </cfRule>
    <cfRule type="expression" dxfId="7271" priority="3789">
      <formula>#REF!="L"</formula>
    </cfRule>
    <cfRule type="expression" dxfId="7270" priority="3835">
      <formula>#REF!="TO"</formula>
    </cfRule>
    <cfRule type="expression" dxfId="7269" priority="3836">
      <formula>#REF!="IO"</formula>
    </cfRule>
    <cfRule type="expression" dxfId="7268" priority="3837">
      <formula>#REF!="L"</formula>
    </cfRule>
  </conditionalFormatting>
  <conditionalFormatting sqref="E17">
    <cfRule type="expression" dxfId="7267" priority="3868">
      <formula>#REF!="TO"</formula>
    </cfRule>
    <cfRule type="expression" dxfId="7266" priority="3869">
      <formula>#REF!="IO"</formula>
    </cfRule>
    <cfRule type="expression" dxfId="7265" priority="3870">
      <formula>#REF!="L"</formula>
    </cfRule>
    <cfRule type="expression" dxfId="7264" priority="4051">
      <formula>#REF!="TO"</formula>
    </cfRule>
    <cfRule type="expression" dxfId="7263" priority="4052">
      <formula>#REF!="IO"</formula>
    </cfRule>
    <cfRule type="expression" dxfId="7262" priority="4053">
      <formula>#REF!="L"</formula>
    </cfRule>
    <cfRule type="expression" dxfId="7261" priority="3784">
      <formula>#REF!="TO"</formula>
    </cfRule>
    <cfRule type="expression" dxfId="7260" priority="3785">
      <formula>#REF!="IO"</formula>
    </cfRule>
    <cfRule type="expression" dxfId="7259" priority="3786">
      <formula>#REF!="L"</formula>
    </cfRule>
    <cfRule type="expression" dxfId="7258" priority="3832">
      <formula>#REF!="TO"</formula>
    </cfRule>
    <cfRule type="expression" dxfId="7257" priority="3833">
      <formula>#REF!="IO"</formula>
    </cfRule>
    <cfRule type="expression" dxfId="7256" priority="3834">
      <formula>#REF!="L"</formula>
    </cfRule>
  </conditionalFormatting>
  <conditionalFormatting sqref="E18">
    <cfRule type="expression" dxfId="7255" priority="3865">
      <formula>#REF!="TO"</formula>
    </cfRule>
    <cfRule type="expression" dxfId="7254" priority="3866">
      <formula>#REF!="IO"</formula>
    </cfRule>
    <cfRule type="expression" dxfId="7253" priority="3867">
      <formula>#REF!="L"</formula>
    </cfRule>
    <cfRule type="expression" dxfId="7252" priority="4048">
      <formula>#REF!="TO"</formula>
    </cfRule>
    <cfRule type="expression" dxfId="7251" priority="4049">
      <formula>#REF!="IO"</formula>
    </cfRule>
    <cfRule type="expression" dxfId="7250" priority="4050">
      <formula>#REF!="L"</formula>
    </cfRule>
    <cfRule type="expression" dxfId="7249" priority="3781">
      <formula>#REF!="TO"</formula>
    </cfRule>
    <cfRule type="expression" dxfId="7248" priority="3782">
      <formula>#REF!="IO"</formula>
    </cfRule>
    <cfRule type="expression" dxfId="7247" priority="3783">
      <formula>#REF!="L"</formula>
    </cfRule>
    <cfRule type="expression" dxfId="7246" priority="3829">
      <formula>#REF!="TO"</formula>
    </cfRule>
    <cfRule type="expression" dxfId="7245" priority="3830">
      <formula>#REF!="IO"</formula>
    </cfRule>
    <cfRule type="expression" dxfId="7244" priority="3831">
      <formula>#REF!="L"</formula>
    </cfRule>
  </conditionalFormatting>
  <conditionalFormatting sqref="E19">
    <cfRule type="expression" dxfId="7243" priority="3862">
      <formula>#REF!="TO"</formula>
    </cfRule>
    <cfRule type="expression" dxfId="7242" priority="3863">
      <formula>#REF!="IO"</formula>
    </cfRule>
    <cfRule type="expression" dxfId="7241" priority="3864">
      <formula>#REF!="L"</formula>
    </cfRule>
    <cfRule type="expression" dxfId="7240" priority="4045">
      <formula>#REF!="TO"</formula>
    </cfRule>
    <cfRule type="expression" dxfId="7239" priority="4046">
      <formula>#REF!="IO"</formula>
    </cfRule>
    <cfRule type="expression" dxfId="7238" priority="4047">
      <formula>#REF!="L"</formula>
    </cfRule>
    <cfRule type="expression" dxfId="7237" priority="3778">
      <formula>#REF!="TO"</formula>
    </cfRule>
    <cfRule type="expression" dxfId="7236" priority="3779">
      <formula>#REF!="IO"</formula>
    </cfRule>
    <cfRule type="expression" dxfId="7235" priority="3780">
      <formula>#REF!="L"</formula>
    </cfRule>
    <cfRule type="expression" dxfId="7234" priority="3826">
      <formula>#REF!="TO"</formula>
    </cfRule>
    <cfRule type="expression" dxfId="7233" priority="3827">
      <formula>#REF!="IO"</formula>
    </cfRule>
    <cfRule type="expression" dxfId="7232" priority="3828">
      <formula>#REF!="L"</formula>
    </cfRule>
  </conditionalFormatting>
  <conditionalFormatting sqref="AF18">
    <cfRule type="expression" dxfId="7231" priority="4279">
      <formula>#REF!="TO"</formula>
    </cfRule>
    <cfRule type="expression" dxfId="7230" priority="4280">
      <formula>#REF!="IO"</formula>
    </cfRule>
    <cfRule type="expression" dxfId="7229" priority="4281">
      <formula>#REF!="L"</formula>
    </cfRule>
  </conditionalFormatting>
  <conditionalFormatting sqref="AF20">
    <cfRule type="expression" dxfId="7228" priority="4273">
      <formula>#REF!="TO"</formula>
    </cfRule>
    <cfRule type="expression" dxfId="7227" priority="4274">
      <formula>#REF!="IO"</formula>
    </cfRule>
    <cfRule type="expression" dxfId="7226" priority="4275">
      <formula>#REF!="L"</formula>
    </cfRule>
  </conditionalFormatting>
  <conditionalFormatting sqref="AF21">
    <cfRule type="expression" dxfId="7225" priority="4270">
      <formula>#REF!="TO"</formula>
    </cfRule>
    <cfRule type="expression" dxfId="7224" priority="4271">
      <formula>#REF!="IO"</formula>
    </cfRule>
    <cfRule type="expression" dxfId="7223" priority="4272">
      <formula>#REF!="L"</formula>
    </cfRule>
  </conditionalFormatting>
  <conditionalFormatting sqref="AF22:AF29">
    <cfRule type="expression" dxfId="7222" priority="4267">
      <formula>#REF!="TO"</formula>
    </cfRule>
    <cfRule type="expression" dxfId="7221" priority="4268">
      <formula>#REF!="IO"</formula>
    </cfRule>
    <cfRule type="expression" dxfId="7220" priority="4269">
      <formula>#REF!="L"</formula>
    </cfRule>
  </conditionalFormatting>
  <conditionalFormatting sqref="AF42">
    <cfRule type="expression" dxfId="7219" priority="4264">
      <formula>#REF!="TO"</formula>
    </cfRule>
    <cfRule type="expression" dxfId="7218" priority="4265">
      <formula>#REF!="IO"</formula>
    </cfRule>
    <cfRule type="expression" dxfId="7217" priority="4266">
      <formula>#REF!="L"</formula>
    </cfRule>
  </conditionalFormatting>
  <conditionalFormatting sqref="AF43">
    <cfRule type="expression" dxfId="7216" priority="4261">
      <formula>#REF!="TO"</formula>
    </cfRule>
    <cfRule type="expression" dxfId="7215" priority="4262">
      <formula>#REF!="IO"</formula>
    </cfRule>
    <cfRule type="expression" dxfId="7214" priority="4263">
      <formula>#REF!="L"</formula>
    </cfRule>
  </conditionalFormatting>
  <conditionalFormatting sqref="AF44">
    <cfRule type="expression" dxfId="7213" priority="4258">
      <formula>#REF!="TO"</formula>
    </cfRule>
    <cfRule type="expression" dxfId="7212" priority="4259">
      <formula>#REF!="IO"</formula>
    </cfRule>
    <cfRule type="expression" dxfId="7211" priority="4260">
      <formula>#REF!="L"</formula>
    </cfRule>
  </conditionalFormatting>
  <conditionalFormatting sqref="AF45">
    <cfRule type="expression" dxfId="7210" priority="4255">
      <formula>#REF!="TO"</formula>
    </cfRule>
    <cfRule type="expression" dxfId="7209" priority="4256">
      <formula>#REF!="IO"</formula>
    </cfRule>
    <cfRule type="expression" dxfId="7208" priority="4257">
      <formula>#REF!="L"</formula>
    </cfRule>
  </conditionalFormatting>
  <conditionalFormatting sqref="AF46">
    <cfRule type="expression" dxfId="7207" priority="4252">
      <formula>#REF!="TO"</formula>
    </cfRule>
    <cfRule type="expression" dxfId="7206" priority="4253">
      <formula>#REF!="IO"</formula>
    </cfRule>
    <cfRule type="expression" dxfId="7205" priority="4254">
      <formula>#REF!="L"</formula>
    </cfRule>
  </conditionalFormatting>
  <conditionalFormatting sqref="AF47">
    <cfRule type="expression" dxfId="7204" priority="4249">
      <formula>#REF!="TO"</formula>
    </cfRule>
    <cfRule type="expression" dxfId="7203" priority="4250">
      <formula>#REF!="IO"</formula>
    </cfRule>
    <cfRule type="expression" dxfId="7202" priority="4251">
      <formula>#REF!="L"</formula>
    </cfRule>
  </conditionalFormatting>
  <conditionalFormatting sqref="AF48">
    <cfRule type="expression" dxfId="7201" priority="4246">
      <formula>#REF!="TO"</formula>
    </cfRule>
    <cfRule type="expression" dxfId="7200" priority="4247">
      <formula>#REF!="IO"</formula>
    </cfRule>
    <cfRule type="expression" dxfId="7199" priority="4248">
      <formula>#REF!="L"</formula>
    </cfRule>
  </conditionalFormatting>
  <conditionalFormatting sqref="AF49">
    <cfRule type="expression" dxfId="7198" priority="4243">
      <formula>#REF!="TO"</formula>
    </cfRule>
    <cfRule type="expression" dxfId="7197" priority="4244">
      <formula>#REF!="IO"</formula>
    </cfRule>
    <cfRule type="expression" dxfId="7196" priority="4245">
      <formula>#REF!="L"</formula>
    </cfRule>
  </conditionalFormatting>
  <conditionalFormatting sqref="AF50">
    <cfRule type="expression" dxfId="7195" priority="4240">
      <formula>#REF!="TO"</formula>
    </cfRule>
    <cfRule type="expression" dxfId="7194" priority="4241">
      <formula>#REF!="IO"</formula>
    </cfRule>
    <cfRule type="expression" dxfId="7193" priority="4242">
      <formula>#REF!="L"</formula>
    </cfRule>
  </conditionalFormatting>
  <conditionalFormatting sqref="AF51:AF86">
    <cfRule type="expression" dxfId="7192" priority="4237">
      <formula>#REF!="TO"</formula>
    </cfRule>
    <cfRule type="expression" dxfId="7191" priority="4238">
      <formula>#REF!="IO"</formula>
    </cfRule>
    <cfRule type="expression" dxfId="7190" priority="4239">
      <formula>#REF!="L"</formula>
    </cfRule>
  </conditionalFormatting>
  <conditionalFormatting sqref="AF28:AF29">
    <cfRule type="expression" dxfId="7189" priority="4234">
      <formula>#REF!="TO"</formula>
    </cfRule>
    <cfRule type="expression" dxfId="7188" priority="4235">
      <formula>#REF!="IO"</formula>
    </cfRule>
    <cfRule type="expression" dxfId="7187" priority="4236">
      <formula>#REF!="L"</formula>
    </cfRule>
    <cfRule type="expression" dxfId="7186" priority="4231">
      <formula>#REF!="TO"</formula>
    </cfRule>
    <cfRule type="expression" dxfId="7185" priority="4232">
      <formula>#REF!="IO"</formula>
    </cfRule>
    <cfRule type="expression" dxfId="7184" priority="4233">
      <formula>#REF!="L"</formula>
    </cfRule>
  </conditionalFormatting>
  <conditionalFormatting sqref="AF3">
    <cfRule type="expression" dxfId="7183" priority="4228">
      <formula>#REF!="TO"</formula>
    </cfRule>
    <cfRule type="expression" dxfId="7182" priority="4229">
      <formula>#REF!="IO"</formula>
    </cfRule>
    <cfRule type="expression" dxfId="7181" priority="4230">
      <formula>#REF!="L"</formula>
    </cfRule>
  </conditionalFormatting>
  <conditionalFormatting sqref="AG2 AG4">
    <cfRule type="expression" dxfId="7180" priority="4225">
      <formula>#REF!="TO"</formula>
    </cfRule>
    <cfRule type="expression" dxfId="7179" priority="4226">
      <formula>#REF!="IO"</formula>
    </cfRule>
    <cfRule type="expression" dxfId="7178" priority="4227">
      <formula>#REF!="L"</formula>
    </cfRule>
  </conditionalFormatting>
  <conditionalFormatting sqref="AG38:AG41 AG23:AG29">
    <cfRule type="expression" dxfId="7177" priority="4222">
      <formula>#REF!="TO"</formula>
    </cfRule>
    <cfRule type="expression" dxfId="7176" priority="4223">
      <formula>#REF!="IO"</formula>
    </cfRule>
    <cfRule type="expression" dxfId="7175" priority="4224">
      <formula>#REF!="L"</formula>
    </cfRule>
  </conditionalFormatting>
  <conditionalFormatting sqref="AG5">
    <cfRule type="expression" dxfId="7174" priority="4219">
      <formula>#REF!="TO"</formula>
    </cfRule>
    <cfRule type="expression" dxfId="7173" priority="4220">
      <formula>#REF!="IO"</formula>
    </cfRule>
    <cfRule type="expression" dxfId="7172" priority="4221">
      <formula>#REF!="L"</formula>
    </cfRule>
  </conditionalFormatting>
  <conditionalFormatting sqref="AG6">
    <cfRule type="expression" dxfId="7171" priority="4216">
      <formula>#REF!="TO"</formula>
    </cfRule>
    <cfRule type="expression" dxfId="7170" priority="4217">
      <formula>#REF!="IO"</formula>
    </cfRule>
    <cfRule type="expression" dxfId="7169" priority="4218">
      <formula>#REF!="L"</formula>
    </cfRule>
  </conditionalFormatting>
  <conditionalFormatting sqref="AG7">
    <cfRule type="expression" dxfId="7168" priority="4213">
      <formula>#REF!="TO"</formula>
    </cfRule>
    <cfRule type="expression" dxfId="7167" priority="4214">
      <formula>#REF!="IO"</formula>
    </cfRule>
    <cfRule type="expression" dxfId="7166" priority="4215">
      <formula>#REF!="L"</formula>
    </cfRule>
  </conditionalFormatting>
  <conditionalFormatting sqref="AG8">
    <cfRule type="expression" dxfId="7165" priority="4210">
      <formula>#REF!="TO"</formula>
    </cfRule>
    <cfRule type="expression" dxfId="7164" priority="4211">
      <formula>#REF!="IO"</formula>
    </cfRule>
    <cfRule type="expression" dxfId="7163" priority="4212">
      <formula>#REF!="L"</formula>
    </cfRule>
  </conditionalFormatting>
  <conditionalFormatting sqref="AG9:AG12">
    <cfRule type="expression" dxfId="7162" priority="4207">
      <formula>#REF!="TO"</formula>
    </cfRule>
    <cfRule type="expression" dxfId="7161" priority="4208">
      <formula>#REF!="IO"</formula>
    </cfRule>
    <cfRule type="expression" dxfId="7160" priority="4209">
      <formula>#REF!="L"</formula>
    </cfRule>
  </conditionalFormatting>
  <conditionalFormatting sqref="AG13">
    <cfRule type="expression" dxfId="7159" priority="4204">
      <formula>#REF!="TO"</formula>
    </cfRule>
    <cfRule type="expression" dxfId="7158" priority="4205">
      <formula>#REF!="IO"</formula>
    </cfRule>
    <cfRule type="expression" dxfId="7157" priority="4206">
      <formula>#REF!="L"</formula>
    </cfRule>
  </conditionalFormatting>
  <conditionalFormatting sqref="AG14">
    <cfRule type="expression" dxfId="7156" priority="4201">
      <formula>#REF!="TO"</formula>
    </cfRule>
    <cfRule type="expression" dxfId="7155" priority="4202">
      <formula>#REF!="IO"</formula>
    </cfRule>
    <cfRule type="expression" dxfId="7154" priority="4203">
      <formula>#REF!="L"</formula>
    </cfRule>
  </conditionalFormatting>
  <conditionalFormatting sqref="AG15">
    <cfRule type="expression" dxfId="7153" priority="4198">
      <formula>#REF!="TO"</formula>
    </cfRule>
    <cfRule type="expression" dxfId="7152" priority="4199">
      <formula>#REF!="IO"</formula>
    </cfRule>
    <cfRule type="expression" dxfId="7151" priority="4200">
      <formula>#REF!="L"</formula>
    </cfRule>
  </conditionalFormatting>
  <conditionalFormatting sqref="AG17">
    <cfRule type="expression" dxfId="7150" priority="4192">
      <formula>#REF!="TO"</formula>
    </cfRule>
    <cfRule type="expression" dxfId="7149" priority="4193">
      <formula>#REF!="IO"</formula>
    </cfRule>
    <cfRule type="expression" dxfId="7148" priority="4194">
      <formula>#REF!="L"</formula>
    </cfRule>
  </conditionalFormatting>
  <conditionalFormatting sqref="AG18">
    <cfRule type="expression" dxfId="7147" priority="4189">
      <formula>#REF!="TO"</formula>
    </cfRule>
    <cfRule type="expression" dxfId="7146" priority="4190">
      <formula>#REF!="IO"</formula>
    </cfRule>
    <cfRule type="expression" dxfId="7145" priority="4191">
      <formula>#REF!="L"</formula>
    </cfRule>
  </conditionalFormatting>
  <conditionalFormatting sqref="AG19">
    <cfRule type="expression" dxfId="7144" priority="4186">
      <formula>#REF!="TO"</formula>
    </cfRule>
    <cfRule type="expression" dxfId="7143" priority="4187">
      <formula>#REF!="IO"</formula>
    </cfRule>
    <cfRule type="expression" dxfId="7142" priority="4188">
      <formula>#REF!="L"</formula>
    </cfRule>
  </conditionalFormatting>
  <conditionalFormatting sqref="AG21">
    <cfRule type="expression" dxfId="7141" priority="4180">
      <formula>#REF!="TO"</formula>
    </cfRule>
    <cfRule type="expression" dxfId="7140" priority="4181">
      <formula>#REF!="IO"</formula>
    </cfRule>
    <cfRule type="expression" dxfId="7139" priority="4182">
      <formula>#REF!="L"</formula>
    </cfRule>
  </conditionalFormatting>
  <conditionalFormatting sqref="D2:D22">
    <cfRule type="expression" dxfId="7138" priority="9874">
      <formula>XDZ2="TO"</formula>
    </cfRule>
    <cfRule type="expression" dxfId="7137" priority="9875">
      <formula>XDZ2="IO"</formula>
    </cfRule>
    <cfRule type="expression" dxfId="7136" priority="9876">
      <formula>XDZ2="L"</formula>
    </cfRule>
  </conditionalFormatting>
  <conditionalFormatting sqref="E2 E4">
    <cfRule type="expression" dxfId="7135" priority="4084">
      <formula>#REF!="TO"</formula>
    </cfRule>
    <cfRule type="expression" dxfId="7134" priority="4085">
      <formula>#REF!="IO"</formula>
    </cfRule>
    <cfRule type="expression" dxfId="7133" priority="4086">
      <formula>#REF!="L"</formula>
    </cfRule>
  </conditionalFormatting>
  <conditionalFormatting sqref="E38:E41 E22:E29">
    <cfRule type="expression" dxfId="7132" priority="4081">
      <formula>#REF!="TO"</formula>
    </cfRule>
    <cfRule type="expression" dxfId="7131" priority="4082">
      <formula>#REF!="IO"</formula>
    </cfRule>
    <cfRule type="expression" dxfId="7130" priority="4083">
      <formula>#REF!="L"</formula>
    </cfRule>
  </conditionalFormatting>
  <conditionalFormatting sqref="E8">
    <cfRule type="expression" dxfId="7129" priority="4069">
      <formula>#REF!="TO"</formula>
    </cfRule>
    <cfRule type="expression" dxfId="7128" priority="4070">
      <formula>#REF!="IO"</formula>
    </cfRule>
    <cfRule type="expression" dxfId="7127" priority="4071">
      <formula>#REF!="L"</formula>
    </cfRule>
    <cfRule type="expression" dxfId="7126" priority="3799">
      <formula>#REF!="TO"</formula>
    </cfRule>
    <cfRule type="expression" dxfId="7125" priority="3800">
      <formula>#REF!="IO"</formula>
    </cfRule>
    <cfRule type="expression" dxfId="7124" priority="3801">
      <formula>#REF!="L"</formula>
    </cfRule>
    <cfRule type="expression" dxfId="7123" priority="3847">
      <formula>#REF!="TO"</formula>
    </cfRule>
    <cfRule type="expression" dxfId="7122" priority="3848">
      <formula>#REF!="IO"</formula>
    </cfRule>
    <cfRule type="expression" dxfId="7121" priority="3849">
      <formula>#REF!="L"</formula>
    </cfRule>
  </conditionalFormatting>
  <conditionalFormatting sqref="E8:E13">
    <cfRule type="expression" dxfId="7120" priority="4066">
      <formula>#REF!="TO"</formula>
    </cfRule>
    <cfRule type="expression" dxfId="7119" priority="4067">
      <formula>#REF!="IO"</formula>
    </cfRule>
    <cfRule type="expression" dxfId="7118" priority="4068">
      <formula>#REF!="L"</formula>
    </cfRule>
  </conditionalFormatting>
  <conditionalFormatting sqref="E21">
    <cfRule type="expression" dxfId="7117" priority="4039">
      <formula>#REF!="TO"</formula>
    </cfRule>
    <cfRule type="expression" dxfId="7116" priority="4040">
      <formula>#REF!="IO"</formula>
    </cfRule>
    <cfRule type="expression" dxfId="7115" priority="4041">
      <formula>#REF!="L"</formula>
    </cfRule>
    <cfRule type="expression" dxfId="7114" priority="3772">
      <formula>#REF!="TO"</formula>
    </cfRule>
    <cfRule type="expression" dxfId="7113" priority="3773">
      <formula>#REF!="IO"</formula>
    </cfRule>
    <cfRule type="expression" dxfId="7112" priority="3774">
      <formula>#REF!="L"</formula>
    </cfRule>
    <cfRule type="expression" dxfId="7111" priority="3820">
      <formula>#REF!="TO"</formula>
    </cfRule>
    <cfRule type="expression" dxfId="7110" priority="3821">
      <formula>#REF!="IO"</formula>
    </cfRule>
    <cfRule type="expression" dxfId="7109" priority="3822">
      <formula>#REF!="L"</formula>
    </cfRule>
  </conditionalFormatting>
  <conditionalFormatting sqref="E21:E29">
    <cfRule type="expression" dxfId="7108" priority="4036">
      <formula>#REF!="TO"</formula>
    </cfRule>
    <cfRule type="expression" dxfId="7107" priority="4037">
      <formula>#REF!="IO"</formula>
    </cfRule>
    <cfRule type="expression" dxfId="7106" priority="4038">
      <formula>#REF!="L"</formula>
    </cfRule>
  </conditionalFormatting>
  <conditionalFormatting sqref="E42">
    <cfRule type="expression" dxfId="7105" priority="4033">
      <formula>#REF!="TO"</formula>
    </cfRule>
    <cfRule type="expression" dxfId="7104" priority="4034">
      <formula>#REF!="IO"</formula>
    </cfRule>
    <cfRule type="expression" dxfId="7103" priority="4035">
      <formula>#REF!="L"</formula>
    </cfRule>
  </conditionalFormatting>
  <conditionalFormatting sqref="E43">
    <cfRule type="expression" dxfId="7102" priority="4030">
      <formula>#REF!="TO"</formula>
    </cfRule>
    <cfRule type="expression" dxfId="7101" priority="4031">
      <formula>#REF!="IO"</formula>
    </cfRule>
    <cfRule type="expression" dxfId="7100" priority="4032">
      <formula>#REF!="L"</formula>
    </cfRule>
  </conditionalFormatting>
  <conditionalFormatting sqref="E44">
    <cfRule type="expression" dxfId="7099" priority="4027">
      <formula>#REF!="TO"</formula>
    </cfRule>
    <cfRule type="expression" dxfId="7098" priority="4028">
      <formula>#REF!="IO"</formula>
    </cfRule>
    <cfRule type="expression" dxfId="7097" priority="4029">
      <formula>#REF!="L"</formula>
    </cfRule>
  </conditionalFormatting>
  <conditionalFormatting sqref="E45">
    <cfRule type="expression" dxfId="7096" priority="4024">
      <formula>#REF!="TO"</formula>
    </cfRule>
    <cfRule type="expression" dxfId="7095" priority="4025">
      <formula>#REF!="IO"</formula>
    </cfRule>
    <cfRule type="expression" dxfId="7094" priority="4026">
      <formula>#REF!="L"</formula>
    </cfRule>
  </conditionalFormatting>
  <conditionalFormatting sqref="E46">
    <cfRule type="expression" dxfId="7093" priority="4021">
      <formula>#REF!="TO"</formula>
    </cfRule>
    <cfRule type="expression" dxfId="7092" priority="4022">
      <formula>#REF!="IO"</formula>
    </cfRule>
    <cfRule type="expression" dxfId="7091" priority="4023">
      <formula>#REF!="L"</formula>
    </cfRule>
  </conditionalFormatting>
  <conditionalFormatting sqref="E47">
    <cfRule type="expression" dxfId="7090" priority="4018">
      <formula>#REF!="TO"</formula>
    </cfRule>
    <cfRule type="expression" dxfId="7089" priority="4019">
      <formula>#REF!="IO"</formula>
    </cfRule>
    <cfRule type="expression" dxfId="7088" priority="4020">
      <formula>#REF!="L"</formula>
    </cfRule>
  </conditionalFormatting>
  <conditionalFormatting sqref="E48">
    <cfRule type="expression" dxfId="7087" priority="4015">
      <formula>#REF!="TO"</formula>
    </cfRule>
    <cfRule type="expression" dxfId="7086" priority="4016">
      <formula>#REF!="IO"</formula>
    </cfRule>
    <cfRule type="expression" dxfId="7085" priority="4017">
      <formula>#REF!="L"</formula>
    </cfRule>
  </conditionalFormatting>
  <conditionalFormatting sqref="E49">
    <cfRule type="expression" dxfId="7084" priority="4012">
      <formula>#REF!="TO"</formula>
    </cfRule>
    <cfRule type="expression" dxfId="7083" priority="4013">
      <formula>#REF!="IO"</formula>
    </cfRule>
    <cfRule type="expression" dxfId="7082" priority="4014">
      <formula>#REF!="L"</formula>
    </cfRule>
  </conditionalFormatting>
  <conditionalFormatting sqref="E50">
    <cfRule type="expression" dxfId="7081" priority="4009">
      <formula>#REF!="TO"</formula>
    </cfRule>
    <cfRule type="expression" dxfId="7080" priority="4010">
      <formula>#REF!="IO"</formula>
    </cfRule>
    <cfRule type="expression" dxfId="7079" priority="4011">
      <formula>#REF!="L"</formula>
    </cfRule>
  </conditionalFormatting>
  <conditionalFormatting sqref="E51:E86">
    <cfRule type="expression" dxfId="7078" priority="4006">
      <formula>#REF!="TO"</formula>
    </cfRule>
    <cfRule type="expression" dxfId="7077" priority="4007">
      <formula>#REF!="IO"</formula>
    </cfRule>
    <cfRule type="expression" dxfId="7076" priority="4008">
      <formula>#REF!="L"</formula>
    </cfRule>
  </conditionalFormatting>
  <conditionalFormatting sqref="E28:E29">
    <cfRule type="expression" dxfId="7075" priority="4003">
      <formula>#REF!="TO"</formula>
    </cfRule>
    <cfRule type="expression" dxfId="7074" priority="4004">
      <formula>#REF!="IO"</formula>
    </cfRule>
    <cfRule type="expression" dxfId="7073" priority="4005">
      <formula>#REF!="L"</formula>
    </cfRule>
    <cfRule type="expression" dxfId="7072" priority="4000">
      <formula>#REF!="TO"</formula>
    </cfRule>
    <cfRule type="expression" dxfId="7071" priority="4001">
      <formula>#REF!="IO"</formula>
    </cfRule>
    <cfRule type="expression" dxfId="7070" priority="4002">
      <formula>#REF!="L"</formula>
    </cfRule>
  </conditionalFormatting>
  <conditionalFormatting sqref="F2 F4">
    <cfRule type="expression" dxfId="7069" priority="3994">
      <formula>#REF!="TO"</formula>
    </cfRule>
    <cfRule type="expression" dxfId="7068" priority="3995">
      <formula>#REF!="IO"</formula>
    </cfRule>
    <cfRule type="expression" dxfId="7067" priority="3996">
      <formula>#REF!="L"</formula>
    </cfRule>
  </conditionalFormatting>
  <conditionalFormatting sqref="F38:F41 F23:F29">
    <cfRule type="expression" dxfId="7066" priority="3991">
      <formula>#REF!="TO"</formula>
    </cfRule>
    <cfRule type="expression" dxfId="7065" priority="3992">
      <formula>#REF!="IO"</formula>
    </cfRule>
    <cfRule type="expression" dxfId="7064" priority="3993">
      <formula>#REF!="L"</formula>
    </cfRule>
  </conditionalFormatting>
  <conditionalFormatting sqref="F5">
    <cfRule type="expression" dxfId="7063" priority="3988">
      <formula>#REF!="TO"</formula>
    </cfRule>
    <cfRule type="expression" dxfId="7062" priority="3989">
      <formula>#REF!="IO"</formula>
    </cfRule>
    <cfRule type="expression" dxfId="7061" priority="3990">
      <formula>#REF!="L"</formula>
    </cfRule>
  </conditionalFormatting>
  <conditionalFormatting sqref="F6">
    <cfRule type="expression" dxfId="7060" priority="3985">
      <formula>#REF!="TO"</formula>
    </cfRule>
    <cfRule type="expression" dxfId="7059" priority="3986">
      <formula>#REF!="IO"</formula>
    </cfRule>
    <cfRule type="expression" dxfId="7058" priority="3987">
      <formula>#REF!="L"</formula>
    </cfRule>
  </conditionalFormatting>
  <conditionalFormatting sqref="F7">
    <cfRule type="expression" dxfId="7057" priority="3982">
      <formula>#REF!="TO"</formula>
    </cfRule>
    <cfRule type="expression" dxfId="7056" priority="3983">
      <formula>#REF!="IO"</formula>
    </cfRule>
    <cfRule type="expression" dxfId="7055" priority="3984">
      <formula>#REF!="L"</formula>
    </cfRule>
  </conditionalFormatting>
  <conditionalFormatting sqref="F8">
    <cfRule type="expression" dxfId="7054" priority="3979">
      <formula>#REF!="TO"</formula>
    </cfRule>
    <cfRule type="expression" dxfId="7053" priority="3980">
      <formula>#REF!="IO"</formula>
    </cfRule>
    <cfRule type="expression" dxfId="7052" priority="3981">
      <formula>#REF!="L"</formula>
    </cfRule>
  </conditionalFormatting>
  <conditionalFormatting sqref="F9:F12">
    <cfRule type="expression" dxfId="7051" priority="3976">
      <formula>#REF!="TO"</formula>
    </cfRule>
    <cfRule type="expression" dxfId="7050" priority="3977">
      <formula>#REF!="IO"</formula>
    </cfRule>
    <cfRule type="expression" dxfId="7049" priority="3978">
      <formula>#REF!="L"</formula>
    </cfRule>
  </conditionalFormatting>
  <conditionalFormatting sqref="F13">
    <cfRule type="expression" dxfId="7048" priority="3973">
      <formula>#REF!="TO"</formula>
    </cfRule>
    <cfRule type="expression" dxfId="7047" priority="3974">
      <formula>#REF!="IO"</formula>
    </cfRule>
    <cfRule type="expression" dxfId="7046" priority="3975">
      <formula>#REF!="L"</formula>
    </cfRule>
  </conditionalFormatting>
  <conditionalFormatting sqref="F14">
    <cfRule type="expression" dxfId="7045" priority="3970">
      <formula>#REF!="TO"</formula>
    </cfRule>
    <cfRule type="expression" dxfId="7044" priority="3971">
      <formula>#REF!="IO"</formula>
    </cfRule>
    <cfRule type="expression" dxfId="7043" priority="3972">
      <formula>#REF!="L"</formula>
    </cfRule>
  </conditionalFormatting>
  <conditionalFormatting sqref="F15">
    <cfRule type="expression" dxfId="7042" priority="3967">
      <formula>#REF!="TO"</formula>
    </cfRule>
    <cfRule type="expression" dxfId="7041" priority="3968">
      <formula>#REF!="IO"</formula>
    </cfRule>
    <cfRule type="expression" dxfId="7040" priority="3969">
      <formula>#REF!="L"</formula>
    </cfRule>
  </conditionalFormatting>
  <conditionalFormatting sqref="F16">
    <cfRule type="expression" dxfId="7039" priority="3964">
      <formula>#REF!="TO"</formula>
    </cfRule>
    <cfRule type="expression" dxfId="7038" priority="3965">
      <formula>#REF!="IO"</formula>
    </cfRule>
    <cfRule type="expression" dxfId="7037" priority="3966">
      <formula>#REF!="L"</formula>
    </cfRule>
  </conditionalFormatting>
  <conditionalFormatting sqref="F17">
    <cfRule type="expression" dxfId="7036" priority="3961">
      <formula>#REF!="TO"</formula>
    </cfRule>
    <cfRule type="expression" dxfId="7035" priority="3962">
      <formula>#REF!="IO"</formula>
    </cfRule>
    <cfRule type="expression" dxfId="7034" priority="3963">
      <formula>#REF!="L"</formula>
    </cfRule>
  </conditionalFormatting>
  <conditionalFormatting sqref="F18">
    <cfRule type="expression" dxfId="7033" priority="3958">
      <formula>#REF!="TO"</formula>
    </cfRule>
    <cfRule type="expression" dxfId="7032" priority="3959">
      <formula>#REF!="IO"</formula>
    </cfRule>
    <cfRule type="expression" dxfId="7031" priority="3960">
      <formula>#REF!="L"</formula>
    </cfRule>
  </conditionalFormatting>
  <conditionalFormatting sqref="F19">
    <cfRule type="expression" dxfId="7030" priority="3955">
      <formula>#REF!="TO"</formula>
    </cfRule>
    <cfRule type="expression" dxfId="7029" priority="3956">
      <formula>#REF!="IO"</formula>
    </cfRule>
    <cfRule type="expression" dxfId="7028" priority="3957">
      <formula>#REF!="L"</formula>
    </cfRule>
  </conditionalFormatting>
  <conditionalFormatting sqref="F20">
    <cfRule type="expression" dxfId="7027" priority="3952">
      <formula>#REF!="TO"</formula>
    </cfRule>
    <cfRule type="expression" dxfId="7026" priority="3953">
      <formula>#REF!="IO"</formula>
    </cfRule>
    <cfRule type="expression" dxfId="7025" priority="3954">
      <formula>#REF!="L"</formula>
    </cfRule>
  </conditionalFormatting>
  <conditionalFormatting sqref="F21">
    <cfRule type="expression" dxfId="7024" priority="3949">
      <formula>#REF!="TO"</formula>
    </cfRule>
    <cfRule type="expression" dxfId="7023" priority="3950">
      <formula>#REF!="IO"</formula>
    </cfRule>
    <cfRule type="expression" dxfId="7022" priority="3951">
      <formula>#REF!="L"</formula>
    </cfRule>
  </conditionalFormatting>
  <conditionalFormatting sqref="F22:F29">
    <cfRule type="expression" dxfId="7021" priority="3946">
      <formula>#REF!="TO"</formula>
    </cfRule>
    <cfRule type="expression" dxfId="7020" priority="3947">
      <formula>#REF!="IO"</formula>
    </cfRule>
    <cfRule type="expression" dxfId="7019" priority="3948">
      <formula>#REF!="L"</formula>
    </cfRule>
  </conditionalFormatting>
  <conditionalFormatting sqref="F42">
    <cfRule type="expression" dxfId="7018" priority="3943">
      <formula>#REF!="TO"</formula>
    </cfRule>
    <cfRule type="expression" dxfId="7017" priority="3944">
      <formula>#REF!="IO"</formula>
    </cfRule>
    <cfRule type="expression" dxfId="7016" priority="3945">
      <formula>#REF!="L"</formula>
    </cfRule>
  </conditionalFormatting>
  <conditionalFormatting sqref="F43">
    <cfRule type="expression" dxfId="7015" priority="3940">
      <formula>#REF!="TO"</formula>
    </cfRule>
    <cfRule type="expression" dxfId="7014" priority="3941">
      <formula>#REF!="IO"</formula>
    </cfRule>
    <cfRule type="expression" dxfId="7013" priority="3942">
      <formula>#REF!="L"</formula>
    </cfRule>
  </conditionalFormatting>
  <conditionalFormatting sqref="F44">
    <cfRule type="expression" dxfId="7012" priority="3937">
      <formula>#REF!="TO"</formula>
    </cfRule>
    <cfRule type="expression" dxfId="7011" priority="3938">
      <formula>#REF!="IO"</formula>
    </cfRule>
    <cfRule type="expression" dxfId="7010" priority="3939">
      <formula>#REF!="L"</formula>
    </cfRule>
  </conditionalFormatting>
  <conditionalFormatting sqref="F45">
    <cfRule type="expression" dxfId="7009" priority="3934">
      <formula>#REF!="TO"</formula>
    </cfRule>
    <cfRule type="expression" dxfId="7008" priority="3935">
      <formula>#REF!="IO"</formula>
    </cfRule>
    <cfRule type="expression" dxfId="7007" priority="3936">
      <formula>#REF!="L"</formula>
    </cfRule>
  </conditionalFormatting>
  <conditionalFormatting sqref="F46">
    <cfRule type="expression" dxfId="7006" priority="3931">
      <formula>#REF!="TO"</formula>
    </cfRule>
    <cfRule type="expression" dxfId="7005" priority="3932">
      <formula>#REF!="IO"</formula>
    </cfRule>
    <cfRule type="expression" dxfId="7004" priority="3933">
      <formula>#REF!="L"</formula>
    </cfRule>
  </conditionalFormatting>
  <conditionalFormatting sqref="F47">
    <cfRule type="expression" dxfId="7003" priority="3928">
      <formula>#REF!="TO"</formula>
    </cfRule>
    <cfRule type="expression" dxfId="7002" priority="3929">
      <formula>#REF!="IO"</formula>
    </cfRule>
    <cfRule type="expression" dxfId="7001" priority="3930">
      <formula>#REF!="L"</formula>
    </cfRule>
  </conditionalFormatting>
  <conditionalFormatting sqref="F48">
    <cfRule type="expression" dxfId="7000" priority="3925">
      <formula>#REF!="TO"</formula>
    </cfRule>
    <cfRule type="expression" dxfId="6999" priority="3926">
      <formula>#REF!="IO"</formula>
    </cfRule>
    <cfRule type="expression" dxfId="6998" priority="3927">
      <formula>#REF!="L"</formula>
    </cfRule>
  </conditionalFormatting>
  <conditionalFormatting sqref="F49">
    <cfRule type="expression" dxfId="6997" priority="3922">
      <formula>#REF!="TO"</formula>
    </cfRule>
    <cfRule type="expression" dxfId="6996" priority="3923">
      <formula>#REF!="IO"</formula>
    </cfRule>
    <cfRule type="expression" dxfId="6995" priority="3924">
      <formula>#REF!="L"</formula>
    </cfRule>
  </conditionalFormatting>
  <conditionalFormatting sqref="F50">
    <cfRule type="expression" dxfId="6994" priority="3919">
      <formula>#REF!="TO"</formula>
    </cfRule>
    <cfRule type="expression" dxfId="6993" priority="3920">
      <formula>#REF!="IO"</formula>
    </cfRule>
    <cfRule type="expression" dxfId="6992" priority="3921">
      <formula>#REF!="L"</formula>
    </cfRule>
  </conditionalFormatting>
  <conditionalFormatting sqref="F28:F29">
    <cfRule type="expression" dxfId="6991" priority="3910">
      <formula>#REF!="TO"</formula>
    </cfRule>
    <cfRule type="expression" dxfId="6990" priority="3911">
      <formula>#REF!="IO"</formula>
    </cfRule>
    <cfRule type="expression" dxfId="6989" priority="3912">
      <formula>#REF!="L"</formula>
    </cfRule>
    <cfRule type="expression" dxfId="6988" priority="3907">
      <formula>#REF!="TO"</formula>
    </cfRule>
    <cfRule type="expression" dxfId="6987" priority="3908">
      <formula>#REF!="IO"</formula>
    </cfRule>
    <cfRule type="expression" dxfId="6986" priority="3909">
      <formula>#REF!="L"</formula>
    </cfRule>
  </conditionalFormatting>
  <conditionalFormatting sqref="E9">
    <cfRule type="expression" dxfId="6985" priority="3844">
      <formula>#REF!="TO"</formula>
    </cfRule>
    <cfRule type="expression" dxfId="6984" priority="3845">
      <formula>#REF!="IO"</formula>
    </cfRule>
    <cfRule type="expression" dxfId="6983" priority="3846">
      <formula>#REF!="L"</formula>
    </cfRule>
  </conditionalFormatting>
  <conditionalFormatting sqref="E22">
    <cfRule type="expression" dxfId="6982" priority="3817">
      <formula>#REF!="TO"</formula>
    </cfRule>
    <cfRule type="expression" dxfId="6981" priority="3818">
      <formula>#REF!="IO"</formula>
    </cfRule>
    <cfRule type="expression" dxfId="6980" priority="3819">
      <formula>#REF!="L"</formula>
    </cfRule>
  </conditionalFormatting>
  <conditionalFormatting sqref="AA51:AA86">
    <cfRule type="expression" dxfId="6979" priority="3598">
      <formula>#REF!="TO"</formula>
    </cfRule>
    <cfRule type="expression" dxfId="6978" priority="3599">
      <formula>#REF!="IO"</formula>
    </cfRule>
    <cfRule type="expression" dxfId="6977" priority="3600">
      <formula>#REF!="L"</formula>
    </cfRule>
  </conditionalFormatting>
  <conditionalFormatting sqref="AA2 AA4">
    <cfRule type="expression" dxfId="6976" priority="3676">
      <formula>#REF!="TO"</formula>
    </cfRule>
    <cfRule type="expression" dxfId="6975" priority="3677">
      <formula>#REF!="IO"</formula>
    </cfRule>
    <cfRule type="expression" dxfId="6974" priority="3678">
      <formula>#REF!="L"</formula>
    </cfRule>
  </conditionalFormatting>
  <conditionalFormatting sqref="AA5">
    <cfRule type="expression" dxfId="6973" priority="3670">
      <formula>#REF!="TO"</formula>
    </cfRule>
    <cfRule type="expression" dxfId="6972" priority="3671">
      <formula>#REF!="IO"</formula>
    </cfRule>
    <cfRule type="expression" dxfId="6971" priority="3672">
      <formula>#REF!="L"</formula>
    </cfRule>
  </conditionalFormatting>
  <conditionalFormatting sqref="AA6">
    <cfRule type="expression" dxfId="6970" priority="3667">
      <formula>#REF!="TO"</formula>
    </cfRule>
    <cfRule type="expression" dxfId="6969" priority="3668">
      <formula>#REF!="IO"</formula>
    </cfRule>
    <cfRule type="expression" dxfId="6968" priority="3669">
      <formula>#REF!="L"</formula>
    </cfRule>
  </conditionalFormatting>
  <conditionalFormatting sqref="AA7">
    <cfRule type="expression" dxfId="6967" priority="3664">
      <formula>#REF!="TO"</formula>
    </cfRule>
    <cfRule type="expression" dxfId="6966" priority="3665">
      <formula>#REF!="IO"</formula>
    </cfRule>
    <cfRule type="expression" dxfId="6965" priority="3666">
      <formula>#REF!="L"</formula>
    </cfRule>
  </conditionalFormatting>
  <conditionalFormatting sqref="AA8">
    <cfRule type="expression" dxfId="6964" priority="3661">
      <formula>#REF!="TO"</formula>
    </cfRule>
    <cfRule type="expression" dxfId="6963" priority="3662">
      <formula>#REF!="IO"</formula>
    </cfRule>
    <cfRule type="expression" dxfId="6962" priority="3663">
      <formula>#REF!="L"</formula>
    </cfRule>
  </conditionalFormatting>
  <conditionalFormatting sqref="AA9:AA12">
    <cfRule type="expression" dxfId="6961" priority="3658">
      <formula>#REF!="TO"</formula>
    </cfRule>
    <cfRule type="expression" dxfId="6960" priority="3659">
      <formula>#REF!="IO"</formula>
    </cfRule>
    <cfRule type="expression" dxfId="6959" priority="3660">
      <formula>#REF!="L"</formula>
    </cfRule>
  </conditionalFormatting>
  <conditionalFormatting sqref="AA13">
    <cfRule type="expression" dxfId="6958" priority="3655">
      <formula>#REF!="TO"</formula>
    </cfRule>
    <cfRule type="expression" dxfId="6957" priority="3656">
      <formula>#REF!="IO"</formula>
    </cfRule>
    <cfRule type="expression" dxfId="6956" priority="3657">
      <formula>#REF!="L"</formula>
    </cfRule>
  </conditionalFormatting>
  <conditionalFormatting sqref="AA14">
    <cfRule type="expression" dxfId="6955" priority="3652">
      <formula>#REF!="TO"</formula>
    </cfRule>
    <cfRule type="expression" dxfId="6954" priority="3653">
      <formula>#REF!="IO"</formula>
    </cfRule>
    <cfRule type="expression" dxfId="6953" priority="3654">
      <formula>#REF!="L"</formula>
    </cfRule>
  </conditionalFormatting>
  <conditionalFormatting sqref="AA15">
    <cfRule type="expression" dxfId="6952" priority="3649">
      <formula>#REF!="TO"</formula>
    </cfRule>
    <cfRule type="expression" dxfId="6951" priority="3650">
      <formula>#REF!="IO"</formula>
    </cfRule>
    <cfRule type="expression" dxfId="6950" priority="3651">
      <formula>#REF!="L"</formula>
    </cfRule>
  </conditionalFormatting>
  <conditionalFormatting sqref="AA16">
    <cfRule type="expression" dxfId="6949" priority="3646">
      <formula>#REF!="TO"</formula>
    </cfRule>
    <cfRule type="expression" dxfId="6948" priority="3647">
      <formula>#REF!="IO"</formula>
    </cfRule>
    <cfRule type="expression" dxfId="6947" priority="3648">
      <formula>#REF!="L"</formula>
    </cfRule>
  </conditionalFormatting>
  <conditionalFormatting sqref="AA17">
    <cfRule type="expression" dxfId="6946" priority="3643">
      <formula>#REF!="TO"</formula>
    </cfRule>
    <cfRule type="expression" dxfId="6945" priority="3644">
      <formula>#REF!="IO"</formula>
    </cfRule>
    <cfRule type="expression" dxfId="6944" priority="3645">
      <formula>#REF!="L"</formula>
    </cfRule>
  </conditionalFormatting>
  <conditionalFormatting sqref="AA18">
    <cfRule type="expression" dxfId="6943" priority="3640">
      <formula>#REF!="TO"</formula>
    </cfRule>
    <cfRule type="expression" dxfId="6942" priority="3641">
      <formula>#REF!="IO"</formula>
    </cfRule>
    <cfRule type="expression" dxfId="6941" priority="3642">
      <formula>#REF!="L"</formula>
    </cfRule>
  </conditionalFormatting>
  <conditionalFormatting sqref="AA19">
    <cfRule type="expression" dxfId="6940" priority="3637">
      <formula>#REF!="TO"</formula>
    </cfRule>
    <cfRule type="expression" dxfId="6939" priority="3638">
      <formula>#REF!="IO"</formula>
    </cfRule>
    <cfRule type="expression" dxfId="6938" priority="3639">
      <formula>#REF!="L"</formula>
    </cfRule>
  </conditionalFormatting>
  <conditionalFormatting sqref="AA20">
    <cfRule type="expression" dxfId="6937" priority="3634">
      <formula>#REF!="TO"</formula>
    </cfRule>
    <cfRule type="expression" dxfId="6936" priority="3635">
      <formula>#REF!="IO"</formula>
    </cfRule>
    <cfRule type="expression" dxfId="6935" priority="3636">
      <formula>#REF!="L"</formula>
    </cfRule>
  </conditionalFormatting>
  <conditionalFormatting sqref="AA21">
    <cfRule type="expression" dxfId="6934" priority="3631">
      <formula>#REF!="TO"</formula>
    </cfRule>
    <cfRule type="expression" dxfId="6933" priority="3632">
      <formula>#REF!="IO"</formula>
    </cfRule>
    <cfRule type="expression" dxfId="6932" priority="3633">
      <formula>#REF!="L"</formula>
    </cfRule>
  </conditionalFormatting>
  <conditionalFormatting sqref="AA22:AA29">
    <cfRule type="expression" dxfId="6931" priority="3628">
      <formula>#REF!="TO"</formula>
    </cfRule>
    <cfRule type="expression" dxfId="6930" priority="3629">
      <formula>#REF!="IO"</formula>
    </cfRule>
    <cfRule type="expression" dxfId="6929" priority="3630">
      <formula>#REF!="L"</formula>
    </cfRule>
  </conditionalFormatting>
  <conditionalFormatting sqref="AA42">
    <cfRule type="expression" dxfId="6928" priority="3625">
      <formula>#REF!="TO"</formula>
    </cfRule>
    <cfRule type="expression" dxfId="6927" priority="3626">
      <formula>#REF!="IO"</formula>
    </cfRule>
    <cfRule type="expression" dxfId="6926" priority="3627">
      <formula>#REF!="L"</formula>
    </cfRule>
  </conditionalFormatting>
  <conditionalFormatting sqref="AA43">
    <cfRule type="expression" dxfId="6925" priority="3622">
      <formula>#REF!="TO"</formula>
    </cfRule>
    <cfRule type="expression" dxfId="6924" priority="3623">
      <formula>#REF!="IO"</formula>
    </cfRule>
    <cfRule type="expression" dxfId="6923" priority="3624">
      <formula>#REF!="L"</formula>
    </cfRule>
  </conditionalFormatting>
  <conditionalFormatting sqref="AA44">
    <cfRule type="expression" dxfId="6922" priority="3619">
      <formula>#REF!="TO"</formula>
    </cfRule>
    <cfRule type="expression" dxfId="6921" priority="3620">
      <formula>#REF!="IO"</formula>
    </cfRule>
    <cfRule type="expression" dxfId="6920" priority="3621">
      <formula>#REF!="L"</formula>
    </cfRule>
  </conditionalFormatting>
  <conditionalFormatting sqref="AA45">
    <cfRule type="expression" dxfId="6919" priority="3616">
      <formula>#REF!="TO"</formula>
    </cfRule>
    <cfRule type="expression" dxfId="6918" priority="3617">
      <formula>#REF!="IO"</formula>
    </cfRule>
    <cfRule type="expression" dxfId="6917" priority="3618">
      <formula>#REF!="L"</formula>
    </cfRule>
  </conditionalFormatting>
  <conditionalFormatting sqref="AA46">
    <cfRule type="expression" dxfId="6916" priority="3613">
      <formula>#REF!="TO"</formula>
    </cfRule>
    <cfRule type="expression" dxfId="6915" priority="3614">
      <formula>#REF!="IO"</formula>
    </cfRule>
    <cfRule type="expression" dxfId="6914" priority="3615">
      <formula>#REF!="L"</formula>
    </cfRule>
  </conditionalFormatting>
  <conditionalFormatting sqref="AA47">
    <cfRule type="expression" dxfId="6913" priority="3610">
      <formula>#REF!="TO"</formula>
    </cfRule>
    <cfRule type="expression" dxfId="6912" priority="3611">
      <formula>#REF!="IO"</formula>
    </cfRule>
    <cfRule type="expression" dxfId="6911" priority="3612">
      <formula>#REF!="L"</formula>
    </cfRule>
  </conditionalFormatting>
  <conditionalFormatting sqref="AA48">
    <cfRule type="expression" dxfId="6910" priority="3607">
      <formula>#REF!="TO"</formula>
    </cfRule>
    <cfRule type="expression" dxfId="6909" priority="3608">
      <formula>#REF!="IO"</formula>
    </cfRule>
    <cfRule type="expression" dxfId="6908" priority="3609">
      <formula>#REF!="L"</formula>
    </cfRule>
  </conditionalFormatting>
  <conditionalFormatting sqref="AA49">
    <cfRule type="expression" dxfId="6907" priority="3604">
      <formula>#REF!="TO"</formula>
    </cfRule>
    <cfRule type="expression" dxfId="6906" priority="3605">
      <formula>#REF!="IO"</formula>
    </cfRule>
    <cfRule type="expression" dxfId="6905" priority="3606">
      <formula>#REF!="L"</formula>
    </cfRule>
  </conditionalFormatting>
  <conditionalFormatting sqref="AA50">
    <cfRule type="expression" dxfId="6904" priority="3601">
      <formula>#REF!="TO"</formula>
    </cfRule>
    <cfRule type="expression" dxfId="6903" priority="3602">
      <formula>#REF!="IO"</formula>
    </cfRule>
    <cfRule type="expression" dxfId="6902" priority="3603">
      <formula>#REF!="L"</formula>
    </cfRule>
  </conditionalFormatting>
  <conditionalFormatting sqref="AA28:AA29">
    <cfRule type="expression" dxfId="6901" priority="3592">
      <formula>#REF!="TO"</formula>
    </cfRule>
    <cfRule type="expression" dxfId="6900" priority="3593">
      <formula>#REF!="IO"</formula>
    </cfRule>
    <cfRule type="expression" dxfId="6899" priority="3594">
      <formula>#REF!="L"</formula>
    </cfRule>
    <cfRule type="expression" dxfId="6898" priority="3589">
      <formula>#REF!="TO"</formula>
    </cfRule>
    <cfRule type="expression" dxfId="6897" priority="3590">
      <formula>#REF!="IO"</formula>
    </cfRule>
    <cfRule type="expression" dxfId="6896" priority="3591">
      <formula>#REF!="L"</formula>
    </cfRule>
  </conditionalFormatting>
  <conditionalFormatting sqref="AA3">
    <cfRule type="expression" dxfId="6895" priority="3586">
      <formula>#REF!="TO"</formula>
    </cfRule>
    <cfRule type="expression" dxfId="6894" priority="3587">
      <formula>#REF!="IO"</formula>
    </cfRule>
    <cfRule type="expression" dxfId="6893" priority="3588">
      <formula>#REF!="L"</formula>
    </cfRule>
  </conditionalFormatting>
  <conditionalFormatting sqref="AT28:AT29">
    <cfRule type="expression" dxfId="6892" priority="3355">
      <formula>#REF!="TO"</formula>
    </cfRule>
    <cfRule type="expression" dxfId="6891" priority="3356">
      <formula>#REF!="IO"</formula>
    </cfRule>
    <cfRule type="expression" dxfId="6890" priority="3357">
      <formula>#REF!="L"</formula>
    </cfRule>
  </conditionalFormatting>
  <conditionalFormatting sqref="AT9:AT25 AI2 AS2:AT2 AN2 AT27:AT29 AN4 AS4:AT8 AI4">
    <cfRule type="expression" dxfId="6889" priority="3574">
      <formula>#REF!="TO"</formula>
    </cfRule>
    <cfRule type="expression" dxfId="6888" priority="3575">
      <formula>#REF!="IO"</formula>
    </cfRule>
    <cfRule type="expression" dxfId="6887" priority="3576">
      <formula>#REF!="L"</formula>
    </cfRule>
  </conditionalFormatting>
  <conditionalFormatting sqref="AI38:AN41">
    <cfRule type="expression" dxfId="6886" priority="3580">
      <formula>#REF!="TO"</formula>
    </cfRule>
    <cfRule type="expression" dxfId="6885" priority="3581">
      <formula>#REF!="IO"</formula>
    </cfRule>
    <cfRule type="expression" dxfId="6884" priority="3582">
      <formula>#REF!="L"</formula>
    </cfRule>
  </conditionalFormatting>
  <conditionalFormatting sqref="AO38:AS41">
    <cfRule type="expression" dxfId="6883" priority="3577">
      <formula>#REF!="TO"</formula>
    </cfRule>
    <cfRule type="expression" dxfId="6882" priority="3578">
      <formula>#REF!="IO"</formula>
    </cfRule>
    <cfRule type="expression" dxfId="6881" priority="3579">
      <formula>#REF!="L"</formula>
    </cfRule>
  </conditionalFormatting>
  <conditionalFormatting sqref="AT23:AT25 AT27:AT29">
    <cfRule type="expression" dxfId="6880" priority="3571">
      <formula>#REF!="TO"</formula>
    </cfRule>
    <cfRule type="expression" dxfId="6879" priority="3572">
      <formula>#REF!="IO"</formula>
    </cfRule>
    <cfRule type="expression" dxfId="6878" priority="3573">
      <formula>#REF!="L"</formula>
    </cfRule>
  </conditionalFormatting>
  <conditionalFormatting sqref="AI5 AN5">
    <cfRule type="expression" dxfId="6877" priority="3568">
      <formula>#REF!="TO"</formula>
    </cfRule>
    <cfRule type="expression" dxfId="6876" priority="3569">
      <formula>#REF!="IO"</formula>
    </cfRule>
    <cfRule type="expression" dxfId="6875" priority="3570">
      <formula>#REF!="L"</formula>
    </cfRule>
  </conditionalFormatting>
  <conditionalFormatting sqref="AI6 AN6">
    <cfRule type="expression" dxfId="6874" priority="3565">
      <formula>#REF!="TO"</formula>
    </cfRule>
    <cfRule type="expression" dxfId="6873" priority="3566">
      <formula>#REF!="IO"</formula>
    </cfRule>
    <cfRule type="expression" dxfId="6872" priority="3567">
      <formula>#REF!="L"</formula>
    </cfRule>
  </conditionalFormatting>
  <conditionalFormatting sqref="AI7 AN7">
    <cfRule type="expression" dxfId="6871" priority="3562">
      <formula>#REF!="TO"</formula>
    </cfRule>
    <cfRule type="expression" dxfId="6870" priority="3563">
      <formula>#REF!="IO"</formula>
    </cfRule>
    <cfRule type="expression" dxfId="6869" priority="3564">
      <formula>#REF!="L"</formula>
    </cfRule>
  </conditionalFormatting>
  <conditionalFormatting sqref="AI8 AN8">
    <cfRule type="expression" dxfId="6868" priority="3559">
      <formula>#REF!="TO"</formula>
    </cfRule>
    <cfRule type="expression" dxfId="6867" priority="3560">
      <formula>#REF!="IO"</formula>
    </cfRule>
    <cfRule type="expression" dxfId="6866" priority="3561">
      <formula>#REF!="L"</formula>
    </cfRule>
  </conditionalFormatting>
  <conditionalFormatting sqref="AI9:AI12 AN9:AN12">
    <cfRule type="expression" dxfId="6865" priority="3556">
      <formula>#REF!="TO"</formula>
    </cfRule>
    <cfRule type="expression" dxfId="6864" priority="3557">
      <formula>#REF!="IO"</formula>
    </cfRule>
    <cfRule type="expression" dxfId="6863" priority="3558">
      <formula>#REF!="L"</formula>
    </cfRule>
  </conditionalFormatting>
  <conditionalFormatting sqref="AI14 AN14">
    <cfRule type="expression" dxfId="6862" priority="3550">
      <formula>#REF!="TO"</formula>
    </cfRule>
    <cfRule type="expression" dxfId="6861" priority="3551">
      <formula>#REF!="IO"</formula>
    </cfRule>
    <cfRule type="expression" dxfId="6860" priority="3552">
      <formula>#REF!="L"</formula>
    </cfRule>
  </conditionalFormatting>
  <conditionalFormatting sqref="AI13 AN13">
    <cfRule type="expression" dxfId="6859" priority="3553">
      <formula>#REF!="TO"</formula>
    </cfRule>
    <cfRule type="expression" dxfId="6858" priority="3554">
      <formula>#REF!="IO"</formula>
    </cfRule>
    <cfRule type="expression" dxfId="6857" priority="3555">
      <formula>#REF!="L"</formula>
    </cfRule>
  </conditionalFormatting>
  <conditionalFormatting sqref="AI15 AN15">
    <cfRule type="expression" dxfId="6856" priority="3547">
      <formula>#REF!="TO"</formula>
    </cfRule>
    <cfRule type="expression" dxfId="6855" priority="3548">
      <formula>#REF!="IO"</formula>
    </cfRule>
    <cfRule type="expression" dxfId="6854" priority="3549">
      <formula>#REF!="L"</formula>
    </cfRule>
  </conditionalFormatting>
  <conditionalFormatting sqref="AI16 AN16">
    <cfRule type="expression" dxfId="6853" priority="3544">
      <formula>#REF!="TO"</formula>
    </cfRule>
    <cfRule type="expression" dxfId="6852" priority="3545">
      <formula>#REF!="IO"</formula>
    </cfRule>
    <cfRule type="expression" dxfId="6851" priority="3546">
      <formula>#REF!="L"</formula>
    </cfRule>
  </conditionalFormatting>
  <conditionalFormatting sqref="AI17 AN17">
    <cfRule type="expression" dxfId="6850" priority="3541">
      <formula>#REF!="TO"</formula>
    </cfRule>
    <cfRule type="expression" dxfId="6849" priority="3542">
      <formula>#REF!="IO"</formula>
    </cfRule>
    <cfRule type="expression" dxfId="6848" priority="3543">
      <formula>#REF!="L"</formula>
    </cfRule>
  </conditionalFormatting>
  <conditionalFormatting sqref="AI18:AN18">
    <cfRule type="expression" dxfId="6847" priority="3538">
      <formula>#REF!="TO"</formula>
    </cfRule>
    <cfRule type="expression" dxfId="6846" priority="3539">
      <formula>#REF!="IO"</formula>
    </cfRule>
    <cfRule type="expression" dxfId="6845" priority="3540">
      <formula>#REF!="L"</formula>
    </cfRule>
  </conditionalFormatting>
  <conditionalFormatting sqref="AI19:AN19">
    <cfRule type="expression" dxfId="6844" priority="3535">
      <formula>#REF!="TO"</formula>
    </cfRule>
    <cfRule type="expression" dxfId="6843" priority="3536">
      <formula>#REF!="IO"</formula>
    </cfRule>
    <cfRule type="expression" dxfId="6842" priority="3537">
      <formula>#REF!="L"</formula>
    </cfRule>
  </conditionalFormatting>
  <conditionalFormatting sqref="AO19:AQ19">
    <cfRule type="expression" dxfId="6841" priority="3532">
      <formula>#REF!="TO"</formula>
    </cfRule>
    <cfRule type="expression" dxfId="6840" priority="3533">
      <formula>#REF!="IO"</formula>
    </cfRule>
    <cfRule type="expression" dxfId="6839" priority="3534">
      <formula>#REF!="L"</formula>
    </cfRule>
  </conditionalFormatting>
  <conditionalFormatting sqref="AI20:AN20">
    <cfRule type="expression" dxfId="6838" priority="3529">
      <formula>#REF!="TO"</formula>
    </cfRule>
    <cfRule type="expression" dxfId="6837" priority="3530">
      <formula>#REF!="IO"</formula>
    </cfRule>
    <cfRule type="expression" dxfId="6836" priority="3531">
      <formula>#REF!="L"</formula>
    </cfRule>
  </conditionalFormatting>
  <conditionalFormatting sqref="AO20:AQ20">
    <cfRule type="expression" dxfId="6835" priority="3526">
      <formula>#REF!="TO"</formula>
    </cfRule>
    <cfRule type="expression" dxfId="6834" priority="3527">
      <formula>#REF!="IO"</formula>
    </cfRule>
    <cfRule type="expression" dxfId="6833" priority="3528">
      <formula>#REF!="L"</formula>
    </cfRule>
  </conditionalFormatting>
  <conditionalFormatting sqref="AI21:AN21">
    <cfRule type="expression" dxfId="6832" priority="3523">
      <formula>#REF!="TO"</formula>
    </cfRule>
    <cfRule type="expression" dxfId="6831" priority="3524">
      <formula>#REF!="IO"</formula>
    </cfRule>
    <cfRule type="expression" dxfId="6830" priority="3525">
      <formula>#REF!="L"</formula>
    </cfRule>
  </conditionalFormatting>
  <conditionalFormatting sqref="AI22 AM22:AN22">
    <cfRule type="expression" dxfId="6829" priority="3520">
      <formula>#REF!="TO"</formula>
    </cfRule>
    <cfRule type="expression" dxfId="6828" priority="3521">
      <formula>#REF!="IO"</formula>
    </cfRule>
    <cfRule type="expression" dxfId="6827" priority="3522">
      <formula>#REF!="L"</formula>
    </cfRule>
  </conditionalFormatting>
  <conditionalFormatting sqref="AI23:AN29">
    <cfRule type="expression" dxfId="6826" priority="3517">
      <formula>#REF!="TO"</formula>
    </cfRule>
    <cfRule type="expression" dxfId="6825" priority="3518">
      <formula>#REF!="IO"</formula>
    </cfRule>
    <cfRule type="expression" dxfId="6824" priority="3519">
      <formula>#REF!="L"</formula>
    </cfRule>
  </conditionalFormatting>
  <conditionalFormatting sqref="AI42:AN42">
    <cfRule type="expression" dxfId="6823" priority="3514">
      <formula>#REF!="TO"</formula>
    </cfRule>
    <cfRule type="expression" dxfId="6822" priority="3515">
      <formula>#REF!="IO"</formula>
    </cfRule>
    <cfRule type="expression" dxfId="6821" priority="3516">
      <formula>#REF!="L"</formula>
    </cfRule>
  </conditionalFormatting>
  <conditionalFormatting sqref="AO42:AS42">
    <cfRule type="expression" dxfId="6820" priority="3511">
      <formula>#REF!="TO"</formula>
    </cfRule>
    <cfRule type="expression" dxfId="6819" priority="3512">
      <formula>#REF!="IO"</formula>
    </cfRule>
    <cfRule type="expression" dxfId="6818" priority="3513">
      <formula>#REF!="L"</formula>
    </cfRule>
  </conditionalFormatting>
  <conditionalFormatting sqref="AI43:AN43">
    <cfRule type="expression" dxfId="6817" priority="3508">
      <formula>#REF!="TO"</formula>
    </cfRule>
    <cfRule type="expression" dxfId="6816" priority="3509">
      <formula>#REF!="IO"</formula>
    </cfRule>
    <cfRule type="expression" dxfId="6815" priority="3510">
      <formula>#REF!="L"</formula>
    </cfRule>
  </conditionalFormatting>
  <conditionalFormatting sqref="AO43:AS43">
    <cfRule type="expression" dxfId="6814" priority="3505">
      <formula>#REF!="TO"</formula>
    </cfRule>
    <cfRule type="expression" dxfId="6813" priority="3506">
      <formula>#REF!="IO"</formula>
    </cfRule>
    <cfRule type="expression" dxfId="6812" priority="3507">
      <formula>#REF!="L"</formula>
    </cfRule>
  </conditionalFormatting>
  <conditionalFormatting sqref="AI45:AN45">
    <cfRule type="expression" dxfId="6811" priority="3469">
      <formula>#REF!="TO"</formula>
    </cfRule>
    <cfRule type="expression" dxfId="6810" priority="3470">
      <formula>#REF!="IO"</formula>
    </cfRule>
    <cfRule type="expression" dxfId="6809" priority="3471">
      <formula>#REF!="L"</formula>
    </cfRule>
  </conditionalFormatting>
  <conditionalFormatting sqref="AI44:AN44">
    <cfRule type="expression" dxfId="6808" priority="3502">
      <formula>#REF!="TO"</formula>
    </cfRule>
    <cfRule type="expression" dxfId="6807" priority="3503">
      <formula>#REF!="IO"</formula>
    </cfRule>
    <cfRule type="expression" dxfId="6806" priority="3504">
      <formula>#REF!="L"</formula>
    </cfRule>
  </conditionalFormatting>
  <conditionalFormatting sqref="AO44:AS44">
    <cfRule type="expression" dxfId="6805" priority="3499">
      <formula>#REF!="TO"</formula>
    </cfRule>
    <cfRule type="expression" dxfId="6804" priority="3500">
      <formula>#REF!="IO"</formula>
    </cfRule>
    <cfRule type="expression" dxfId="6803" priority="3501">
      <formula>#REF!="L"</formula>
    </cfRule>
  </conditionalFormatting>
  <conditionalFormatting sqref="AI46:AN46">
    <cfRule type="expression" dxfId="6802" priority="3460">
      <formula>#REF!="TO"</formula>
    </cfRule>
    <cfRule type="expression" dxfId="6801" priority="3461">
      <formula>#REF!="IO"</formula>
    </cfRule>
    <cfRule type="expression" dxfId="6800" priority="3462">
      <formula>#REF!="L"</formula>
    </cfRule>
  </conditionalFormatting>
  <conditionalFormatting sqref="AO18:AQ18">
    <cfRule type="expression" dxfId="6799" priority="3496">
      <formula>#REF!="TO"</formula>
    </cfRule>
    <cfRule type="expression" dxfId="6798" priority="3497">
      <formula>#REF!="IO"</formula>
    </cfRule>
    <cfRule type="expression" dxfId="6797" priority="3498">
      <formula>#REF!="L"</formula>
    </cfRule>
  </conditionalFormatting>
  <conditionalFormatting sqref="AO21:AQ21">
    <cfRule type="expression" dxfId="6796" priority="3493">
      <formula>#REF!="TO"</formula>
    </cfRule>
    <cfRule type="expression" dxfId="6795" priority="3494">
      <formula>#REF!="IO"</formula>
    </cfRule>
    <cfRule type="expression" dxfId="6794" priority="3495">
      <formula>#REF!="L"</formula>
    </cfRule>
  </conditionalFormatting>
  <conditionalFormatting sqref="AO22:AQ22">
    <cfRule type="expression" dxfId="6793" priority="3490">
      <formula>#REF!="TO"</formula>
    </cfRule>
    <cfRule type="expression" dxfId="6792" priority="3491">
      <formula>#REF!="IO"</formula>
    </cfRule>
    <cfRule type="expression" dxfId="6791" priority="3492">
      <formula>#REF!="L"</formula>
    </cfRule>
  </conditionalFormatting>
  <conditionalFormatting sqref="AO23:AQ24">
    <cfRule type="expression" dxfId="6790" priority="3487">
      <formula>#REF!="TO"</formula>
    </cfRule>
    <cfRule type="expression" dxfId="6789" priority="3488">
      <formula>#REF!="IO"</formula>
    </cfRule>
    <cfRule type="expression" dxfId="6788" priority="3489">
      <formula>#REF!="L"</formula>
    </cfRule>
  </conditionalFormatting>
  <conditionalFormatting sqref="AO25:AQ25 AO27:AQ29">
    <cfRule type="expression" dxfId="6787" priority="3484">
      <formula>#REF!="TO"</formula>
    </cfRule>
    <cfRule type="expression" dxfId="6786" priority="3485">
      <formula>#REF!="IO"</formula>
    </cfRule>
    <cfRule type="expression" dxfId="6785" priority="3486">
      <formula>#REF!="L"</formula>
    </cfRule>
  </conditionalFormatting>
  <conditionalFormatting sqref="AT38:AT41">
    <cfRule type="expression" dxfId="6784" priority="3481">
      <formula>#REF!="TO"</formula>
    </cfRule>
    <cfRule type="expression" dxfId="6783" priority="3482">
      <formula>#REF!="IO"</formula>
    </cfRule>
    <cfRule type="expression" dxfId="6782" priority="3483">
      <formula>#REF!="L"</formula>
    </cfRule>
  </conditionalFormatting>
  <conditionalFormatting sqref="AT42">
    <cfRule type="expression" dxfId="6781" priority="3478">
      <formula>#REF!="TO"</formula>
    </cfRule>
    <cfRule type="expression" dxfId="6780" priority="3479">
      <formula>#REF!="IO"</formula>
    </cfRule>
    <cfRule type="expression" dxfId="6779" priority="3480">
      <formula>#REF!="L"</formula>
    </cfRule>
  </conditionalFormatting>
  <conditionalFormatting sqref="AT43">
    <cfRule type="expression" dxfId="6778" priority="3475">
      <formula>#REF!="TO"</formula>
    </cfRule>
    <cfRule type="expression" dxfId="6777" priority="3476">
      <formula>#REF!="IO"</formula>
    </cfRule>
    <cfRule type="expression" dxfId="6776" priority="3477">
      <formula>#REF!="L"</formula>
    </cfRule>
  </conditionalFormatting>
  <conditionalFormatting sqref="AT44">
    <cfRule type="expression" dxfId="6775" priority="3472">
      <formula>#REF!="TO"</formula>
    </cfRule>
    <cfRule type="expression" dxfId="6774" priority="3473">
      <formula>#REF!="IO"</formula>
    </cfRule>
    <cfRule type="expression" dxfId="6773" priority="3474">
      <formula>#REF!="L"</formula>
    </cfRule>
  </conditionalFormatting>
  <conditionalFormatting sqref="AI47:AN47">
    <cfRule type="expression" dxfId="6772" priority="3451">
      <formula>#REF!="TO"</formula>
    </cfRule>
    <cfRule type="expression" dxfId="6771" priority="3452">
      <formula>#REF!="IO"</formula>
    </cfRule>
    <cfRule type="expression" dxfId="6770" priority="3453">
      <formula>#REF!="L"</formula>
    </cfRule>
  </conditionalFormatting>
  <conditionalFormatting sqref="AO45:AS45">
    <cfRule type="expression" dxfId="6769" priority="3466">
      <formula>#REF!="TO"</formula>
    </cfRule>
    <cfRule type="expression" dxfId="6768" priority="3467">
      <formula>#REF!="IO"</formula>
    </cfRule>
    <cfRule type="expression" dxfId="6767" priority="3468">
      <formula>#REF!="L"</formula>
    </cfRule>
  </conditionalFormatting>
  <conditionalFormatting sqref="AT45">
    <cfRule type="expression" dxfId="6766" priority="3463">
      <formula>#REF!="TO"</formula>
    </cfRule>
    <cfRule type="expression" dxfId="6765" priority="3464">
      <formula>#REF!="IO"</formula>
    </cfRule>
    <cfRule type="expression" dxfId="6764" priority="3465">
      <formula>#REF!="L"</formula>
    </cfRule>
  </conditionalFormatting>
  <conditionalFormatting sqref="AO46:AS46">
    <cfRule type="expression" dxfId="6763" priority="3457">
      <formula>#REF!="TO"</formula>
    </cfRule>
    <cfRule type="expression" dxfId="6762" priority="3458">
      <formula>#REF!="IO"</formula>
    </cfRule>
    <cfRule type="expression" dxfId="6761" priority="3459">
      <formula>#REF!="L"</formula>
    </cfRule>
  </conditionalFormatting>
  <conditionalFormatting sqref="AT46">
    <cfRule type="expression" dxfId="6760" priority="3454">
      <formula>#REF!="TO"</formula>
    </cfRule>
    <cfRule type="expression" dxfId="6759" priority="3455">
      <formula>#REF!="IO"</formula>
    </cfRule>
    <cfRule type="expression" dxfId="6758" priority="3456">
      <formula>#REF!="L"</formula>
    </cfRule>
  </conditionalFormatting>
  <conditionalFormatting sqref="AO47:AS47">
    <cfRule type="expression" dxfId="6757" priority="3448">
      <formula>#REF!="TO"</formula>
    </cfRule>
    <cfRule type="expression" dxfId="6756" priority="3449">
      <formula>#REF!="IO"</formula>
    </cfRule>
    <cfRule type="expression" dxfId="6755" priority="3450">
      <formula>#REF!="L"</formula>
    </cfRule>
  </conditionalFormatting>
  <conditionalFormatting sqref="AT47">
    <cfRule type="expression" dxfId="6754" priority="3445">
      <formula>#REF!="TO"</formula>
    </cfRule>
    <cfRule type="expression" dxfId="6753" priority="3446">
      <formula>#REF!="IO"</formula>
    </cfRule>
    <cfRule type="expression" dxfId="6752" priority="3447">
      <formula>#REF!="L"</formula>
    </cfRule>
  </conditionalFormatting>
  <conditionalFormatting sqref="AI48:AN48">
    <cfRule type="expression" dxfId="6751" priority="3442">
      <formula>#REF!="TO"</formula>
    </cfRule>
    <cfRule type="expression" dxfId="6750" priority="3443">
      <formula>#REF!="IO"</formula>
    </cfRule>
    <cfRule type="expression" dxfId="6749" priority="3444">
      <formula>#REF!="L"</formula>
    </cfRule>
  </conditionalFormatting>
  <conditionalFormatting sqref="AO48:AS48">
    <cfRule type="expression" dxfId="6748" priority="3439">
      <formula>#REF!="TO"</formula>
    </cfRule>
    <cfRule type="expression" dxfId="6747" priority="3440">
      <formula>#REF!="IO"</formula>
    </cfRule>
    <cfRule type="expression" dxfId="6746" priority="3441">
      <formula>#REF!="L"</formula>
    </cfRule>
  </conditionalFormatting>
  <conditionalFormatting sqref="AT48">
    <cfRule type="expression" dxfId="6745" priority="3436">
      <formula>#REF!="TO"</formula>
    </cfRule>
    <cfRule type="expression" dxfId="6744" priority="3437">
      <formula>#REF!="IO"</formula>
    </cfRule>
    <cfRule type="expression" dxfId="6743" priority="3438">
      <formula>#REF!="L"</formula>
    </cfRule>
  </conditionalFormatting>
  <conditionalFormatting sqref="AI49:AN49">
    <cfRule type="expression" dxfId="6742" priority="3433">
      <formula>#REF!="TO"</formula>
    </cfRule>
    <cfRule type="expression" dxfId="6741" priority="3434">
      <formula>#REF!="IO"</formula>
    </cfRule>
    <cfRule type="expression" dxfId="6740" priority="3435">
      <formula>#REF!="L"</formula>
    </cfRule>
  </conditionalFormatting>
  <conditionalFormatting sqref="AO49:AS49">
    <cfRule type="expression" dxfId="6739" priority="3430">
      <formula>#REF!="TO"</formula>
    </cfRule>
    <cfRule type="expression" dxfId="6738" priority="3431">
      <formula>#REF!="IO"</formula>
    </cfRule>
    <cfRule type="expression" dxfId="6737" priority="3432">
      <formula>#REF!="L"</formula>
    </cfRule>
  </conditionalFormatting>
  <conditionalFormatting sqref="AT49">
    <cfRule type="expression" dxfId="6736" priority="3427">
      <formula>#REF!="TO"</formula>
    </cfRule>
    <cfRule type="expression" dxfId="6735" priority="3428">
      <formula>#REF!="IO"</formula>
    </cfRule>
    <cfRule type="expression" dxfId="6734" priority="3429">
      <formula>#REF!="L"</formula>
    </cfRule>
  </conditionalFormatting>
  <conditionalFormatting sqref="AI50:AN50">
    <cfRule type="expression" dxfId="6733" priority="3424">
      <formula>#REF!="TO"</formula>
    </cfRule>
    <cfRule type="expression" dxfId="6732" priority="3425">
      <formula>#REF!="IO"</formula>
    </cfRule>
    <cfRule type="expression" dxfId="6731" priority="3426">
      <formula>#REF!="L"</formula>
    </cfRule>
  </conditionalFormatting>
  <conditionalFormatting sqref="AO50:AS50">
    <cfRule type="expression" dxfId="6730" priority="3421">
      <formula>#REF!="TO"</formula>
    </cfRule>
    <cfRule type="expression" dxfId="6729" priority="3422">
      <formula>#REF!="IO"</formula>
    </cfRule>
    <cfRule type="expression" dxfId="6728" priority="3423">
      <formula>#REF!="L"</formula>
    </cfRule>
  </conditionalFormatting>
  <conditionalFormatting sqref="AT50">
    <cfRule type="expression" dxfId="6727" priority="3418">
      <formula>#REF!="TO"</formula>
    </cfRule>
    <cfRule type="expression" dxfId="6726" priority="3419">
      <formula>#REF!="IO"</formula>
    </cfRule>
    <cfRule type="expression" dxfId="6725" priority="3420">
      <formula>#REF!="L"</formula>
    </cfRule>
  </conditionalFormatting>
  <conditionalFormatting sqref="AS9:AS12">
    <cfRule type="expression" dxfId="6724" priority="3415">
      <formula>#REF!="TO"</formula>
    </cfRule>
    <cfRule type="expression" dxfId="6723" priority="3416">
      <formula>#REF!="IO"</formula>
    </cfRule>
    <cfRule type="expression" dxfId="6722" priority="3417">
      <formula>#REF!="L"</formula>
    </cfRule>
  </conditionalFormatting>
  <conditionalFormatting sqref="AS16">
    <cfRule type="expression" dxfId="6721" priority="3412">
      <formula>#REF!="TO"</formula>
    </cfRule>
    <cfRule type="expression" dxfId="6720" priority="3413">
      <formula>#REF!="IO"</formula>
    </cfRule>
    <cfRule type="expression" dxfId="6719" priority="3414">
      <formula>#REF!="L"</formula>
    </cfRule>
  </conditionalFormatting>
  <conditionalFormatting sqref="AR17:AS17">
    <cfRule type="expression" dxfId="6718" priority="3409">
      <formula>#REF!="TO"</formula>
    </cfRule>
    <cfRule type="expression" dxfId="6717" priority="3410">
      <formula>#REF!="IO"</formula>
    </cfRule>
    <cfRule type="expression" dxfId="6716" priority="3411">
      <formula>#REF!="L"</formula>
    </cfRule>
  </conditionalFormatting>
  <conditionalFormatting sqref="AR19:AS19">
    <cfRule type="expression" dxfId="6715" priority="3406">
      <formula>#REF!="TO"</formula>
    </cfRule>
    <cfRule type="expression" dxfId="6714" priority="3407">
      <formula>#REF!="IO"</formula>
    </cfRule>
    <cfRule type="expression" dxfId="6713" priority="3408">
      <formula>#REF!="L"</formula>
    </cfRule>
  </conditionalFormatting>
  <conditionalFormatting sqref="AR20:AS20">
    <cfRule type="expression" dxfId="6712" priority="3403">
      <formula>#REF!="TO"</formula>
    </cfRule>
    <cfRule type="expression" dxfId="6711" priority="3404">
      <formula>#REF!="IO"</formula>
    </cfRule>
    <cfRule type="expression" dxfId="6710" priority="3405">
      <formula>#REF!="L"</formula>
    </cfRule>
  </conditionalFormatting>
  <conditionalFormatting sqref="AS13">
    <cfRule type="expression" dxfId="6709" priority="3400">
      <formula>#REF!="TO"</formula>
    </cfRule>
    <cfRule type="expression" dxfId="6708" priority="3401">
      <formula>#REF!="IO"</formula>
    </cfRule>
    <cfRule type="expression" dxfId="6707" priority="3402">
      <formula>#REF!="L"</formula>
    </cfRule>
  </conditionalFormatting>
  <conditionalFormatting sqref="AS14">
    <cfRule type="expression" dxfId="6706" priority="3397">
      <formula>#REF!="TO"</formula>
    </cfRule>
    <cfRule type="expression" dxfId="6705" priority="3398">
      <formula>#REF!="IO"</formula>
    </cfRule>
    <cfRule type="expression" dxfId="6704" priority="3399">
      <formula>#REF!="L"</formula>
    </cfRule>
  </conditionalFormatting>
  <conditionalFormatting sqref="AS15">
    <cfRule type="expression" dxfId="6703" priority="3394">
      <formula>#REF!="TO"</formula>
    </cfRule>
    <cfRule type="expression" dxfId="6702" priority="3395">
      <formula>#REF!="IO"</formula>
    </cfRule>
    <cfRule type="expression" dxfId="6701" priority="3396">
      <formula>#REF!="L"</formula>
    </cfRule>
  </conditionalFormatting>
  <conditionalFormatting sqref="AR18:AS18">
    <cfRule type="expression" dxfId="6700" priority="3391">
      <formula>#REF!="TO"</formula>
    </cfRule>
    <cfRule type="expression" dxfId="6699" priority="3392">
      <formula>#REF!="IO"</formula>
    </cfRule>
    <cfRule type="expression" dxfId="6698" priority="3393">
      <formula>#REF!="L"</formula>
    </cfRule>
  </conditionalFormatting>
  <conditionalFormatting sqref="AR21:AS21">
    <cfRule type="expression" dxfId="6697" priority="3388">
      <formula>#REF!="TO"</formula>
    </cfRule>
    <cfRule type="expression" dxfId="6696" priority="3389">
      <formula>#REF!="IO"</formula>
    </cfRule>
    <cfRule type="expression" dxfId="6695" priority="3390">
      <formula>#REF!="L"</formula>
    </cfRule>
  </conditionalFormatting>
  <conditionalFormatting sqref="AR22:AS22">
    <cfRule type="expression" dxfId="6694" priority="3385">
      <formula>#REF!="TO"</formula>
    </cfRule>
    <cfRule type="expression" dxfId="6693" priority="3386">
      <formula>#REF!="IO"</formula>
    </cfRule>
    <cfRule type="expression" dxfId="6692" priority="3387">
      <formula>#REF!="L"</formula>
    </cfRule>
  </conditionalFormatting>
  <conditionalFormatting sqref="AR23:AS24">
    <cfRule type="expression" dxfId="6691" priority="3382">
      <formula>#REF!="TO"</formula>
    </cfRule>
    <cfRule type="expression" dxfId="6690" priority="3383">
      <formula>#REF!="IO"</formula>
    </cfRule>
    <cfRule type="expression" dxfId="6689" priority="3384">
      <formula>#REF!="L"</formula>
    </cfRule>
  </conditionalFormatting>
  <conditionalFormatting sqref="AR25:AS25 AR27:AS29">
    <cfRule type="expression" dxfId="6688" priority="3379">
      <formula>#REF!="TO"</formula>
    </cfRule>
    <cfRule type="expression" dxfId="6687" priority="3380">
      <formula>#REF!="IO"</formula>
    </cfRule>
    <cfRule type="expression" dxfId="6686" priority="3381">
      <formula>#REF!="L"</formula>
    </cfRule>
  </conditionalFormatting>
  <conditionalFormatting sqref="AI51:AN86">
    <cfRule type="expression" dxfId="6685" priority="3376">
      <formula>#REF!="TO"</formula>
    </cfRule>
    <cfRule type="expression" dxfId="6684" priority="3377">
      <formula>#REF!="IO"</formula>
    </cfRule>
    <cfRule type="expression" dxfId="6683" priority="3378">
      <formula>#REF!="L"</formula>
    </cfRule>
  </conditionalFormatting>
  <conditionalFormatting sqref="AO51:AS86">
    <cfRule type="expression" dxfId="6682" priority="3373">
      <formula>#REF!="TO"</formula>
    </cfRule>
    <cfRule type="expression" dxfId="6681" priority="3374">
      <formula>#REF!="IO"</formula>
    </cfRule>
    <cfRule type="expression" dxfId="6680" priority="3375">
      <formula>#REF!="L"</formula>
    </cfRule>
  </conditionalFormatting>
  <conditionalFormatting sqref="AT51:AT86">
    <cfRule type="expression" dxfId="6679" priority="3370">
      <formula>#REF!="TO"</formula>
    </cfRule>
    <cfRule type="expression" dxfId="6678" priority="3371">
      <formula>#REF!="IO"</formula>
    </cfRule>
    <cfRule type="expression" dxfId="6677" priority="3372">
      <formula>#REF!="L"</formula>
    </cfRule>
  </conditionalFormatting>
  <conditionalFormatting sqref="AL13">
    <cfRule type="expression" dxfId="6676" priority="3139">
      <formula>#REF!="TO"</formula>
    </cfRule>
    <cfRule type="expression" dxfId="6675" priority="3140">
      <formula>#REF!="IO"</formula>
    </cfRule>
    <cfRule type="expression" dxfId="6674" priority="3141">
      <formula>#REF!="L"</formula>
    </cfRule>
  </conditionalFormatting>
  <conditionalFormatting sqref="AL14">
    <cfRule type="expression" dxfId="6673" priority="3136">
      <formula>#REF!="TO"</formula>
    </cfRule>
    <cfRule type="expression" dxfId="6672" priority="3137">
      <formula>#REF!="IO"</formula>
    </cfRule>
    <cfRule type="expression" dxfId="6671" priority="3138">
      <formula>#REF!="L"</formula>
    </cfRule>
  </conditionalFormatting>
  <conditionalFormatting sqref="AL15">
    <cfRule type="expression" dxfId="6670" priority="3133">
      <formula>#REF!="TO"</formula>
    </cfRule>
    <cfRule type="expression" dxfId="6669" priority="3134">
      <formula>#REF!="IO"</formula>
    </cfRule>
    <cfRule type="expression" dxfId="6668" priority="3135">
      <formula>#REF!="L"</formula>
    </cfRule>
  </conditionalFormatting>
  <conditionalFormatting sqref="AK2 AK4:AK8">
    <cfRule type="expression" dxfId="6667" priority="3130">
      <formula>#REF!="TO"</formula>
    </cfRule>
    <cfRule type="expression" dxfId="6666" priority="3131">
      <formula>#REF!="IO"</formula>
    </cfRule>
    <cfRule type="expression" dxfId="6665" priority="3132">
      <formula>#REF!="L"</formula>
    </cfRule>
  </conditionalFormatting>
  <conditionalFormatting sqref="AI28:AN29">
    <cfRule type="expression" dxfId="6664" priority="3352">
      <formula>#REF!="TO"</formula>
    </cfRule>
    <cfRule type="expression" dxfId="6663" priority="3353">
      <formula>#REF!="IO"</formula>
    </cfRule>
    <cfRule type="expression" dxfId="6662" priority="3354">
      <formula>#REF!="L"</formula>
    </cfRule>
  </conditionalFormatting>
  <conditionalFormatting sqref="AO28:AQ29">
    <cfRule type="expression" dxfId="6661" priority="3349">
      <formula>#REF!="TO"</formula>
    </cfRule>
    <cfRule type="expression" dxfId="6660" priority="3350">
      <formula>#REF!="IO"</formula>
    </cfRule>
    <cfRule type="expression" dxfId="6659" priority="3351">
      <formula>#REF!="L"</formula>
    </cfRule>
  </conditionalFormatting>
  <conditionalFormatting sqref="AR28:AS29">
    <cfRule type="expression" dxfId="6658" priority="3346">
      <formula>#REF!="TO"</formula>
    </cfRule>
    <cfRule type="expression" dxfId="6657" priority="3347">
      <formula>#REF!="IO"</formula>
    </cfRule>
    <cfRule type="expression" dxfId="6656" priority="3348">
      <formula>#REF!="L"</formula>
    </cfRule>
  </conditionalFormatting>
  <conditionalFormatting sqref="AU2 AU4">
    <cfRule type="expression" dxfId="6655" priority="3343">
      <formula>#REF!="TO"</formula>
    </cfRule>
    <cfRule type="expression" dxfId="6654" priority="3344">
      <formula>#REF!="IO"</formula>
    </cfRule>
    <cfRule type="expression" dxfId="6653" priority="3345">
      <formula>#REF!="L"</formula>
    </cfRule>
  </conditionalFormatting>
  <conditionalFormatting sqref="AU38:AU41 AU23:AU29">
    <cfRule type="expression" dxfId="6652" priority="3340">
      <formula>#REF!="TO"</formula>
    </cfRule>
    <cfRule type="expression" dxfId="6651" priority="3341">
      <formula>#REF!="IO"</formula>
    </cfRule>
    <cfRule type="expression" dxfId="6650" priority="3342">
      <formula>#REF!="L"</formula>
    </cfRule>
  </conditionalFormatting>
  <conditionalFormatting sqref="AU5">
    <cfRule type="expression" dxfId="6649" priority="3337">
      <formula>#REF!="TO"</formula>
    </cfRule>
    <cfRule type="expression" dxfId="6648" priority="3338">
      <formula>#REF!="IO"</formula>
    </cfRule>
    <cfRule type="expression" dxfId="6647" priority="3339">
      <formula>#REF!="L"</formula>
    </cfRule>
  </conditionalFormatting>
  <conditionalFormatting sqref="AU6">
    <cfRule type="expression" dxfId="6646" priority="3334">
      <formula>#REF!="TO"</formula>
    </cfRule>
    <cfRule type="expression" dxfId="6645" priority="3335">
      <formula>#REF!="IO"</formula>
    </cfRule>
    <cfRule type="expression" dxfId="6644" priority="3336">
      <formula>#REF!="L"</formula>
    </cfRule>
  </conditionalFormatting>
  <conditionalFormatting sqref="AU7">
    <cfRule type="expression" dxfId="6643" priority="3331">
      <formula>#REF!="TO"</formula>
    </cfRule>
    <cfRule type="expression" dxfId="6642" priority="3332">
      <formula>#REF!="IO"</formula>
    </cfRule>
    <cfRule type="expression" dxfId="6641" priority="3333">
      <formula>#REF!="L"</formula>
    </cfRule>
  </conditionalFormatting>
  <conditionalFormatting sqref="AU8">
    <cfRule type="expression" dxfId="6640" priority="3328">
      <formula>#REF!="TO"</formula>
    </cfRule>
    <cfRule type="expression" dxfId="6639" priority="3329">
      <formula>#REF!="IO"</formula>
    </cfRule>
    <cfRule type="expression" dxfId="6638" priority="3330">
      <formula>#REF!="L"</formula>
    </cfRule>
  </conditionalFormatting>
  <conditionalFormatting sqref="AU9:AU12">
    <cfRule type="expression" dxfId="6637" priority="3325">
      <formula>#REF!="TO"</formula>
    </cfRule>
    <cfRule type="expression" dxfId="6636" priority="3326">
      <formula>#REF!="IO"</formula>
    </cfRule>
    <cfRule type="expression" dxfId="6635" priority="3327">
      <formula>#REF!="L"</formula>
    </cfRule>
  </conditionalFormatting>
  <conditionalFormatting sqref="AU14">
    <cfRule type="expression" dxfId="6634" priority="3319">
      <formula>#REF!="TO"</formula>
    </cfRule>
    <cfRule type="expression" dxfId="6633" priority="3320">
      <formula>#REF!="IO"</formula>
    </cfRule>
    <cfRule type="expression" dxfId="6632" priority="3321">
      <formula>#REF!="L"</formula>
    </cfRule>
  </conditionalFormatting>
  <conditionalFormatting sqref="AU13">
    <cfRule type="expression" dxfId="6631" priority="3322">
      <formula>#REF!="TO"</formula>
    </cfRule>
    <cfRule type="expression" dxfId="6630" priority="3323">
      <formula>#REF!="IO"</formula>
    </cfRule>
    <cfRule type="expression" dxfId="6629" priority="3324">
      <formula>#REF!="L"</formula>
    </cfRule>
  </conditionalFormatting>
  <conditionalFormatting sqref="AU15">
    <cfRule type="expression" dxfId="6628" priority="3316">
      <formula>#REF!="TO"</formula>
    </cfRule>
    <cfRule type="expression" dxfId="6627" priority="3317">
      <formula>#REF!="IO"</formula>
    </cfRule>
    <cfRule type="expression" dxfId="6626" priority="3318">
      <formula>#REF!="L"</formula>
    </cfRule>
  </conditionalFormatting>
  <conditionalFormatting sqref="AU16">
    <cfRule type="expression" dxfId="6625" priority="3313">
      <formula>#REF!="TO"</formula>
    </cfRule>
    <cfRule type="expression" dxfId="6624" priority="3314">
      <formula>#REF!="IO"</formula>
    </cfRule>
    <cfRule type="expression" dxfId="6623" priority="3315">
      <formula>#REF!="L"</formula>
    </cfRule>
  </conditionalFormatting>
  <conditionalFormatting sqref="AU17">
    <cfRule type="expression" dxfId="6622" priority="3310">
      <formula>#REF!="TO"</formula>
    </cfRule>
    <cfRule type="expression" dxfId="6621" priority="3311">
      <formula>#REF!="IO"</formula>
    </cfRule>
    <cfRule type="expression" dxfId="6620" priority="3312">
      <formula>#REF!="L"</formula>
    </cfRule>
  </conditionalFormatting>
  <conditionalFormatting sqref="AU18">
    <cfRule type="expression" dxfId="6619" priority="3307">
      <formula>#REF!="TO"</formula>
    </cfRule>
    <cfRule type="expression" dxfId="6618" priority="3308">
      <formula>#REF!="IO"</formula>
    </cfRule>
    <cfRule type="expression" dxfId="6617" priority="3309">
      <formula>#REF!="L"</formula>
    </cfRule>
  </conditionalFormatting>
  <conditionalFormatting sqref="AU19">
    <cfRule type="expression" dxfId="6616" priority="3304">
      <formula>#REF!="TO"</formula>
    </cfRule>
    <cfRule type="expression" dxfId="6615" priority="3305">
      <formula>#REF!="IO"</formula>
    </cfRule>
    <cfRule type="expression" dxfId="6614" priority="3306">
      <formula>#REF!="L"</formula>
    </cfRule>
  </conditionalFormatting>
  <conditionalFormatting sqref="AU20">
    <cfRule type="expression" dxfId="6613" priority="3301">
      <formula>#REF!="TO"</formula>
    </cfRule>
    <cfRule type="expression" dxfId="6612" priority="3302">
      <formula>#REF!="IO"</formula>
    </cfRule>
    <cfRule type="expression" dxfId="6611" priority="3303">
      <formula>#REF!="L"</formula>
    </cfRule>
  </conditionalFormatting>
  <conditionalFormatting sqref="AU21">
    <cfRule type="expression" dxfId="6610" priority="3298">
      <formula>#REF!="TO"</formula>
    </cfRule>
    <cfRule type="expression" dxfId="6609" priority="3299">
      <formula>#REF!="IO"</formula>
    </cfRule>
    <cfRule type="expression" dxfId="6608" priority="3300">
      <formula>#REF!="L"</formula>
    </cfRule>
  </conditionalFormatting>
  <conditionalFormatting sqref="AU22:AU29">
    <cfRule type="expression" dxfId="6607" priority="3295">
      <formula>#REF!="TO"</formula>
    </cfRule>
    <cfRule type="expression" dxfId="6606" priority="3296">
      <formula>#REF!="IO"</formula>
    </cfRule>
    <cfRule type="expression" dxfId="6605" priority="3297">
      <formula>#REF!="L"</formula>
    </cfRule>
  </conditionalFormatting>
  <conditionalFormatting sqref="AU42">
    <cfRule type="expression" dxfId="6604" priority="3292">
      <formula>#REF!="TO"</formula>
    </cfRule>
    <cfRule type="expression" dxfId="6603" priority="3293">
      <formula>#REF!="IO"</formula>
    </cfRule>
    <cfRule type="expression" dxfId="6602" priority="3294">
      <formula>#REF!="L"</formula>
    </cfRule>
  </conditionalFormatting>
  <conditionalFormatting sqref="AU43">
    <cfRule type="expression" dxfId="6601" priority="3289">
      <formula>#REF!="TO"</formula>
    </cfRule>
    <cfRule type="expression" dxfId="6600" priority="3290">
      <formula>#REF!="IO"</formula>
    </cfRule>
    <cfRule type="expression" dxfId="6599" priority="3291">
      <formula>#REF!="L"</formula>
    </cfRule>
  </conditionalFormatting>
  <conditionalFormatting sqref="AU44">
    <cfRule type="expression" dxfId="6598" priority="3286">
      <formula>#REF!="TO"</formula>
    </cfRule>
    <cfRule type="expression" dxfId="6597" priority="3287">
      <formula>#REF!="IO"</formula>
    </cfRule>
    <cfRule type="expression" dxfId="6596" priority="3288">
      <formula>#REF!="L"</formula>
    </cfRule>
  </conditionalFormatting>
  <conditionalFormatting sqref="AU45">
    <cfRule type="expression" dxfId="6595" priority="3283">
      <formula>#REF!="TO"</formula>
    </cfRule>
    <cfRule type="expression" dxfId="6594" priority="3284">
      <formula>#REF!="IO"</formula>
    </cfRule>
    <cfRule type="expression" dxfId="6593" priority="3285">
      <formula>#REF!="L"</formula>
    </cfRule>
  </conditionalFormatting>
  <conditionalFormatting sqref="AU46">
    <cfRule type="expression" dxfId="6592" priority="3280">
      <formula>#REF!="TO"</formula>
    </cfRule>
    <cfRule type="expression" dxfId="6591" priority="3281">
      <formula>#REF!="IO"</formula>
    </cfRule>
    <cfRule type="expression" dxfId="6590" priority="3282">
      <formula>#REF!="L"</formula>
    </cfRule>
  </conditionalFormatting>
  <conditionalFormatting sqref="AU47">
    <cfRule type="expression" dxfId="6589" priority="3277">
      <formula>#REF!="TO"</formula>
    </cfRule>
    <cfRule type="expression" dxfId="6588" priority="3278">
      <formula>#REF!="IO"</formula>
    </cfRule>
    <cfRule type="expression" dxfId="6587" priority="3279">
      <formula>#REF!="L"</formula>
    </cfRule>
  </conditionalFormatting>
  <conditionalFormatting sqref="AU48">
    <cfRule type="expression" dxfId="6586" priority="3274">
      <formula>#REF!="TO"</formula>
    </cfRule>
    <cfRule type="expression" dxfId="6585" priority="3275">
      <formula>#REF!="IO"</formula>
    </cfRule>
    <cfRule type="expression" dxfId="6584" priority="3276">
      <formula>#REF!="L"</formula>
    </cfRule>
  </conditionalFormatting>
  <conditionalFormatting sqref="AU49">
    <cfRule type="expression" dxfId="6583" priority="3271">
      <formula>#REF!="TO"</formula>
    </cfRule>
    <cfRule type="expression" dxfId="6582" priority="3272">
      <formula>#REF!="IO"</formula>
    </cfRule>
    <cfRule type="expression" dxfId="6581" priority="3273">
      <formula>#REF!="L"</formula>
    </cfRule>
  </conditionalFormatting>
  <conditionalFormatting sqref="AU50">
    <cfRule type="expression" dxfId="6580" priority="3268">
      <formula>#REF!="TO"</formula>
    </cfRule>
    <cfRule type="expression" dxfId="6579" priority="3269">
      <formula>#REF!="IO"</formula>
    </cfRule>
    <cfRule type="expression" dxfId="6578" priority="3270">
      <formula>#REF!="L"</formula>
    </cfRule>
  </conditionalFormatting>
  <conditionalFormatting sqref="AU51:AU86">
    <cfRule type="expression" dxfId="6577" priority="3265">
      <formula>#REF!="TO"</formula>
    </cfRule>
    <cfRule type="expression" dxfId="6576" priority="3266">
      <formula>#REF!="IO"</formula>
    </cfRule>
    <cfRule type="expression" dxfId="6575" priority="3267">
      <formula>#REF!="L"</formula>
    </cfRule>
  </conditionalFormatting>
  <conditionalFormatting sqref="AJ3">
    <cfRule type="expression" dxfId="6574" priority="3034">
      <formula>#REF!="TO"</formula>
    </cfRule>
    <cfRule type="expression" dxfId="6573" priority="3035">
      <formula>#REF!="IO"</formula>
    </cfRule>
    <cfRule type="expression" dxfId="6572" priority="3036">
      <formula>#REF!="L"</formula>
    </cfRule>
  </conditionalFormatting>
  <conditionalFormatting sqref="AU28:AU29">
    <cfRule type="expression" dxfId="6571" priority="3259">
      <formula>#REF!="TO"</formula>
    </cfRule>
    <cfRule type="expression" dxfId="6570" priority="3260">
      <formula>#REF!="IO"</formula>
    </cfRule>
    <cfRule type="expression" dxfId="6569" priority="3261">
      <formula>#REF!="L"</formula>
    </cfRule>
    <cfRule type="expression" dxfId="6568" priority="3256">
      <formula>#REF!="TO"</formula>
    </cfRule>
    <cfRule type="expression" dxfId="6567" priority="3257">
      <formula>#REF!="IO"</formula>
    </cfRule>
    <cfRule type="expression" dxfId="6566" priority="3258">
      <formula>#REF!="L"</formula>
    </cfRule>
  </conditionalFormatting>
  <conditionalFormatting sqref="AL2 AL4:AL8">
    <cfRule type="expression" dxfId="6565" priority="3151">
      <formula>#REF!="TO"</formula>
    </cfRule>
    <cfRule type="expression" dxfId="6564" priority="3152">
      <formula>#REF!="IO"</formula>
    </cfRule>
    <cfRule type="expression" dxfId="6563" priority="3153">
      <formula>#REF!="L"</formula>
    </cfRule>
  </conditionalFormatting>
  <conditionalFormatting sqref="AO15">
    <cfRule type="expression" dxfId="6562" priority="3175">
      <formula>#REF!="TO"</formula>
    </cfRule>
    <cfRule type="expression" dxfId="6561" priority="3176">
      <formula>#REF!="IO"</formula>
    </cfRule>
    <cfRule type="expression" dxfId="6560" priority="3177">
      <formula>#REF!="L"</formula>
    </cfRule>
  </conditionalFormatting>
  <conditionalFormatting sqref="AM2 AM4:AM8">
    <cfRule type="expression" dxfId="6559" priority="3172">
      <formula>#REF!="TO"</formula>
    </cfRule>
    <cfRule type="expression" dxfId="6558" priority="3173">
      <formula>#REF!="IO"</formula>
    </cfRule>
    <cfRule type="expression" dxfId="6557" priority="3174">
      <formula>#REF!="L"</formula>
    </cfRule>
  </conditionalFormatting>
  <conditionalFormatting sqref="AM9:AM12">
    <cfRule type="expression" dxfId="6556" priority="3169">
      <formula>#REF!="TO"</formula>
    </cfRule>
    <cfRule type="expression" dxfId="6555" priority="3170">
      <formula>#REF!="IO"</formula>
    </cfRule>
    <cfRule type="expression" dxfId="6554" priority="3171">
      <formula>#REF!="L"</formula>
    </cfRule>
  </conditionalFormatting>
  <conditionalFormatting sqref="AM16">
    <cfRule type="expression" dxfId="6553" priority="3166">
      <formula>#REF!="TO"</formula>
    </cfRule>
    <cfRule type="expression" dxfId="6552" priority="3167">
      <formula>#REF!="IO"</formula>
    </cfRule>
    <cfRule type="expression" dxfId="6551" priority="3168">
      <formula>#REF!="L"</formula>
    </cfRule>
  </conditionalFormatting>
  <conditionalFormatting sqref="AM17">
    <cfRule type="expression" dxfId="6550" priority="3163">
      <formula>#REF!="TO"</formula>
    </cfRule>
    <cfRule type="expression" dxfId="6549" priority="3164">
      <formula>#REF!="IO"</formula>
    </cfRule>
    <cfRule type="expression" dxfId="6548" priority="3165">
      <formula>#REF!="L"</formula>
    </cfRule>
  </conditionalFormatting>
  <conditionalFormatting sqref="AM13">
    <cfRule type="expression" dxfId="6547" priority="3160">
      <formula>#REF!="TO"</formula>
    </cfRule>
    <cfRule type="expression" dxfId="6546" priority="3161">
      <formula>#REF!="IO"</formula>
    </cfRule>
    <cfRule type="expression" dxfId="6545" priority="3162">
      <formula>#REF!="L"</formula>
    </cfRule>
  </conditionalFormatting>
  <conditionalFormatting sqref="AM14">
    <cfRule type="expression" dxfId="6544" priority="3157">
      <formula>#REF!="TO"</formula>
    </cfRule>
    <cfRule type="expression" dxfId="6543" priority="3158">
      <formula>#REF!="IO"</formula>
    </cfRule>
    <cfRule type="expression" dxfId="6542" priority="3159">
      <formula>#REF!="L"</formula>
    </cfRule>
  </conditionalFormatting>
  <conditionalFormatting sqref="AM15">
    <cfRule type="expression" dxfId="6541" priority="3154">
      <formula>#REF!="TO"</formula>
    </cfRule>
    <cfRule type="expression" dxfId="6540" priority="3155">
      <formula>#REF!="IO"</formula>
    </cfRule>
    <cfRule type="expression" dxfId="6539" priority="3156">
      <formula>#REF!="L"</formula>
    </cfRule>
  </conditionalFormatting>
  <conditionalFormatting sqref="AL9:AL12">
    <cfRule type="expression" dxfId="6538" priority="3148">
      <formula>#REF!="TO"</formula>
    </cfRule>
    <cfRule type="expression" dxfId="6537" priority="3149">
      <formula>#REF!="IO"</formula>
    </cfRule>
    <cfRule type="expression" dxfId="6536" priority="3150">
      <formula>#REF!="L"</formula>
    </cfRule>
  </conditionalFormatting>
  <conditionalFormatting sqref="AK13">
    <cfRule type="expression" dxfId="6535" priority="3118">
      <formula>#REF!="TO"</formula>
    </cfRule>
    <cfRule type="expression" dxfId="6534" priority="3119">
      <formula>#REF!="IO"</formula>
    </cfRule>
    <cfRule type="expression" dxfId="6533" priority="3120">
      <formula>#REF!="L"</formula>
    </cfRule>
  </conditionalFormatting>
  <conditionalFormatting sqref="AK14">
    <cfRule type="expression" dxfId="6532" priority="3115">
      <formula>#REF!="TO"</formula>
    </cfRule>
    <cfRule type="expression" dxfId="6531" priority="3116">
      <formula>#REF!="IO"</formula>
    </cfRule>
    <cfRule type="expression" dxfId="6530" priority="3117">
      <formula>#REF!="L"</formula>
    </cfRule>
  </conditionalFormatting>
  <conditionalFormatting sqref="AK15">
    <cfRule type="expression" dxfId="6529" priority="3112">
      <formula>#REF!="TO"</formula>
    </cfRule>
    <cfRule type="expression" dxfId="6528" priority="3113">
      <formula>#REF!="IO"</formula>
    </cfRule>
    <cfRule type="expression" dxfId="6527" priority="3114">
      <formula>#REF!="L"</formula>
    </cfRule>
  </conditionalFormatting>
  <conditionalFormatting sqref="AJ2 AJ4:AJ8">
    <cfRule type="expression" dxfId="6526" priority="3109">
      <formula>#REF!="TO"</formula>
    </cfRule>
    <cfRule type="expression" dxfId="6525" priority="3110">
      <formula>#REF!="IO"</formula>
    </cfRule>
    <cfRule type="expression" dxfId="6524" priority="3111">
      <formula>#REF!="L"</formula>
    </cfRule>
  </conditionalFormatting>
  <conditionalFormatting sqref="AJ9:AJ12">
    <cfRule type="expression" dxfId="6523" priority="3106">
      <formula>#REF!="TO"</formula>
    </cfRule>
    <cfRule type="expression" dxfId="6522" priority="3107">
      <formula>#REF!="IO"</formula>
    </cfRule>
    <cfRule type="expression" dxfId="6521" priority="3108">
      <formula>#REF!="L"</formula>
    </cfRule>
  </conditionalFormatting>
  <conditionalFormatting sqref="AJ16">
    <cfRule type="expression" dxfId="6520" priority="3103">
      <formula>#REF!="TO"</formula>
    </cfRule>
    <cfRule type="expression" dxfId="6519" priority="3104">
      <formula>#REF!="IO"</formula>
    </cfRule>
    <cfRule type="expression" dxfId="6518" priority="3105">
      <formula>#REF!="L"</formula>
    </cfRule>
  </conditionalFormatting>
  <conditionalFormatting sqref="AJ17">
    <cfRule type="expression" dxfId="6517" priority="3100">
      <formula>#REF!="TO"</formula>
    </cfRule>
    <cfRule type="expression" dxfId="6516" priority="3101">
      <formula>#REF!="IO"</formula>
    </cfRule>
    <cfRule type="expression" dxfId="6515" priority="3102">
      <formula>#REF!="L"</formula>
    </cfRule>
  </conditionalFormatting>
  <conditionalFormatting sqref="AJ13">
    <cfRule type="expression" dxfId="6514" priority="3097">
      <formula>#REF!="TO"</formula>
    </cfRule>
    <cfRule type="expression" dxfId="6513" priority="3098">
      <formula>#REF!="IO"</formula>
    </cfRule>
    <cfRule type="expression" dxfId="6512" priority="3099">
      <formula>#REF!="L"</formula>
    </cfRule>
  </conditionalFormatting>
  <conditionalFormatting sqref="AJ14">
    <cfRule type="expression" dxfId="6511" priority="3094">
      <formula>#REF!="TO"</formula>
    </cfRule>
    <cfRule type="expression" dxfId="6510" priority="3095">
      <formula>#REF!="IO"</formula>
    </cfRule>
    <cfRule type="expression" dxfId="6509" priority="3096">
      <formula>#REF!="L"</formula>
    </cfRule>
  </conditionalFormatting>
  <conditionalFormatting sqref="AJ15">
    <cfRule type="expression" dxfId="6508" priority="3091">
      <formula>#REF!="TO"</formula>
    </cfRule>
    <cfRule type="expression" dxfId="6507" priority="3092">
      <formula>#REF!="IO"</formula>
    </cfRule>
    <cfRule type="expression" dxfId="6506" priority="3093">
      <formula>#REF!="L"</formula>
    </cfRule>
  </conditionalFormatting>
  <conditionalFormatting sqref="AR2 AR4:AR8">
    <cfRule type="expression" dxfId="6505" priority="3253">
      <formula>#REF!="TO"</formula>
    </cfRule>
    <cfRule type="expression" dxfId="6504" priority="3254">
      <formula>#REF!="IO"</formula>
    </cfRule>
    <cfRule type="expression" dxfId="6503" priority="3255">
      <formula>#REF!="L"</formula>
    </cfRule>
  </conditionalFormatting>
  <conditionalFormatting sqref="AR9:AR12">
    <cfRule type="expression" dxfId="6502" priority="3250">
      <formula>#REF!="TO"</formula>
    </cfRule>
    <cfRule type="expression" dxfId="6501" priority="3251">
      <formula>#REF!="IO"</formula>
    </cfRule>
    <cfRule type="expression" dxfId="6500" priority="3252">
      <formula>#REF!="L"</formula>
    </cfRule>
  </conditionalFormatting>
  <conditionalFormatting sqref="AR16">
    <cfRule type="expression" dxfId="6499" priority="3247">
      <formula>#REF!="TO"</formula>
    </cfRule>
    <cfRule type="expression" dxfId="6498" priority="3248">
      <formula>#REF!="IO"</formula>
    </cfRule>
    <cfRule type="expression" dxfId="6497" priority="3249">
      <formula>#REF!="L"</formula>
    </cfRule>
  </conditionalFormatting>
  <conditionalFormatting sqref="AR13">
    <cfRule type="expression" dxfId="6496" priority="3244">
      <formula>#REF!="TO"</formula>
    </cfRule>
    <cfRule type="expression" dxfId="6495" priority="3245">
      <formula>#REF!="IO"</formula>
    </cfRule>
    <cfRule type="expression" dxfId="6494" priority="3246">
      <formula>#REF!="L"</formula>
    </cfRule>
  </conditionalFormatting>
  <conditionalFormatting sqref="AR14">
    <cfRule type="expression" dxfId="6493" priority="3241">
      <formula>#REF!="TO"</formula>
    </cfRule>
    <cfRule type="expression" dxfId="6492" priority="3242">
      <formula>#REF!="IO"</formula>
    </cfRule>
    <cfRule type="expression" dxfId="6491" priority="3243">
      <formula>#REF!="L"</formula>
    </cfRule>
  </conditionalFormatting>
  <conditionalFormatting sqref="AR15">
    <cfRule type="expression" dxfId="6490" priority="3238">
      <formula>#REF!="TO"</formula>
    </cfRule>
    <cfRule type="expression" dxfId="6489" priority="3239">
      <formula>#REF!="IO"</formula>
    </cfRule>
    <cfRule type="expression" dxfId="6488" priority="3240">
      <formula>#REF!="L"</formula>
    </cfRule>
  </conditionalFormatting>
  <conditionalFormatting sqref="AQ2 AQ4:AQ8">
    <cfRule type="expression" dxfId="6487" priority="3235">
      <formula>#REF!="TO"</formula>
    </cfRule>
    <cfRule type="expression" dxfId="6486" priority="3236">
      <formula>#REF!="IO"</formula>
    </cfRule>
    <cfRule type="expression" dxfId="6485" priority="3237">
      <formula>#REF!="L"</formula>
    </cfRule>
  </conditionalFormatting>
  <conditionalFormatting sqref="AQ9:AQ12">
    <cfRule type="expression" dxfId="6484" priority="3232">
      <formula>#REF!="TO"</formula>
    </cfRule>
    <cfRule type="expression" dxfId="6483" priority="3233">
      <formula>#REF!="IO"</formula>
    </cfRule>
    <cfRule type="expression" dxfId="6482" priority="3234">
      <formula>#REF!="L"</formula>
    </cfRule>
  </conditionalFormatting>
  <conditionalFormatting sqref="AQ16">
    <cfRule type="expression" dxfId="6481" priority="3229">
      <formula>#REF!="TO"</formula>
    </cfRule>
    <cfRule type="expression" dxfId="6480" priority="3230">
      <formula>#REF!="IO"</formula>
    </cfRule>
    <cfRule type="expression" dxfId="6479" priority="3231">
      <formula>#REF!="L"</formula>
    </cfRule>
  </conditionalFormatting>
  <conditionalFormatting sqref="AQ17">
    <cfRule type="expression" dxfId="6478" priority="3226">
      <formula>#REF!="TO"</formula>
    </cfRule>
    <cfRule type="expression" dxfId="6477" priority="3227">
      <formula>#REF!="IO"</formula>
    </cfRule>
    <cfRule type="expression" dxfId="6476" priority="3228">
      <formula>#REF!="L"</formula>
    </cfRule>
  </conditionalFormatting>
  <conditionalFormatting sqref="AQ13">
    <cfRule type="expression" dxfId="6475" priority="3223">
      <formula>#REF!="TO"</formula>
    </cfRule>
    <cfRule type="expression" dxfId="6474" priority="3224">
      <formula>#REF!="IO"</formula>
    </cfRule>
    <cfRule type="expression" dxfId="6473" priority="3225">
      <formula>#REF!="L"</formula>
    </cfRule>
  </conditionalFormatting>
  <conditionalFormatting sqref="AQ14">
    <cfRule type="expression" dxfId="6472" priority="3220">
      <formula>#REF!="TO"</formula>
    </cfRule>
    <cfRule type="expression" dxfId="6471" priority="3221">
      <formula>#REF!="IO"</formula>
    </cfRule>
    <cfRule type="expression" dxfId="6470" priority="3222">
      <formula>#REF!="L"</formula>
    </cfRule>
  </conditionalFormatting>
  <conditionalFormatting sqref="AQ15">
    <cfRule type="expression" dxfId="6469" priority="3217">
      <formula>#REF!="TO"</formula>
    </cfRule>
    <cfRule type="expression" dxfId="6468" priority="3218">
      <formula>#REF!="IO"</formula>
    </cfRule>
    <cfRule type="expression" dxfId="6467" priority="3219">
      <formula>#REF!="L"</formula>
    </cfRule>
  </conditionalFormatting>
  <conditionalFormatting sqref="AP2 AP4:AP8">
    <cfRule type="expression" dxfId="6466" priority="3214">
      <formula>#REF!="TO"</formula>
    </cfRule>
    <cfRule type="expression" dxfId="6465" priority="3215">
      <formula>#REF!="IO"</formula>
    </cfRule>
    <cfRule type="expression" dxfId="6464" priority="3216">
      <formula>#REF!="L"</formula>
    </cfRule>
  </conditionalFormatting>
  <conditionalFormatting sqref="AP9:AP12">
    <cfRule type="expression" dxfId="6463" priority="3211">
      <formula>#REF!="TO"</formula>
    </cfRule>
    <cfRule type="expression" dxfId="6462" priority="3212">
      <formula>#REF!="IO"</formula>
    </cfRule>
    <cfRule type="expression" dxfId="6461" priority="3213">
      <formula>#REF!="L"</formula>
    </cfRule>
  </conditionalFormatting>
  <conditionalFormatting sqref="AP16">
    <cfRule type="expression" dxfId="6460" priority="3208">
      <formula>#REF!="TO"</formula>
    </cfRule>
    <cfRule type="expression" dxfId="6459" priority="3209">
      <formula>#REF!="IO"</formula>
    </cfRule>
    <cfRule type="expression" dxfId="6458" priority="3210">
      <formula>#REF!="L"</formula>
    </cfRule>
  </conditionalFormatting>
  <conditionalFormatting sqref="AP17">
    <cfRule type="expression" dxfId="6457" priority="3205">
      <formula>#REF!="TO"</formula>
    </cfRule>
    <cfRule type="expression" dxfId="6456" priority="3206">
      <formula>#REF!="IO"</formula>
    </cfRule>
    <cfRule type="expression" dxfId="6455" priority="3207">
      <formula>#REF!="L"</formula>
    </cfRule>
  </conditionalFormatting>
  <conditionalFormatting sqref="AP13">
    <cfRule type="expression" dxfId="6454" priority="3202">
      <formula>#REF!="TO"</formula>
    </cfRule>
    <cfRule type="expression" dxfId="6453" priority="3203">
      <formula>#REF!="IO"</formula>
    </cfRule>
    <cfRule type="expression" dxfId="6452" priority="3204">
      <formula>#REF!="L"</formula>
    </cfRule>
  </conditionalFormatting>
  <conditionalFormatting sqref="AP14">
    <cfRule type="expression" dxfId="6451" priority="3199">
      <formula>#REF!="TO"</formula>
    </cfRule>
    <cfRule type="expression" dxfId="6450" priority="3200">
      <formula>#REF!="IO"</formula>
    </cfRule>
    <cfRule type="expression" dxfId="6449" priority="3201">
      <formula>#REF!="L"</formula>
    </cfRule>
  </conditionalFormatting>
  <conditionalFormatting sqref="AP15">
    <cfRule type="expression" dxfId="6448" priority="3196">
      <formula>#REF!="TO"</formula>
    </cfRule>
    <cfRule type="expression" dxfId="6447" priority="3197">
      <formula>#REF!="IO"</formula>
    </cfRule>
    <cfRule type="expression" dxfId="6446" priority="3198">
      <formula>#REF!="L"</formula>
    </cfRule>
  </conditionalFormatting>
  <conditionalFormatting sqref="AO2 AO4:AO8">
    <cfRule type="expression" dxfId="6445" priority="3193">
      <formula>#REF!="TO"</formula>
    </cfRule>
    <cfRule type="expression" dxfId="6444" priority="3194">
      <formula>#REF!="IO"</formula>
    </cfRule>
    <cfRule type="expression" dxfId="6443" priority="3195">
      <formula>#REF!="L"</formula>
    </cfRule>
  </conditionalFormatting>
  <conditionalFormatting sqref="AO9:AO12">
    <cfRule type="expression" dxfId="6442" priority="3190">
      <formula>#REF!="TO"</formula>
    </cfRule>
    <cfRule type="expression" dxfId="6441" priority="3191">
      <formula>#REF!="IO"</formula>
    </cfRule>
    <cfRule type="expression" dxfId="6440" priority="3192">
      <formula>#REF!="L"</formula>
    </cfRule>
  </conditionalFormatting>
  <conditionalFormatting sqref="AO16">
    <cfRule type="expression" dxfId="6439" priority="3187">
      <formula>#REF!="TO"</formula>
    </cfRule>
    <cfRule type="expression" dxfId="6438" priority="3188">
      <formula>#REF!="IO"</formula>
    </cfRule>
    <cfRule type="expression" dxfId="6437" priority="3189">
      <formula>#REF!="L"</formula>
    </cfRule>
  </conditionalFormatting>
  <conditionalFormatting sqref="AO17">
    <cfRule type="expression" dxfId="6436" priority="3184">
      <formula>#REF!="TO"</formula>
    </cfRule>
    <cfRule type="expression" dxfId="6435" priority="3185">
      <formula>#REF!="IO"</formula>
    </cfRule>
    <cfRule type="expression" dxfId="6434" priority="3186">
      <formula>#REF!="L"</formula>
    </cfRule>
  </conditionalFormatting>
  <conditionalFormatting sqref="AO13">
    <cfRule type="expression" dxfId="6433" priority="3181">
      <formula>#REF!="TO"</formula>
    </cfRule>
    <cfRule type="expression" dxfId="6432" priority="3182">
      <formula>#REF!="IO"</formula>
    </cfRule>
    <cfRule type="expression" dxfId="6431" priority="3183">
      <formula>#REF!="L"</formula>
    </cfRule>
  </conditionalFormatting>
  <conditionalFormatting sqref="AO14">
    <cfRule type="expression" dxfId="6430" priority="3178">
      <formula>#REF!="TO"</formula>
    </cfRule>
    <cfRule type="expression" dxfId="6429" priority="3179">
      <formula>#REF!="IO"</formula>
    </cfRule>
    <cfRule type="expression" dxfId="6428" priority="3180">
      <formula>#REF!="L"</formula>
    </cfRule>
  </conditionalFormatting>
  <conditionalFormatting sqref="AL16">
    <cfRule type="expression" dxfId="6427" priority="3145">
      <formula>#REF!="TO"</formula>
    </cfRule>
    <cfRule type="expression" dxfId="6426" priority="3146">
      <formula>#REF!="IO"</formula>
    </cfRule>
    <cfRule type="expression" dxfId="6425" priority="3147">
      <formula>#REF!="L"</formula>
    </cfRule>
  </conditionalFormatting>
  <conditionalFormatting sqref="AL17">
    <cfRule type="expression" dxfId="6424" priority="3142">
      <formula>#REF!="TO"</formula>
    </cfRule>
    <cfRule type="expression" dxfId="6423" priority="3143">
      <formula>#REF!="IO"</formula>
    </cfRule>
    <cfRule type="expression" dxfId="6422" priority="3144">
      <formula>#REF!="L"</formula>
    </cfRule>
  </conditionalFormatting>
  <conditionalFormatting sqref="AK9:AK12">
    <cfRule type="expression" dxfId="6421" priority="3127">
      <formula>#REF!="TO"</formula>
    </cfRule>
    <cfRule type="expression" dxfId="6420" priority="3128">
      <formula>#REF!="IO"</formula>
    </cfRule>
    <cfRule type="expression" dxfId="6419" priority="3129">
      <formula>#REF!="L"</formula>
    </cfRule>
  </conditionalFormatting>
  <conditionalFormatting sqref="AK16">
    <cfRule type="expression" dxfId="6418" priority="3124">
      <formula>#REF!="TO"</formula>
    </cfRule>
    <cfRule type="expression" dxfId="6417" priority="3125">
      <formula>#REF!="IO"</formula>
    </cfRule>
    <cfRule type="expression" dxfId="6416" priority="3126">
      <formula>#REF!="L"</formula>
    </cfRule>
  </conditionalFormatting>
  <conditionalFormatting sqref="AK17">
    <cfRule type="expression" dxfId="6415" priority="3121">
      <formula>#REF!="TO"</formula>
    </cfRule>
    <cfRule type="expression" dxfId="6414" priority="3122">
      <formula>#REF!="IO"</formula>
    </cfRule>
    <cfRule type="expression" dxfId="6413" priority="3123">
      <formula>#REF!="L"</formula>
    </cfRule>
  </conditionalFormatting>
  <conditionalFormatting sqref="AL22">
    <cfRule type="expression" dxfId="6412" priority="3088">
      <formula>#REF!="TO"</formula>
    </cfRule>
    <cfRule type="expression" dxfId="6411" priority="3089">
      <formula>#REF!="IO"</formula>
    </cfRule>
    <cfRule type="expression" dxfId="6410" priority="3090">
      <formula>#REF!="L"</formula>
    </cfRule>
  </conditionalFormatting>
  <conditionalFormatting sqref="AK22">
    <cfRule type="expression" dxfId="6409" priority="3085">
      <formula>#REF!="TO"</formula>
    </cfRule>
    <cfRule type="expression" dxfId="6408" priority="3086">
      <formula>#REF!="IO"</formula>
    </cfRule>
    <cfRule type="expression" dxfId="6407" priority="3087">
      <formula>#REF!="L"</formula>
    </cfRule>
  </conditionalFormatting>
  <conditionalFormatting sqref="AJ22">
    <cfRule type="expression" dxfId="6406" priority="3082">
      <formula>#REF!="TO"</formula>
    </cfRule>
    <cfRule type="expression" dxfId="6405" priority="3083">
      <formula>#REF!="IO"</formula>
    </cfRule>
    <cfRule type="expression" dxfId="6404" priority="3084">
      <formula>#REF!="L"</formula>
    </cfRule>
  </conditionalFormatting>
  <conditionalFormatting sqref="AP26">
    <cfRule type="expression" dxfId="6403" priority="3079">
      <formula>#REF!="TO"</formula>
    </cfRule>
    <cfRule type="expression" dxfId="6402" priority="3080">
      <formula>#REF!="IO"</formula>
    </cfRule>
    <cfRule type="expression" dxfId="6401" priority="3081">
      <formula>#REF!="L"</formula>
    </cfRule>
  </conditionalFormatting>
  <conditionalFormatting sqref="AO26">
    <cfRule type="expression" dxfId="6400" priority="3076">
      <formula>#REF!="TO"</formula>
    </cfRule>
    <cfRule type="expression" dxfId="6399" priority="3077">
      <formula>#REF!="IO"</formula>
    </cfRule>
    <cfRule type="expression" dxfId="6398" priority="3078">
      <formula>#REF!="L"</formula>
    </cfRule>
  </conditionalFormatting>
  <conditionalFormatting sqref="AQ26">
    <cfRule type="expression" dxfId="6397" priority="3073">
      <formula>#REF!="TO"</formula>
    </cfRule>
    <cfRule type="expression" dxfId="6396" priority="3074">
      <formula>#REF!="IO"</formula>
    </cfRule>
    <cfRule type="expression" dxfId="6395" priority="3075">
      <formula>#REF!="L"</formula>
    </cfRule>
  </conditionalFormatting>
  <conditionalFormatting sqref="AR26">
    <cfRule type="expression" dxfId="6394" priority="3070">
      <formula>#REF!="TO"</formula>
    </cfRule>
    <cfRule type="expression" dxfId="6393" priority="3071">
      <formula>#REF!="IO"</formula>
    </cfRule>
    <cfRule type="expression" dxfId="6392" priority="3072">
      <formula>#REF!="L"</formula>
    </cfRule>
  </conditionalFormatting>
  <conditionalFormatting sqref="AS26">
    <cfRule type="expression" dxfId="6391" priority="3067">
      <formula>#REF!="TO"</formula>
    </cfRule>
    <cfRule type="expression" dxfId="6390" priority="3068">
      <formula>#REF!="IO"</formula>
    </cfRule>
    <cfRule type="expression" dxfId="6389" priority="3069">
      <formula>#REF!="L"</formula>
    </cfRule>
  </conditionalFormatting>
  <conditionalFormatting sqref="AT26">
    <cfRule type="expression" dxfId="6388" priority="3064">
      <formula>#REF!="TO"</formula>
    </cfRule>
    <cfRule type="expression" dxfId="6387" priority="3065">
      <formula>#REF!="IO"</formula>
    </cfRule>
    <cfRule type="expression" dxfId="6386" priority="3066">
      <formula>#REF!="L"</formula>
    </cfRule>
  </conditionalFormatting>
  <conditionalFormatting sqref="AI3 AS3:AT3 AN3">
    <cfRule type="expression" dxfId="6385" priority="3061">
      <formula>#REF!="TO"</formula>
    </cfRule>
    <cfRule type="expression" dxfId="6384" priority="3062">
      <formula>#REF!="IO"</formula>
    </cfRule>
    <cfRule type="expression" dxfId="6383" priority="3063">
      <formula>#REF!="L"</formula>
    </cfRule>
  </conditionalFormatting>
  <conditionalFormatting sqref="AU3">
    <cfRule type="expression" dxfId="6382" priority="3058">
      <formula>#REF!="TO"</formula>
    </cfRule>
    <cfRule type="expression" dxfId="6381" priority="3059">
      <formula>#REF!="IO"</formula>
    </cfRule>
    <cfRule type="expression" dxfId="6380" priority="3060">
      <formula>#REF!="L"</formula>
    </cfRule>
  </conditionalFormatting>
  <conditionalFormatting sqref="AM3">
    <cfRule type="expression" dxfId="6379" priority="3043">
      <formula>#REF!="TO"</formula>
    </cfRule>
    <cfRule type="expression" dxfId="6378" priority="3044">
      <formula>#REF!="IO"</formula>
    </cfRule>
    <cfRule type="expression" dxfId="6377" priority="3045">
      <formula>#REF!="L"</formula>
    </cfRule>
  </conditionalFormatting>
  <conditionalFormatting sqref="AL3">
    <cfRule type="expression" dxfId="6376" priority="3040">
      <formula>#REF!="TO"</formula>
    </cfRule>
    <cfRule type="expression" dxfId="6375" priority="3041">
      <formula>#REF!="IO"</formula>
    </cfRule>
    <cfRule type="expression" dxfId="6374" priority="3042">
      <formula>#REF!="L"</formula>
    </cfRule>
  </conditionalFormatting>
  <conditionalFormatting sqref="AR3">
    <cfRule type="expression" dxfId="6373" priority="3055">
      <formula>#REF!="TO"</formula>
    </cfRule>
    <cfRule type="expression" dxfId="6372" priority="3056">
      <formula>#REF!="IO"</formula>
    </cfRule>
    <cfRule type="expression" dxfId="6371" priority="3057">
      <formula>#REF!="L"</formula>
    </cfRule>
  </conditionalFormatting>
  <conditionalFormatting sqref="AQ3">
    <cfRule type="expression" dxfId="6370" priority="3052">
      <formula>#REF!="TO"</formula>
    </cfRule>
    <cfRule type="expression" dxfId="6369" priority="3053">
      <formula>#REF!="IO"</formula>
    </cfRule>
    <cfRule type="expression" dxfId="6368" priority="3054">
      <formula>#REF!="L"</formula>
    </cfRule>
  </conditionalFormatting>
  <conditionalFormatting sqref="AP3">
    <cfRule type="expression" dxfId="6367" priority="3049">
      <formula>#REF!="TO"</formula>
    </cfRule>
    <cfRule type="expression" dxfId="6366" priority="3050">
      <formula>#REF!="IO"</formula>
    </cfRule>
    <cfRule type="expression" dxfId="6365" priority="3051">
      <formula>#REF!="L"</formula>
    </cfRule>
  </conditionalFormatting>
  <conditionalFormatting sqref="AO3">
    <cfRule type="expression" dxfId="6364" priority="3046">
      <formula>#REF!="TO"</formula>
    </cfRule>
    <cfRule type="expression" dxfId="6363" priority="3047">
      <formula>#REF!="IO"</formula>
    </cfRule>
    <cfRule type="expression" dxfId="6362" priority="3048">
      <formula>#REF!="L"</formula>
    </cfRule>
  </conditionalFormatting>
  <conditionalFormatting sqref="AK3">
    <cfRule type="expression" dxfId="6361" priority="3037">
      <formula>#REF!="TO"</formula>
    </cfRule>
    <cfRule type="expression" dxfId="6360" priority="3038">
      <formula>#REF!="IO"</formula>
    </cfRule>
    <cfRule type="expression" dxfId="6359" priority="3039">
      <formula>#REF!="L"</formula>
    </cfRule>
  </conditionalFormatting>
  <conditionalFormatting sqref="W30">
    <cfRule type="expression" dxfId="6358" priority="2923">
      <formula>#REF!="TO"</formula>
    </cfRule>
    <cfRule type="expression" dxfId="6357" priority="2924">
      <formula>#REF!="IO"</formula>
    </cfRule>
    <cfRule type="expression" dxfId="6356" priority="2925">
      <formula>#REF!="L"</formula>
    </cfRule>
    <cfRule type="expression" dxfId="6355" priority="2920">
      <formula>#REF!="TO"</formula>
    </cfRule>
    <cfRule type="expression" dxfId="6354" priority="2921">
      <formula>#REF!="IO"</formula>
    </cfRule>
    <cfRule type="expression" dxfId="6353" priority="2922">
      <formula>#REF!="L"</formula>
    </cfRule>
    <cfRule type="expression" dxfId="6352" priority="2899">
      <formula>#REF!="TO"</formula>
    </cfRule>
    <cfRule type="expression" dxfId="6351" priority="2900">
      <formula>#REF!="IO"</formula>
    </cfRule>
    <cfRule type="expression" dxfId="6350" priority="2901">
      <formula>#REF!="L"</formula>
    </cfRule>
  </conditionalFormatting>
  <conditionalFormatting sqref="A30">
    <cfRule type="expression" dxfId="6349" priority="2929">
      <formula>#REF!="TO"</formula>
    </cfRule>
    <cfRule type="expression" dxfId="6348" priority="2930">
      <formula>#REF!="IO"</formula>
    </cfRule>
    <cfRule type="expression" dxfId="6347" priority="2931">
      <formula>#REF!="L"</formula>
    </cfRule>
    <cfRule type="expression" dxfId="6346" priority="2905">
      <formula>#REF!="TO"</formula>
    </cfRule>
    <cfRule type="expression" dxfId="6345" priority="2906">
      <formula>#REF!="IO"</formula>
    </cfRule>
    <cfRule type="expression" dxfId="6344" priority="2907">
      <formula>#REF!="L"</formula>
    </cfRule>
  </conditionalFormatting>
  <conditionalFormatting sqref="B30">
    <cfRule type="expression" dxfId="6343" priority="2926">
      <formula>#REF!="TO"</formula>
    </cfRule>
    <cfRule type="expression" dxfId="6342" priority="2927">
      <formula>#REF!="IO"</formula>
    </cfRule>
    <cfRule type="expression" dxfId="6341" priority="2928">
      <formula>#REF!="L"</formula>
    </cfRule>
    <cfRule type="expression" dxfId="6340" priority="2917">
      <formula>#REF!="TO"</formula>
    </cfRule>
    <cfRule type="expression" dxfId="6339" priority="2918">
      <formula>#REF!="IO"</formula>
    </cfRule>
    <cfRule type="expression" dxfId="6338" priority="2919">
      <formula>#REF!="L"</formula>
    </cfRule>
    <cfRule type="expression" dxfId="6337" priority="2902">
      <formula>#REF!="TO"</formula>
    </cfRule>
    <cfRule type="expression" dxfId="6336" priority="2903">
      <formula>#REF!="IO"</formula>
    </cfRule>
    <cfRule type="expression" dxfId="6335" priority="2904">
      <formula>#REF!="L"</formula>
    </cfRule>
    <cfRule type="expression" dxfId="6334" priority="2896">
      <formula>#REF!="TO"</formula>
    </cfRule>
    <cfRule type="expression" dxfId="6333" priority="2897">
      <formula>#REF!="IO"</formula>
    </cfRule>
    <cfRule type="expression" dxfId="6332" priority="2898">
      <formula>#REF!="L"</formula>
    </cfRule>
  </conditionalFormatting>
  <conditionalFormatting sqref="L30:Q30">
    <cfRule type="expression" dxfId="6331" priority="2914">
      <formula>#REF!="TO"</formula>
    </cfRule>
    <cfRule type="expression" dxfId="6330" priority="2915">
      <formula>#REF!="IO"</formula>
    </cfRule>
    <cfRule type="expression" dxfId="6329" priority="2916">
      <formula>#REF!="L"</formula>
    </cfRule>
    <cfRule type="expression" dxfId="6328" priority="2893">
      <formula>#REF!="TO"</formula>
    </cfRule>
    <cfRule type="expression" dxfId="6327" priority="2894">
      <formula>#REF!="IO"</formula>
    </cfRule>
    <cfRule type="expression" dxfId="6326" priority="2895">
      <formula>#REF!="L"</formula>
    </cfRule>
  </conditionalFormatting>
  <conditionalFormatting sqref="R30:T30">
    <cfRule type="expression" dxfId="6325" priority="2911">
      <formula>#REF!="TO"</formula>
    </cfRule>
    <cfRule type="expression" dxfId="6324" priority="2912">
      <formula>#REF!="IO"</formula>
    </cfRule>
    <cfRule type="expression" dxfId="6323" priority="2913">
      <formula>#REF!="L"</formula>
    </cfRule>
    <cfRule type="expression" dxfId="6322" priority="2890">
      <formula>#REF!="TO"</formula>
    </cfRule>
    <cfRule type="expression" dxfId="6321" priority="2891">
      <formula>#REF!="IO"</formula>
    </cfRule>
    <cfRule type="expression" dxfId="6320" priority="2892">
      <formula>#REF!="L"</formula>
    </cfRule>
  </conditionalFormatting>
  <conditionalFormatting sqref="U30:V30">
    <cfRule type="expression" dxfId="6319" priority="2908">
      <formula>#REF!="TO"</formula>
    </cfRule>
    <cfRule type="expression" dxfId="6318" priority="2909">
      <formula>#REF!="IO"</formula>
    </cfRule>
    <cfRule type="expression" dxfId="6317" priority="2910">
      <formula>#REF!="L"</formula>
    </cfRule>
    <cfRule type="expression" dxfId="6316" priority="2887">
      <formula>#REF!="TO"</formula>
    </cfRule>
    <cfRule type="expression" dxfId="6315" priority="2888">
      <formula>#REF!="IO"</formula>
    </cfRule>
    <cfRule type="expression" dxfId="6314" priority="2889">
      <formula>#REF!="L"</formula>
    </cfRule>
  </conditionalFormatting>
  <conditionalFormatting sqref="C30">
    <cfRule type="expression" dxfId="6313" priority="2878">
      <formula>#REF!="TO"</formula>
    </cfRule>
    <cfRule type="expression" dxfId="6312" priority="2879">
      <formula>#REF!="IO"</formula>
    </cfRule>
    <cfRule type="expression" dxfId="6311" priority="2880">
      <formula>#REF!="L"</formula>
    </cfRule>
    <cfRule type="expression" dxfId="6310" priority="2884">
      <formula>#REF!="TO"</formula>
    </cfRule>
    <cfRule type="expression" dxfId="6309" priority="2885">
      <formula>#REF!="IO"</formula>
    </cfRule>
    <cfRule type="expression" dxfId="6308" priority="2886">
      <formula>#REF!="L"</formula>
    </cfRule>
    <cfRule type="expression" dxfId="6307" priority="2881">
      <formula>#REF!="TO"</formula>
    </cfRule>
    <cfRule type="expression" dxfId="6306" priority="2882">
      <formula>#REF!="IO"</formula>
    </cfRule>
    <cfRule type="expression" dxfId="6305" priority="2883">
      <formula>#REF!="L"</formula>
    </cfRule>
    <cfRule type="expression" dxfId="6304" priority="2875">
      <formula>#REF!="TO"</formula>
    </cfRule>
    <cfRule type="expression" dxfId="6303" priority="2876">
      <formula>#REF!="IO"</formula>
    </cfRule>
    <cfRule type="expression" dxfId="6302" priority="2877">
      <formula>#REF!="L"</formula>
    </cfRule>
  </conditionalFormatting>
  <conditionalFormatting sqref="J30">
    <cfRule type="expression" dxfId="6301" priority="2872">
      <formula>#REF!="TO"</formula>
    </cfRule>
    <cfRule type="expression" dxfId="6300" priority="2873">
      <formula>#REF!="IO"</formula>
    </cfRule>
    <cfRule type="expression" dxfId="6299" priority="2874">
      <formula>#REF!="L"</formula>
    </cfRule>
    <cfRule type="expression" dxfId="6298" priority="2869">
      <formula>#REF!="TO"</formula>
    </cfRule>
    <cfRule type="expression" dxfId="6297" priority="2870">
      <formula>#REF!="IO"</formula>
    </cfRule>
    <cfRule type="expression" dxfId="6296" priority="2871">
      <formula>#REF!="L"</formula>
    </cfRule>
    <cfRule type="expression" dxfId="6295" priority="2866">
      <formula>#REF!="TO"</formula>
    </cfRule>
    <cfRule type="expression" dxfId="6294" priority="2867">
      <formula>#REF!="IO"</formula>
    </cfRule>
    <cfRule type="expression" dxfId="6293" priority="2868">
      <formula>#REF!="L"</formula>
    </cfRule>
    <cfRule type="expression" dxfId="6292" priority="2863">
      <formula>#REF!="TO"</formula>
    </cfRule>
    <cfRule type="expression" dxfId="6291" priority="2864">
      <formula>#REF!="IO"</formula>
    </cfRule>
    <cfRule type="expression" dxfId="6290" priority="2865">
      <formula>#REF!="L"</formula>
    </cfRule>
  </conditionalFormatting>
  <conditionalFormatting sqref="X30:Y30">
    <cfRule type="expression" dxfId="6289" priority="2860">
      <formula>#REF!="TO"</formula>
    </cfRule>
    <cfRule type="expression" dxfId="6288" priority="2861">
      <formula>#REF!="IO"</formula>
    </cfRule>
    <cfRule type="expression" dxfId="6287" priority="2862">
      <formula>#REF!="L"</formula>
    </cfRule>
    <cfRule type="expression" dxfId="6286" priority="2857">
      <formula>#REF!="TO"</formula>
    </cfRule>
    <cfRule type="expression" dxfId="6285" priority="2858">
      <formula>#REF!="IO"</formula>
    </cfRule>
    <cfRule type="expression" dxfId="6284" priority="2859">
      <formula>#REF!="L"</formula>
    </cfRule>
    <cfRule type="expression" dxfId="6283" priority="2854">
      <formula>#REF!="TO"</formula>
    </cfRule>
    <cfRule type="expression" dxfId="6282" priority="2855">
      <formula>#REF!="IO"</formula>
    </cfRule>
    <cfRule type="expression" dxfId="6281" priority="2856">
      <formula>#REF!="L"</formula>
    </cfRule>
    <cfRule type="expression" dxfId="6280" priority="2851">
      <formula>#REF!="TO"</formula>
    </cfRule>
    <cfRule type="expression" dxfId="6279" priority="2852">
      <formula>#REF!="IO"</formula>
    </cfRule>
    <cfRule type="expression" dxfId="6278" priority="2853">
      <formula>#REF!="L"</formula>
    </cfRule>
  </conditionalFormatting>
  <conditionalFormatting sqref="H30">
    <cfRule type="expression" dxfId="6277" priority="2848">
      <formula>#REF!="TO"</formula>
    </cfRule>
    <cfRule type="expression" dxfId="6276" priority="2849">
      <formula>#REF!="IO"</formula>
    </cfRule>
    <cfRule type="expression" dxfId="6275" priority="2850">
      <formula>#REF!="L"</formula>
    </cfRule>
    <cfRule type="expression" dxfId="6274" priority="2845">
      <formula>#REF!="TO"</formula>
    </cfRule>
    <cfRule type="expression" dxfId="6273" priority="2846">
      <formula>#REF!="IO"</formula>
    </cfRule>
    <cfRule type="expression" dxfId="6272" priority="2847">
      <formula>#REF!="L"</formula>
    </cfRule>
    <cfRule type="expression" dxfId="6271" priority="2842">
      <formula>#REF!="TO"</formula>
    </cfRule>
    <cfRule type="expression" dxfId="6270" priority="2843">
      <formula>#REF!="IO"</formula>
    </cfRule>
    <cfRule type="expression" dxfId="6269" priority="2844">
      <formula>#REF!="L"</formula>
    </cfRule>
    <cfRule type="expression" dxfId="6268" priority="2839">
      <formula>#REF!="TO"</formula>
    </cfRule>
    <cfRule type="expression" dxfId="6267" priority="2840">
      <formula>#REF!="IO"</formula>
    </cfRule>
    <cfRule type="expression" dxfId="6266" priority="2841">
      <formula>#REF!="L"</formula>
    </cfRule>
  </conditionalFormatting>
  <conditionalFormatting sqref="Z30">
    <cfRule type="expression" dxfId="6265" priority="2836">
      <formula>#REF!="TO"</formula>
    </cfRule>
    <cfRule type="expression" dxfId="6264" priority="2837">
      <formula>#REF!="IO"</formula>
    </cfRule>
    <cfRule type="expression" dxfId="6263" priority="2838">
      <formula>#REF!="L"</formula>
    </cfRule>
    <cfRule type="expression" dxfId="6262" priority="2833">
      <formula>#REF!="TO"</formula>
    </cfRule>
    <cfRule type="expression" dxfId="6261" priority="2834">
      <formula>#REF!="IO"</formula>
    </cfRule>
    <cfRule type="expression" dxfId="6260" priority="2835">
      <formula>#REF!="L"</formula>
    </cfRule>
    <cfRule type="expression" dxfId="6259" priority="2830">
      <formula>#REF!="TO"</formula>
    </cfRule>
    <cfRule type="expression" dxfId="6258" priority="2831">
      <formula>#REF!="IO"</formula>
    </cfRule>
    <cfRule type="expression" dxfId="6257" priority="2832">
      <formula>#REF!="L"</formula>
    </cfRule>
    <cfRule type="expression" dxfId="6256" priority="2827">
      <formula>#REF!="TO"</formula>
    </cfRule>
    <cfRule type="expression" dxfId="6255" priority="2828">
      <formula>#REF!="IO"</formula>
    </cfRule>
    <cfRule type="expression" dxfId="6254" priority="2829">
      <formula>#REF!="L"</formula>
    </cfRule>
  </conditionalFormatting>
  <conditionalFormatting sqref="AC30">
    <cfRule type="expression" dxfId="6253" priority="2824">
      <formula>#REF!="TO"</formula>
    </cfRule>
    <cfRule type="expression" dxfId="6252" priority="2825">
      <formula>#REF!="IO"</formula>
    </cfRule>
    <cfRule type="expression" dxfId="6251" priority="2826">
      <formula>#REF!="L"</formula>
    </cfRule>
    <cfRule type="expression" dxfId="6250" priority="2821">
      <formula>#REF!="TO"</formula>
    </cfRule>
    <cfRule type="expression" dxfId="6249" priority="2822">
      <formula>#REF!="IO"</formula>
    </cfRule>
    <cfRule type="expression" dxfId="6248" priority="2823">
      <formula>#REF!="L"</formula>
    </cfRule>
    <cfRule type="expression" dxfId="6247" priority="2818">
      <formula>#REF!="TO"</formula>
    </cfRule>
    <cfRule type="expression" dxfId="6246" priority="2819">
      <formula>#REF!="IO"</formula>
    </cfRule>
    <cfRule type="expression" dxfId="6245" priority="2820">
      <formula>#REF!="L"</formula>
    </cfRule>
    <cfRule type="expression" dxfId="6244" priority="2815">
      <formula>#REF!="TO"</formula>
    </cfRule>
    <cfRule type="expression" dxfId="6243" priority="2816">
      <formula>#REF!="IO"</formula>
    </cfRule>
    <cfRule type="expression" dxfId="6242" priority="2817">
      <formula>#REF!="L"</formula>
    </cfRule>
  </conditionalFormatting>
  <conditionalFormatting sqref="AF30">
    <cfRule type="expression" dxfId="6241" priority="2800">
      <formula>#REF!="TO"</formula>
    </cfRule>
    <cfRule type="expression" dxfId="6240" priority="2801">
      <formula>#REF!="IO"</formula>
    </cfRule>
    <cfRule type="expression" dxfId="6239" priority="2802">
      <formula>#REF!="L"</formula>
    </cfRule>
    <cfRule type="expression" dxfId="6238" priority="2797">
      <formula>#REF!="TO"</formula>
    </cfRule>
    <cfRule type="expression" dxfId="6237" priority="2798">
      <formula>#REF!="IO"</formula>
    </cfRule>
    <cfRule type="expression" dxfId="6236" priority="2799">
      <formula>#REF!="L"</formula>
    </cfRule>
    <cfRule type="expression" dxfId="6235" priority="2794">
      <formula>#REF!="TO"</formula>
    </cfRule>
    <cfRule type="expression" dxfId="6234" priority="2795">
      <formula>#REF!="IO"</formula>
    </cfRule>
    <cfRule type="expression" dxfId="6233" priority="2796">
      <formula>#REF!="L"</formula>
    </cfRule>
    <cfRule type="expression" dxfId="6232" priority="2791">
      <formula>#REF!="TO"</formula>
    </cfRule>
    <cfRule type="expression" dxfId="6231" priority="2792">
      <formula>#REF!="IO"</formula>
    </cfRule>
    <cfRule type="expression" dxfId="6230" priority="2793">
      <formula>#REF!="L"</formula>
    </cfRule>
  </conditionalFormatting>
  <conditionalFormatting sqref="AD30">
    <cfRule type="expression" dxfId="6229" priority="2812">
      <formula>#REF!="TO"</formula>
    </cfRule>
    <cfRule type="expression" dxfId="6228" priority="2813">
      <formula>#REF!="IO"</formula>
    </cfRule>
    <cfRule type="expression" dxfId="6227" priority="2814">
      <formula>#REF!="L"</formula>
    </cfRule>
    <cfRule type="expression" dxfId="6226" priority="2809">
      <formula>#REF!="TO"</formula>
    </cfRule>
    <cfRule type="expression" dxfId="6225" priority="2810">
      <formula>#REF!="IO"</formula>
    </cfRule>
    <cfRule type="expression" dxfId="6224" priority="2811">
      <formula>#REF!="L"</formula>
    </cfRule>
    <cfRule type="expression" dxfId="6223" priority="2806">
      <formula>#REF!="TO"</formula>
    </cfRule>
    <cfRule type="expression" dxfId="6222" priority="2807">
      <formula>#REF!="IO"</formula>
    </cfRule>
    <cfRule type="expression" dxfId="6221" priority="2808">
      <formula>#REF!="L"</formula>
    </cfRule>
    <cfRule type="expression" dxfId="6220" priority="2803">
      <formula>#REF!="TO"</formula>
    </cfRule>
    <cfRule type="expression" dxfId="6219" priority="2804">
      <formula>#REF!="IO"</formula>
    </cfRule>
    <cfRule type="expression" dxfId="6218" priority="2805">
      <formula>#REF!="L"</formula>
    </cfRule>
  </conditionalFormatting>
  <conditionalFormatting sqref="AG30">
    <cfRule type="expression" dxfId="6217" priority="2785">
      <formula>#REF!="TO"</formula>
    </cfRule>
    <cfRule type="expression" dxfId="6216" priority="2786">
      <formula>#REF!="IO"</formula>
    </cfRule>
    <cfRule type="expression" dxfId="6215" priority="2787">
      <formula>#REF!="L"</formula>
    </cfRule>
    <cfRule type="expression" dxfId="6214" priority="2782">
      <formula>#REF!="TO"</formula>
    </cfRule>
    <cfRule type="expression" dxfId="6213" priority="2783">
      <formula>#REF!="IO"</formula>
    </cfRule>
    <cfRule type="expression" dxfId="6212" priority="2784">
      <formula>#REF!="L"</formula>
    </cfRule>
    <cfRule type="expression" dxfId="6211" priority="2779">
      <formula>#REF!="TO"</formula>
    </cfRule>
    <cfRule type="expression" dxfId="6210" priority="2780">
      <formula>#REF!="IO"</formula>
    </cfRule>
    <cfRule type="expression" dxfId="6209" priority="2781">
      <formula>#REF!="L"</formula>
    </cfRule>
    <cfRule type="expression" dxfId="6208" priority="2788">
      <formula>#REF!="TO"</formula>
    </cfRule>
    <cfRule type="expression" dxfId="6207" priority="2789">
      <formula>#REF!="IO"</formula>
    </cfRule>
    <cfRule type="expression" dxfId="6206" priority="2790">
      <formula>#REF!="L"</formula>
    </cfRule>
  </conditionalFormatting>
  <conditionalFormatting sqref="E30">
    <cfRule type="expression" dxfId="6205" priority="2776">
      <formula>#REF!="TO"</formula>
    </cfRule>
    <cfRule type="expression" dxfId="6204" priority="2777">
      <formula>#REF!="IO"</formula>
    </cfRule>
    <cfRule type="expression" dxfId="6203" priority="2778">
      <formula>#REF!="L"</formula>
    </cfRule>
    <cfRule type="expression" dxfId="6202" priority="2773">
      <formula>#REF!="TO"</formula>
    </cfRule>
    <cfRule type="expression" dxfId="6201" priority="2774">
      <formula>#REF!="IO"</formula>
    </cfRule>
    <cfRule type="expression" dxfId="6200" priority="2775">
      <formula>#REF!="L"</formula>
    </cfRule>
    <cfRule type="expression" dxfId="6199" priority="2770">
      <formula>#REF!="TO"</formula>
    </cfRule>
    <cfRule type="expression" dxfId="6198" priority="2771">
      <formula>#REF!="IO"</formula>
    </cfRule>
    <cfRule type="expression" dxfId="6197" priority="2772">
      <formula>#REF!="L"</formula>
    </cfRule>
    <cfRule type="expression" dxfId="6196" priority="2767">
      <formula>#REF!="TO"</formula>
    </cfRule>
    <cfRule type="expression" dxfId="6195" priority="2768">
      <formula>#REF!="IO"</formula>
    </cfRule>
    <cfRule type="expression" dxfId="6194" priority="2769">
      <formula>#REF!="L"</formula>
    </cfRule>
  </conditionalFormatting>
  <conditionalFormatting sqref="F30">
    <cfRule type="expression" dxfId="6193" priority="2764">
      <formula>#REF!="TO"</formula>
    </cfRule>
    <cfRule type="expression" dxfId="6192" priority="2765">
      <formula>#REF!="IO"</formula>
    </cfRule>
    <cfRule type="expression" dxfId="6191" priority="2766">
      <formula>#REF!="L"</formula>
    </cfRule>
    <cfRule type="expression" dxfId="6190" priority="2761">
      <formula>#REF!="TO"</formula>
    </cfRule>
    <cfRule type="expression" dxfId="6189" priority="2762">
      <formula>#REF!="IO"</formula>
    </cfRule>
    <cfRule type="expression" dxfId="6188" priority="2763">
      <formula>#REF!="L"</formula>
    </cfRule>
    <cfRule type="expression" dxfId="6187" priority="2758">
      <formula>#REF!="TO"</formula>
    </cfRule>
    <cfRule type="expression" dxfId="6186" priority="2759">
      <formula>#REF!="IO"</formula>
    </cfRule>
    <cfRule type="expression" dxfId="6185" priority="2760">
      <formula>#REF!="L"</formula>
    </cfRule>
    <cfRule type="expression" dxfId="6184" priority="2755">
      <formula>#REF!="TO"</formula>
    </cfRule>
    <cfRule type="expression" dxfId="6183" priority="2756">
      <formula>#REF!="IO"</formula>
    </cfRule>
    <cfRule type="expression" dxfId="6182" priority="2757">
      <formula>#REF!="L"</formula>
    </cfRule>
  </conditionalFormatting>
  <conditionalFormatting sqref="AA30">
    <cfRule type="expression" dxfId="6181" priority="2752">
      <formula>#REF!="TO"</formula>
    </cfRule>
    <cfRule type="expression" dxfId="6180" priority="2753">
      <formula>#REF!="IO"</formula>
    </cfRule>
    <cfRule type="expression" dxfId="6179" priority="2754">
      <formula>#REF!="L"</formula>
    </cfRule>
    <cfRule type="expression" dxfId="6178" priority="2749">
      <formula>#REF!="TO"</formula>
    </cfRule>
    <cfRule type="expression" dxfId="6177" priority="2750">
      <formula>#REF!="IO"</formula>
    </cfRule>
    <cfRule type="expression" dxfId="6176" priority="2751">
      <formula>#REF!="L"</formula>
    </cfRule>
    <cfRule type="expression" dxfId="6175" priority="2746">
      <formula>#REF!="TO"</formula>
    </cfRule>
    <cfRule type="expression" dxfId="6174" priority="2747">
      <formula>#REF!="IO"</formula>
    </cfRule>
    <cfRule type="expression" dxfId="6173" priority="2748">
      <formula>#REF!="L"</formula>
    </cfRule>
    <cfRule type="expression" dxfId="6172" priority="2743">
      <formula>#REF!="TO"</formula>
    </cfRule>
    <cfRule type="expression" dxfId="6171" priority="2744">
      <formula>#REF!="IO"</formula>
    </cfRule>
    <cfRule type="expression" dxfId="6170" priority="2745">
      <formula>#REF!="L"</formula>
    </cfRule>
  </conditionalFormatting>
  <conditionalFormatting sqref="AT30">
    <cfRule type="expression" dxfId="6169" priority="2740">
      <formula>#REF!="TO"</formula>
    </cfRule>
    <cfRule type="expression" dxfId="6168" priority="2741">
      <formula>#REF!="IO"</formula>
    </cfRule>
    <cfRule type="expression" dxfId="6167" priority="2742">
      <formula>#REF!="L"</formula>
    </cfRule>
    <cfRule type="expression" dxfId="6166" priority="2737">
      <formula>#REF!="TO"</formula>
    </cfRule>
    <cfRule type="expression" dxfId="6165" priority="2738">
      <formula>#REF!="IO"</formula>
    </cfRule>
    <cfRule type="expression" dxfId="6164" priority="2739">
      <formula>#REF!="L"</formula>
    </cfRule>
    <cfRule type="expression" dxfId="6163" priority="2725">
      <formula>#REF!="TO"</formula>
    </cfRule>
    <cfRule type="expression" dxfId="6162" priority="2726">
      <formula>#REF!="IO"</formula>
    </cfRule>
    <cfRule type="expression" dxfId="6161" priority="2727">
      <formula>#REF!="L"</formula>
    </cfRule>
  </conditionalFormatting>
  <conditionalFormatting sqref="AI30:AN30">
    <cfRule type="expression" dxfId="6160" priority="2734">
      <formula>#REF!="TO"</formula>
    </cfRule>
    <cfRule type="expression" dxfId="6159" priority="2735">
      <formula>#REF!="IO"</formula>
    </cfRule>
    <cfRule type="expression" dxfId="6158" priority="2736">
      <formula>#REF!="L"</formula>
    </cfRule>
    <cfRule type="expression" dxfId="6157" priority="2722">
      <formula>#REF!="TO"</formula>
    </cfRule>
    <cfRule type="expression" dxfId="6156" priority="2723">
      <formula>#REF!="IO"</formula>
    </cfRule>
    <cfRule type="expression" dxfId="6155" priority="2724">
      <formula>#REF!="L"</formula>
    </cfRule>
  </conditionalFormatting>
  <conditionalFormatting sqref="AO30:AQ30">
    <cfRule type="expression" dxfId="6154" priority="2731">
      <formula>#REF!="TO"</formula>
    </cfRule>
    <cfRule type="expression" dxfId="6153" priority="2732">
      <formula>#REF!="IO"</formula>
    </cfRule>
    <cfRule type="expression" dxfId="6152" priority="2733">
      <formula>#REF!="L"</formula>
    </cfRule>
    <cfRule type="expression" dxfId="6151" priority="2719">
      <formula>#REF!="TO"</formula>
    </cfRule>
    <cfRule type="expression" dxfId="6150" priority="2720">
      <formula>#REF!="IO"</formula>
    </cfRule>
    <cfRule type="expression" dxfId="6149" priority="2721">
      <formula>#REF!="L"</formula>
    </cfRule>
  </conditionalFormatting>
  <conditionalFormatting sqref="AR30:AS30">
    <cfRule type="expression" dxfId="6148" priority="2728">
      <formula>#REF!="TO"</formula>
    </cfRule>
    <cfRule type="expression" dxfId="6147" priority="2729">
      <formula>#REF!="IO"</formula>
    </cfRule>
    <cfRule type="expression" dxfId="6146" priority="2730">
      <formula>#REF!="L"</formula>
    </cfRule>
    <cfRule type="expression" dxfId="6145" priority="2716">
      <formula>#REF!="TO"</formula>
    </cfRule>
    <cfRule type="expression" dxfId="6144" priority="2717">
      <formula>#REF!="IO"</formula>
    </cfRule>
    <cfRule type="expression" dxfId="6143" priority="2718">
      <formula>#REF!="L"</formula>
    </cfRule>
  </conditionalFormatting>
  <conditionalFormatting sqref="AU30">
    <cfRule type="expression" dxfId="6142" priority="2713">
      <formula>#REF!="TO"</formula>
    </cfRule>
    <cfRule type="expression" dxfId="6141" priority="2714">
      <formula>#REF!="IO"</formula>
    </cfRule>
    <cfRule type="expression" dxfId="6140" priority="2715">
      <formula>#REF!="L"</formula>
    </cfRule>
    <cfRule type="expression" dxfId="6139" priority="2710">
      <formula>#REF!="TO"</formula>
    </cfRule>
    <cfRule type="expression" dxfId="6138" priority="2711">
      <formula>#REF!="IO"</formula>
    </cfRule>
    <cfRule type="expression" dxfId="6137" priority="2712">
      <formula>#REF!="L"</formula>
    </cfRule>
    <cfRule type="expression" dxfId="6136" priority="2707">
      <formula>#REF!="TO"</formula>
    </cfRule>
    <cfRule type="expression" dxfId="6135" priority="2708">
      <formula>#REF!="IO"</formula>
    </cfRule>
    <cfRule type="expression" dxfId="6134" priority="2709">
      <formula>#REF!="L"</formula>
    </cfRule>
    <cfRule type="expression" dxfId="6133" priority="2704">
      <formula>#REF!="TO"</formula>
    </cfRule>
    <cfRule type="expression" dxfId="6132" priority="2705">
      <formula>#REF!="IO"</formula>
    </cfRule>
    <cfRule type="expression" dxfId="6131" priority="2706">
      <formula>#REF!="L"</formula>
    </cfRule>
  </conditionalFormatting>
  <conditionalFormatting sqref="AF31">
    <cfRule type="expression" dxfId="6130" priority="2467">
      <formula>#REF!="TO"</formula>
    </cfRule>
    <cfRule type="expression" dxfId="6129" priority="2468">
      <formula>#REF!="IO"</formula>
    </cfRule>
    <cfRule type="expression" dxfId="6128" priority="2469">
      <formula>#REF!="L"</formula>
    </cfRule>
    <cfRule type="expression" dxfId="6127" priority="2464">
      <formula>#REF!="TO"</formula>
    </cfRule>
    <cfRule type="expression" dxfId="6126" priority="2465">
      <formula>#REF!="IO"</formula>
    </cfRule>
    <cfRule type="expression" dxfId="6125" priority="2466">
      <formula>#REF!="L"</formula>
    </cfRule>
    <cfRule type="expression" dxfId="6124" priority="2461">
      <formula>#REF!="TO"</formula>
    </cfRule>
    <cfRule type="expression" dxfId="6123" priority="2462">
      <formula>#REF!="IO"</formula>
    </cfRule>
    <cfRule type="expression" dxfId="6122" priority="2463">
      <formula>#REF!="L"</formula>
    </cfRule>
    <cfRule type="expression" dxfId="6121" priority="2470">
      <formula>#REF!="TO"</formula>
    </cfRule>
    <cfRule type="expression" dxfId="6120" priority="2471">
      <formula>#REF!="IO"</formula>
    </cfRule>
    <cfRule type="expression" dxfId="6119" priority="2472">
      <formula>#REF!="L"</formula>
    </cfRule>
  </conditionalFormatting>
  <conditionalFormatting sqref="AG31">
    <cfRule type="expression" dxfId="6118" priority="2458">
      <formula>#REF!="TO"</formula>
    </cfRule>
    <cfRule type="expression" dxfId="6117" priority="2459">
      <formula>#REF!="IO"</formula>
    </cfRule>
    <cfRule type="expression" dxfId="6116" priority="2460">
      <formula>#REF!="L"</formula>
    </cfRule>
    <cfRule type="expression" dxfId="6115" priority="2452">
      <formula>#REF!="TO"</formula>
    </cfRule>
    <cfRule type="expression" dxfId="6114" priority="2453">
      <formula>#REF!="IO"</formula>
    </cfRule>
    <cfRule type="expression" dxfId="6113" priority="2454">
      <formula>#REF!="L"</formula>
    </cfRule>
    <cfRule type="expression" dxfId="6112" priority="2455">
      <formula>#REF!="TO"</formula>
    </cfRule>
    <cfRule type="expression" dxfId="6111" priority="2456">
      <formula>#REF!="IO"</formula>
    </cfRule>
    <cfRule type="expression" dxfId="6110" priority="2457">
      <formula>#REF!="L"</formula>
    </cfRule>
    <cfRule type="expression" dxfId="6109" priority="2449">
      <formula>#REF!="TO"</formula>
    </cfRule>
    <cfRule type="expression" dxfId="6108" priority="2450">
      <formula>#REF!="IO"</formula>
    </cfRule>
    <cfRule type="expression" dxfId="6107" priority="2451">
      <formula>#REF!="L"</formula>
    </cfRule>
  </conditionalFormatting>
  <conditionalFormatting sqref="E31">
    <cfRule type="expression" dxfId="6106" priority="2446">
      <formula>#REF!="TO"</formula>
    </cfRule>
    <cfRule type="expression" dxfId="6105" priority="2447">
      <formula>#REF!="IO"</formula>
    </cfRule>
    <cfRule type="expression" dxfId="6104" priority="2448">
      <formula>#REF!="L"</formula>
    </cfRule>
    <cfRule type="expression" dxfId="6103" priority="2443">
      <formula>#REF!="TO"</formula>
    </cfRule>
    <cfRule type="expression" dxfId="6102" priority="2444">
      <formula>#REF!="IO"</formula>
    </cfRule>
    <cfRule type="expression" dxfId="6101" priority="2445">
      <formula>#REF!="L"</formula>
    </cfRule>
    <cfRule type="expression" dxfId="6100" priority="2440">
      <formula>#REF!="TO"</formula>
    </cfRule>
    <cfRule type="expression" dxfId="6099" priority="2441">
      <formula>#REF!="IO"</formula>
    </cfRule>
    <cfRule type="expression" dxfId="6098" priority="2442">
      <formula>#REF!="L"</formula>
    </cfRule>
    <cfRule type="expression" dxfId="6097" priority="2437">
      <formula>#REF!="TO"</formula>
    </cfRule>
    <cfRule type="expression" dxfId="6096" priority="2438">
      <formula>#REF!="IO"</formula>
    </cfRule>
    <cfRule type="expression" dxfId="6095" priority="2439">
      <formula>#REF!="L"</formula>
    </cfRule>
  </conditionalFormatting>
  <conditionalFormatting sqref="F31">
    <cfRule type="expression" dxfId="6094" priority="2434">
      <formula>#REF!="TO"</formula>
    </cfRule>
    <cfRule type="expression" dxfId="6093" priority="2435">
      <formula>#REF!="IO"</formula>
    </cfRule>
    <cfRule type="expression" dxfId="6092" priority="2436">
      <formula>#REF!="L"</formula>
    </cfRule>
    <cfRule type="expression" dxfId="6091" priority="2431">
      <formula>#REF!="TO"</formula>
    </cfRule>
    <cfRule type="expression" dxfId="6090" priority="2432">
      <formula>#REF!="IO"</formula>
    </cfRule>
    <cfRule type="expression" dxfId="6089" priority="2433">
      <formula>#REF!="L"</formula>
    </cfRule>
    <cfRule type="expression" dxfId="6088" priority="2425">
      <formula>#REF!="TO"</formula>
    </cfRule>
    <cfRule type="expression" dxfId="6087" priority="2426">
      <formula>#REF!="IO"</formula>
    </cfRule>
    <cfRule type="expression" dxfId="6086" priority="2427">
      <formula>#REF!="L"</formula>
    </cfRule>
    <cfRule type="expression" dxfId="6085" priority="2428">
      <formula>#REF!="TO"</formula>
    </cfRule>
    <cfRule type="expression" dxfId="6084" priority="2429">
      <formula>#REF!="IO"</formula>
    </cfRule>
    <cfRule type="expression" dxfId="6083" priority="2430">
      <formula>#REF!="L"</formula>
    </cfRule>
  </conditionalFormatting>
  <conditionalFormatting sqref="AA31">
    <cfRule type="expression" dxfId="6082" priority="2422">
      <formula>#REF!="TO"</formula>
    </cfRule>
    <cfRule type="expression" dxfId="6081" priority="2423">
      <formula>#REF!="IO"</formula>
    </cfRule>
    <cfRule type="expression" dxfId="6080" priority="2424">
      <formula>#REF!="L"</formula>
    </cfRule>
    <cfRule type="expression" dxfId="6079" priority="2416">
      <formula>#REF!="TO"</formula>
    </cfRule>
    <cfRule type="expression" dxfId="6078" priority="2417">
      <formula>#REF!="IO"</formula>
    </cfRule>
    <cfRule type="expression" dxfId="6077" priority="2418">
      <formula>#REF!="L"</formula>
    </cfRule>
    <cfRule type="expression" dxfId="6076" priority="2413">
      <formula>#REF!="TO"</formula>
    </cfRule>
    <cfRule type="expression" dxfId="6075" priority="2414">
      <formula>#REF!="IO"</formula>
    </cfRule>
    <cfRule type="expression" dxfId="6074" priority="2415">
      <formula>#REF!="L"</formula>
    </cfRule>
    <cfRule type="expression" dxfId="6073" priority="2419">
      <formula>#REF!="TO"</formula>
    </cfRule>
    <cfRule type="expression" dxfId="6072" priority="2420">
      <formula>#REF!="IO"</formula>
    </cfRule>
    <cfRule type="expression" dxfId="6071" priority="2421">
      <formula>#REF!="L"</formula>
    </cfRule>
  </conditionalFormatting>
  <conditionalFormatting sqref="AT31">
    <cfRule type="expression" dxfId="6070" priority="2410">
      <formula>#REF!="TO"</formula>
    </cfRule>
    <cfRule type="expression" dxfId="6069" priority="2411">
      <formula>#REF!="IO"</formula>
    </cfRule>
    <cfRule type="expression" dxfId="6068" priority="2412">
      <formula>#REF!="L"</formula>
    </cfRule>
    <cfRule type="expression" dxfId="6067" priority="2407">
      <formula>#REF!="TO"</formula>
    </cfRule>
    <cfRule type="expression" dxfId="6066" priority="2408">
      <formula>#REF!="IO"</formula>
    </cfRule>
    <cfRule type="expression" dxfId="6065" priority="2409">
      <formula>#REF!="L"</formula>
    </cfRule>
    <cfRule type="expression" dxfId="6064" priority="2395">
      <formula>#REF!="TO"</formula>
    </cfRule>
    <cfRule type="expression" dxfId="6063" priority="2396">
      <formula>#REF!="IO"</formula>
    </cfRule>
    <cfRule type="expression" dxfId="6062" priority="2397">
      <formula>#REF!="L"</formula>
    </cfRule>
  </conditionalFormatting>
  <conditionalFormatting sqref="AI31:AN31">
    <cfRule type="expression" dxfId="6061" priority="2404">
      <formula>#REF!="TO"</formula>
    </cfRule>
    <cfRule type="expression" dxfId="6060" priority="2405">
      <formula>#REF!="IO"</formula>
    </cfRule>
    <cfRule type="expression" dxfId="6059" priority="2406">
      <formula>#REF!="L"</formula>
    </cfRule>
    <cfRule type="expression" dxfId="6058" priority="2392">
      <formula>#REF!="TO"</formula>
    </cfRule>
    <cfRule type="expression" dxfId="6057" priority="2393">
      <formula>#REF!="IO"</formula>
    </cfRule>
    <cfRule type="expression" dxfId="6056" priority="2394">
      <formula>#REF!="L"</formula>
    </cfRule>
  </conditionalFormatting>
  <conditionalFormatting sqref="AO31:AQ31">
    <cfRule type="expression" dxfId="6055" priority="2401">
      <formula>#REF!="TO"</formula>
    </cfRule>
    <cfRule type="expression" dxfId="6054" priority="2402">
      <formula>#REF!="IO"</formula>
    </cfRule>
    <cfRule type="expression" dxfId="6053" priority="2403">
      <formula>#REF!="L"</formula>
    </cfRule>
    <cfRule type="expression" dxfId="6052" priority="2389">
      <formula>#REF!="TO"</formula>
    </cfRule>
    <cfRule type="expression" dxfId="6051" priority="2390">
      <formula>#REF!="IO"</formula>
    </cfRule>
    <cfRule type="expression" dxfId="6050" priority="2391">
      <formula>#REF!="L"</formula>
    </cfRule>
  </conditionalFormatting>
  <conditionalFormatting sqref="AR31:AS31">
    <cfRule type="expression" dxfId="6049" priority="2398">
      <formula>#REF!="TO"</formula>
    </cfRule>
    <cfRule type="expression" dxfId="6048" priority="2399">
      <formula>#REF!="IO"</formula>
    </cfRule>
    <cfRule type="expression" dxfId="6047" priority="2400">
      <formula>#REF!="L"</formula>
    </cfRule>
    <cfRule type="expression" dxfId="6046" priority="2386">
      <formula>#REF!="TO"</formula>
    </cfRule>
    <cfRule type="expression" dxfId="6045" priority="2387">
      <formula>#REF!="IO"</formula>
    </cfRule>
    <cfRule type="expression" dxfId="6044" priority="2388">
      <formula>#REF!="L"</formula>
    </cfRule>
  </conditionalFormatting>
  <conditionalFormatting sqref="AU31">
    <cfRule type="expression" dxfId="6043" priority="2383">
      <formula>#REF!="TO"</formula>
    </cfRule>
    <cfRule type="expression" dxfId="6042" priority="2384">
      <formula>#REF!="IO"</formula>
    </cfRule>
    <cfRule type="expression" dxfId="6041" priority="2385">
      <formula>#REF!="L"</formula>
    </cfRule>
    <cfRule type="expression" dxfId="6040" priority="2380">
      <formula>#REF!="TO"</formula>
    </cfRule>
    <cfRule type="expression" dxfId="6039" priority="2381">
      <formula>#REF!="IO"</formula>
    </cfRule>
    <cfRule type="expression" dxfId="6038" priority="2382">
      <formula>#REF!="L"</formula>
    </cfRule>
    <cfRule type="expression" dxfId="6037" priority="2377">
      <formula>#REF!="TO"</formula>
    </cfRule>
    <cfRule type="expression" dxfId="6036" priority="2378">
      <formula>#REF!="IO"</formula>
    </cfRule>
    <cfRule type="expression" dxfId="6035" priority="2379">
      <formula>#REF!="L"</formula>
    </cfRule>
    <cfRule type="expression" dxfId="6034" priority="2374">
      <formula>#REF!="TO"</formula>
    </cfRule>
    <cfRule type="expression" dxfId="6033" priority="2375">
      <formula>#REF!="IO"</formula>
    </cfRule>
    <cfRule type="expression" dxfId="6032" priority="2376">
      <formula>#REF!="L"</formula>
    </cfRule>
  </conditionalFormatting>
  <conditionalFormatting sqref="W31">
    <cfRule type="expression" dxfId="6031" priority="2593">
      <formula>#REF!="TO"</formula>
    </cfRule>
    <cfRule type="expression" dxfId="6030" priority="2594">
      <formula>#REF!="IO"</formula>
    </cfRule>
    <cfRule type="expression" dxfId="6029" priority="2595">
      <formula>#REF!="L"</formula>
    </cfRule>
    <cfRule type="expression" dxfId="6028" priority="2590">
      <formula>#REF!="TO"</formula>
    </cfRule>
    <cfRule type="expression" dxfId="6027" priority="2591">
      <formula>#REF!="IO"</formula>
    </cfRule>
    <cfRule type="expression" dxfId="6026" priority="2592">
      <formula>#REF!="L"</formula>
    </cfRule>
    <cfRule type="expression" dxfId="6025" priority="2569">
      <formula>#REF!="TO"</formula>
    </cfRule>
    <cfRule type="expression" dxfId="6024" priority="2570">
      <formula>#REF!="IO"</formula>
    </cfRule>
    <cfRule type="expression" dxfId="6023" priority="2571">
      <formula>#REF!="L"</formula>
    </cfRule>
  </conditionalFormatting>
  <conditionalFormatting sqref="A31">
    <cfRule type="expression" dxfId="6022" priority="2599">
      <formula>#REF!="TO"</formula>
    </cfRule>
    <cfRule type="expression" dxfId="6021" priority="2600">
      <formula>#REF!="IO"</formula>
    </cfRule>
    <cfRule type="expression" dxfId="6020" priority="2601">
      <formula>#REF!="L"</formula>
    </cfRule>
    <cfRule type="expression" dxfId="6019" priority="2575">
      <formula>#REF!="TO"</formula>
    </cfRule>
    <cfRule type="expression" dxfId="6018" priority="2576">
      <formula>#REF!="IO"</formula>
    </cfRule>
    <cfRule type="expression" dxfId="6017" priority="2577">
      <formula>#REF!="L"</formula>
    </cfRule>
  </conditionalFormatting>
  <conditionalFormatting sqref="B31">
    <cfRule type="expression" dxfId="6016" priority="2596">
      <formula>#REF!="TO"</formula>
    </cfRule>
    <cfRule type="expression" dxfId="6015" priority="2597">
      <formula>#REF!="IO"</formula>
    </cfRule>
    <cfRule type="expression" dxfId="6014" priority="2598">
      <formula>#REF!="L"</formula>
    </cfRule>
    <cfRule type="expression" dxfId="6013" priority="2587">
      <formula>#REF!="TO"</formula>
    </cfRule>
    <cfRule type="expression" dxfId="6012" priority="2588">
      <formula>#REF!="IO"</formula>
    </cfRule>
    <cfRule type="expression" dxfId="6011" priority="2589">
      <formula>#REF!="L"</formula>
    </cfRule>
    <cfRule type="expression" dxfId="6010" priority="2572">
      <formula>#REF!="TO"</formula>
    </cfRule>
    <cfRule type="expression" dxfId="6009" priority="2573">
      <formula>#REF!="IO"</formula>
    </cfRule>
    <cfRule type="expression" dxfId="6008" priority="2574">
      <formula>#REF!="L"</formula>
    </cfRule>
    <cfRule type="expression" dxfId="6007" priority="2566">
      <formula>#REF!="TO"</formula>
    </cfRule>
    <cfRule type="expression" dxfId="6006" priority="2567">
      <formula>#REF!="IO"</formula>
    </cfRule>
    <cfRule type="expression" dxfId="6005" priority="2568">
      <formula>#REF!="L"</formula>
    </cfRule>
  </conditionalFormatting>
  <conditionalFormatting sqref="L31:Q31">
    <cfRule type="expression" dxfId="6004" priority="2584">
      <formula>#REF!="TO"</formula>
    </cfRule>
    <cfRule type="expression" dxfId="6003" priority="2585">
      <formula>#REF!="IO"</formula>
    </cfRule>
    <cfRule type="expression" dxfId="6002" priority="2586">
      <formula>#REF!="L"</formula>
    </cfRule>
    <cfRule type="expression" dxfId="6001" priority="2563">
      <formula>#REF!="TO"</formula>
    </cfRule>
    <cfRule type="expression" dxfId="6000" priority="2564">
      <formula>#REF!="IO"</formula>
    </cfRule>
    <cfRule type="expression" dxfId="5999" priority="2565">
      <formula>#REF!="L"</formula>
    </cfRule>
  </conditionalFormatting>
  <conditionalFormatting sqref="R31:T31">
    <cfRule type="expression" dxfId="5998" priority="2581">
      <formula>#REF!="TO"</formula>
    </cfRule>
    <cfRule type="expression" dxfId="5997" priority="2582">
      <formula>#REF!="IO"</formula>
    </cfRule>
    <cfRule type="expression" dxfId="5996" priority="2583">
      <formula>#REF!="L"</formula>
    </cfRule>
    <cfRule type="expression" dxfId="5995" priority="2560">
      <formula>#REF!="TO"</formula>
    </cfRule>
    <cfRule type="expression" dxfId="5994" priority="2561">
      <formula>#REF!="IO"</formula>
    </cfRule>
    <cfRule type="expression" dxfId="5993" priority="2562">
      <formula>#REF!="L"</formula>
    </cfRule>
  </conditionalFormatting>
  <conditionalFormatting sqref="U31:V31">
    <cfRule type="expression" dxfId="5992" priority="2578">
      <formula>#REF!="TO"</formula>
    </cfRule>
    <cfRule type="expression" dxfId="5991" priority="2579">
      <formula>#REF!="IO"</formula>
    </cfRule>
    <cfRule type="expression" dxfId="5990" priority="2580">
      <formula>#REF!="L"</formula>
    </cfRule>
    <cfRule type="expression" dxfId="5989" priority="2557">
      <formula>#REF!="TO"</formula>
    </cfRule>
    <cfRule type="expression" dxfId="5988" priority="2558">
      <formula>#REF!="IO"</formula>
    </cfRule>
    <cfRule type="expression" dxfId="5987" priority="2559">
      <formula>#REF!="L"</formula>
    </cfRule>
  </conditionalFormatting>
  <conditionalFormatting sqref="C31">
    <cfRule type="expression" dxfId="5986" priority="2548">
      <formula>#REF!="TO"</formula>
    </cfRule>
    <cfRule type="expression" dxfId="5985" priority="2549">
      <formula>#REF!="IO"</formula>
    </cfRule>
    <cfRule type="expression" dxfId="5984" priority="2550">
      <formula>#REF!="L"</formula>
    </cfRule>
    <cfRule type="expression" dxfId="5983" priority="2554">
      <formula>#REF!="TO"</formula>
    </cfRule>
    <cfRule type="expression" dxfId="5982" priority="2555">
      <formula>#REF!="IO"</formula>
    </cfRule>
    <cfRule type="expression" dxfId="5981" priority="2556">
      <formula>#REF!="L"</formula>
    </cfRule>
    <cfRule type="expression" dxfId="5980" priority="2551">
      <formula>#REF!="TO"</formula>
    </cfRule>
    <cfRule type="expression" dxfId="5979" priority="2552">
      <formula>#REF!="IO"</formula>
    </cfRule>
    <cfRule type="expression" dxfId="5978" priority="2553">
      <formula>#REF!="L"</formula>
    </cfRule>
    <cfRule type="expression" dxfId="5977" priority="2545">
      <formula>#REF!="TO"</formula>
    </cfRule>
    <cfRule type="expression" dxfId="5976" priority="2546">
      <formula>#REF!="IO"</formula>
    </cfRule>
    <cfRule type="expression" dxfId="5975" priority="2547">
      <formula>#REF!="L"</formula>
    </cfRule>
  </conditionalFormatting>
  <conditionalFormatting sqref="J31">
    <cfRule type="expression" dxfId="5974" priority="2542">
      <formula>#REF!="TO"</formula>
    </cfRule>
    <cfRule type="expression" dxfId="5973" priority="2543">
      <formula>#REF!="IO"</formula>
    </cfRule>
    <cfRule type="expression" dxfId="5972" priority="2544">
      <formula>#REF!="L"</formula>
    </cfRule>
    <cfRule type="expression" dxfId="5971" priority="2539">
      <formula>#REF!="TO"</formula>
    </cfRule>
    <cfRule type="expression" dxfId="5970" priority="2540">
      <formula>#REF!="IO"</formula>
    </cfRule>
    <cfRule type="expression" dxfId="5969" priority="2541">
      <formula>#REF!="L"</formula>
    </cfRule>
    <cfRule type="expression" dxfId="5968" priority="2536">
      <formula>#REF!="TO"</formula>
    </cfRule>
    <cfRule type="expression" dxfId="5967" priority="2537">
      <formula>#REF!="IO"</formula>
    </cfRule>
    <cfRule type="expression" dxfId="5966" priority="2538">
      <formula>#REF!="L"</formula>
    </cfRule>
    <cfRule type="expression" dxfId="5965" priority="2533">
      <formula>#REF!="TO"</formula>
    </cfRule>
    <cfRule type="expression" dxfId="5964" priority="2534">
      <formula>#REF!="IO"</formula>
    </cfRule>
    <cfRule type="expression" dxfId="5963" priority="2535">
      <formula>#REF!="L"</formula>
    </cfRule>
  </conditionalFormatting>
  <conditionalFormatting sqref="X31:Y31">
    <cfRule type="expression" dxfId="5962" priority="2530">
      <formula>#REF!="TO"</formula>
    </cfRule>
    <cfRule type="expression" dxfId="5961" priority="2531">
      <formula>#REF!="IO"</formula>
    </cfRule>
    <cfRule type="expression" dxfId="5960" priority="2532">
      <formula>#REF!="L"</formula>
    </cfRule>
    <cfRule type="expression" dxfId="5959" priority="2527">
      <formula>#REF!="TO"</formula>
    </cfRule>
    <cfRule type="expression" dxfId="5958" priority="2528">
      <formula>#REF!="IO"</formula>
    </cfRule>
    <cfRule type="expression" dxfId="5957" priority="2529">
      <formula>#REF!="L"</formula>
    </cfRule>
    <cfRule type="expression" dxfId="5956" priority="2524">
      <formula>#REF!="TO"</formula>
    </cfRule>
    <cfRule type="expression" dxfId="5955" priority="2525">
      <formula>#REF!="IO"</formula>
    </cfRule>
    <cfRule type="expression" dxfId="5954" priority="2526">
      <formula>#REF!="L"</formula>
    </cfRule>
    <cfRule type="expression" dxfId="5953" priority="2521">
      <formula>#REF!="TO"</formula>
    </cfRule>
    <cfRule type="expression" dxfId="5952" priority="2522">
      <formula>#REF!="IO"</formula>
    </cfRule>
    <cfRule type="expression" dxfId="5951" priority="2523">
      <formula>#REF!="L"</formula>
    </cfRule>
  </conditionalFormatting>
  <conditionalFormatting sqref="H31">
    <cfRule type="expression" dxfId="5950" priority="2518">
      <formula>#REF!="TO"</formula>
    </cfRule>
    <cfRule type="expression" dxfId="5949" priority="2519">
      <formula>#REF!="IO"</formula>
    </cfRule>
    <cfRule type="expression" dxfId="5948" priority="2520">
      <formula>#REF!="L"</formula>
    </cfRule>
    <cfRule type="expression" dxfId="5947" priority="2515">
      <formula>#REF!="TO"</formula>
    </cfRule>
    <cfRule type="expression" dxfId="5946" priority="2516">
      <formula>#REF!="IO"</formula>
    </cfRule>
    <cfRule type="expression" dxfId="5945" priority="2517">
      <formula>#REF!="L"</formula>
    </cfRule>
    <cfRule type="expression" dxfId="5944" priority="2512">
      <formula>#REF!="TO"</formula>
    </cfRule>
    <cfRule type="expression" dxfId="5943" priority="2513">
      <formula>#REF!="IO"</formula>
    </cfRule>
    <cfRule type="expression" dxfId="5942" priority="2514">
      <formula>#REF!="L"</formula>
    </cfRule>
    <cfRule type="expression" dxfId="5941" priority="2509">
      <formula>#REF!="TO"</formula>
    </cfRule>
    <cfRule type="expression" dxfId="5940" priority="2510">
      <formula>#REF!="IO"</formula>
    </cfRule>
    <cfRule type="expression" dxfId="5939" priority="2511">
      <formula>#REF!="L"</formula>
    </cfRule>
  </conditionalFormatting>
  <conditionalFormatting sqref="Z31">
    <cfRule type="expression" dxfId="5938" priority="2506">
      <formula>#REF!="TO"</formula>
    </cfRule>
    <cfRule type="expression" dxfId="5937" priority="2507">
      <formula>#REF!="IO"</formula>
    </cfRule>
    <cfRule type="expression" dxfId="5936" priority="2508">
      <formula>#REF!="L"</formula>
    </cfRule>
    <cfRule type="expression" dxfId="5935" priority="2503">
      <formula>#REF!="TO"</formula>
    </cfRule>
    <cfRule type="expression" dxfId="5934" priority="2504">
      <formula>#REF!="IO"</formula>
    </cfRule>
    <cfRule type="expression" dxfId="5933" priority="2505">
      <formula>#REF!="L"</formula>
    </cfRule>
    <cfRule type="expression" dxfId="5932" priority="2500">
      <formula>#REF!="TO"</formula>
    </cfRule>
    <cfRule type="expression" dxfId="5931" priority="2501">
      <formula>#REF!="IO"</formula>
    </cfRule>
    <cfRule type="expression" dxfId="5930" priority="2502">
      <formula>#REF!="L"</formula>
    </cfRule>
    <cfRule type="expression" dxfId="5929" priority="2497">
      <formula>#REF!="TO"</formula>
    </cfRule>
    <cfRule type="expression" dxfId="5928" priority="2498">
      <formula>#REF!="IO"</formula>
    </cfRule>
    <cfRule type="expression" dxfId="5927" priority="2499">
      <formula>#REF!="L"</formula>
    </cfRule>
  </conditionalFormatting>
  <conditionalFormatting sqref="AC31">
    <cfRule type="expression" dxfId="5926" priority="2494">
      <formula>#REF!="TO"</formula>
    </cfRule>
    <cfRule type="expression" dxfId="5925" priority="2495">
      <formula>#REF!="IO"</formula>
    </cfRule>
    <cfRule type="expression" dxfId="5924" priority="2496">
      <formula>#REF!="L"</formula>
    </cfRule>
    <cfRule type="expression" dxfId="5923" priority="2491">
      <formula>#REF!="TO"</formula>
    </cfRule>
    <cfRule type="expression" dxfId="5922" priority="2492">
      <formula>#REF!="IO"</formula>
    </cfRule>
    <cfRule type="expression" dxfId="5921" priority="2493">
      <formula>#REF!="L"</formula>
    </cfRule>
    <cfRule type="expression" dxfId="5920" priority="2488">
      <formula>#REF!="TO"</formula>
    </cfRule>
    <cfRule type="expression" dxfId="5919" priority="2489">
      <formula>#REF!="IO"</formula>
    </cfRule>
    <cfRule type="expression" dxfId="5918" priority="2490">
      <formula>#REF!="L"</formula>
    </cfRule>
    <cfRule type="expression" dxfId="5917" priority="2485">
      <formula>#REF!="TO"</formula>
    </cfRule>
    <cfRule type="expression" dxfId="5916" priority="2486">
      <formula>#REF!="IO"</formula>
    </cfRule>
    <cfRule type="expression" dxfId="5915" priority="2487">
      <formula>#REF!="L"</formula>
    </cfRule>
  </conditionalFormatting>
  <conditionalFormatting sqref="AD31">
    <cfRule type="expression" dxfId="5914" priority="2482">
      <formula>#REF!="TO"</formula>
    </cfRule>
    <cfRule type="expression" dxfId="5913" priority="2483">
      <formula>#REF!="IO"</formula>
    </cfRule>
    <cfRule type="expression" dxfId="5912" priority="2484">
      <formula>#REF!="L"</formula>
    </cfRule>
    <cfRule type="expression" dxfId="5911" priority="2479">
      <formula>#REF!="TO"</formula>
    </cfRule>
    <cfRule type="expression" dxfId="5910" priority="2480">
      <formula>#REF!="IO"</formula>
    </cfRule>
    <cfRule type="expression" dxfId="5909" priority="2481">
      <formula>#REF!="L"</formula>
    </cfRule>
    <cfRule type="expression" dxfId="5908" priority="2476">
      <formula>#REF!="TO"</formula>
    </cfRule>
    <cfRule type="expression" dxfId="5907" priority="2477">
      <formula>#REF!="IO"</formula>
    </cfRule>
    <cfRule type="expression" dxfId="5906" priority="2478">
      <formula>#REF!="L"</formula>
    </cfRule>
    <cfRule type="expression" dxfId="5905" priority="2473">
      <formula>#REF!="TO"</formula>
    </cfRule>
    <cfRule type="expression" dxfId="5904" priority="2474">
      <formula>#REF!="IO"</formula>
    </cfRule>
    <cfRule type="expression" dxfId="5903" priority="2475">
      <formula>#REF!="L"</formula>
    </cfRule>
  </conditionalFormatting>
  <conditionalFormatting sqref="AF32">
    <cfRule type="expression" dxfId="5902" priority="2137">
      <formula>#REF!="TO"</formula>
    </cfRule>
    <cfRule type="expression" dxfId="5901" priority="2138">
      <formula>#REF!="IO"</formula>
    </cfRule>
    <cfRule type="expression" dxfId="5900" priority="2139">
      <formula>#REF!="L"</formula>
    </cfRule>
    <cfRule type="expression" dxfId="5899" priority="2134">
      <formula>#REF!="TO"</formula>
    </cfRule>
    <cfRule type="expression" dxfId="5898" priority="2135">
      <formula>#REF!="IO"</formula>
    </cfRule>
    <cfRule type="expression" dxfId="5897" priority="2136">
      <formula>#REF!="L"</formula>
    </cfRule>
    <cfRule type="expression" dxfId="5896" priority="2131">
      <formula>#REF!="TO"</formula>
    </cfRule>
    <cfRule type="expression" dxfId="5895" priority="2132">
      <formula>#REF!="IO"</formula>
    </cfRule>
    <cfRule type="expression" dxfId="5894" priority="2133">
      <formula>#REF!="L"</formula>
    </cfRule>
    <cfRule type="expression" dxfId="5893" priority="2140">
      <formula>#REF!="TO"</formula>
    </cfRule>
    <cfRule type="expression" dxfId="5892" priority="2141">
      <formula>#REF!="IO"</formula>
    </cfRule>
    <cfRule type="expression" dxfId="5891" priority="2142">
      <formula>#REF!="L"</formula>
    </cfRule>
  </conditionalFormatting>
  <conditionalFormatting sqref="AG32">
    <cfRule type="expression" dxfId="5890" priority="2128">
      <formula>#REF!="TO"</formula>
    </cfRule>
    <cfRule type="expression" dxfId="5889" priority="2129">
      <formula>#REF!="IO"</formula>
    </cfRule>
    <cfRule type="expression" dxfId="5888" priority="2130">
      <formula>#REF!="L"</formula>
    </cfRule>
    <cfRule type="expression" dxfId="5887" priority="2122">
      <formula>#REF!="TO"</formula>
    </cfRule>
    <cfRule type="expression" dxfId="5886" priority="2123">
      <formula>#REF!="IO"</formula>
    </cfRule>
    <cfRule type="expression" dxfId="5885" priority="2124">
      <formula>#REF!="L"</formula>
    </cfRule>
    <cfRule type="expression" dxfId="5884" priority="2125">
      <formula>#REF!="TO"</formula>
    </cfRule>
    <cfRule type="expression" dxfId="5883" priority="2126">
      <formula>#REF!="IO"</formula>
    </cfRule>
    <cfRule type="expression" dxfId="5882" priority="2127">
      <formula>#REF!="L"</formula>
    </cfRule>
    <cfRule type="expression" dxfId="5881" priority="2119">
      <formula>#REF!="TO"</formula>
    </cfRule>
    <cfRule type="expression" dxfId="5880" priority="2120">
      <formula>#REF!="IO"</formula>
    </cfRule>
    <cfRule type="expression" dxfId="5879" priority="2121">
      <formula>#REF!="L"</formula>
    </cfRule>
  </conditionalFormatting>
  <conditionalFormatting sqref="E32">
    <cfRule type="expression" dxfId="5878" priority="2116">
      <formula>#REF!="TO"</formula>
    </cfRule>
    <cfRule type="expression" dxfId="5877" priority="2117">
      <formula>#REF!="IO"</formula>
    </cfRule>
    <cfRule type="expression" dxfId="5876" priority="2118">
      <formula>#REF!="L"</formula>
    </cfRule>
    <cfRule type="expression" dxfId="5875" priority="2113">
      <formula>#REF!="TO"</formula>
    </cfRule>
    <cfRule type="expression" dxfId="5874" priority="2114">
      <formula>#REF!="IO"</formula>
    </cfRule>
    <cfRule type="expression" dxfId="5873" priority="2115">
      <formula>#REF!="L"</formula>
    </cfRule>
    <cfRule type="expression" dxfId="5872" priority="2110">
      <formula>#REF!="TO"</formula>
    </cfRule>
    <cfRule type="expression" dxfId="5871" priority="2111">
      <formula>#REF!="IO"</formula>
    </cfRule>
    <cfRule type="expression" dxfId="5870" priority="2112">
      <formula>#REF!="L"</formula>
    </cfRule>
    <cfRule type="expression" dxfId="5869" priority="2107">
      <formula>#REF!="TO"</formula>
    </cfRule>
    <cfRule type="expression" dxfId="5868" priority="2108">
      <formula>#REF!="IO"</formula>
    </cfRule>
    <cfRule type="expression" dxfId="5867" priority="2109">
      <formula>#REF!="L"</formula>
    </cfRule>
  </conditionalFormatting>
  <conditionalFormatting sqref="F32">
    <cfRule type="expression" dxfId="5866" priority="2104">
      <formula>#REF!="TO"</formula>
    </cfRule>
    <cfRule type="expression" dxfId="5865" priority="2105">
      <formula>#REF!="IO"</formula>
    </cfRule>
    <cfRule type="expression" dxfId="5864" priority="2106">
      <formula>#REF!="L"</formula>
    </cfRule>
    <cfRule type="expression" dxfId="5863" priority="2101">
      <formula>#REF!="TO"</formula>
    </cfRule>
    <cfRule type="expression" dxfId="5862" priority="2102">
      <formula>#REF!="IO"</formula>
    </cfRule>
    <cfRule type="expression" dxfId="5861" priority="2103">
      <formula>#REF!="L"</formula>
    </cfRule>
    <cfRule type="expression" dxfId="5860" priority="2095">
      <formula>#REF!="TO"</formula>
    </cfRule>
    <cfRule type="expression" dxfId="5859" priority="2096">
      <formula>#REF!="IO"</formula>
    </cfRule>
    <cfRule type="expression" dxfId="5858" priority="2097">
      <formula>#REF!="L"</formula>
    </cfRule>
    <cfRule type="expression" dxfId="5857" priority="2098">
      <formula>#REF!="TO"</formula>
    </cfRule>
    <cfRule type="expression" dxfId="5856" priority="2099">
      <formula>#REF!="IO"</formula>
    </cfRule>
    <cfRule type="expression" dxfId="5855" priority="2100">
      <formula>#REF!="L"</formula>
    </cfRule>
  </conditionalFormatting>
  <conditionalFormatting sqref="AA32">
    <cfRule type="expression" dxfId="5854" priority="2092">
      <formula>#REF!="TO"</formula>
    </cfRule>
    <cfRule type="expression" dxfId="5853" priority="2093">
      <formula>#REF!="IO"</formula>
    </cfRule>
    <cfRule type="expression" dxfId="5852" priority="2094">
      <formula>#REF!="L"</formula>
    </cfRule>
    <cfRule type="expression" dxfId="5851" priority="2086">
      <formula>#REF!="TO"</formula>
    </cfRule>
    <cfRule type="expression" dxfId="5850" priority="2087">
      <formula>#REF!="IO"</formula>
    </cfRule>
    <cfRule type="expression" dxfId="5849" priority="2088">
      <formula>#REF!="L"</formula>
    </cfRule>
    <cfRule type="expression" dxfId="5848" priority="2083">
      <formula>#REF!="TO"</formula>
    </cfRule>
    <cfRule type="expression" dxfId="5847" priority="2084">
      <formula>#REF!="IO"</formula>
    </cfRule>
    <cfRule type="expression" dxfId="5846" priority="2085">
      <formula>#REF!="L"</formula>
    </cfRule>
    <cfRule type="expression" dxfId="5845" priority="2089">
      <formula>#REF!="TO"</formula>
    </cfRule>
    <cfRule type="expression" dxfId="5844" priority="2090">
      <formula>#REF!="IO"</formula>
    </cfRule>
    <cfRule type="expression" dxfId="5843" priority="2091">
      <formula>#REF!="L"</formula>
    </cfRule>
  </conditionalFormatting>
  <conditionalFormatting sqref="AT32">
    <cfRule type="expression" dxfId="5842" priority="2080">
      <formula>#REF!="TO"</formula>
    </cfRule>
    <cfRule type="expression" dxfId="5841" priority="2081">
      <formula>#REF!="IO"</formula>
    </cfRule>
    <cfRule type="expression" dxfId="5840" priority="2082">
      <formula>#REF!="L"</formula>
    </cfRule>
    <cfRule type="expression" dxfId="5839" priority="2077">
      <formula>#REF!="TO"</formula>
    </cfRule>
    <cfRule type="expression" dxfId="5838" priority="2078">
      <formula>#REF!="IO"</formula>
    </cfRule>
    <cfRule type="expression" dxfId="5837" priority="2079">
      <formula>#REF!="L"</formula>
    </cfRule>
    <cfRule type="expression" dxfId="5836" priority="2065">
      <formula>#REF!="TO"</formula>
    </cfRule>
    <cfRule type="expression" dxfId="5835" priority="2066">
      <formula>#REF!="IO"</formula>
    </cfRule>
    <cfRule type="expression" dxfId="5834" priority="2067">
      <formula>#REF!="L"</formula>
    </cfRule>
  </conditionalFormatting>
  <conditionalFormatting sqref="AI32:AN32">
    <cfRule type="expression" dxfId="5833" priority="2074">
      <formula>#REF!="TO"</formula>
    </cfRule>
    <cfRule type="expression" dxfId="5832" priority="2075">
      <formula>#REF!="IO"</formula>
    </cfRule>
    <cfRule type="expression" dxfId="5831" priority="2076">
      <formula>#REF!="L"</formula>
    </cfRule>
    <cfRule type="expression" dxfId="5830" priority="2062">
      <formula>#REF!="TO"</formula>
    </cfRule>
    <cfRule type="expression" dxfId="5829" priority="2063">
      <formula>#REF!="IO"</formula>
    </cfRule>
    <cfRule type="expression" dxfId="5828" priority="2064">
      <formula>#REF!="L"</formula>
    </cfRule>
  </conditionalFormatting>
  <conditionalFormatting sqref="AO32:AQ32">
    <cfRule type="expression" dxfId="5827" priority="2071">
      <formula>#REF!="TO"</formula>
    </cfRule>
    <cfRule type="expression" dxfId="5826" priority="2072">
      <formula>#REF!="IO"</formula>
    </cfRule>
    <cfRule type="expression" dxfId="5825" priority="2073">
      <formula>#REF!="L"</formula>
    </cfRule>
    <cfRule type="expression" dxfId="5824" priority="2059">
      <formula>#REF!="TO"</formula>
    </cfRule>
    <cfRule type="expression" dxfId="5823" priority="2060">
      <formula>#REF!="IO"</formula>
    </cfRule>
    <cfRule type="expression" dxfId="5822" priority="2061">
      <formula>#REF!="L"</formula>
    </cfRule>
  </conditionalFormatting>
  <conditionalFormatting sqref="AR32:AS32">
    <cfRule type="expression" dxfId="5821" priority="2068">
      <formula>#REF!="TO"</formula>
    </cfRule>
    <cfRule type="expression" dxfId="5820" priority="2069">
      <formula>#REF!="IO"</formula>
    </cfRule>
    <cfRule type="expression" dxfId="5819" priority="2070">
      <formula>#REF!="L"</formula>
    </cfRule>
    <cfRule type="expression" dxfId="5818" priority="2056">
      <formula>#REF!="TO"</formula>
    </cfRule>
    <cfRule type="expression" dxfId="5817" priority="2057">
      <formula>#REF!="IO"</formula>
    </cfRule>
    <cfRule type="expression" dxfId="5816" priority="2058">
      <formula>#REF!="L"</formula>
    </cfRule>
  </conditionalFormatting>
  <conditionalFormatting sqref="AU32">
    <cfRule type="expression" dxfId="5815" priority="2053">
      <formula>#REF!="TO"</formula>
    </cfRule>
    <cfRule type="expression" dxfId="5814" priority="2054">
      <formula>#REF!="IO"</formula>
    </cfRule>
    <cfRule type="expression" dxfId="5813" priority="2055">
      <formula>#REF!="L"</formula>
    </cfRule>
    <cfRule type="expression" dxfId="5812" priority="2050">
      <formula>#REF!="TO"</formula>
    </cfRule>
    <cfRule type="expression" dxfId="5811" priority="2051">
      <formula>#REF!="IO"</formula>
    </cfRule>
    <cfRule type="expression" dxfId="5810" priority="2052">
      <formula>#REF!="L"</formula>
    </cfRule>
    <cfRule type="expression" dxfId="5809" priority="2047">
      <formula>#REF!="TO"</formula>
    </cfRule>
    <cfRule type="expression" dxfId="5808" priority="2048">
      <formula>#REF!="IO"</formula>
    </cfRule>
    <cfRule type="expression" dxfId="5807" priority="2049">
      <formula>#REF!="L"</formula>
    </cfRule>
    <cfRule type="expression" dxfId="5806" priority="2044">
      <formula>#REF!="TO"</formula>
    </cfRule>
    <cfRule type="expression" dxfId="5805" priority="2045">
      <formula>#REF!="IO"</formula>
    </cfRule>
    <cfRule type="expression" dxfId="5804" priority="2046">
      <formula>#REF!="L"</formula>
    </cfRule>
  </conditionalFormatting>
  <conditionalFormatting sqref="W32">
    <cfRule type="expression" dxfId="5803" priority="2263">
      <formula>#REF!="TO"</formula>
    </cfRule>
    <cfRule type="expression" dxfId="5802" priority="2264">
      <formula>#REF!="IO"</formula>
    </cfRule>
    <cfRule type="expression" dxfId="5801" priority="2265">
      <formula>#REF!="L"</formula>
    </cfRule>
    <cfRule type="expression" dxfId="5800" priority="2260">
      <formula>#REF!="TO"</formula>
    </cfRule>
    <cfRule type="expression" dxfId="5799" priority="2261">
      <formula>#REF!="IO"</formula>
    </cfRule>
    <cfRule type="expression" dxfId="5798" priority="2262">
      <formula>#REF!="L"</formula>
    </cfRule>
    <cfRule type="expression" dxfId="5797" priority="2239">
      <formula>#REF!="TO"</formula>
    </cfRule>
    <cfRule type="expression" dxfId="5796" priority="2240">
      <formula>#REF!="IO"</formula>
    </cfRule>
    <cfRule type="expression" dxfId="5795" priority="2241">
      <formula>#REF!="L"</formula>
    </cfRule>
  </conditionalFormatting>
  <conditionalFormatting sqref="A32">
    <cfRule type="expression" dxfId="5794" priority="2269">
      <formula>#REF!="TO"</formula>
    </cfRule>
    <cfRule type="expression" dxfId="5793" priority="2270">
      <formula>#REF!="IO"</formula>
    </cfRule>
    <cfRule type="expression" dxfId="5792" priority="2271">
      <formula>#REF!="L"</formula>
    </cfRule>
    <cfRule type="expression" dxfId="5791" priority="2245">
      <formula>#REF!="TO"</formula>
    </cfRule>
    <cfRule type="expression" dxfId="5790" priority="2246">
      <formula>#REF!="IO"</formula>
    </cfRule>
    <cfRule type="expression" dxfId="5789" priority="2247">
      <formula>#REF!="L"</formula>
    </cfRule>
  </conditionalFormatting>
  <conditionalFormatting sqref="B32">
    <cfRule type="expression" dxfId="5788" priority="2266">
      <formula>#REF!="TO"</formula>
    </cfRule>
    <cfRule type="expression" dxfId="5787" priority="2267">
      <formula>#REF!="IO"</formula>
    </cfRule>
    <cfRule type="expression" dxfId="5786" priority="2268">
      <formula>#REF!="L"</formula>
    </cfRule>
    <cfRule type="expression" dxfId="5785" priority="2257">
      <formula>#REF!="TO"</formula>
    </cfRule>
    <cfRule type="expression" dxfId="5784" priority="2258">
      <formula>#REF!="IO"</formula>
    </cfRule>
    <cfRule type="expression" dxfId="5783" priority="2259">
      <formula>#REF!="L"</formula>
    </cfRule>
    <cfRule type="expression" dxfId="5782" priority="2242">
      <formula>#REF!="TO"</formula>
    </cfRule>
    <cfRule type="expression" dxfId="5781" priority="2243">
      <formula>#REF!="IO"</formula>
    </cfRule>
    <cfRule type="expression" dxfId="5780" priority="2244">
      <formula>#REF!="L"</formula>
    </cfRule>
    <cfRule type="expression" dxfId="5779" priority="2236">
      <formula>#REF!="TO"</formula>
    </cfRule>
    <cfRule type="expression" dxfId="5778" priority="2237">
      <formula>#REF!="IO"</formula>
    </cfRule>
    <cfRule type="expression" dxfId="5777" priority="2238">
      <formula>#REF!="L"</formula>
    </cfRule>
  </conditionalFormatting>
  <conditionalFormatting sqref="L32:Q32">
    <cfRule type="expression" dxfId="5776" priority="2254">
      <formula>#REF!="TO"</formula>
    </cfRule>
    <cfRule type="expression" dxfId="5775" priority="2255">
      <formula>#REF!="IO"</formula>
    </cfRule>
    <cfRule type="expression" dxfId="5774" priority="2256">
      <formula>#REF!="L"</formula>
    </cfRule>
    <cfRule type="expression" dxfId="5773" priority="2233">
      <formula>#REF!="TO"</formula>
    </cfRule>
    <cfRule type="expression" dxfId="5772" priority="2234">
      <formula>#REF!="IO"</formula>
    </cfRule>
    <cfRule type="expression" dxfId="5771" priority="2235">
      <formula>#REF!="L"</formula>
    </cfRule>
  </conditionalFormatting>
  <conditionalFormatting sqref="R32:T32">
    <cfRule type="expression" dxfId="5770" priority="2251">
      <formula>#REF!="TO"</formula>
    </cfRule>
    <cfRule type="expression" dxfId="5769" priority="2252">
      <formula>#REF!="IO"</formula>
    </cfRule>
    <cfRule type="expression" dxfId="5768" priority="2253">
      <formula>#REF!="L"</formula>
    </cfRule>
    <cfRule type="expression" dxfId="5767" priority="2230">
      <formula>#REF!="TO"</formula>
    </cfRule>
    <cfRule type="expression" dxfId="5766" priority="2231">
      <formula>#REF!="IO"</formula>
    </cfRule>
    <cfRule type="expression" dxfId="5765" priority="2232">
      <formula>#REF!="L"</formula>
    </cfRule>
  </conditionalFormatting>
  <conditionalFormatting sqref="U32:V32">
    <cfRule type="expression" dxfId="5764" priority="2248">
      <formula>#REF!="TO"</formula>
    </cfRule>
    <cfRule type="expression" dxfId="5763" priority="2249">
      <formula>#REF!="IO"</formula>
    </cfRule>
    <cfRule type="expression" dxfId="5762" priority="2250">
      <formula>#REF!="L"</formula>
    </cfRule>
    <cfRule type="expression" dxfId="5761" priority="2227">
      <formula>#REF!="TO"</formula>
    </cfRule>
    <cfRule type="expression" dxfId="5760" priority="2228">
      <formula>#REF!="IO"</formula>
    </cfRule>
    <cfRule type="expression" dxfId="5759" priority="2229">
      <formula>#REF!="L"</formula>
    </cfRule>
  </conditionalFormatting>
  <conditionalFormatting sqref="C32">
    <cfRule type="expression" dxfId="5758" priority="2218">
      <formula>#REF!="TO"</formula>
    </cfRule>
    <cfRule type="expression" dxfId="5757" priority="2219">
      <formula>#REF!="IO"</formula>
    </cfRule>
    <cfRule type="expression" dxfId="5756" priority="2220">
      <formula>#REF!="L"</formula>
    </cfRule>
    <cfRule type="expression" dxfId="5755" priority="2224">
      <formula>#REF!="TO"</formula>
    </cfRule>
    <cfRule type="expression" dxfId="5754" priority="2225">
      <formula>#REF!="IO"</formula>
    </cfRule>
    <cfRule type="expression" dxfId="5753" priority="2226">
      <formula>#REF!="L"</formula>
    </cfRule>
    <cfRule type="expression" dxfId="5752" priority="2221">
      <formula>#REF!="TO"</formula>
    </cfRule>
    <cfRule type="expression" dxfId="5751" priority="2222">
      <formula>#REF!="IO"</formula>
    </cfRule>
    <cfRule type="expression" dxfId="5750" priority="2223">
      <formula>#REF!="L"</formula>
    </cfRule>
    <cfRule type="expression" dxfId="5749" priority="2215">
      <formula>#REF!="TO"</formula>
    </cfRule>
    <cfRule type="expression" dxfId="5748" priority="2216">
      <formula>#REF!="IO"</formula>
    </cfRule>
    <cfRule type="expression" dxfId="5747" priority="2217">
      <formula>#REF!="L"</formula>
    </cfRule>
  </conditionalFormatting>
  <conditionalFormatting sqref="J32">
    <cfRule type="expression" dxfId="5746" priority="2212">
      <formula>#REF!="TO"</formula>
    </cfRule>
    <cfRule type="expression" dxfId="5745" priority="2213">
      <formula>#REF!="IO"</formula>
    </cfRule>
    <cfRule type="expression" dxfId="5744" priority="2214">
      <formula>#REF!="L"</formula>
    </cfRule>
    <cfRule type="expression" dxfId="5743" priority="2209">
      <formula>#REF!="TO"</formula>
    </cfRule>
    <cfRule type="expression" dxfId="5742" priority="2210">
      <formula>#REF!="IO"</formula>
    </cfRule>
    <cfRule type="expression" dxfId="5741" priority="2211">
      <formula>#REF!="L"</formula>
    </cfRule>
    <cfRule type="expression" dxfId="5740" priority="2206">
      <formula>#REF!="TO"</formula>
    </cfRule>
    <cfRule type="expression" dxfId="5739" priority="2207">
      <formula>#REF!="IO"</formula>
    </cfRule>
    <cfRule type="expression" dxfId="5738" priority="2208">
      <formula>#REF!="L"</formula>
    </cfRule>
    <cfRule type="expression" dxfId="5737" priority="2203">
      <formula>#REF!="TO"</formula>
    </cfRule>
    <cfRule type="expression" dxfId="5736" priority="2204">
      <formula>#REF!="IO"</formula>
    </cfRule>
    <cfRule type="expression" dxfId="5735" priority="2205">
      <formula>#REF!="L"</formula>
    </cfRule>
  </conditionalFormatting>
  <conditionalFormatting sqref="X32:Y32">
    <cfRule type="expression" dxfId="5734" priority="2200">
      <formula>#REF!="TO"</formula>
    </cfRule>
    <cfRule type="expression" dxfId="5733" priority="2201">
      <formula>#REF!="IO"</formula>
    </cfRule>
    <cfRule type="expression" dxfId="5732" priority="2202">
      <formula>#REF!="L"</formula>
    </cfRule>
    <cfRule type="expression" dxfId="5731" priority="2197">
      <formula>#REF!="TO"</formula>
    </cfRule>
    <cfRule type="expression" dxfId="5730" priority="2198">
      <formula>#REF!="IO"</formula>
    </cfRule>
    <cfRule type="expression" dxfId="5729" priority="2199">
      <formula>#REF!="L"</formula>
    </cfRule>
    <cfRule type="expression" dxfId="5728" priority="2194">
      <formula>#REF!="TO"</formula>
    </cfRule>
    <cfRule type="expression" dxfId="5727" priority="2195">
      <formula>#REF!="IO"</formula>
    </cfRule>
    <cfRule type="expression" dxfId="5726" priority="2196">
      <formula>#REF!="L"</formula>
    </cfRule>
    <cfRule type="expression" dxfId="5725" priority="2191">
      <formula>#REF!="TO"</formula>
    </cfRule>
    <cfRule type="expression" dxfId="5724" priority="2192">
      <formula>#REF!="IO"</formula>
    </cfRule>
    <cfRule type="expression" dxfId="5723" priority="2193">
      <formula>#REF!="L"</formula>
    </cfRule>
  </conditionalFormatting>
  <conditionalFormatting sqref="H32">
    <cfRule type="expression" dxfId="5722" priority="2188">
      <formula>#REF!="TO"</formula>
    </cfRule>
    <cfRule type="expression" dxfId="5721" priority="2189">
      <formula>#REF!="IO"</formula>
    </cfRule>
    <cfRule type="expression" dxfId="5720" priority="2190">
      <formula>#REF!="L"</formula>
    </cfRule>
    <cfRule type="expression" dxfId="5719" priority="2185">
      <formula>#REF!="TO"</formula>
    </cfRule>
    <cfRule type="expression" dxfId="5718" priority="2186">
      <formula>#REF!="IO"</formula>
    </cfRule>
    <cfRule type="expression" dxfId="5717" priority="2187">
      <formula>#REF!="L"</formula>
    </cfRule>
    <cfRule type="expression" dxfId="5716" priority="2182">
      <formula>#REF!="TO"</formula>
    </cfRule>
    <cfRule type="expression" dxfId="5715" priority="2183">
      <formula>#REF!="IO"</formula>
    </cfRule>
    <cfRule type="expression" dxfId="5714" priority="2184">
      <formula>#REF!="L"</formula>
    </cfRule>
    <cfRule type="expression" dxfId="5713" priority="2179">
      <formula>#REF!="TO"</formula>
    </cfRule>
    <cfRule type="expression" dxfId="5712" priority="2180">
      <formula>#REF!="IO"</formula>
    </cfRule>
    <cfRule type="expression" dxfId="5711" priority="2181">
      <formula>#REF!="L"</formula>
    </cfRule>
  </conditionalFormatting>
  <conditionalFormatting sqref="Z32">
    <cfRule type="expression" dxfId="5710" priority="2176">
      <formula>#REF!="TO"</formula>
    </cfRule>
    <cfRule type="expression" dxfId="5709" priority="2177">
      <formula>#REF!="IO"</formula>
    </cfRule>
    <cfRule type="expression" dxfId="5708" priority="2178">
      <formula>#REF!="L"</formula>
    </cfRule>
    <cfRule type="expression" dxfId="5707" priority="2173">
      <formula>#REF!="TO"</formula>
    </cfRule>
    <cfRule type="expression" dxfId="5706" priority="2174">
      <formula>#REF!="IO"</formula>
    </cfRule>
    <cfRule type="expression" dxfId="5705" priority="2175">
      <formula>#REF!="L"</formula>
    </cfRule>
    <cfRule type="expression" dxfId="5704" priority="2170">
      <formula>#REF!="TO"</formula>
    </cfRule>
    <cfRule type="expression" dxfId="5703" priority="2171">
      <formula>#REF!="IO"</formula>
    </cfRule>
    <cfRule type="expression" dxfId="5702" priority="2172">
      <formula>#REF!="L"</formula>
    </cfRule>
    <cfRule type="expression" dxfId="5701" priority="2167">
      <formula>#REF!="TO"</formula>
    </cfRule>
    <cfRule type="expression" dxfId="5700" priority="2168">
      <formula>#REF!="IO"</formula>
    </cfRule>
    <cfRule type="expression" dxfId="5699" priority="2169">
      <formula>#REF!="L"</formula>
    </cfRule>
  </conditionalFormatting>
  <conditionalFormatting sqref="AC32">
    <cfRule type="expression" dxfId="5698" priority="2164">
      <formula>#REF!="TO"</formula>
    </cfRule>
    <cfRule type="expression" dxfId="5697" priority="2165">
      <formula>#REF!="IO"</formula>
    </cfRule>
    <cfRule type="expression" dxfId="5696" priority="2166">
      <formula>#REF!="L"</formula>
    </cfRule>
    <cfRule type="expression" dxfId="5695" priority="2161">
      <formula>#REF!="TO"</formula>
    </cfRule>
    <cfRule type="expression" dxfId="5694" priority="2162">
      <formula>#REF!="IO"</formula>
    </cfRule>
    <cfRule type="expression" dxfId="5693" priority="2163">
      <formula>#REF!="L"</formula>
    </cfRule>
    <cfRule type="expression" dxfId="5692" priority="2158">
      <formula>#REF!="TO"</formula>
    </cfRule>
    <cfRule type="expression" dxfId="5691" priority="2159">
      <formula>#REF!="IO"</formula>
    </cfRule>
    <cfRule type="expression" dxfId="5690" priority="2160">
      <formula>#REF!="L"</formula>
    </cfRule>
    <cfRule type="expression" dxfId="5689" priority="2155">
      <formula>#REF!="TO"</formula>
    </cfRule>
    <cfRule type="expression" dxfId="5688" priority="2156">
      <formula>#REF!="IO"</formula>
    </cfRule>
    <cfRule type="expression" dxfId="5687" priority="2157">
      <formula>#REF!="L"</formula>
    </cfRule>
  </conditionalFormatting>
  <conditionalFormatting sqref="AD32">
    <cfRule type="expression" dxfId="5686" priority="2152">
      <formula>#REF!="TO"</formula>
    </cfRule>
    <cfRule type="expression" dxfId="5685" priority="2153">
      <formula>#REF!="IO"</formula>
    </cfRule>
    <cfRule type="expression" dxfId="5684" priority="2154">
      <formula>#REF!="L"</formula>
    </cfRule>
    <cfRule type="expression" dxfId="5683" priority="2149">
      <formula>#REF!="TO"</formula>
    </cfRule>
    <cfRule type="expression" dxfId="5682" priority="2150">
      <formula>#REF!="IO"</formula>
    </cfRule>
    <cfRule type="expression" dxfId="5681" priority="2151">
      <formula>#REF!="L"</formula>
    </cfRule>
    <cfRule type="expression" dxfId="5680" priority="2146">
      <formula>#REF!="TO"</formula>
    </cfRule>
    <cfRule type="expression" dxfId="5679" priority="2147">
      <formula>#REF!="IO"</formula>
    </cfRule>
    <cfRule type="expression" dxfId="5678" priority="2148">
      <formula>#REF!="L"</formula>
    </cfRule>
    <cfRule type="expression" dxfId="5677" priority="2143">
      <formula>#REF!="TO"</formula>
    </cfRule>
    <cfRule type="expression" dxfId="5676" priority="2144">
      <formula>#REF!="IO"</formula>
    </cfRule>
    <cfRule type="expression" dxfId="5675" priority="2145">
      <formula>#REF!="L"</formula>
    </cfRule>
  </conditionalFormatting>
  <conditionalFormatting sqref="AF33">
    <cfRule type="expression" dxfId="5674" priority="1807">
      <formula>#REF!="TO"</formula>
    </cfRule>
    <cfRule type="expression" dxfId="5673" priority="1808">
      <formula>#REF!="IO"</formula>
    </cfRule>
    <cfRule type="expression" dxfId="5672" priority="1809">
      <formula>#REF!="L"</formula>
    </cfRule>
    <cfRule type="expression" dxfId="5671" priority="1804">
      <formula>#REF!="TO"</formula>
    </cfRule>
    <cfRule type="expression" dxfId="5670" priority="1805">
      <formula>#REF!="IO"</formula>
    </cfRule>
    <cfRule type="expression" dxfId="5669" priority="1806">
      <formula>#REF!="L"</formula>
    </cfRule>
    <cfRule type="expression" dxfId="5668" priority="1801">
      <formula>#REF!="TO"</formula>
    </cfRule>
    <cfRule type="expression" dxfId="5667" priority="1802">
      <formula>#REF!="IO"</formula>
    </cfRule>
    <cfRule type="expression" dxfId="5666" priority="1803">
      <formula>#REF!="L"</formula>
    </cfRule>
    <cfRule type="expression" dxfId="5665" priority="1810">
      <formula>#REF!="TO"</formula>
    </cfRule>
    <cfRule type="expression" dxfId="5664" priority="1811">
      <formula>#REF!="IO"</formula>
    </cfRule>
    <cfRule type="expression" dxfId="5663" priority="1812">
      <formula>#REF!="L"</formula>
    </cfRule>
  </conditionalFormatting>
  <conditionalFormatting sqref="AG33">
    <cfRule type="expression" dxfId="5662" priority="1798">
      <formula>#REF!="TO"</formula>
    </cfRule>
    <cfRule type="expression" dxfId="5661" priority="1799">
      <formula>#REF!="IO"</formula>
    </cfRule>
    <cfRule type="expression" dxfId="5660" priority="1800">
      <formula>#REF!="L"</formula>
    </cfRule>
    <cfRule type="expression" dxfId="5659" priority="1792">
      <formula>#REF!="TO"</formula>
    </cfRule>
    <cfRule type="expression" dxfId="5658" priority="1793">
      <formula>#REF!="IO"</formula>
    </cfRule>
    <cfRule type="expression" dxfId="5657" priority="1794">
      <formula>#REF!="L"</formula>
    </cfRule>
    <cfRule type="expression" dxfId="5656" priority="1795">
      <formula>#REF!="TO"</formula>
    </cfRule>
    <cfRule type="expression" dxfId="5655" priority="1796">
      <formula>#REF!="IO"</formula>
    </cfRule>
    <cfRule type="expression" dxfId="5654" priority="1797">
      <formula>#REF!="L"</formula>
    </cfRule>
    <cfRule type="expression" dxfId="5653" priority="1789">
      <formula>#REF!="TO"</formula>
    </cfRule>
    <cfRule type="expression" dxfId="5652" priority="1790">
      <formula>#REF!="IO"</formula>
    </cfRule>
    <cfRule type="expression" dxfId="5651" priority="1791">
      <formula>#REF!="L"</formula>
    </cfRule>
  </conditionalFormatting>
  <conditionalFormatting sqref="E33">
    <cfRule type="expression" dxfId="5650" priority="1786">
      <formula>#REF!="TO"</formula>
    </cfRule>
    <cfRule type="expression" dxfId="5649" priority="1787">
      <formula>#REF!="IO"</formula>
    </cfRule>
    <cfRule type="expression" dxfId="5648" priority="1788">
      <formula>#REF!="L"</formula>
    </cfRule>
    <cfRule type="expression" dxfId="5647" priority="1783">
      <formula>#REF!="TO"</formula>
    </cfRule>
    <cfRule type="expression" dxfId="5646" priority="1784">
      <formula>#REF!="IO"</formula>
    </cfRule>
    <cfRule type="expression" dxfId="5645" priority="1785">
      <formula>#REF!="L"</formula>
    </cfRule>
    <cfRule type="expression" dxfId="5644" priority="1780">
      <formula>#REF!="TO"</formula>
    </cfRule>
    <cfRule type="expression" dxfId="5643" priority="1781">
      <formula>#REF!="IO"</formula>
    </cfRule>
    <cfRule type="expression" dxfId="5642" priority="1782">
      <formula>#REF!="L"</formula>
    </cfRule>
    <cfRule type="expression" dxfId="5641" priority="1777">
      <formula>#REF!="TO"</formula>
    </cfRule>
    <cfRule type="expression" dxfId="5640" priority="1778">
      <formula>#REF!="IO"</formula>
    </cfRule>
    <cfRule type="expression" dxfId="5639" priority="1779">
      <formula>#REF!="L"</formula>
    </cfRule>
  </conditionalFormatting>
  <conditionalFormatting sqref="F33">
    <cfRule type="expression" dxfId="5638" priority="1774">
      <formula>#REF!="TO"</formula>
    </cfRule>
    <cfRule type="expression" dxfId="5637" priority="1775">
      <formula>#REF!="IO"</formula>
    </cfRule>
    <cfRule type="expression" dxfId="5636" priority="1776">
      <formula>#REF!="L"</formula>
    </cfRule>
    <cfRule type="expression" dxfId="5635" priority="1771">
      <formula>#REF!="TO"</formula>
    </cfRule>
    <cfRule type="expression" dxfId="5634" priority="1772">
      <formula>#REF!="IO"</formula>
    </cfRule>
    <cfRule type="expression" dxfId="5633" priority="1773">
      <formula>#REF!="L"</formula>
    </cfRule>
    <cfRule type="expression" dxfId="5632" priority="1765">
      <formula>#REF!="TO"</formula>
    </cfRule>
    <cfRule type="expression" dxfId="5631" priority="1766">
      <formula>#REF!="IO"</formula>
    </cfRule>
    <cfRule type="expression" dxfId="5630" priority="1767">
      <formula>#REF!="L"</formula>
    </cfRule>
    <cfRule type="expression" dxfId="5629" priority="1768">
      <formula>#REF!="TO"</formula>
    </cfRule>
    <cfRule type="expression" dxfId="5628" priority="1769">
      <formula>#REF!="IO"</formula>
    </cfRule>
    <cfRule type="expression" dxfId="5627" priority="1770">
      <formula>#REF!="L"</formula>
    </cfRule>
  </conditionalFormatting>
  <conditionalFormatting sqref="AA33">
    <cfRule type="expression" dxfId="5626" priority="1762">
      <formula>#REF!="TO"</formula>
    </cfRule>
    <cfRule type="expression" dxfId="5625" priority="1763">
      <formula>#REF!="IO"</formula>
    </cfRule>
    <cfRule type="expression" dxfId="5624" priority="1764">
      <formula>#REF!="L"</formula>
    </cfRule>
    <cfRule type="expression" dxfId="5623" priority="1756">
      <formula>#REF!="TO"</formula>
    </cfRule>
    <cfRule type="expression" dxfId="5622" priority="1757">
      <formula>#REF!="IO"</formula>
    </cfRule>
    <cfRule type="expression" dxfId="5621" priority="1758">
      <formula>#REF!="L"</formula>
    </cfRule>
    <cfRule type="expression" dxfId="5620" priority="1753">
      <formula>#REF!="TO"</formula>
    </cfRule>
    <cfRule type="expression" dxfId="5619" priority="1754">
      <formula>#REF!="IO"</formula>
    </cfRule>
    <cfRule type="expression" dxfId="5618" priority="1755">
      <formula>#REF!="L"</formula>
    </cfRule>
    <cfRule type="expression" dxfId="5617" priority="1759">
      <formula>#REF!="TO"</formula>
    </cfRule>
    <cfRule type="expression" dxfId="5616" priority="1760">
      <formula>#REF!="IO"</formula>
    </cfRule>
    <cfRule type="expression" dxfId="5615" priority="1761">
      <formula>#REF!="L"</formula>
    </cfRule>
  </conditionalFormatting>
  <conditionalFormatting sqref="AT33">
    <cfRule type="expression" dxfId="5614" priority="1750">
      <formula>#REF!="TO"</formula>
    </cfRule>
    <cfRule type="expression" dxfId="5613" priority="1751">
      <formula>#REF!="IO"</formula>
    </cfRule>
    <cfRule type="expression" dxfId="5612" priority="1752">
      <formula>#REF!="L"</formula>
    </cfRule>
    <cfRule type="expression" dxfId="5611" priority="1747">
      <formula>#REF!="TO"</formula>
    </cfRule>
    <cfRule type="expression" dxfId="5610" priority="1748">
      <formula>#REF!="IO"</formula>
    </cfRule>
    <cfRule type="expression" dxfId="5609" priority="1749">
      <formula>#REF!="L"</formula>
    </cfRule>
    <cfRule type="expression" dxfId="5608" priority="1735">
      <formula>#REF!="TO"</formula>
    </cfRule>
    <cfRule type="expression" dxfId="5607" priority="1736">
      <formula>#REF!="IO"</formula>
    </cfRule>
    <cfRule type="expression" dxfId="5606" priority="1737">
      <formula>#REF!="L"</formula>
    </cfRule>
  </conditionalFormatting>
  <conditionalFormatting sqref="AI33:AN33">
    <cfRule type="expression" dxfId="5605" priority="1744">
      <formula>#REF!="TO"</formula>
    </cfRule>
    <cfRule type="expression" dxfId="5604" priority="1745">
      <formula>#REF!="IO"</formula>
    </cfRule>
    <cfRule type="expression" dxfId="5603" priority="1746">
      <formula>#REF!="L"</formula>
    </cfRule>
    <cfRule type="expression" dxfId="5602" priority="1732">
      <formula>#REF!="TO"</formula>
    </cfRule>
    <cfRule type="expression" dxfId="5601" priority="1733">
      <formula>#REF!="IO"</formula>
    </cfRule>
    <cfRule type="expression" dxfId="5600" priority="1734">
      <formula>#REF!="L"</formula>
    </cfRule>
  </conditionalFormatting>
  <conditionalFormatting sqref="AO33:AQ33">
    <cfRule type="expression" dxfId="5599" priority="1741">
      <formula>#REF!="TO"</formula>
    </cfRule>
    <cfRule type="expression" dxfId="5598" priority="1742">
      <formula>#REF!="IO"</formula>
    </cfRule>
    <cfRule type="expression" dxfId="5597" priority="1743">
      <formula>#REF!="L"</formula>
    </cfRule>
    <cfRule type="expression" dxfId="5596" priority="1729">
      <formula>#REF!="TO"</formula>
    </cfRule>
    <cfRule type="expression" dxfId="5595" priority="1730">
      <formula>#REF!="IO"</formula>
    </cfRule>
    <cfRule type="expression" dxfId="5594" priority="1731">
      <formula>#REF!="L"</formula>
    </cfRule>
  </conditionalFormatting>
  <conditionalFormatting sqref="AR33:AS33">
    <cfRule type="expression" dxfId="5593" priority="1738">
      <formula>#REF!="TO"</formula>
    </cfRule>
    <cfRule type="expression" dxfId="5592" priority="1739">
      <formula>#REF!="IO"</formula>
    </cfRule>
    <cfRule type="expression" dxfId="5591" priority="1740">
      <formula>#REF!="L"</formula>
    </cfRule>
    <cfRule type="expression" dxfId="5590" priority="1726">
      <formula>#REF!="TO"</formula>
    </cfRule>
    <cfRule type="expression" dxfId="5589" priority="1727">
      <formula>#REF!="IO"</formula>
    </cfRule>
    <cfRule type="expression" dxfId="5588" priority="1728">
      <formula>#REF!="L"</formula>
    </cfRule>
  </conditionalFormatting>
  <conditionalFormatting sqref="AU33">
    <cfRule type="expression" dxfId="5587" priority="1723">
      <formula>#REF!="TO"</formula>
    </cfRule>
    <cfRule type="expression" dxfId="5586" priority="1724">
      <formula>#REF!="IO"</formula>
    </cfRule>
    <cfRule type="expression" dxfId="5585" priority="1725">
      <formula>#REF!="L"</formula>
    </cfRule>
    <cfRule type="expression" dxfId="5584" priority="1720">
      <formula>#REF!="TO"</formula>
    </cfRule>
    <cfRule type="expression" dxfId="5583" priority="1721">
      <formula>#REF!="IO"</formula>
    </cfRule>
    <cfRule type="expression" dxfId="5582" priority="1722">
      <formula>#REF!="L"</formula>
    </cfRule>
    <cfRule type="expression" dxfId="5581" priority="1717">
      <formula>#REF!="TO"</formula>
    </cfRule>
    <cfRule type="expression" dxfId="5580" priority="1718">
      <formula>#REF!="IO"</formula>
    </cfRule>
    <cfRule type="expression" dxfId="5579" priority="1719">
      <formula>#REF!="L"</formula>
    </cfRule>
    <cfRule type="expression" dxfId="5578" priority="1714">
      <formula>#REF!="TO"</formula>
    </cfRule>
    <cfRule type="expression" dxfId="5577" priority="1715">
      <formula>#REF!="IO"</formula>
    </cfRule>
    <cfRule type="expression" dxfId="5576" priority="1716">
      <formula>#REF!="L"</formula>
    </cfRule>
  </conditionalFormatting>
  <conditionalFormatting sqref="W33">
    <cfRule type="expression" dxfId="5575" priority="1933">
      <formula>#REF!="TO"</formula>
    </cfRule>
    <cfRule type="expression" dxfId="5574" priority="1934">
      <formula>#REF!="IO"</formula>
    </cfRule>
    <cfRule type="expression" dxfId="5573" priority="1935">
      <formula>#REF!="L"</formula>
    </cfRule>
    <cfRule type="expression" dxfId="5572" priority="1930">
      <formula>#REF!="TO"</formula>
    </cfRule>
    <cfRule type="expression" dxfId="5571" priority="1931">
      <formula>#REF!="IO"</formula>
    </cfRule>
    <cfRule type="expression" dxfId="5570" priority="1932">
      <formula>#REF!="L"</formula>
    </cfRule>
    <cfRule type="expression" dxfId="5569" priority="1909">
      <formula>#REF!="TO"</formula>
    </cfRule>
    <cfRule type="expression" dxfId="5568" priority="1910">
      <formula>#REF!="IO"</formula>
    </cfRule>
    <cfRule type="expression" dxfId="5567" priority="1911">
      <formula>#REF!="L"</formula>
    </cfRule>
  </conditionalFormatting>
  <conditionalFormatting sqref="A33">
    <cfRule type="expression" dxfId="5566" priority="1939">
      <formula>#REF!="TO"</formula>
    </cfRule>
    <cfRule type="expression" dxfId="5565" priority="1940">
      <formula>#REF!="IO"</formula>
    </cfRule>
    <cfRule type="expression" dxfId="5564" priority="1941">
      <formula>#REF!="L"</formula>
    </cfRule>
    <cfRule type="expression" dxfId="5563" priority="1915">
      <formula>#REF!="TO"</formula>
    </cfRule>
    <cfRule type="expression" dxfId="5562" priority="1916">
      <formula>#REF!="IO"</formula>
    </cfRule>
    <cfRule type="expression" dxfId="5561" priority="1917">
      <formula>#REF!="L"</formula>
    </cfRule>
  </conditionalFormatting>
  <conditionalFormatting sqref="B33">
    <cfRule type="expression" dxfId="5560" priority="1936">
      <formula>#REF!="TO"</formula>
    </cfRule>
    <cfRule type="expression" dxfId="5559" priority="1937">
      <formula>#REF!="IO"</formula>
    </cfRule>
    <cfRule type="expression" dxfId="5558" priority="1938">
      <formula>#REF!="L"</formula>
    </cfRule>
    <cfRule type="expression" dxfId="5557" priority="1927">
      <formula>#REF!="TO"</formula>
    </cfRule>
    <cfRule type="expression" dxfId="5556" priority="1928">
      <formula>#REF!="IO"</formula>
    </cfRule>
    <cfRule type="expression" dxfId="5555" priority="1929">
      <formula>#REF!="L"</formula>
    </cfRule>
    <cfRule type="expression" dxfId="5554" priority="1912">
      <formula>#REF!="TO"</formula>
    </cfRule>
    <cfRule type="expression" dxfId="5553" priority="1913">
      <formula>#REF!="IO"</formula>
    </cfRule>
    <cfRule type="expression" dxfId="5552" priority="1914">
      <formula>#REF!="L"</formula>
    </cfRule>
    <cfRule type="expression" dxfId="5551" priority="1906">
      <formula>#REF!="TO"</formula>
    </cfRule>
    <cfRule type="expression" dxfId="5550" priority="1907">
      <formula>#REF!="IO"</formula>
    </cfRule>
    <cfRule type="expression" dxfId="5549" priority="1908">
      <formula>#REF!="L"</formula>
    </cfRule>
  </conditionalFormatting>
  <conditionalFormatting sqref="L33:Q33">
    <cfRule type="expression" dxfId="5548" priority="1924">
      <formula>#REF!="TO"</formula>
    </cfRule>
    <cfRule type="expression" dxfId="5547" priority="1925">
      <formula>#REF!="IO"</formula>
    </cfRule>
    <cfRule type="expression" dxfId="5546" priority="1926">
      <formula>#REF!="L"</formula>
    </cfRule>
    <cfRule type="expression" dxfId="5545" priority="1903">
      <formula>#REF!="TO"</formula>
    </cfRule>
    <cfRule type="expression" dxfId="5544" priority="1904">
      <formula>#REF!="IO"</formula>
    </cfRule>
    <cfRule type="expression" dxfId="5543" priority="1905">
      <formula>#REF!="L"</formula>
    </cfRule>
  </conditionalFormatting>
  <conditionalFormatting sqref="R33:T33">
    <cfRule type="expression" dxfId="5542" priority="1921">
      <formula>#REF!="TO"</formula>
    </cfRule>
    <cfRule type="expression" dxfId="5541" priority="1922">
      <formula>#REF!="IO"</formula>
    </cfRule>
    <cfRule type="expression" dxfId="5540" priority="1923">
      <formula>#REF!="L"</formula>
    </cfRule>
    <cfRule type="expression" dxfId="5539" priority="1900">
      <formula>#REF!="TO"</formula>
    </cfRule>
    <cfRule type="expression" dxfId="5538" priority="1901">
      <formula>#REF!="IO"</formula>
    </cfRule>
    <cfRule type="expression" dxfId="5537" priority="1902">
      <formula>#REF!="L"</formula>
    </cfRule>
  </conditionalFormatting>
  <conditionalFormatting sqref="U33:V33">
    <cfRule type="expression" dxfId="5536" priority="1918">
      <formula>#REF!="TO"</formula>
    </cfRule>
    <cfRule type="expression" dxfId="5535" priority="1919">
      <formula>#REF!="IO"</formula>
    </cfRule>
    <cfRule type="expression" dxfId="5534" priority="1920">
      <formula>#REF!="L"</formula>
    </cfRule>
    <cfRule type="expression" dxfId="5533" priority="1897">
      <formula>#REF!="TO"</formula>
    </cfRule>
    <cfRule type="expression" dxfId="5532" priority="1898">
      <formula>#REF!="IO"</formula>
    </cfRule>
    <cfRule type="expression" dxfId="5531" priority="1899">
      <formula>#REF!="L"</formula>
    </cfRule>
  </conditionalFormatting>
  <conditionalFormatting sqref="C33">
    <cfRule type="expression" dxfId="5530" priority="1888">
      <formula>#REF!="TO"</formula>
    </cfRule>
    <cfRule type="expression" dxfId="5529" priority="1889">
      <formula>#REF!="IO"</formula>
    </cfRule>
    <cfRule type="expression" dxfId="5528" priority="1890">
      <formula>#REF!="L"</formula>
    </cfRule>
    <cfRule type="expression" dxfId="5527" priority="1894">
      <formula>#REF!="TO"</formula>
    </cfRule>
    <cfRule type="expression" dxfId="5526" priority="1895">
      <formula>#REF!="IO"</formula>
    </cfRule>
    <cfRule type="expression" dxfId="5525" priority="1896">
      <formula>#REF!="L"</formula>
    </cfRule>
    <cfRule type="expression" dxfId="5524" priority="1891">
      <formula>#REF!="TO"</formula>
    </cfRule>
    <cfRule type="expression" dxfId="5523" priority="1892">
      <formula>#REF!="IO"</formula>
    </cfRule>
    <cfRule type="expression" dxfId="5522" priority="1893">
      <formula>#REF!="L"</formula>
    </cfRule>
    <cfRule type="expression" dxfId="5521" priority="1885">
      <formula>#REF!="TO"</formula>
    </cfRule>
    <cfRule type="expression" dxfId="5520" priority="1886">
      <formula>#REF!="IO"</formula>
    </cfRule>
    <cfRule type="expression" dxfId="5519" priority="1887">
      <formula>#REF!="L"</formula>
    </cfRule>
  </conditionalFormatting>
  <conditionalFormatting sqref="J33">
    <cfRule type="expression" dxfId="5518" priority="1882">
      <formula>#REF!="TO"</formula>
    </cfRule>
    <cfRule type="expression" dxfId="5517" priority="1883">
      <formula>#REF!="IO"</formula>
    </cfRule>
    <cfRule type="expression" dxfId="5516" priority="1884">
      <formula>#REF!="L"</formula>
    </cfRule>
    <cfRule type="expression" dxfId="5515" priority="1879">
      <formula>#REF!="TO"</formula>
    </cfRule>
    <cfRule type="expression" dxfId="5514" priority="1880">
      <formula>#REF!="IO"</formula>
    </cfRule>
    <cfRule type="expression" dxfId="5513" priority="1881">
      <formula>#REF!="L"</formula>
    </cfRule>
    <cfRule type="expression" dxfId="5512" priority="1876">
      <formula>#REF!="TO"</formula>
    </cfRule>
    <cfRule type="expression" dxfId="5511" priority="1877">
      <formula>#REF!="IO"</formula>
    </cfRule>
    <cfRule type="expression" dxfId="5510" priority="1878">
      <formula>#REF!="L"</formula>
    </cfRule>
    <cfRule type="expression" dxfId="5509" priority="1873">
      <formula>#REF!="TO"</formula>
    </cfRule>
    <cfRule type="expression" dxfId="5508" priority="1874">
      <formula>#REF!="IO"</formula>
    </cfRule>
    <cfRule type="expression" dxfId="5507" priority="1875">
      <formula>#REF!="L"</formula>
    </cfRule>
  </conditionalFormatting>
  <conditionalFormatting sqref="X33:Y33">
    <cfRule type="expression" dxfId="5506" priority="1870">
      <formula>#REF!="TO"</formula>
    </cfRule>
    <cfRule type="expression" dxfId="5505" priority="1871">
      <formula>#REF!="IO"</formula>
    </cfRule>
    <cfRule type="expression" dxfId="5504" priority="1872">
      <formula>#REF!="L"</formula>
    </cfRule>
    <cfRule type="expression" dxfId="5503" priority="1867">
      <formula>#REF!="TO"</formula>
    </cfRule>
    <cfRule type="expression" dxfId="5502" priority="1868">
      <formula>#REF!="IO"</formula>
    </cfRule>
    <cfRule type="expression" dxfId="5501" priority="1869">
      <formula>#REF!="L"</formula>
    </cfRule>
    <cfRule type="expression" dxfId="5500" priority="1864">
      <formula>#REF!="TO"</formula>
    </cfRule>
    <cfRule type="expression" dxfId="5499" priority="1865">
      <formula>#REF!="IO"</formula>
    </cfRule>
    <cfRule type="expression" dxfId="5498" priority="1866">
      <formula>#REF!="L"</formula>
    </cfRule>
    <cfRule type="expression" dxfId="5497" priority="1861">
      <formula>#REF!="TO"</formula>
    </cfRule>
    <cfRule type="expression" dxfId="5496" priority="1862">
      <formula>#REF!="IO"</formula>
    </cfRule>
    <cfRule type="expression" dxfId="5495" priority="1863">
      <formula>#REF!="L"</formula>
    </cfRule>
  </conditionalFormatting>
  <conditionalFormatting sqref="H33">
    <cfRule type="expression" dxfId="5494" priority="1858">
      <formula>#REF!="TO"</formula>
    </cfRule>
    <cfRule type="expression" dxfId="5493" priority="1859">
      <formula>#REF!="IO"</formula>
    </cfRule>
    <cfRule type="expression" dxfId="5492" priority="1860">
      <formula>#REF!="L"</formula>
    </cfRule>
    <cfRule type="expression" dxfId="5491" priority="1855">
      <formula>#REF!="TO"</formula>
    </cfRule>
    <cfRule type="expression" dxfId="5490" priority="1856">
      <formula>#REF!="IO"</formula>
    </cfRule>
    <cfRule type="expression" dxfId="5489" priority="1857">
      <formula>#REF!="L"</formula>
    </cfRule>
    <cfRule type="expression" dxfId="5488" priority="1852">
      <formula>#REF!="TO"</formula>
    </cfRule>
    <cfRule type="expression" dxfId="5487" priority="1853">
      <formula>#REF!="IO"</formula>
    </cfRule>
    <cfRule type="expression" dxfId="5486" priority="1854">
      <formula>#REF!="L"</formula>
    </cfRule>
    <cfRule type="expression" dxfId="5485" priority="1849">
      <formula>#REF!="TO"</formula>
    </cfRule>
    <cfRule type="expression" dxfId="5484" priority="1850">
      <formula>#REF!="IO"</formula>
    </cfRule>
    <cfRule type="expression" dxfId="5483" priority="1851">
      <formula>#REF!="L"</formula>
    </cfRule>
  </conditionalFormatting>
  <conditionalFormatting sqref="Z33">
    <cfRule type="expression" dxfId="5482" priority="1846">
      <formula>#REF!="TO"</formula>
    </cfRule>
    <cfRule type="expression" dxfId="5481" priority="1847">
      <formula>#REF!="IO"</formula>
    </cfRule>
    <cfRule type="expression" dxfId="5480" priority="1848">
      <formula>#REF!="L"</formula>
    </cfRule>
    <cfRule type="expression" dxfId="5479" priority="1843">
      <formula>#REF!="TO"</formula>
    </cfRule>
    <cfRule type="expression" dxfId="5478" priority="1844">
      <formula>#REF!="IO"</formula>
    </cfRule>
    <cfRule type="expression" dxfId="5477" priority="1845">
      <formula>#REF!="L"</formula>
    </cfRule>
    <cfRule type="expression" dxfId="5476" priority="1840">
      <formula>#REF!="TO"</formula>
    </cfRule>
    <cfRule type="expression" dxfId="5475" priority="1841">
      <formula>#REF!="IO"</formula>
    </cfRule>
    <cfRule type="expression" dxfId="5474" priority="1842">
      <formula>#REF!="L"</formula>
    </cfRule>
    <cfRule type="expression" dxfId="5473" priority="1837">
      <formula>#REF!="TO"</formula>
    </cfRule>
    <cfRule type="expression" dxfId="5472" priority="1838">
      <formula>#REF!="IO"</formula>
    </cfRule>
    <cfRule type="expression" dxfId="5471" priority="1839">
      <formula>#REF!="L"</formula>
    </cfRule>
  </conditionalFormatting>
  <conditionalFormatting sqref="AC33">
    <cfRule type="expression" dxfId="5470" priority="1834">
      <formula>#REF!="TO"</formula>
    </cfRule>
    <cfRule type="expression" dxfId="5469" priority="1835">
      <formula>#REF!="IO"</formula>
    </cfRule>
    <cfRule type="expression" dxfId="5468" priority="1836">
      <formula>#REF!="L"</formula>
    </cfRule>
    <cfRule type="expression" dxfId="5467" priority="1831">
      <formula>#REF!="TO"</formula>
    </cfRule>
    <cfRule type="expression" dxfId="5466" priority="1832">
      <formula>#REF!="IO"</formula>
    </cfRule>
    <cfRule type="expression" dxfId="5465" priority="1833">
      <formula>#REF!="L"</formula>
    </cfRule>
    <cfRule type="expression" dxfId="5464" priority="1828">
      <formula>#REF!="TO"</formula>
    </cfRule>
    <cfRule type="expression" dxfId="5463" priority="1829">
      <formula>#REF!="IO"</formula>
    </cfRule>
    <cfRule type="expression" dxfId="5462" priority="1830">
      <formula>#REF!="L"</formula>
    </cfRule>
    <cfRule type="expression" dxfId="5461" priority="1825">
      <formula>#REF!="TO"</formula>
    </cfRule>
    <cfRule type="expression" dxfId="5460" priority="1826">
      <formula>#REF!="IO"</formula>
    </cfRule>
    <cfRule type="expression" dxfId="5459" priority="1827">
      <formula>#REF!="L"</formula>
    </cfRule>
  </conditionalFormatting>
  <conditionalFormatting sqref="AD33">
    <cfRule type="expression" dxfId="5458" priority="1822">
      <formula>#REF!="TO"</formula>
    </cfRule>
    <cfRule type="expression" dxfId="5457" priority="1823">
      <formula>#REF!="IO"</formula>
    </cfRule>
    <cfRule type="expression" dxfId="5456" priority="1824">
      <formula>#REF!="L"</formula>
    </cfRule>
    <cfRule type="expression" dxfId="5455" priority="1819">
      <formula>#REF!="TO"</formula>
    </cfRule>
    <cfRule type="expression" dxfId="5454" priority="1820">
      <formula>#REF!="IO"</formula>
    </cfRule>
    <cfRule type="expression" dxfId="5453" priority="1821">
      <formula>#REF!="L"</formula>
    </cfRule>
    <cfRule type="expression" dxfId="5452" priority="1816">
      <formula>#REF!="TO"</formula>
    </cfRule>
    <cfRule type="expression" dxfId="5451" priority="1817">
      <formula>#REF!="IO"</formula>
    </cfRule>
    <cfRule type="expression" dxfId="5450" priority="1818">
      <formula>#REF!="L"</formula>
    </cfRule>
    <cfRule type="expression" dxfId="5449" priority="1813">
      <formula>#REF!="TO"</formula>
    </cfRule>
    <cfRule type="expression" dxfId="5448" priority="1814">
      <formula>#REF!="IO"</formula>
    </cfRule>
    <cfRule type="expression" dxfId="5447" priority="1815">
      <formula>#REF!="L"</formula>
    </cfRule>
  </conditionalFormatting>
  <conditionalFormatting sqref="W34">
    <cfRule type="expression" dxfId="5446" priority="895">
      <formula>#REF!="TO"</formula>
    </cfRule>
    <cfRule type="expression" dxfId="5445" priority="896">
      <formula>#REF!="IO"</formula>
    </cfRule>
    <cfRule type="expression" dxfId="5444" priority="897">
      <formula>#REF!="L"</formula>
    </cfRule>
    <cfRule type="expression" dxfId="5443" priority="892">
      <formula>#REF!="TO"</formula>
    </cfRule>
    <cfRule type="expression" dxfId="5442" priority="893">
      <formula>#REF!="IO"</formula>
    </cfRule>
    <cfRule type="expression" dxfId="5441" priority="894">
      <formula>#REF!="L"</formula>
    </cfRule>
    <cfRule type="expression" dxfId="5440" priority="871">
      <formula>#REF!="TO"</formula>
    </cfRule>
    <cfRule type="expression" dxfId="5439" priority="872">
      <formula>#REF!="IO"</formula>
    </cfRule>
    <cfRule type="expression" dxfId="5438" priority="873">
      <formula>#REF!="L"</formula>
    </cfRule>
  </conditionalFormatting>
  <conditionalFormatting sqref="A34">
    <cfRule type="expression" dxfId="5437" priority="901">
      <formula>#REF!="TO"</formula>
    </cfRule>
    <cfRule type="expression" dxfId="5436" priority="902">
      <formula>#REF!="IO"</formula>
    </cfRule>
    <cfRule type="expression" dxfId="5435" priority="903">
      <formula>#REF!="L"</formula>
    </cfRule>
    <cfRule type="expression" dxfId="5434" priority="877">
      <formula>#REF!="TO"</formula>
    </cfRule>
    <cfRule type="expression" dxfId="5433" priority="878">
      <formula>#REF!="IO"</formula>
    </cfRule>
    <cfRule type="expression" dxfId="5432" priority="879">
      <formula>#REF!="L"</formula>
    </cfRule>
  </conditionalFormatting>
  <conditionalFormatting sqref="B34">
    <cfRule type="expression" dxfId="5431" priority="898">
      <formula>#REF!="TO"</formula>
    </cfRule>
    <cfRule type="expression" dxfId="5430" priority="899">
      <formula>#REF!="IO"</formula>
    </cfRule>
    <cfRule type="expression" dxfId="5429" priority="900">
      <formula>#REF!="L"</formula>
    </cfRule>
    <cfRule type="expression" dxfId="5428" priority="889">
      <formula>#REF!="TO"</formula>
    </cfRule>
    <cfRule type="expression" dxfId="5427" priority="890">
      <formula>#REF!="IO"</formula>
    </cfRule>
    <cfRule type="expression" dxfId="5426" priority="891">
      <formula>#REF!="L"</formula>
    </cfRule>
    <cfRule type="expression" dxfId="5425" priority="874">
      <formula>#REF!="TO"</formula>
    </cfRule>
    <cfRule type="expression" dxfId="5424" priority="875">
      <formula>#REF!="IO"</formula>
    </cfRule>
    <cfRule type="expression" dxfId="5423" priority="876">
      <formula>#REF!="L"</formula>
    </cfRule>
    <cfRule type="expression" dxfId="5422" priority="868">
      <formula>#REF!="TO"</formula>
    </cfRule>
    <cfRule type="expression" dxfId="5421" priority="869">
      <formula>#REF!="IO"</formula>
    </cfRule>
    <cfRule type="expression" dxfId="5420" priority="870">
      <formula>#REF!="L"</formula>
    </cfRule>
  </conditionalFormatting>
  <conditionalFormatting sqref="L34:Q34">
    <cfRule type="expression" dxfId="5419" priority="886">
      <formula>#REF!="TO"</formula>
    </cfRule>
    <cfRule type="expression" dxfId="5418" priority="887">
      <formula>#REF!="IO"</formula>
    </cfRule>
    <cfRule type="expression" dxfId="5417" priority="888">
      <formula>#REF!="L"</formula>
    </cfRule>
    <cfRule type="expression" dxfId="5416" priority="865">
      <formula>#REF!="TO"</formula>
    </cfRule>
    <cfRule type="expression" dxfId="5415" priority="866">
      <formula>#REF!="IO"</formula>
    </cfRule>
    <cfRule type="expression" dxfId="5414" priority="867">
      <formula>#REF!="L"</formula>
    </cfRule>
  </conditionalFormatting>
  <conditionalFormatting sqref="R34:T34">
    <cfRule type="expression" dxfId="5413" priority="883">
      <formula>#REF!="TO"</formula>
    </cfRule>
    <cfRule type="expression" dxfId="5412" priority="884">
      <formula>#REF!="IO"</formula>
    </cfRule>
    <cfRule type="expression" dxfId="5411" priority="885">
      <formula>#REF!="L"</formula>
    </cfRule>
    <cfRule type="expression" dxfId="5410" priority="862">
      <formula>#REF!="TO"</formula>
    </cfRule>
    <cfRule type="expression" dxfId="5409" priority="863">
      <formula>#REF!="IO"</formula>
    </cfRule>
    <cfRule type="expression" dxfId="5408" priority="864">
      <formula>#REF!="L"</formula>
    </cfRule>
  </conditionalFormatting>
  <conditionalFormatting sqref="U34:V34">
    <cfRule type="expression" dxfId="5407" priority="880">
      <formula>#REF!="TO"</formula>
    </cfRule>
    <cfRule type="expression" dxfId="5406" priority="881">
      <formula>#REF!="IO"</formula>
    </cfRule>
    <cfRule type="expression" dxfId="5405" priority="882">
      <formula>#REF!="L"</formula>
    </cfRule>
    <cfRule type="expression" dxfId="5404" priority="859">
      <formula>#REF!="TO"</formula>
    </cfRule>
    <cfRule type="expression" dxfId="5403" priority="860">
      <formula>#REF!="IO"</formula>
    </cfRule>
    <cfRule type="expression" dxfId="5402" priority="861">
      <formula>#REF!="L"</formula>
    </cfRule>
  </conditionalFormatting>
  <conditionalFormatting sqref="C34">
    <cfRule type="expression" dxfId="5401" priority="850">
      <formula>#REF!="TO"</formula>
    </cfRule>
    <cfRule type="expression" dxfId="5400" priority="851">
      <formula>#REF!="IO"</formula>
    </cfRule>
    <cfRule type="expression" dxfId="5399" priority="852">
      <formula>#REF!="L"</formula>
    </cfRule>
    <cfRule type="expression" dxfId="5398" priority="856">
      <formula>#REF!="TO"</formula>
    </cfRule>
    <cfRule type="expression" dxfId="5397" priority="857">
      <formula>#REF!="IO"</formula>
    </cfRule>
    <cfRule type="expression" dxfId="5396" priority="858">
      <formula>#REF!="L"</formula>
    </cfRule>
    <cfRule type="expression" dxfId="5395" priority="853">
      <formula>#REF!="TO"</formula>
    </cfRule>
    <cfRule type="expression" dxfId="5394" priority="854">
      <formula>#REF!="IO"</formula>
    </cfRule>
    <cfRule type="expression" dxfId="5393" priority="855">
      <formula>#REF!="L"</formula>
    </cfRule>
    <cfRule type="expression" dxfId="5392" priority="847">
      <formula>#REF!="TO"</formula>
    </cfRule>
    <cfRule type="expression" dxfId="5391" priority="848">
      <formula>#REF!="IO"</formula>
    </cfRule>
    <cfRule type="expression" dxfId="5390" priority="849">
      <formula>#REF!="L"</formula>
    </cfRule>
  </conditionalFormatting>
  <conditionalFormatting sqref="J34">
    <cfRule type="expression" dxfId="5389" priority="844">
      <formula>#REF!="TO"</formula>
    </cfRule>
    <cfRule type="expression" dxfId="5388" priority="845">
      <formula>#REF!="IO"</formula>
    </cfRule>
    <cfRule type="expression" dxfId="5387" priority="846">
      <formula>#REF!="L"</formula>
    </cfRule>
    <cfRule type="expression" dxfId="5386" priority="841">
      <formula>#REF!="TO"</formula>
    </cfRule>
    <cfRule type="expression" dxfId="5385" priority="842">
      <formula>#REF!="IO"</formula>
    </cfRule>
    <cfRule type="expression" dxfId="5384" priority="843">
      <formula>#REF!="L"</formula>
    </cfRule>
    <cfRule type="expression" dxfId="5383" priority="838">
      <formula>#REF!="TO"</formula>
    </cfRule>
    <cfRule type="expression" dxfId="5382" priority="839">
      <formula>#REF!="IO"</formula>
    </cfRule>
    <cfRule type="expression" dxfId="5381" priority="840">
      <formula>#REF!="L"</formula>
    </cfRule>
    <cfRule type="expression" dxfId="5380" priority="835">
      <formula>#REF!="TO"</formula>
    </cfRule>
    <cfRule type="expression" dxfId="5379" priority="836">
      <formula>#REF!="IO"</formula>
    </cfRule>
    <cfRule type="expression" dxfId="5378" priority="837">
      <formula>#REF!="L"</formula>
    </cfRule>
  </conditionalFormatting>
  <conditionalFormatting sqref="X34:Y34">
    <cfRule type="expression" dxfId="5377" priority="832">
      <formula>#REF!="TO"</formula>
    </cfRule>
    <cfRule type="expression" dxfId="5376" priority="833">
      <formula>#REF!="IO"</formula>
    </cfRule>
    <cfRule type="expression" dxfId="5375" priority="834">
      <formula>#REF!="L"</formula>
    </cfRule>
    <cfRule type="expression" dxfId="5374" priority="829">
      <formula>#REF!="TO"</formula>
    </cfRule>
    <cfRule type="expression" dxfId="5373" priority="830">
      <formula>#REF!="IO"</formula>
    </cfRule>
    <cfRule type="expression" dxfId="5372" priority="831">
      <formula>#REF!="L"</formula>
    </cfRule>
    <cfRule type="expression" dxfId="5371" priority="826">
      <formula>#REF!="TO"</formula>
    </cfRule>
    <cfRule type="expression" dxfId="5370" priority="827">
      <formula>#REF!="IO"</formula>
    </cfRule>
    <cfRule type="expression" dxfId="5369" priority="828">
      <formula>#REF!="L"</formula>
    </cfRule>
    <cfRule type="expression" dxfId="5368" priority="823">
      <formula>#REF!="TO"</formula>
    </cfRule>
    <cfRule type="expression" dxfId="5367" priority="824">
      <formula>#REF!="IO"</formula>
    </cfRule>
    <cfRule type="expression" dxfId="5366" priority="825">
      <formula>#REF!="L"</formula>
    </cfRule>
  </conditionalFormatting>
  <conditionalFormatting sqref="H34">
    <cfRule type="expression" dxfId="5365" priority="820">
      <formula>#REF!="TO"</formula>
    </cfRule>
    <cfRule type="expression" dxfId="5364" priority="821">
      <formula>#REF!="IO"</formula>
    </cfRule>
    <cfRule type="expression" dxfId="5363" priority="822">
      <formula>#REF!="L"</formula>
    </cfRule>
    <cfRule type="expression" dxfId="5362" priority="817">
      <formula>#REF!="TO"</formula>
    </cfRule>
    <cfRule type="expression" dxfId="5361" priority="818">
      <formula>#REF!="IO"</formula>
    </cfRule>
    <cfRule type="expression" dxfId="5360" priority="819">
      <formula>#REF!="L"</formula>
    </cfRule>
    <cfRule type="expression" dxfId="5359" priority="814">
      <formula>#REF!="TO"</formula>
    </cfRule>
    <cfRule type="expression" dxfId="5358" priority="815">
      <formula>#REF!="IO"</formula>
    </cfRule>
    <cfRule type="expression" dxfId="5357" priority="816">
      <formula>#REF!="L"</formula>
    </cfRule>
    <cfRule type="expression" dxfId="5356" priority="811">
      <formula>#REF!="TO"</formula>
    </cfRule>
    <cfRule type="expression" dxfId="5355" priority="812">
      <formula>#REF!="IO"</formula>
    </cfRule>
    <cfRule type="expression" dxfId="5354" priority="813">
      <formula>#REF!="L"</formula>
    </cfRule>
  </conditionalFormatting>
  <conditionalFormatting sqref="Z34">
    <cfRule type="expression" dxfId="5353" priority="808">
      <formula>#REF!="TO"</formula>
    </cfRule>
    <cfRule type="expression" dxfId="5352" priority="809">
      <formula>#REF!="IO"</formula>
    </cfRule>
    <cfRule type="expression" dxfId="5351" priority="810">
      <formula>#REF!="L"</formula>
    </cfRule>
    <cfRule type="expression" dxfId="5350" priority="805">
      <formula>#REF!="TO"</formula>
    </cfRule>
    <cfRule type="expression" dxfId="5349" priority="806">
      <formula>#REF!="IO"</formula>
    </cfRule>
    <cfRule type="expression" dxfId="5348" priority="807">
      <formula>#REF!="L"</formula>
    </cfRule>
    <cfRule type="expression" dxfId="5347" priority="802">
      <formula>#REF!="TO"</formula>
    </cfRule>
    <cfRule type="expression" dxfId="5346" priority="803">
      <formula>#REF!="IO"</formula>
    </cfRule>
    <cfRule type="expression" dxfId="5345" priority="804">
      <formula>#REF!="L"</formula>
    </cfRule>
    <cfRule type="expression" dxfId="5344" priority="799">
      <formula>#REF!="TO"</formula>
    </cfRule>
    <cfRule type="expression" dxfId="5343" priority="800">
      <formula>#REF!="IO"</formula>
    </cfRule>
    <cfRule type="expression" dxfId="5342" priority="801">
      <formula>#REF!="L"</formula>
    </cfRule>
  </conditionalFormatting>
  <conditionalFormatting sqref="AC34">
    <cfRule type="expression" dxfId="5341" priority="796">
      <formula>#REF!="TO"</formula>
    </cfRule>
    <cfRule type="expression" dxfId="5340" priority="797">
      <formula>#REF!="IO"</formula>
    </cfRule>
    <cfRule type="expression" dxfId="5339" priority="798">
      <formula>#REF!="L"</formula>
    </cfRule>
    <cfRule type="expression" dxfId="5338" priority="793">
      <formula>#REF!="TO"</formula>
    </cfRule>
    <cfRule type="expression" dxfId="5337" priority="794">
      <formula>#REF!="IO"</formula>
    </cfRule>
    <cfRule type="expression" dxfId="5336" priority="795">
      <formula>#REF!="L"</formula>
    </cfRule>
    <cfRule type="expression" dxfId="5335" priority="790">
      <formula>#REF!="TO"</formula>
    </cfRule>
    <cfRule type="expression" dxfId="5334" priority="791">
      <formula>#REF!="IO"</formula>
    </cfRule>
    <cfRule type="expression" dxfId="5333" priority="792">
      <formula>#REF!="L"</formula>
    </cfRule>
    <cfRule type="expression" dxfId="5332" priority="787">
      <formula>#REF!="TO"</formula>
    </cfRule>
    <cfRule type="expression" dxfId="5331" priority="788">
      <formula>#REF!="IO"</formula>
    </cfRule>
    <cfRule type="expression" dxfId="5330" priority="789">
      <formula>#REF!="L"</formula>
    </cfRule>
  </conditionalFormatting>
  <conditionalFormatting sqref="AF34">
    <cfRule type="expression" dxfId="5329" priority="772">
      <formula>#REF!="TO"</formula>
    </cfRule>
    <cfRule type="expression" dxfId="5328" priority="773">
      <formula>#REF!="IO"</formula>
    </cfRule>
    <cfRule type="expression" dxfId="5327" priority="774">
      <formula>#REF!="L"</formula>
    </cfRule>
    <cfRule type="expression" dxfId="5326" priority="769">
      <formula>#REF!="TO"</formula>
    </cfRule>
    <cfRule type="expression" dxfId="5325" priority="770">
      <formula>#REF!="IO"</formula>
    </cfRule>
    <cfRule type="expression" dxfId="5324" priority="771">
      <formula>#REF!="L"</formula>
    </cfRule>
    <cfRule type="expression" dxfId="5323" priority="766">
      <formula>#REF!="TO"</formula>
    </cfRule>
    <cfRule type="expression" dxfId="5322" priority="767">
      <formula>#REF!="IO"</formula>
    </cfRule>
    <cfRule type="expression" dxfId="5321" priority="768">
      <formula>#REF!="L"</formula>
    </cfRule>
    <cfRule type="expression" dxfId="5320" priority="763">
      <formula>#REF!="TO"</formula>
    </cfRule>
    <cfRule type="expression" dxfId="5319" priority="764">
      <formula>#REF!="IO"</formula>
    </cfRule>
    <cfRule type="expression" dxfId="5318" priority="765">
      <formula>#REF!="L"</formula>
    </cfRule>
  </conditionalFormatting>
  <conditionalFormatting sqref="AD34">
    <cfRule type="expression" dxfId="5317" priority="784">
      <formula>#REF!="TO"</formula>
    </cfRule>
    <cfRule type="expression" dxfId="5316" priority="785">
      <formula>#REF!="IO"</formula>
    </cfRule>
    <cfRule type="expression" dxfId="5315" priority="786">
      <formula>#REF!="L"</formula>
    </cfRule>
    <cfRule type="expression" dxfId="5314" priority="781">
      <formula>#REF!="TO"</formula>
    </cfRule>
    <cfRule type="expression" dxfId="5313" priority="782">
      <formula>#REF!="IO"</formula>
    </cfRule>
    <cfRule type="expression" dxfId="5312" priority="783">
      <formula>#REF!="L"</formula>
    </cfRule>
    <cfRule type="expression" dxfId="5311" priority="778">
      <formula>#REF!="TO"</formula>
    </cfRule>
    <cfRule type="expression" dxfId="5310" priority="779">
      <formula>#REF!="IO"</formula>
    </cfRule>
    <cfRule type="expression" dxfId="5309" priority="780">
      <formula>#REF!="L"</formula>
    </cfRule>
    <cfRule type="expression" dxfId="5308" priority="775">
      <formula>#REF!="TO"</formula>
    </cfRule>
    <cfRule type="expression" dxfId="5307" priority="776">
      <formula>#REF!="IO"</formula>
    </cfRule>
    <cfRule type="expression" dxfId="5306" priority="777">
      <formula>#REF!="L"</formula>
    </cfRule>
  </conditionalFormatting>
  <conditionalFormatting sqref="AG34">
    <cfRule type="expression" dxfId="5305" priority="757">
      <formula>#REF!="TO"</formula>
    </cfRule>
    <cfRule type="expression" dxfId="5304" priority="758">
      <formula>#REF!="IO"</formula>
    </cfRule>
    <cfRule type="expression" dxfId="5303" priority="759">
      <formula>#REF!="L"</formula>
    </cfRule>
    <cfRule type="expression" dxfId="5302" priority="754">
      <formula>#REF!="TO"</formula>
    </cfRule>
    <cfRule type="expression" dxfId="5301" priority="755">
      <formula>#REF!="IO"</formula>
    </cfRule>
    <cfRule type="expression" dxfId="5300" priority="756">
      <formula>#REF!="L"</formula>
    </cfRule>
    <cfRule type="expression" dxfId="5299" priority="751">
      <formula>#REF!="TO"</formula>
    </cfRule>
    <cfRule type="expression" dxfId="5298" priority="752">
      <formula>#REF!="IO"</formula>
    </cfRule>
    <cfRule type="expression" dxfId="5297" priority="753">
      <formula>#REF!="L"</formula>
    </cfRule>
    <cfRule type="expression" dxfId="5296" priority="760">
      <formula>#REF!="TO"</formula>
    </cfRule>
    <cfRule type="expression" dxfId="5295" priority="761">
      <formula>#REF!="IO"</formula>
    </cfRule>
    <cfRule type="expression" dxfId="5294" priority="762">
      <formula>#REF!="L"</formula>
    </cfRule>
  </conditionalFormatting>
  <conditionalFormatting sqref="E34">
    <cfRule type="expression" dxfId="5293" priority="748">
      <formula>#REF!="TO"</formula>
    </cfRule>
    <cfRule type="expression" dxfId="5292" priority="749">
      <formula>#REF!="IO"</formula>
    </cfRule>
    <cfRule type="expression" dxfId="5291" priority="750">
      <formula>#REF!="L"</formula>
    </cfRule>
    <cfRule type="expression" dxfId="5290" priority="745">
      <formula>#REF!="TO"</formula>
    </cfRule>
    <cfRule type="expression" dxfId="5289" priority="746">
      <formula>#REF!="IO"</formula>
    </cfRule>
    <cfRule type="expression" dxfId="5288" priority="747">
      <formula>#REF!="L"</formula>
    </cfRule>
    <cfRule type="expression" dxfId="5287" priority="742">
      <formula>#REF!="TO"</formula>
    </cfRule>
    <cfRule type="expression" dxfId="5286" priority="743">
      <formula>#REF!="IO"</formula>
    </cfRule>
    <cfRule type="expression" dxfId="5285" priority="744">
      <formula>#REF!="L"</formula>
    </cfRule>
    <cfRule type="expression" dxfId="5284" priority="739">
      <formula>#REF!="TO"</formula>
    </cfRule>
    <cfRule type="expression" dxfId="5283" priority="740">
      <formula>#REF!="IO"</formula>
    </cfRule>
    <cfRule type="expression" dxfId="5282" priority="741">
      <formula>#REF!="L"</formula>
    </cfRule>
  </conditionalFormatting>
  <conditionalFormatting sqref="F34">
    <cfRule type="expression" dxfId="5281" priority="736">
      <formula>#REF!="TO"</formula>
    </cfRule>
    <cfRule type="expression" dxfId="5280" priority="737">
      <formula>#REF!="IO"</formula>
    </cfRule>
    <cfRule type="expression" dxfId="5279" priority="738">
      <formula>#REF!="L"</formula>
    </cfRule>
    <cfRule type="expression" dxfId="5278" priority="733">
      <formula>#REF!="TO"</formula>
    </cfRule>
    <cfRule type="expression" dxfId="5277" priority="734">
      <formula>#REF!="IO"</formula>
    </cfRule>
    <cfRule type="expression" dxfId="5276" priority="735">
      <formula>#REF!="L"</formula>
    </cfRule>
    <cfRule type="expression" dxfId="5275" priority="730">
      <formula>#REF!="TO"</formula>
    </cfRule>
    <cfRule type="expression" dxfId="5274" priority="731">
      <formula>#REF!="IO"</formula>
    </cfRule>
    <cfRule type="expression" dxfId="5273" priority="732">
      <formula>#REF!="L"</formula>
    </cfRule>
    <cfRule type="expression" dxfId="5272" priority="727">
      <formula>#REF!="TO"</formula>
    </cfRule>
    <cfRule type="expression" dxfId="5271" priority="728">
      <formula>#REF!="IO"</formula>
    </cfRule>
    <cfRule type="expression" dxfId="5270" priority="729">
      <formula>#REF!="L"</formula>
    </cfRule>
  </conditionalFormatting>
  <conditionalFormatting sqref="AA34">
    <cfRule type="expression" dxfId="5269" priority="724">
      <formula>#REF!="TO"</formula>
    </cfRule>
    <cfRule type="expression" dxfId="5268" priority="725">
      <formula>#REF!="IO"</formula>
    </cfRule>
    <cfRule type="expression" dxfId="5267" priority="726">
      <formula>#REF!="L"</formula>
    </cfRule>
    <cfRule type="expression" dxfId="5266" priority="721">
      <formula>#REF!="TO"</formula>
    </cfRule>
    <cfRule type="expression" dxfId="5265" priority="722">
      <formula>#REF!="IO"</formula>
    </cfRule>
    <cfRule type="expression" dxfId="5264" priority="723">
      <formula>#REF!="L"</formula>
    </cfRule>
    <cfRule type="expression" dxfId="5263" priority="718">
      <formula>#REF!="TO"</formula>
    </cfRule>
    <cfRule type="expression" dxfId="5262" priority="719">
      <formula>#REF!="IO"</formula>
    </cfRule>
    <cfRule type="expression" dxfId="5261" priority="720">
      <formula>#REF!="L"</formula>
    </cfRule>
    <cfRule type="expression" dxfId="5260" priority="715">
      <formula>#REF!="TO"</formula>
    </cfRule>
    <cfRule type="expression" dxfId="5259" priority="716">
      <formula>#REF!="IO"</formula>
    </cfRule>
    <cfRule type="expression" dxfId="5258" priority="717">
      <formula>#REF!="L"</formula>
    </cfRule>
  </conditionalFormatting>
  <conditionalFormatting sqref="AT34">
    <cfRule type="expression" dxfId="5257" priority="712">
      <formula>#REF!="TO"</formula>
    </cfRule>
    <cfRule type="expression" dxfId="5256" priority="713">
      <formula>#REF!="IO"</formula>
    </cfRule>
    <cfRule type="expression" dxfId="5255" priority="714">
      <formula>#REF!="L"</formula>
    </cfRule>
    <cfRule type="expression" dxfId="5254" priority="709">
      <formula>#REF!="TO"</formula>
    </cfRule>
    <cfRule type="expression" dxfId="5253" priority="710">
      <formula>#REF!="IO"</formula>
    </cfRule>
    <cfRule type="expression" dxfId="5252" priority="711">
      <formula>#REF!="L"</formula>
    </cfRule>
    <cfRule type="expression" dxfId="5251" priority="697">
      <formula>#REF!="TO"</formula>
    </cfRule>
    <cfRule type="expression" dxfId="5250" priority="698">
      <formula>#REF!="IO"</formula>
    </cfRule>
    <cfRule type="expression" dxfId="5249" priority="699">
      <formula>#REF!="L"</formula>
    </cfRule>
  </conditionalFormatting>
  <conditionalFormatting sqref="AI34:AN34">
    <cfRule type="expression" dxfId="5248" priority="706">
      <formula>#REF!="TO"</formula>
    </cfRule>
    <cfRule type="expression" dxfId="5247" priority="707">
      <formula>#REF!="IO"</formula>
    </cfRule>
    <cfRule type="expression" dxfId="5246" priority="708">
      <formula>#REF!="L"</formula>
    </cfRule>
    <cfRule type="expression" dxfId="5245" priority="694">
      <formula>#REF!="TO"</formula>
    </cfRule>
    <cfRule type="expression" dxfId="5244" priority="695">
      <formula>#REF!="IO"</formula>
    </cfRule>
    <cfRule type="expression" dxfId="5243" priority="696">
      <formula>#REF!="L"</formula>
    </cfRule>
  </conditionalFormatting>
  <conditionalFormatting sqref="AO34:AQ34">
    <cfRule type="expression" dxfId="5242" priority="703">
      <formula>#REF!="TO"</formula>
    </cfRule>
    <cfRule type="expression" dxfId="5241" priority="704">
      <formula>#REF!="IO"</formula>
    </cfRule>
    <cfRule type="expression" dxfId="5240" priority="705">
      <formula>#REF!="L"</formula>
    </cfRule>
    <cfRule type="expression" dxfId="5239" priority="691">
      <formula>#REF!="TO"</formula>
    </cfRule>
    <cfRule type="expression" dxfId="5238" priority="692">
      <formula>#REF!="IO"</formula>
    </cfRule>
    <cfRule type="expression" dxfId="5237" priority="693">
      <formula>#REF!="L"</formula>
    </cfRule>
  </conditionalFormatting>
  <conditionalFormatting sqref="AR34:AS34">
    <cfRule type="expression" dxfId="5236" priority="700">
      <formula>#REF!="TO"</formula>
    </cfRule>
    <cfRule type="expression" dxfId="5235" priority="701">
      <formula>#REF!="IO"</formula>
    </cfRule>
    <cfRule type="expression" dxfId="5234" priority="702">
      <formula>#REF!="L"</formula>
    </cfRule>
    <cfRule type="expression" dxfId="5233" priority="688">
      <formula>#REF!="TO"</formula>
    </cfRule>
    <cfRule type="expression" dxfId="5232" priority="689">
      <formula>#REF!="IO"</formula>
    </cfRule>
    <cfRule type="expression" dxfId="5231" priority="690">
      <formula>#REF!="L"</formula>
    </cfRule>
  </conditionalFormatting>
  <conditionalFormatting sqref="AU34">
    <cfRule type="expression" dxfId="5230" priority="685">
      <formula>#REF!="TO"</formula>
    </cfRule>
    <cfRule type="expression" dxfId="5229" priority="686">
      <formula>#REF!="IO"</formula>
    </cfRule>
    <cfRule type="expression" dxfId="5228" priority="687">
      <formula>#REF!="L"</formula>
    </cfRule>
    <cfRule type="expression" dxfId="5227" priority="682">
      <formula>#REF!="TO"</formula>
    </cfRule>
    <cfRule type="expression" dxfId="5226" priority="683">
      <formula>#REF!="IO"</formula>
    </cfRule>
    <cfRule type="expression" dxfId="5225" priority="684">
      <formula>#REF!="L"</formula>
    </cfRule>
    <cfRule type="expression" dxfId="5224" priority="679">
      <formula>#REF!="TO"</formula>
    </cfRule>
    <cfRule type="expression" dxfId="5223" priority="680">
      <formula>#REF!="IO"</formula>
    </cfRule>
    <cfRule type="expression" dxfId="5222" priority="681">
      <formula>#REF!="L"</formula>
    </cfRule>
    <cfRule type="expression" dxfId="5221" priority="676">
      <formula>#REF!="TO"</formula>
    </cfRule>
    <cfRule type="expression" dxfId="5220" priority="677">
      <formula>#REF!="IO"</formula>
    </cfRule>
    <cfRule type="expression" dxfId="5219" priority="678">
      <formula>#REF!="L"</formula>
    </cfRule>
  </conditionalFormatting>
  <conditionalFormatting sqref="Q18">
    <cfRule type="expression" dxfId="5218" priority="673">
      <formula>#REF!="TO"</formula>
    </cfRule>
    <cfRule type="expression" dxfId="5217" priority="674">
      <formula>#REF!="IO"</formula>
    </cfRule>
    <cfRule type="expression" dxfId="5216" priority="675">
      <formula>#REF!="L"</formula>
    </cfRule>
  </conditionalFormatting>
  <conditionalFormatting sqref="U18">
    <cfRule type="expression" dxfId="5215" priority="670">
      <formula>#REF!="TO"</formula>
    </cfRule>
    <cfRule type="expression" dxfId="5214" priority="671">
      <formula>#REF!="IO"</formula>
    </cfRule>
    <cfRule type="expression" dxfId="5213" priority="672">
      <formula>#REF!="L"</formula>
    </cfRule>
  </conditionalFormatting>
  <conditionalFormatting sqref="W22">
    <cfRule type="expression" dxfId="5212" priority="667">
      <formula>#REF!="TO"</formula>
    </cfRule>
    <cfRule type="expression" dxfId="5211" priority="668">
      <formula>#REF!="IO"</formula>
    </cfRule>
    <cfRule type="expression" dxfId="5210" priority="669">
      <formula>#REF!="L"</formula>
    </cfRule>
  </conditionalFormatting>
  <conditionalFormatting sqref="AF35">
    <cfRule type="expression" dxfId="5209" priority="424">
      <formula>#REF!="TO"</formula>
    </cfRule>
    <cfRule type="expression" dxfId="5208" priority="425">
      <formula>#REF!="IO"</formula>
    </cfRule>
    <cfRule type="expression" dxfId="5207" priority="426">
      <formula>#REF!="L"</formula>
    </cfRule>
    <cfRule type="expression" dxfId="5206" priority="421">
      <formula>#REF!="TO"</formula>
    </cfRule>
    <cfRule type="expression" dxfId="5205" priority="422">
      <formula>#REF!="IO"</formula>
    </cfRule>
    <cfRule type="expression" dxfId="5204" priority="423">
      <formula>#REF!="L"</formula>
    </cfRule>
    <cfRule type="expression" dxfId="5203" priority="430">
      <formula>#REF!="TO"</formula>
    </cfRule>
    <cfRule type="expression" dxfId="5202" priority="431">
      <formula>#REF!="IO"</formula>
    </cfRule>
    <cfRule type="expression" dxfId="5201" priority="432">
      <formula>#REF!="L"</formula>
    </cfRule>
    <cfRule type="expression" dxfId="5200" priority="427">
      <formula>#REF!="TO"</formula>
    </cfRule>
    <cfRule type="expression" dxfId="5199" priority="428">
      <formula>#REF!="IO"</formula>
    </cfRule>
    <cfRule type="expression" dxfId="5198" priority="429">
      <formula>#REF!="L"</formula>
    </cfRule>
  </conditionalFormatting>
  <conditionalFormatting sqref="AG35">
    <cfRule type="expression" dxfId="5197" priority="418">
      <formula>#REF!="TO"</formula>
    </cfRule>
    <cfRule type="expression" dxfId="5196" priority="419">
      <formula>#REF!="IO"</formula>
    </cfRule>
    <cfRule type="expression" dxfId="5195" priority="420">
      <formula>#REF!="L"</formula>
    </cfRule>
    <cfRule type="expression" dxfId="5194" priority="412">
      <formula>#REF!="TO"</formula>
    </cfRule>
    <cfRule type="expression" dxfId="5193" priority="413">
      <formula>#REF!="IO"</formula>
    </cfRule>
    <cfRule type="expression" dxfId="5192" priority="414">
      <formula>#REF!="L"</formula>
    </cfRule>
    <cfRule type="expression" dxfId="5191" priority="415">
      <formula>#REF!="TO"</formula>
    </cfRule>
    <cfRule type="expression" dxfId="5190" priority="416">
      <formula>#REF!="IO"</formula>
    </cfRule>
    <cfRule type="expression" dxfId="5189" priority="417">
      <formula>#REF!="L"</formula>
    </cfRule>
    <cfRule type="expression" dxfId="5188" priority="409">
      <formula>#REF!="TO"</formula>
    </cfRule>
    <cfRule type="expression" dxfId="5187" priority="410">
      <formula>#REF!="IO"</formula>
    </cfRule>
    <cfRule type="expression" dxfId="5186" priority="411">
      <formula>#REF!="L"</formula>
    </cfRule>
  </conditionalFormatting>
  <conditionalFormatting sqref="E35">
    <cfRule type="expression" dxfId="5185" priority="406">
      <formula>#REF!="TO"</formula>
    </cfRule>
    <cfRule type="expression" dxfId="5184" priority="407">
      <formula>#REF!="IO"</formula>
    </cfRule>
    <cfRule type="expression" dxfId="5183" priority="408">
      <formula>#REF!="L"</formula>
    </cfRule>
    <cfRule type="expression" dxfId="5182" priority="403">
      <formula>#REF!="TO"</formula>
    </cfRule>
    <cfRule type="expression" dxfId="5181" priority="404">
      <formula>#REF!="IO"</formula>
    </cfRule>
    <cfRule type="expression" dxfId="5180" priority="405">
      <formula>#REF!="L"</formula>
    </cfRule>
    <cfRule type="expression" dxfId="5179" priority="400">
      <formula>#REF!="TO"</formula>
    </cfRule>
    <cfRule type="expression" dxfId="5178" priority="401">
      <formula>#REF!="IO"</formula>
    </cfRule>
    <cfRule type="expression" dxfId="5177" priority="402">
      <formula>#REF!="L"</formula>
    </cfRule>
    <cfRule type="expression" dxfId="5176" priority="397">
      <formula>#REF!="TO"</formula>
    </cfRule>
    <cfRule type="expression" dxfId="5175" priority="398">
      <formula>#REF!="IO"</formula>
    </cfRule>
    <cfRule type="expression" dxfId="5174" priority="399">
      <formula>#REF!="L"</formula>
    </cfRule>
  </conditionalFormatting>
  <conditionalFormatting sqref="F35">
    <cfRule type="expression" dxfId="5173" priority="394">
      <formula>#REF!="TO"</formula>
    </cfRule>
    <cfRule type="expression" dxfId="5172" priority="395">
      <formula>#REF!="IO"</formula>
    </cfRule>
    <cfRule type="expression" dxfId="5171" priority="396">
      <formula>#REF!="L"</formula>
    </cfRule>
    <cfRule type="expression" dxfId="5170" priority="391">
      <formula>#REF!="TO"</formula>
    </cfRule>
    <cfRule type="expression" dxfId="5169" priority="392">
      <formula>#REF!="IO"</formula>
    </cfRule>
    <cfRule type="expression" dxfId="5168" priority="393">
      <formula>#REF!="L"</formula>
    </cfRule>
    <cfRule type="expression" dxfId="5167" priority="385">
      <formula>#REF!="TO"</formula>
    </cfRule>
    <cfRule type="expression" dxfId="5166" priority="386">
      <formula>#REF!="IO"</formula>
    </cfRule>
    <cfRule type="expression" dxfId="5165" priority="387">
      <formula>#REF!="L"</formula>
    </cfRule>
    <cfRule type="expression" dxfId="5164" priority="388">
      <formula>#REF!="TO"</formula>
    </cfRule>
    <cfRule type="expression" dxfId="5163" priority="389">
      <formula>#REF!="IO"</formula>
    </cfRule>
    <cfRule type="expression" dxfId="5162" priority="390">
      <formula>#REF!="L"</formula>
    </cfRule>
  </conditionalFormatting>
  <conditionalFormatting sqref="AA35">
    <cfRule type="expression" dxfId="5161" priority="382">
      <formula>#REF!="TO"</formula>
    </cfRule>
    <cfRule type="expression" dxfId="5160" priority="383">
      <formula>#REF!="IO"</formula>
    </cfRule>
    <cfRule type="expression" dxfId="5159" priority="384">
      <formula>#REF!="L"</formula>
    </cfRule>
    <cfRule type="expression" dxfId="5158" priority="376">
      <formula>#REF!="TO"</formula>
    </cfRule>
    <cfRule type="expression" dxfId="5157" priority="377">
      <formula>#REF!="IO"</formula>
    </cfRule>
    <cfRule type="expression" dxfId="5156" priority="378">
      <formula>#REF!="L"</formula>
    </cfRule>
    <cfRule type="expression" dxfId="5155" priority="373">
      <formula>#REF!="TO"</formula>
    </cfRule>
    <cfRule type="expression" dxfId="5154" priority="374">
      <formula>#REF!="IO"</formula>
    </cfRule>
    <cfRule type="expression" dxfId="5153" priority="375">
      <formula>#REF!="L"</formula>
    </cfRule>
    <cfRule type="expression" dxfId="5152" priority="379">
      <formula>#REF!="TO"</formula>
    </cfRule>
    <cfRule type="expression" dxfId="5151" priority="380">
      <formula>#REF!="IO"</formula>
    </cfRule>
    <cfRule type="expression" dxfId="5150" priority="381">
      <formula>#REF!="L"</formula>
    </cfRule>
  </conditionalFormatting>
  <conditionalFormatting sqref="AT35">
    <cfRule type="expression" dxfId="5149" priority="370">
      <formula>#REF!="TO"</formula>
    </cfRule>
    <cfRule type="expression" dxfId="5148" priority="371">
      <formula>#REF!="IO"</formula>
    </cfRule>
    <cfRule type="expression" dxfId="5147" priority="372">
      <formula>#REF!="L"</formula>
    </cfRule>
    <cfRule type="expression" dxfId="5146" priority="367">
      <formula>#REF!="TO"</formula>
    </cfRule>
    <cfRule type="expression" dxfId="5145" priority="368">
      <formula>#REF!="IO"</formula>
    </cfRule>
    <cfRule type="expression" dxfId="5144" priority="369">
      <formula>#REF!="L"</formula>
    </cfRule>
    <cfRule type="expression" dxfId="5143" priority="355">
      <formula>#REF!="TO"</formula>
    </cfRule>
    <cfRule type="expression" dxfId="5142" priority="356">
      <formula>#REF!="IO"</formula>
    </cfRule>
    <cfRule type="expression" dxfId="5141" priority="357">
      <formula>#REF!="L"</formula>
    </cfRule>
  </conditionalFormatting>
  <conditionalFormatting sqref="AI35:AN35">
    <cfRule type="expression" dxfId="5140" priority="364">
      <formula>#REF!="TO"</formula>
    </cfRule>
    <cfRule type="expression" dxfId="5139" priority="365">
      <formula>#REF!="IO"</formula>
    </cfRule>
    <cfRule type="expression" dxfId="5138" priority="366">
      <formula>#REF!="L"</formula>
    </cfRule>
    <cfRule type="expression" dxfId="5137" priority="352">
      <formula>#REF!="TO"</formula>
    </cfRule>
    <cfRule type="expression" dxfId="5136" priority="353">
      <formula>#REF!="IO"</formula>
    </cfRule>
    <cfRule type="expression" dxfId="5135" priority="354">
      <formula>#REF!="L"</formula>
    </cfRule>
  </conditionalFormatting>
  <conditionalFormatting sqref="AO35:AQ35">
    <cfRule type="expression" dxfId="5134" priority="361">
      <formula>#REF!="TO"</formula>
    </cfRule>
    <cfRule type="expression" dxfId="5133" priority="362">
      <formula>#REF!="IO"</formula>
    </cfRule>
    <cfRule type="expression" dxfId="5132" priority="363">
      <formula>#REF!="L"</formula>
    </cfRule>
    <cfRule type="expression" dxfId="5131" priority="349">
      <formula>#REF!="TO"</formula>
    </cfRule>
    <cfRule type="expression" dxfId="5130" priority="350">
      <formula>#REF!="IO"</formula>
    </cfRule>
    <cfRule type="expression" dxfId="5129" priority="351">
      <formula>#REF!="L"</formula>
    </cfRule>
  </conditionalFormatting>
  <conditionalFormatting sqref="AR35:AS35">
    <cfRule type="expression" dxfId="5128" priority="358">
      <formula>#REF!="TO"</formula>
    </cfRule>
    <cfRule type="expression" dxfId="5127" priority="359">
      <formula>#REF!="IO"</formula>
    </cfRule>
    <cfRule type="expression" dxfId="5126" priority="360">
      <formula>#REF!="L"</formula>
    </cfRule>
    <cfRule type="expression" dxfId="5125" priority="346">
      <formula>#REF!="TO"</formula>
    </cfRule>
    <cfRule type="expression" dxfId="5124" priority="347">
      <formula>#REF!="IO"</formula>
    </cfRule>
    <cfRule type="expression" dxfId="5123" priority="348">
      <formula>#REF!="L"</formula>
    </cfRule>
  </conditionalFormatting>
  <conditionalFormatting sqref="AU35">
    <cfRule type="expression" dxfId="5122" priority="343">
      <formula>#REF!="TO"</formula>
    </cfRule>
    <cfRule type="expression" dxfId="5121" priority="344">
      <formula>#REF!="IO"</formula>
    </cfRule>
    <cfRule type="expression" dxfId="5120" priority="345">
      <formula>#REF!="L"</formula>
    </cfRule>
    <cfRule type="expression" dxfId="5119" priority="340">
      <formula>#REF!="TO"</formula>
    </cfRule>
    <cfRule type="expression" dxfId="5118" priority="341">
      <formula>#REF!="IO"</formula>
    </cfRule>
    <cfRule type="expression" dxfId="5117" priority="342">
      <formula>#REF!="L"</formula>
    </cfRule>
    <cfRule type="expression" dxfId="5116" priority="337">
      <formula>#REF!="TO"</formula>
    </cfRule>
    <cfRule type="expression" dxfId="5115" priority="338">
      <formula>#REF!="IO"</formula>
    </cfRule>
    <cfRule type="expression" dxfId="5114" priority="339">
      <formula>#REF!="L"</formula>
    </cfRule>
    <cfRule type="expression" dxfId="5113" priority="334">
      <formula>#REF!="TO"</formula>
    </cfRule>
    <cfRule type="expression" dxfId="5112" priority="335">
      <formula>#REF!="IO"</formula>
    </cfRule>
    <cfRule type="expression" dxfId="5111" priority="336">
      <formula>#REF!="L"</formula>
    </cfRule>
  </conditionalFormatting>
  <conditionalFormatting sqref="W35">
    <cfRule type="expression" dxfId="5110" priority="553">
      <formula>#REF!="TO"</formula>
    </cfRule>
    <cfRule type="expression" dxfId="5109" priority="554">
      <formula>#REF!="IO"</formula>
    </cfRule>
    <cfRule type="expression" dxfId="5108" priority="555">
      <formula>#REF!="L"</formula>
    </cfRule>
    <cfRule type="expression" dxfId="5107" priority="550">
      <formula>#REF!="TO"</formula>
    </cfRule>
    <cfRule type="expression" dxfId="5106" priority="551">
      <formula>#REF!="IO"</formula>
    </cfRule>
    <cfRule type="expression" dxfId="5105" priority="552">
      <formula>#REF!="L"</formula>
    </cfRule>
    <cfRule type="expression" dxfId="5104" priority="529">
      <formula>#REF!="TO"</formula>
    </cfRule>
    <cfRule type="expression" dxfId="5103" priority="530">
      <formula>#REF!="IO"</formula>
    </cfRule>
    <cfRule type="expression" dxfId="5102" priority="531">
      <formula>#REF!="L"</formula>
    </cfRule>
  </conditionalFormatting>
  <conditionalFormatting sqref="A35">
    <cfRule type="expression" dxfId="5101" priority="559">
      <formula>#REF!="TO"</formula>
    </cfRule>
    <cfRule type="expression" dxfId="5100" priority="560">
      <formula>#REF!="IO"</formula>
    </cfRule>
    <cfRule type="expression" dxfId="5099" priority="561">
      <formula>#REF!="L"</formula>
    </cfRule>
    <cfRule type="expression" dxfId="5098" priority="535">
      <formula>#REF!="TO"</formula>
    </cfRule>
    <cfRule type="expression" dxfId="5097" priority="536">
      <formula>#REF!="IO"</formula>
    </cfRule>
    <cfRule type="expression" dxfId="5096" priority="537">
      <formula>#REF!="L"</formula>
    </cfRule>
  </conditionalFormatting>
  <conditionalFormatting sqref="B35">
    <cfRule type="expression" dxfId="5095" priority="556">
      <formula>#REF!="TO"</formula>
    </cfRule>
    <cfRule type="expression" dxfId="5094" priority="557">
      <formula>#REF!="IO"</formula>
    </cfRule>
    <cfRule type="expression" dxfId="5093" priority="558">
      <formula>#REF!="L"</formula>
    </cfRule>
    <cfRule type="expression" dxfId="5092" priority="547">
      <formula>#REF!="TO"</formula>
    </cfRule>
    <cfRule type="expression" dxfId="5091" priority="548">
      <formula>#REF!="IO"</formula>
    </cfRule>
    <cfRule type="expression" dxfId="5090" priority="549">
      <formula>#REF!="L"</formula>
    </cfRule>
    <cfRule type="expression" dxfId="5089" priority="532">
      <formula>#REF!="TO"</formula>
    </cfRule>
    <cfRule type="expression" dxfId="5088" priority="533">
      <formula>#REF!="IO"</formula>
    </cfRule>
    <cfRule type="expression" dxfId="5087" priority="534">
      <formula>#REF!="L"</formula>
    </cfRule>
    <cfRule type="expression" dxfId="5086" priority="526">
      <formula>#REF!="TO"</formula>
    </cfRule>
    <cfRule type="expression" dxfId="5085" priority="527">
      <formula>#REF!="IO"</formula>
    </cfRule>
    <cfRule type="expression" dxfId="5084" priority="528">
      <formula>#REF!="L"</formula>
    </cfRule>
  </conditionalFormatting>
  <conditionalFormatting sqref="L35:Q35">
    <cfRule type="expression" dxfId="5083" priority="544">
      <formula>#REF!="TO"</formula>
    </cfRule>
    <cfRule type="expression" dxfId="5082" priority="545">
      <formula>#REF!="IO"</formula>
    </cfRule>
    <cfRule type="expression" dxfId="5081" priority="546">
      <formula>#REF!="L"</formula>
    </cfRule>
    <cfRule type="expression" dxfId="5080" priority="523">
      <formula>#REF!="TO"</formula>
    </cfRule>
    <cfRule type="expression" dxfId="5079" priority="524">
      <formula>#REF!="IO"</formula>
    </cfRule>
    <cfRule type="expression" dxfId="5078" priority="525">
      <formula>#REF!="L"</formula>
    </cfRule>
  </conditionalFormatting>
  <conditionalFormatting sqref="R35:T35">
    <cfRule type="expression" dxfId="5077" priority="541">
      <formula>#REF!="TO"</formula>
    </cfRule>
    <cfRule type="expression" dxfId="5076" priority="542">
      <formula>#REF!="IO"</formula>
    </cfRule>
    <cfRule type="expression" dxfId="5075" priority="543">
      <formula>#REF!="L"</formula>
    </cfRule>
    <cfRule type="expression" dxfId="5074" priority="520">
      <formula>#REF!="TO"</formula>
    </cfRule>
    <cfRule type="expression" dxfId="5073" priority="521">
      <formula>#REF!="IO"</formula>
    </cfRule>
    <cfRule type="expression" dxfId="5072" priority="522">
      <formula>#REF!="L"</formula>
    </cfRule>
  </conditionalFormatting>
  <conditionalFormatting sqref="U35:V35">
    <cfRule type="expression" dxfId="5071" priority="538">
      <formula>#REF!="TO"</formula>
    </cfRule>
    <cfRule type="expression" dxfId="5070" priority="539">
      <formula>#REF!="IO"</formula>
    </cfRule>
    <cfRule type="expression" dxfId="5069" priority="540">
      <formula>#REF!="L"</formula>
    </cfRule>
    <cfRule type="expression" dxfId="5068" priority="517">
      <formula>#REF!="TO"</formula>
    </cfRule>
    <cfRule type="expression" dxfId="5067" priority="518">
      <formula>#REF!="IO"</formula>
    </cfRule>
    <cfRule type="expression" dxfId="5066" priority="519">
      <formula>#REF!="L"</formula>
    </cfRule>
  </conditionalFormatting>
  <conditionalFormatting sqref="C35">
    <cfRule type="expression" dxfId="5065" priority="508">
      <formula>#REF!="TO"</formula>
    </cfRule>
    <cfRule type="expression" dxfId="5064" priority="509">
      <formula>#REF!="IO"</formula>
    </cfRule>
    <cfRule type="expression" dxfId="5063" priority="510">
      <formula>#REF!="L"</formula>
    </cfRule>
    <cfRule type="expression" dxfId="5062" priority="514">
      <formula>#REF!="TO"</formula>
    </cfRule>
    <cfRule type="expression" dxfId="5061" priority="515">
      <formula>#REF!="IO"</formula>
    </cfRule>
    <cfRule type="expression" dxfId="5060" priority="516">
      <formula>#REF!="L"</formula>
    </cfRule>
    <cfRule type="expression" dxfId="5059" priority="511">
      <formula>#REF!="TO"</formula>
    </cfRule>
    <cfRule type="expression" dxfId="5058" priority="512">
      <formula>#REF!="IO"</formula>
    </cfRule>
    <cfRule type="expression" dxfId="5057" priority="513">
      <formula>#REF!="L"</formula>
    </cfRule>
    <cfRule type="expression" dxfId="5056" priority="505">
      <formula>#REF!="TO"</formula>
    </cfRule>
    <cfRule type="expression" dxfId="5055" priority="506">
      <formula>#REF!="IO"</formula>
    </cfRule>
    <cfRule type="expression" dxfId="5054" priority="507">
      <formula>#REF!="L"</formula>
    </cfRule>
  </conditionalFormatting>
  <conditionalFormatting sqref="J35">
    <cfRule type="expression" dxfId="5053" priority="502">
      <formula>#REF!="TO"</formula>
    </cfRule>
    <cfRule type="expression" dxfId="5052" priority="503">
      <formula>#REF!="IO"</formula>
    </cfRule>
    <cfRule type="expression" dxfId="5051" priority="504">
      <formula>#REF!="L"</formula>
    </cfRule>
    <cfRule type="expression" dxfId="5050" priority="499">
      <formula>#REF!="TO"</formula>
    </cfRule>
    <cfRule type="expression" dxfId="5049" priority="500">
      <formula>#REF!="IO"</formula>
    </cfRule>
    <cfRule type="expression" dxfId="5048" priority="501">
      <formula>#REF!="L"</formula>
    </cfRule>
    <cfRule type="expression" dxfId="5047" priority="496">
      <formula>#REF!="TO"</formula>
    </cfRule>
    <cfRule type="expression" dxfId="5046" priority="497">
      <formula>#REF!="IO"</formula>
    </cfRule>
    <cfRule type="expression" dxfId="5045" priority="498">
      <formula>#REF!="L"</formula>
    </cfRule>
    <cfRule type="expression" dxfId="5044" priority="493">
      <formula>#REF!="TO"</formula>
    </cfRule>
    <cfRule type="expression" dxfId="5043" priority="494">
      <formula>#REF!="IO"</formula>
    </cfRule>
    <cfRule type="expression" dxfId="5042" priority="495">
      <formula>#REF!="L"</formula>
    </cfRule>
  </conditionalFormatting>
  <conditionalFormatting sqref="X35:Y35">
    <cfRule type="expression" dxfId="5041" priority="490">
      <formula>#REF!="TO"</formula>
    </cfRule>
    <cfRule type="expression" dxfId="5040" priority="491">
      <formula>#REF!="IO"</formula>
    </cfRule>
    <cfRule type="expression" dxfId="5039" priority="492">
      <formula>#REF!="L"</formula>
    </cfRule>
    <cfRule type="expression" dxfId="5038" priority="487">
      <formula>#REF!="TO"</formula>
    </cfRule>
    <cfRule type="expression" dxfId="5037" priority="488">
      <formula>#REF!="IO"</formula>
    </cfRule>
    <cfRule type="expression" dxfId="5036" priority="489">
      <formula>#REF!="L"</formula>
    </cfRule>
    <cfRule type="expression" dxfId="5035" priority="484">
      <formula>#REF!="TO"</formula>
    </cfRule>
    <cfRule type="expression" dxfId="5034" priority="485">
      <formula>#REF!="IO"</formula>
    </cfRule>
    <cfRule type="expression" dxfId="5033" priority="486">
      <formula>#REF!="L"</formula>
    </cfRule>
    <cfRule type="expression" dxfId="5032" priority="481">
      <formula>#REF!="TO"</formula>
    </cfRule>
    <cfRule type="expression" dxfId="5031" priority="482">
      <formula>#REF!="IO"</formula>
    </cfRule>
    <cfRule type="expression" dxfId="5030" priority="483">
      <formula>#REF!="L"</formula>
    </cfRule>
  </conditionalFormatting>
  <conditionalFormatting sqref="H35">
    <cfRule type="expression" dxfId="5029" priority="478">
      <formula>#REF!="TO"</formula>
    </cfRule>
    <cfRule type="expression" dxfId="5028" priority="479">
      <formula>#REF!="IO"</formula>
    </cfRule>
    <cfRule type="expression" dxfId="5027" priority="480">
      <formula>#REF!="L"</formula>
    </cfRule>
    <cfRule type="expression" dxfId="5026" priority="475">
      <formula>#REF!="TO"</formula>
    </cfRule>
    <cfRule type="expression" dxfId="5025" priority="476">
      <formula>#REF!="IO"</formula>
    </cfRule>
    <cfRule type="expression" dxfId="5024" priority="477">
      <formula>#REF!="L"</formula>
    </cfRule>
    <cfRule type="expression" dxfId="5023" priority="472">
      <formula>#REF!="TO"</formula>
    </cfRule>
    <cfRule type="expression" dxfId="5022" priority="473">
      <formula>#REF!="IO"</formula>
    </cfRule>
    <cfRule type="expression" dxfId="5021" priority="474">
      <formula>#REF!="L"</formula>
    </cfRule>
    <cfRule type="expression" dxfId="5020" priority="469">
      <formula>#REF!="TO"</formula>
    </cfRule>
    <cfRule type="expression" dxfId="5019" priority="470">
      <formula>#REF!="IO"</formula>
    </cfRule>
    <cfRule type="expression" dxfId="5018" priority="471">
      <formula>#REF!="L"</formula>
    </cfRule>
  </conditionalFormatting>
  <conditionalFormatting sqref="Z35">
    <cfRule type="expression" dxfId="5017" priority="466">
      <formula>#REF!="TO"</formula>
    </cfRule>
    <cfRule type="expression" dxfId="5016" priority="467">
      <formula>#REF!="IO"</formula>
    </cfRule>
    <cfRule type="expression" dxfId="5015" priority="468">
      <formula>#REF!="L"</formula>
    </cfRule>
    <cfRule type="expression" dxfId="5014" priority="463">
      <formula>#REF!="TO"</formula>
    </cfRule>
    <cfRule type="expression" dxfId="5013" priority="464">
      <formula>#REF!="IO"</formula>
    </cfRule>
    <cfRule type="expression" dxfId="5012" priority="465">
      <formula>#REF!="L"</formula>
    </cfRule>
    <cfRule type="expression" dxfId="5011" priority="460">
      <formula>#REF!="TO"</formula>
    </cfRule>
    <cfRule type="expression" dxfId="5010" priority="461">
      <formula>#REF!="IO"</formula>
    </cfRule>
    <cfRule type="expression" dxfId="5009" priority="462">
      <formula>#REF!="L"</formula>
    </cfRule>
    <cfRule type="expression" dxfId="5008" priority="457">
      <formula>#REF!="TO"</formula>
    </cfRule>
    <cfRule type="expression" dxfId="5007" priority="458">
      <formula>#REF!="IO"</formula>
    </cfRule>
    <cfRule type="expression" dxfId="5006" priority="459">
      <formula>#REF!="L"</formula>
    </cfRule>
  </conditionalFormatting>
  <conditionalFormatting sqref="AC35">
    <cfRule type="expression" dxfId="5005" priority="454">
      <formula>#REF!="TO"</formula>
    </cfRule>
    <cfRule type="expression" dxfId="5004" priority="455">
      <formula>#REF!="IO"</formula>
    </cfRule>
    <cfRule type="expression" dxfId="5003" priority="456">
      <formula>#REF!="L"</formula>
    </cfRule>
    <cfRule type="expression" dxfId="5002" priority="451">
      <formula>#REF!="TO"</formula>
    </cfRule>
    <cfRule type="expression" dxfId="5001" priority="452">
      <formula>#REF!="IO"</formula>
    </cfRule>
    <cfRule type="expression" dxfId="5000" priority="453">
      <formula>#REF!="L"</formula>
    </cfRule>
    <cfRule type="expression" dxfId="4999" priority="448">
      <formula>#REF!="TO"</formula>
    </cfRule>
    <cfRule type="expression" dxfId="4998" priority="449">
      <formula>#REF!="IO"</formula>
    </cfRule>
    <cfRule type="expression" dxfId="4997" priority="450">
      <formula>#REF!="L"</formula>
    </cfRule>
    <cfRule type="expression" dxfId="4996" priority="445">
      <formula>#REF!="TO"</formula>
    </cfRule>
    <cfRule type="expression" dxfId="4995" priority="446">
      <formula>#REF!="IO"</formula>
    </cfRule>
    <cfRule type="expression" dxfId="4994" priority="447">
      <formula>#REF!="L"</formula>
    </cfRule>
  </conditionalFormatting>
  <conditionalFormatting sqref="AD35">
    <cfRule type="expression" dxfId="4993" priority="442">
      <formula>#REF!="TO"</formula>
    </cfRule>
    <cfRule type="expression" dxfId="4992" priority="443">
      <formula>#REF!="IO"</formula>
    </cfRule>
    <cfRule type="expression" dxfId="4991" priority="444">
      <formula>#REF!="L"</formula>
    </cfRule>
    <cfRule type="expression" dxfId="4990" priority="439">
      <formula>#REF!="TO"</formula>
    </cfRule>
    <cfRule type="expression" dxfId="4989" priority="440">
      <formula>#REF!="IO"</formula>
    </cfRule>
    <cfRule type="expression" dxfId="4988" priority="441">
      <formula>#REF!="L"</formula>
    </cfRule>
    <cfRule type="expression" dxfId="4987" priority="436">
      <formula>#REF!="TO"</formula>
    </cfRule>
    <cfRule type="expression" dxfId="4986" priority="437">
      <formula>#REF!="IO"</formula>
    </cfRule>
    <cfRule type="expression" dxfId="4985" priority="438">
      <formula>#REF!="L"</formula>
    </cfRule>
    <cfRule type="expression" dxfId="4984" priority="433">
      <formula>#REF!="TO"</formula>
    </cfRule>
    <cfRule type="expression" dxfId="4983" priority="434">
      <formula>#REF!="IO"</formula>
    </cfRule>
    <cfRule type="expression" dxfId="4982" priority="435">
      <formula>#REF!="L"</formula>
    </cfRule>
  </conditionalFormatting>
  <conditionalFormatting sqref="G37">
    <cfRule type="expression" dxfId="4981" priority="331">
      <formula>XEB37="TO"</formula>
    </cfRule>
    <cfRule type="expression" dxfId="4980" priority="332">
      <formula>XEB37="IO"</formula>
    </cfRule>
    <cfRule type="expression" dxfId="4979" priority="333">
      <formula>XEB37="L"</formula>
    </cfRule>
    <cfRule type="expression" dxfId="4978" priority="280">
      <formula>#REF!="TO"</formula>
    </cfRule>
    <cfRule type="expression" dxfId="4977" priority="281">
      <formula>#REF!="IO"</formula>
    </cfRule>
    <cfRule type="expression" dxfId="4976" priority="282">
      <formula>#REF!="L"</formula>
    </cfRule>
  </conditionalFormatting>
  <conditionalFormatting sqref="A37">
    <cfRule type="expression" dxfId="4975" priority="322">
      <formula>#REF!="TO"</formula>
    </cfRule>
    <cfRule type="expression" dxfId="4974" priority="323">
      <formula>#REF!="IO"</formula>
    </cfRule>
    <cfRule type="expression" dxfId="4973" priority="324">
      <formula>#REF!="L"</formula>
    </cfRule>
  </conditionalFormatting>
  <conditionalFormatting sqref="I37">
    <cfRule type="expression" dxfId="4972" priority="319">
      <formula>#REF!="TO"</formula>
    </cfRule>
    <cfRule type="expression" dxfId="4971" priority="320">
      <formula>#REF!="IO"</formula>
    </cfRule>
    <cfRule type="expression" dxfId="4970" priority="321">
      <formula>#REF!="L"</formula>
    </cfRule>
    <cfRule type="expression" dxfId="4969" priority="283">
      <formula>XED37="TO"</formula>
    </cfRule>
    <cfRule type="expression" dxfId="4968" priority="284">
      <formula>XED37="IO"</formula>
    </cfRule>
    <cfRule type="expression" dxfId="4967" priority="285">
      <formula>XED37="L"</formula>
    </cfRule>
  </conditionalFormatting>
  <conditionalFormatting sqref="K37">
    <cfRule type="expression" dxfId="4966" priority="316">
      <formula>#REF!="TO"</formula>
    </cfRule>
    <cfRule type="expression" dxfId="4965" priority="317">
      <formula>#REF!="IO"</formula>
    </cfRule>
    <cfRule type="expression" dxfId="4964" priority="318">
      <formula>#REF!="L"</formula>
    </cfRule>
    <cfRule type="expression" dxfId="4963" priority="325">
      <formula>#REF!="TO"</formula>
    </cfRule>
    <cfRule type="expression" dxfId="4962" priority="326">
      <formula>#REF!="IO"</formula>
    </cfRule>
    <cfRule type="expression" dxfId="4961" priority="327">
      <formula>#REF!="L"</formula>
    </cfRule>
  </conditionalFormatting>
  <conditionalFormatting sqref="L37:Q37">
    <cfRule type="expression" dxfId="4960" priority="313">
      <formula>#REF!="TO"</formula>
    </cfRule>
    <cfRule type="expression" dxfId="4959" priority="314">
      <formula>#REF!="IO"</formula>
    </cfRule>
    <cfRule type="expression" dxfId="4958" priority="315">
      <formula>#REF!="L"</formula>
    </cfRule>
  </conditionalFormatting>
  <conditionalFormatting sqref="AB37">
    <cfRule type="expression" dxfId="4957" priority="307">
      <formula>#REF!="TO"</formula>
    </cfRule>
    <cfRule type="expression" dxfId="4956" priority="308">
      <formula>#REF!="IO"</formula>
    </cfRule>
    <cfRule type="expression" dxfId="4955" priority="309">
      <formula>#REF!="L"</formula>
    </cfRule>
    <cfRule type="expression" dxfId="4954" priority="310">
      <formula>#REF!="TO"</formula>
    </cfRule>
    <cfRule type="expression" dxfId="4953" priority="311">
      <formula>#REF!="IO"</formula>
    </cfRule>
    <cfRule type="expression" dxfId="4952" priority="312">
      <formula>#REF!="L"</formula>
    </cfRule>
  </conditionalFormatting>
  <conditionalFormatting sqref="R37:T37">
    <cfRule type="expression" dxfId="4951" priority="304">
      <formula>#REF!="TO"</formula>
    </cfRule>
    <cfRule type="expression" dxfId="4950" priority="305">
      <formula>#REF!="IO"</formula>
    </cfRule>
    <cfRule type="expression" dxfId="4949" priority="306">
      <formula>#REF!="L"</formula>
    </cfRule>
  </conditionalFormatting>
  <conditionalFormatting sqref="W37">
    <cfRule type="expression" dxfId="4948" priority="301">
      <formula>#REF!="TO"</formula>
    </cfRule>
    <cfRule type="expression" dxfId="4947" priority="302">
      <formula>#REF!="IO"</formula>
    </cfRule>
    <cfRule type="expression" dxfId="4946" priority="303">
      <formula>#REF!="L"</formula>
    </cfRule>
  </conditionalFormatting>
  <conditionalFormatting sqref="U37:V37">
    <cfRule type="expression" dxfId="4945" priority="298">
      <formula>#REF!="TO"</formula>
    </cfRule>
    <cfRule type="expression" dxfId="4944" priority="299">
      <formula>#REF!="IO"</formula>
    </cfRule>
    <cfRule type="expression" dxfId="4943" priority="300">
      <formula>#REF!="L"</formula>
    </cfRule>
  </conditionalFormatting>
  <conditionalFormatting sqref="C37">
    <cfRule type="expression" dxfId="4942" priority="295">
      <formula>#REF!="TO"</formula>
    </cfRule>
    <cfRule type="expression" dxfId="4941" priority="296">
      <formula>#REF!="IO"</formula>
    </cfRule>
    <cfRule type="expression" dxfId="4940" priority="297">
      <formula>#REF!="L"</formula>
    </cfRule>
  </conditionalFormatting>
  <conditionalFormatting sqref="B37">
    <cfRule type="expression" dxfId="4939" priority="292">
      <formula>#REF!="TO"</formula>
    </cfRule>
    <cfRule type="expression" dxfId="4938" priority="293">
      <formula>#REF!="IO"</formula>
    </cfRule>
    <cfRule type="expression" dxfId="4937" priority="294">
      <formula>#REF!="L"</formula>
    </cfRule>
  </conditionalFormatting>
  <conditionalFormatting sqref="J37">
    <cfRule type="expression" dxfId="4936" priority="289">
      <formula>#REF!="TO"</formula>
    </cfRule>
    <cfRule type="expression" dxfId="4935" priority="290">
      <formula>#REF!="IO"</formula>
    </cfRule>
    <cfRule type="expression" dxfId="4934" priority="291">
      <formula>#REF!="L"</formula>
    </cfRule>
  </conditionalFormatting>
  <conditionalFormatting sqref="X37:Y37">
    <cfRule type="expression" dxfId="4933" priority="286">
      <formula>#REF!="TO"</formula>
    </cfRule>
    <cfRule type="expression" dxfId="4932" priority="287">
      <formula>#REF!="IO"</formula>
    </cfRule>
    <cfRule type="expression" dxfId="4931" priority="288">
      <formula>#REF!="L"</formula>
    </cfRule>
  </conditionalFormatting>
  <conditionalFormatting sqref="H37">
    <cfRule type="expression" dxfId="4930" priority="277">
      <formula>#REF!="TO"</formula>
    </cfRule>
    <cfRule type="expression" dxfId="4929" priority="278">
      <formula>#REF!="IO"</formula>
    </cfRule>
    <cfRule type="expression" dxfId="4928" priority="279">
      <formula>#REF!="L"</formula>
    </cfRule>
  </conditionalFormatting>
  <conditionalFormatting sqref="D37">
    <cfRule type="expression" dxfId="4927" priority="274">
      <formula>#REF!="TO"</formula>
    </cfRule>
    <cfRule type="expression" dxfId="4926" priority="275">
      <formula>#REF!="IO"</formula>
    </cfRule>
    <cfRule type="expression" dxfId="4925" priority="276">
      <formula>#REF!="L"</formula>
    </cfRule>
    <cfRule type="expression" dxfId="4924" priority="328">
      <formula>XDZ37="TO"</formula>
    </cfRule>
    <cfRule type="expression" dxfId="4923" priority="329">
      <formula>XDZ37="IO"</formula>
    </cfRule>
    <cfRule type="expression" dxfId="4922" priority="330">
      <formula>XDZ37="L"</formula>
    </cfRule>
  </conditionalFormatting>
  <conditionalFormatting sqref="Z37">
    <cfRule type="expression" dxfId="4921" priority="271">
      <formula>#REF!="TO"</formula>
    </cfRule>
    <cfRule type="expression" dxfId="4920" priority="272">
      <formula>#REF!="IO"</formula>
    </cfRule>
    <cfRule type="expression" dxfId="4919" priority="273">
      <formula>#REF!="L"</formula>
    </cfRule>
  </conditionalFormatting>
  <conditionalFormatting sqref="AE37">
    <cfRule type="expression" dxfId="4918" priority="265">
      <formula>#REF!="TO"</formula>
    </cfRule>
    <cfRule type="expression" dxfId="4917" priority="266">
      <formula>#REF!="IO"</formula>
    </cfRule>
    <cfRule type="expression" dxfId="4916" priority="267">
      <formula>#REF!="L"</formula>
    </cfRule>
    <cfRule type="expression" dxfId="4915" priority="268">
      <formula>#REF!="TO"</formula>
    </cfRule>
    <cfRule type="expression" dxfId="4914" priority="269">
      <formula>#REF!="IO"</formula>
    </cfRule>
    <cfRule type="expression" dxfId="4913" priority="270">
      <formula>#REF!="L"</formula>
    </cfRule>
  </conditionalFormatting>
  <conditionalFormatting sqref="AD37">
    <cfRule type="expression" dxfId="4912" priority="262">
      <formula>#REF!="TO"</formula>
    </cfRule>
    <cfRule type="expression" dxfId="4911" priority="263">
      <formula>#REF!="IO"</formula>
    </cfRule>
    <cfRule type="expression" dxfId="4910" priority="264">
      <formula>#REF!="L"</formula>
    </cfRule>
  </conditionalFormatting>
  <conditionalFormatting sqref="AC37">
    <cfRule type="expression" dxfId="4909" priority="259">
      <formula>#REF!="TO"</formula>
    </cfRule>
    <cfRule type="expression" dxfId="4908" priority="260">
      <formula>#REF!="IO"</formula>
    </cfRule>
    <cfRule type="expression" dxfId="4907" priority="261">
      <formula>#REF!="L"</formula>
    </cfRule>
  </conditionalFormatting>
  <conditionalFormatting sqref="AG37">
    <cfRule type="expression" dxfId="4906" priority="256">
      <formula>#REF!="TO"</formula>
    </cfRule>
    <cfRule type="expression" dxfId="4905" priority="257">
      <formula>#REF!="IO"</formula>
    </cfRule>
    <cfRule type="expression" dxfId="4904" priority="258">
      <formula>#REF!="L"</formula>
    </cfRule>
  </conditionalFormatting>
  <conditionalFormatting sqref="AF37">
    <cfRule type="expression" dxfId="4903" priority="253">
      <formula>#REF!="TO"</formula>
    </cfRule>
    <cfRule type="expression" dxfId="4902" priority="254">
      <formula>#REF!="IO"</formula>
    </cfRule>
    <cfRule type="expression" dxfId="4901" priority="255">
      <formula>#REF!="L"</formula>
    </cfRule>
  </conditionalFormatting>
  <conditionalFormatting sqref="E37">
    <cfRule type="expression" dxfId="4900" priority="247">
      <formula>#REF!="TO"</formula>
    </cfRule>
    <cfRule type="expression" dxfId="4899" priority="248">
      <formula>#REF!="IO"</formula>
    </cfRule>
    <cfRule type="expression" dxfId="4898" priority="249">
      <formula>#REF!="L"</formula>
    </cfRule>
  </conditionalFormatting>
  <conditionalFormatting sqref="F37">
    <cfRule type="expression" dxfId="4897" priority="250">
      <formula>#REF!="TO"</formula>
    </cfRule>
    <cfRule type="expression" dxfId="4896" priority="251">
      <formula>#REF!="IO"</formula>
    </cfRule>
    <cfRule type="expression" dxfId="4895" priority="252">
      <formula>#REF!="L"</formula>
    </cfRule>
  </conditionalFormatting>
  <conditionalFormatting sqref="AA37">
    <cfRule type="expression" dxfId="4894" priority="244">
      <formula>#REF!="TO"</formula>
    </cfRule>
    <cfRule type="expression" dxfId="4893" priority="245">
      <formula>#REF!="IO"</formula>
    </cfRule>
    <cfRule type="expression" dxfId="4892" priority="246">
      <formula>#REF!="L"</formula>
    </cfRule>
  </conditionalFormatting>
  <conditionalFormatting sqref="AI37:AN37">
    <cfRule type="expression" dxfId="4891" priority="241">
      <formula>#REF!="TO"</formula>
    </cfRule>
    <cfRule type="expression" dxfId="4890" priority="242">
      <formula>#REF!="IO"</formula>
    </cfRule>
    <cfRule type="expression" dxfId="4889" priority="243">
      <formula>#REF!="L"</formula>
    </cfRule>
  </conditionalFormatting>
  <conditionalFormatting sqref="AO37:AQ37">
    <cfRule type="expression" dxfId="4888" priority="238">
      <formula>#REF!="TO"</formula>
    </cfRule>
    <cfRule type="expression" dxfId="4887" priority="239">
      <formula>#REF!="IO"</formula>
    </cfRule>
    <cfRule type="expression" dxfId="4886" priority="240">
      <formula>#REF!="L"</formula>
    </cfRule>
  </conditionalFormatting>
  <conditionalFormatting sqref="AT37">
    <cfRule type="expression" dxfId="4885" priority="235">
      <formula>#REF!="TO"</formula>
    </cfRule>
    <cfRule type="expression" dxfId="4884" priority="236">
      <formula>#REF!="IO"</formula>
    </cfRule>
    <cfRule type="expression" dxfId="4883" priority="237">
      <formula>#REF!="L"</formula>
    </cfRule>
  </conditionalFormatting>
  <conditionalFormatting sqref="AR37:AS37">
    <cfRule type="expression" dxfId="4882" priority="232">
      <formula>#REF!="TO"</formula>
    </cfRule>
    <cfRule type="expression" dxfId="4881" priority="233">
      <formula>#REF!="IO"</formula>
    </cfRule>
    <cfRule type="expression" dxfId="4880" priority="234">
      <formula>#REF!="L"</formula>
    </cfRule>
  </conditionalFormatting>
  <conditionalFormatting sqref="AU37">
    <cfRule type="expression" dxfId="4879" priority="229">
      <formula>#REF!="TO"</formula>
    </cfRule>
    <cfRule type="expression" dxfId="4878" priority="230">
      <formula>#REF!="IO"</formula>
    </cfRule>
    <cfRule type="expression" dxfId="4877" priority="231">
      <formula>#REF!="L"</formula>
    </cfRule>
  </conditionalFormatting>
  <conditionalFormatting sqref="W36">
    <cfRule type="expression" dxfId="4876" priority="220">
      <formula>#REF!="TO"</formula>
    </cfRule>
    <cfRule type="expression" dxfId="4875" priority="221">
      <formula>#REF!="IO"</formula>
    </cfRule>
    <cfRule type="expression" dxfId="4874" priority="222">
      <formula>#REF!="L"</formula>
    </cfRule>
    <cfRule type="expression" dxfId="4873" priority="217">
      <formula>#REF!="TO"</formula>
    </cfRule>
    <cfRule type="expression" dxfId="4872" priority="218">
      <formula>#REF!="IO"</formula>
    </cfRule>
    <cfRule type="expression" dxfId="4871" priority="219">
      <formula>#REF!="L"</formula>
    </cfRule>
    <cfRule type="expression" dxfId="4870" priority="196">
      <formula>#REF!="TO"</formula>
    </cfRule>
    <cfRule type="expression" dxfId="4869" priority="197">
      <formula>#REF!="IO"</formula>
    </cfRule>
    <cfRule type="expression" dxfId="4868" priority="198">
      <formula>#REF!="L"</formula>
    </cfRule>
  </conditionalFormatting>
  <conditionalFormatting sqref="A36">
    <cfRule type="expression" dxfId="4867" priority="226">
      <formula>#REF!="TO"</formula>
    </cfRule>
    <cfRule type="expression" dxfId="4866" priority="227">
      <formula>#REF!="IO"</formula>
    </cfRule>
    <cfRule type="expression" dxfId="4865" priority="228">
      <formula>#REF!="L"</formula>
    </cfRule>
    <cfRule type="expression" dxfId="4864" priority="202">
      <formula>#REF!="TO"</formula>
    </cfRule>
    <cfRule type="expression" dxfId="4863" priority="203">
      <formula>#REF!="IO"</formula>
    </cfRule>
    <cfRule type="expression" dxfId="4862" priority="204">
      <formula>#REF!="L"</formula>
    </cfRule>
  </conditionalFormatting>
  <conditionalFormatting sqref="B36">
    <cfRule type="expression" dxfId="4861" priority="223">
      <formula>#REF!="TO"</formula>
    </cfRule>
    <cfRule type="expression" dxfId="4860" priority="224">
      <formula>#REF!="IO"</formula>
    </cfRule>
    <cfRule type="expression" dxfId="4859" priority="225">
      <formula>#REF!="L"</formula>
    </cfRule>
    <cfRule type="expression" dxfId="4858" priority="214">
      <formula>#REF!="TO"</formula>
    </cfRule>
    <cfRule type="expression" dxfId="4857" priority="215">
      <formula>#REF!="IO"</formula>
    </cfRule>
    <cfRule type="expression" dxfId="4856" priority="216">
      <formula>#REF!="L"</formula>
    </cfRule>
    <cfRule type="expression" dxfId="4855" priority="199">
      <formula>#REF!="TO"</formula>
    </cfRule>
    <cfRule type="expression" dxfId="4854" priority="200">
      <formula>#REF!="IO"</formula>
    </cfRule>
    <cfRule type="expression" dxfId="4853" priority="201">
      <formula>#REF!="L"</formula>
    </cfRule>
    <cfRule type="expression" dxfId="4852" priority="193">
      <formula>#REF!="TO"</formula>
    </cfRule>
    <cfRule type="expression" dxfId="4851" priority="194">
      <formula>#REF!="IO"</formula>
    </cfRule>
    <cfRule type="expression" dxfId="4850" priority="195">
      <formula>#REF!="L"</formula>
    </cfRule>
  </conditionalFormatting>
  <conditionalFormatting sqref="L36:Q36">
    <cfRule type="expression" dxfId="4849" priority="211">
      <formula>#REF!="TO"</formula>
    </cfRule>
    <cfRule type="expression" dxfId="4848" priority="212">
      <formula>#REF!="IO"</formula>
    </cfRule>
    <cfRule type="expression" dxfId="4847" priority="213">
      <formula>#REF!="L"</formula>
    </cfRule>
    <cfRule type="expression" dxfId="4846" priority="190">
      <formula>#REF!="TO"</formula>
    </cfRule>
    <cfRule type="expression" dxfId="4845" priority="191">
      <formula>#REF!="IO"</formula>
    </cfRule>
    <cfRule type="expression" dxfId="4844" priority="192">
      <formula>#REF!="L"</formula>
    </cfRule>
  </conditionalFormatting>
  <conditionalFormatting sqref="R36:T36">
    <cfRule type="expression" dxfId="4843" priority="208">
      <formula>#REF!="TO"</formula>
    </cfRule>
    <cfRule type="expression" dxfId="4842" priority="209">
      <formula>#REF!="IO"</formula>
    </cfRule>
    <cfRule type="expression" dxfId="4841" priority="210">
      <formula>#REF!="L"</formula>
    </cfRule>
    <cfRule type="expression" dxfId="4840" priority="187">
      <formula>#REF!="TO"</formula>
    </cfRule>
    <cfRule type="expression" dxfId="4839" priority="188">
      <formula>#REF!="IO"</formula>
    </cfRule>
    <cfRule type="expression" dxfId="4838" priority="189">
      <formula>#REF!="L"</formula>
    </cfRule>
  </conditionalFormatting>
  <conditionalFormatting sqref="U36:V36">
    <cfRule type="expression" dxfId="4837" priority="205">
      <formula>#REF!="TO"</formula>
    </cfRule>
    <cfRule type="expression" dxfId="4836" priority="206">
      <formula>#REF!="IO"</formula>
    </cfRule>
    <cfRule type="expression" dxfId="4835" priority="207">
      <formula>#REF!="L"</formula>
    </cfRule>
    <cfRule type="expression" dxfId="4834" priority="184">
      <formula>#REF!="TO"</formula>
    </cfRule>
    <cfRule type="expression" dxfId="4833" priority="185">
      <formula>#REF!="IO"</formula>
    </cfRule>
    <cfRule type="expression" dxfId="4832" priority="186">
      <formula>#REF!="L"</formula>
    </cfRule>
  </conditionalFormatting>
  <conditionalFormatting sqref="C36">
    <cfRule type="expression" dxfId="4831" priority="175">
      <formula>#REF!="TO"</formula>
    </cfRule>
    <cfRule type="expression" dxfId="4830" priority="176">
      <formula>#REF!="IO"</formula>
    </cfRule>
    <cfRule type="expression" dxfId="4829" priority="177">
      <formula>#REF!="L"</formula>
    </cfRule>
    <cfRule type="expression" dxfId="4828" priority="181">
      <formula>#REF!="TO"</formula>
    </cfRule>
    <cfRule type="expression" dxfId="4827" priority="182">
      <formula>#REF!="IO"</formula>
    </cfRule>
    <cfRule type="expression" dxfId="4826" priority="183">
      <formula>#REF!="L"</formula>
    </cfRule>
    <cfRule type="expression" dxfId="4825" priority="178">
      <formula>#REF!="TO"</formula>
    </cfRule>
    <cfRule type="expression" dxfId="4824" priority="179">
      <formula>#REF!="IO"</formula>
    </cfRule>
    <cfRule type="expression" dxfId="4823" priority="180">
      <formula>#REF!="L"</formula>
    </cfRule>
    <cfRule type="expression" dxfId="4822" priority="172">
      <formula>#REF!="TO"</formula>
    </cfRule>
    <cfRule type="expression" dxfId="4821" priority="173">
      <formula>#REF!="IO"</formula>
    </cfRule>
    <cfRule type="expression" dxfId="4820" priority="174">
      <formula>#REF!="L"</formula>
    </cfRule>
  </conditionalFormatting>
  <conditionalFormatting sqref="J36">
    <cfRule type="expression" dxfId="4819" priority="169">
      <formula>#REF!="TO"</formula>
    </cfRule>
    <cfRule type="expression" dxfId="4818" priority="170">
      <formula>#REF!="IO"</formula>
    </cfRule>
    <cfRule type="expression" dxfId="4817" priority="171">
      <formula>#REF!="L"</formula>
    </cfRule>
    <cfRule type="expression" dxfId="4816" priority="166">
      <formula>#REF!="TO"</formula>
    </cfRule>
    <cfRule type="expression" dxfId="4815" priority="167">
      <formula>#REF!="IO"</formula>
    </cfRule>
    <cfRule type="expression" dxfId="4814" priority="168">
      <formula>#REF!="L"</formula>
    </cfRule>
    <cfRule type="expression" dxfId="4813" priority="163">
      <formula>#REF!="TO"</formula>
    </cfRule>
    <cfRule type="expression" dxfId="4812" priority="164">
      <formula>#REF!="IO"</formula>
    </cfRule>
    <cfRule type="expression" dxfId="4811" priority="165">
      <formula>#REF!="L"</formula>
    </cfRule>
    <cfRule type="expression" dxfId="4810" priority="160">
      <formula>#REF!="TO"</formula>
    </cfRule>
    <cfRule type="expression" dxfId="4809" priority="161">
      <formula>#REF!="IO"</formula>
    </cfRule>
    <cfRule type="expression" dxfId="4808" priority="162">
      <formula>#REF!="L"</formula>
    </cfRule>
  </conditionalFormatting>
  <conditionalFormatting sqref="X36:Y36">
    <cfRule type="expression" dxfId="4807" priority="157">
      <formula>#REF!="TO"</formula>
    </cfRule>
    <cfRule type="expression" dxfId="4806" priority="158">
      <formula>#REF!="IO"</formula>
    </cfRule>
    <cfRule type="expression" dxfId="4805" priority="159">
      <formula>#REF!="L"</formula>
    </cfRule>
    <cfRule type="expression" dxfId="4804" priority="154">
      <formula>#REF!="TO"</formula>
    </cfRule>
    <cfRule type="expression" dxfId="4803" priority="155">
      <formula>#REF!="IO"</formula>
    </cfRule>
    <cfRule type="expression" dxfId="4802" priority="156">
      <formula>#REF!="L"</formula>
    </cfRule>
    <cfRule type="expression" dxfId="4801" priority="151">
      <formula>#REF!="TO"</formula>
    </cfRule>
    <cfRule type="expression" dxfId="4800" priority="152">
      <formula>#REF!="IO"</formula>
    </cfRule>
    <cfRule type="expression" dxfId="4799" priority="153">
      <formula>#REF!="L"</formula>
    </cfRule>
    <cfRule type="expression" dxfId="4798" priority="148">
      <formula>#REF!="TO"</formula>
    </cfRule>
    <cfRule type="expression" dxfId="4797" priority="149">
      <formula>#REF!="IO"</formula>
    </cfRule>
    <cfRule type="expression" dxfId="4796" priority="150">
      <formula>#REF!="L"</formula>
    </cfRule>
  </conditionalFormatting>
  <conditionalFormatting sqref="H36">
    <cfRule type="expression" dxfId="4795" priority="145">
      <formula>#REF!="TO"</formula>
    </cfRule>
    <cfRule type="expression" dxfId="4794" priority="146">
      <formula>#REF!="IO"</formula>
    </cfRule>
    <cfRule type="expression" dxfId="4793" priority="147">
      <formula>#REF!="L"</formula>
    </cfRule>
    <cfRule type="expression" dxfId="4792" priority="142">
      <formula>#REF!="TO"</formula>
    </cfRule>
    <cfRule type="expression" dxfId="4791" priority="143">
      <formula>#REF!="IO"</formula>
    </cfRule>
    <cfRule type="expression" dxfId="4790" priority="144">
      <formula>#REF!="L"</formula>
    </cfRule>
    <cfRule type="expression" dxfId="4789" priority="139">
      <formula>#REF!="TO"</formula>
    </cfRule>
    <cfRule type="expression" dxfId="4788" priority="140">
      <formula>#REF!="IO"</formula>
    </cfRule>
    <cfRule type="expression" dxfId="4787" priority="141">
      <formula>#REF!="L"</formula>
    </cfRule>
    <cfRule type="expression" dxfId="4786" priority="136">
      <formula>#REF!="TO"</formula>
    </cfRule>
    <cfRule type="expression" dxfId="4785" priority="137">
      <formula>#REF!="IO"</formula>
    </cfRule>
    <cfRule type="expression" dxfId="4784" priority="138">
      <formula>#REF!="L"</formula>
    </cfRule>
  </conditionalFormatting>
  <conditionalFormatting sqref="Z36">
    <cfRule type="expression" dxfId="4783" priority="133">
      <formula>#REF!="TO"</formula>
    </cfRule>
    <cfRule type="expression" dxfId="4782" priority="134">
      <formula>#REF!="IO"</formula>
    </cfRule>
    <cfRule type="expression" dxfId="4781" priority="135">
      <formula>#REF!="L"</formula>
    </cfRule>
    <cfRule type="expression" dxfId="4780" priority="130">
      <formula>#REF!="TO"</formula>
    </cfRule>
    <cfRule type="expression" dxfId="4779" priority="131">
      <formula>#REF!="IO"</formula>
    </cfRule>
    <cfRule type="expression" dxfId="4778" priority="132">
      <formula>#REF!="L"</formula>
    </cfRule>
    <cfRule type="expression" dxfId="4777" priority="127">
      <formula>#REF!="TO"</formula>
    </cfRule>
    <cfRule type="expression" dxfId="4776" priority="128">
      <formula>#REF!="IO"</formula>
    </cfRule>
    <cfRule type="expression" dxfId="4775" priority="129">
      <formula>#REF!="L"</formula>
    </cfRule>
    <cfRule type="expression" dxfId="4774" priority="124">
      <formula>#REF!="TO"</formula>
    </cfRule>
    <cfRule type="expression" dxfId="4773" priority="125">
      <formula>#REF!="IO"</formula>
    </cfRule>
    <cfRule type="expression" dxfId="4772" priority="126">
      <formula>#REF!="L"</formula>
    </cfRule>
  </conditionalFormatting>
  <conditionalFormatting sqref="AC36">
    <cfRule type="expression" dxfId="4771" priority="121">
      <formula>#REF!="TO"</formula>
    </cfRule>
    <cfRule type="expression" dxfId="4770" priority="122">
      <formula>#REF!="IO"</formula>
    </cfRule>
    <cfRule type="expression" dxfId="4769" priority="123">
      <formula>#REF!="L"</formula>
    </cfRule>
    <cfRule type="expression" dxfId="4768" priority="118">
      <formula>#REF!="TO"</formula>
    </cfRule>
    <cfRule type="expression" dxfId="4767" priority="119">
      <formula>#REF!="IO"</formula>
    </cfRule>
    <cfRule type="expression" dxfId="4766" priority="120">
      <formula>#REF!="L"</formula>
    </cfRule>
    <cfRule type="expression" dxfId="4765" priority="115">
      <formula>#REF!="TO"</formula>
    </cfRule>
    <cfRule type="expression" dxfId="4764" priority="116">
      <formula>#REF!="IO"</formula>
    </cfRule>
    <cfRule type="expression" dxfId="4763" priority="117">
      <formula>#REF!="L"</formula>
    </cfRule>
    <cfRule type="expression" dxfId="4762" priority="112">
      <formula>#REF!="TO"</formula>
    </cfRule>
    <cfRule type="expression" dxfId="4761" priority="113">
      <formula>#REF!="IO"</formula>
    </cfRule>
    <cfRule type="expression" dxfId="4760" priority="114">
      <formula>#REF!="L"</formula>
    </cfRule>
  </conditionalFormatting>
  <conditionalFormatting sqref="AF36">
    <cfRule type="expression" dxfId="4759" priority="97">
      <formula>#REF!="TO"</formula>
    </cfRule>
    <cfRule type="expression" dxfId="4758" priority="98">
      <formula>#REF!="IO"</formula>
    </cfRule>
    <cfRule type="expression" dxfId="4757" priority="99">
      <formula>#REF!="L"</formula>
    </cfRule>
    <cfRule type="expression" dxfId="4756" priority="94">
      <formula>#REF!="TO"</formula>
    </cfRule>
    <cfRule type="expression" dxfId="4755" priority="95">
      <formula>#REF!="IO"</formula>
    </cfRule>
    <cfRule type="expression" dxfId="4754" priority="96">
      <formula>#REF!="L"</formula>
    </cfRule>
    <cfRule type="expression" dxfId="4753" priority="91">
      <formula>#REF!="TO"</formula>
    </cfRule>
    <cfRule type="expression" dxfId="4752" priority="92">
      <formula>#REF!="IO"</formula>
    </cfRule>
    <cfRule type="expression" dxfId="4751" priority="93">
      <formula>#REF!="L"</formula>
    </cfRule>
    <cfRule type="expression" dxfId="4750" priority="88">
      <formula>#REF!="TO"</formula>
    </cfRule>
    <cfRule type="expression" dxfId="4749" priority="89">
      <formula>#REF!="IO"</formula>
    </cfRule>
    <cfRule type="expression" dxfId="4748" priority="90">
      <formula>#REF!="L"</formula>
    </cfRule>
  </conditionalFormatting>
  <conditionalFormatting sqref="AD36">
    <cfRule type="expression" dxfId="4747" priority="109">
      <formula>#REF!="TO"</formula>
    </cfRule>
    <cfRule type="expression" dxfId="4746" priority="110">
      <formula>#REF!="IO"</formula>
    </cfRule>
    <cfRule type="expression" dxfId="4745" priority="111">
      <formula>#REF!="L"</formula>
    </cfRule>
    <cfRule type="expression" dxfId="4744" priority="106">
      <formula>#REF!="TO"</formula>
    </cfRule>
    <cfRule type="expression" dxfId="4743" priority="107">
      <formula>#REF!="IO"</formula>
    </cfRule>
    <cfRule type="expression" dxfId="4742" priority="108">
      <formula>#REF!="L"</formula>
    </cfRule>
    <cfRule type="expression" dxfId="4741" priority="103">
      <formula>#REF!="TO"</formula>
    </cfRule>
    <cfRule type="expression" dxfId="4740" priority="104">
      <formula>#REF!="IO"</formula>
    </cfRule>
    <cfRule type="expression" dxfId="4739" priority="105">
      <formula>#REF!="L"</formula>
    </cfRule>
    <cfRule type="expression" dxfId="4738" priority="100">
      <formula>#REF!="TO"</formula>
    </cfRule>
    <cfRule type="expression" dxfId="4737" priority="101">
      <formula>#REF!="IO"</formula>
    </cfRule>
    <cfRule type="expression" dxfId="4736" priority="102">
      <formula>#REF!="L"</formula>
    </cfRule>
  </conditionalFormatting>
  <conditionalFormatting sqref="AG36">
    <cfRule type="expression" dxfId="4735" priority="82">
      <formula>#REF!="TO"</formula>
    </cfRule>
    <cfRule type="expression" dxfId="4734" priority="83">
      <formula>#REF!="IO"</formula>
    </cfRule>
    <cfRule type="expression" dxfId="4733" priority="84">
      <formula>#REF!="L"</formula>
    </cfRule>
    <cfRule type="expression" dxfId="4732" priority="79">
      <formula>#REF!="TO"</formula>
    </cfRule>
    <cfRule type="expression" dxfId="4731" priority="80">
      <formula>#REF!="IO"</formula>
    </cfRule>
    <cfRule type="expression" dxfId="4730" priority="81">
      <formula>#REF!="L"</formula>
    </cfRule>
    <cfRule type="expression" dxfId="4729" priority="76">
      <formula>#REF!="TO"</formula>
    </cfRule>
    <cfRule type="expression" dxfId="4728" priority="77">
      <formula>#REF!="IO"</formula>
    </cfRule>
    <cfRule type="expression" dxfId="4727" priority="78">
      <formula>#REF!="L"</formula>
    </cfRule>
    <cfRule type="expression" dxfId="4726" priority="85">
      <formula>#REF!="TO"</formula>
    </cfRule>
    <cfRule type="expression" dxfId="4725" priority="86">
      <formula>#REF!="IO"</formula>
    </cfRule>
    <cfRule type="expression" dxfId="4724" priority="87">
      <formula>#REF!="L"</formula>
    </cfRule>
  </conditionalFormatting>
  <conditionalFormatting sqref="E36">
    <cfRule type="expression" dxfId="4723" priority="73">
      <formula>#REF!="TO"</formula>
    </cfRule>
    <cfRule type="expression" dxfId="4722" priority="74">
      <formula>#REF!="IO"</formula>
    </cfRule>
    <cfRule type="expression" dxfId="4721" priority="75">
      <formula>#REF!="L"</formula>
    </cfRule>
    <cfRule type="expression" dxfId="4720" priority="70">
      <formula>#REF!="TO"</formula>
    </cfRule>
    <cfRule type="expression" dxfId="4719" priority="71">
      <formula>#REF!="IO"</formula>
    </cfRule>
    <cfRule type="expression" dxfId="4718" priority="72">
      <formula>#REF!="L"</formula>
    </cfRule>
    <cfRule type="expression" dxfId="4717" priority="67">
      <formula>#REF!="TO"</formula>
    </cfRule>
    <cfRule type="expression" dxfId="4716" priority="68">
      <formula>#REF!="IO"</formula>
    </cfRule>
    <cfRule type="expression" dxfId="4715" priority="69">
      <formula>#REF!="L"</formula>
    </cfRule>
    <cfRule type="expression" dxfId="4714" priority="64">
      <formula>#REF!="TO"</formula>
    </cfRule>
    <cfRule type="expression" dxfId="4713" priority="65">
      <formula>#REF!="IO"</formula>
    </cfRule>
    <cfRule type="expression" dxfId="4712" priority="66">
      <formula>#REF!="L"</formula>
    </cfRule>
  </conditionalFormatting>
  <conditionalFormatting sqref="F36">
    <cfRule type="expression" dxfId="4711" priority="61">
      <formula>#REF!="TO"</formula>
    </cfRule>
    <cfRule type="expression" dxfId="4710" priority="62">
      <formula>#REF!="IO"</formula>
    </cfRule>
    <cfRule type="expression" dxfId="4709" priority="63">
      <formula>#REF!="L"</formula>
    </cfRule>
    <cfRule type="expression" dxfId="4708" priority="58">
      <formula>#REF!="TO"</formula>
    </cfRule>
    <cfRule type="expression" dxfId="4707" priority="59">
      <formula>#REF!="IO"</formula>
    </cfRule>
    <cfRule type="expression" dxfId="4706" priority="60">
      <formula>#REF!="L"</formula>
    </cfRule>
    <cfRule type="expression" dxfId="4705" priority="55">
      <formula>#REF!="TO"</formula>
    </cfRule>
    <cfRule type="expression" dxfId="4704" priority="56">
      <formula>#REF!="IO"</formula>
    </cfRule>
    <cfRule type="expression" dxfId="4703" priority="57">
      <formula>#REF!="L"</formula>
    </cfRule>
    <cfRule type="expression" dxfId="4702" priority="52">
      <formula>#REF!="TO"</formula>
    </cfRule>
    <cfRule type="expression" dxfId="4701" priority="53">
      <formula>#REF!="IO"</formula>
    </cfRule>
    <cfRule type="expression" dxfId="4700" priority="54">
      <formula>#REF!="L"</formula>
    </cfRule>
  </conditionalFormatting>
  <conditionalFormatting sqref="AA36">
    <cfRule type="expression" dxfId="4699" priority="49">
      <formula>#REF!="TO"</formula>
    </cfRule>
    <cfRule type="expression" dxfId="4698" priority="50">
      <formula>#REF!="IO"</formula>
    </cfRule>
    <cfRule type="expression" dxfId="4697" priority="51">
      <formula>#REF!="L"</formula>
    </cfRule>
    <cfRule type="expression" dxfId="4696" priority="46">
      <formula>#REF!="TO"</formula>
    </cfRule>
    <cfRule type="expression" dxfId="4695" priority="47">
      <formula>#REF!="IO"</formula>
    </cfRule>
    <cfRule type="expression" dxfId="4694" priority="48">
      <formula>#REF!="L"</formula>
    </cfRule>
    <cfRule type="expression" dxfId="4693" priority="43">
      <formula>#REF!="TO"</formula>
    </cfRule>
    <cfRule type="expression" dxfId="4692" priority="44">
      <formula>#REF!="IO"</formula>
    </cfRule>
    <cfRule type="expression" dxfId="4691" priority="45">
      <formula>#REF!="L"</formula>
    </cfRule>
    <cfRule type="expression" dxfId="4690" priority="40">
      <formula>#REF!="TO"</formula>
    </cfRule>
    <cfRule type="expression" dxfId="4689" priority="41">
      <formula>#REF!="IO"</formula>
    </cfRule>
    <cfRule type="expression" dxfId="4688" priority="42">
      <formula>#REF!="L"</formula>
    </cfRule>
  </conditionalFormatting>
  <conditionalFormatting sqref="AT36">
    <cfRule type="expression" dxfId="4687" priority="37">
      <formula>#REF!="TO"</formula>
    </cfRule>
    <cfRule type="expression" dxfId="4686" priority="38">
      <formula>#REF!="IO"</formula>
    </cfRule>
    <cfRule type="expression" dxfId="4685" priority="39">
      <formula>#REF!="L"</formula>
    </cfRule>
    <cfRule type="expression" dxfId="4684" priority="34">
      <formula>#REF!="TO"</formula>
    </cfRule>
    <cfRule type="expression" dxfId="4683" priority="35">
      <formula>#REF!="IO"</formula>
    </cfRule>
    <cfRule type="expression" dxfId="4682" priority="36">
      <formula>#REF!="L"</formula>
    </cfRule>
    <cfRule type="expression" dxfId="4681" priority="22">
      <formula>#REF!="TO"</formula>
    </cfRule>
    <cfRule type="expression" dxfId="4680" priority="23">
      <formula>#REF!="IO"</formula>
    </cfRule>
    <cfRule type="expression" dxfId="4679" priority="24">
      <formula>#REF!="L"</formula>
    </cfRule>
  </conditionalFormatting>
  <conditionalFormatting sqref="AI36:AN36">
    <cfRule type="expression" dxfId="4678" priority="31">
      <formula>#REF!="TO"</formula>
    </cfRule>
    <cfRule type="expression" dxfId="4677" priority="32">
      <formula>#REF!="IO"</formula>
    </cfRule>
    <cfRule type="expression" dxfId="4676" priority="33">
      <formula>#REF!="L"</formula>
    </cfRule>
    <cfRule type="expression" dxfId="4675" priority="19">
      <formula>#REF!="TO"</formula>
    </cfRule>
    <cfRule type="expression" dxfId="4674" priority="20">
      <formula>#REF!="IO"</formula>
    </cfRule>
    <cfRule type="expression" dxfId="4673" priority="21">
      <formula>#REF!="L"</formula>
    </cfRule>
  </conditionalFormatting>
  <conditionalFormatting sqref="AO36:AQ36">
    <cfRule type="expression" dxfId="4672" priority="28">
      <formula>#REF!="TO"</formula>
    </cfRule>
    <cfRule type="expression" dxfId="4671" priority="29">
      <formula>#REF!="IO"</formula>
    </cfRule>
    <cfRule type="expression" dxfId="4670" priority="30">
      <formula>#REF!="L"</formula>
    </cfRule>
    <cfRule type="expression" dxfId="4669" priority="16">
      <formula>#REF!="TO"</formula>
    </cfRule>
    <cfRule type="expression" dxfId="4668" priority="17">
      <formula>#REF!="IO"</formula>
    </cfRule>
    <cfRule type="expression" dxfId="4667" priority="18">
      <formula>#REF!="L"</formula>
    </cfRule>
  </conditionalFormatting>
  <conditionalFormatting sqref="AR36:AS36">
    <cfRule type="expression" dxfId="4666" priority="25">
      <formula>#REF!="TO"</formula>
    </cfRule>
    <cfRule type="expression" dxfId="4665" priority="26">
      <formula>#REF!="IO"</formula>
    </cfRule>
    <cfRule type="expression" dxfId="4664" priority="27">
      <formula>#REF!="L"</formula>
    </cfRule>
    <cfRule type="expression" dxfId="4663" priority="13">
      <formula>#REF!="TO"</formula>
    </cfRule>
    <cfRule type="expression" dxfId="4662" priority="14">
      <formula>#REF!="IO"</formula>
    </cfRule>
    <cfRule type="expression" dxfId="4661" priority="15">
      <formula>#REF!="L"</formula>
    </cfRule>
  </conditionalFormatting>
  <conditionalFormatting sqref="AU36">
    <cfRule type="expression" dxfId="4660" priority="10">
      <formula>#REF!="TO"</formula>
    </cfRule>
    <cfRule type="expression" dxfId="4659" priority="11">
      <formula>#REF!="IO"</formula>
    </cfRule>
    <cfRule type="expression" dxfId="4658" priority="12">
      <formula>#REF!="L"</formula>
    </cfRule>
    <cfRule type="expression" dxfId="4657" priority="7">
      <formula>#REF!="TO"</formula>
    </cfRule>
    <cfRule type="expression" dxfId="4656" priority="8">
      <formula>#REF!="IO"</formula>
    </cfRule>
    <cfRule type="expression" dxfId="4655" priority="9">
      <formula>#REF!="L"</formula>
    </cfRule>
    <cfRule type="expression" dxfId="4654" priority="4">
      <formula>#REF!="TO"</formula>
    </cfRule>
    <cfRule type="expression" dxfId="4653" priority="5">
      <formula>#REF!="IO"</formula>
    </cfRule>
    <cfRule type="expression" dxfId="4652" priority="6">
      <formula>#REF!="L"</formula>
    </cfRule>
    <cfRule type="expression" dxfId="4651" priority="1">
      <formula>#REF!="TO"</formula>
    </cfRule>
    <cfRule type="expression" dxfId="4650" priority="2">
      <formula>#REF!="IO"</formula>
    </cfRule>
    <cfRule type="expression" dxfId="4649" priority="3">
      <formula>#REF!="L"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BD105"/>
  <sheetViews>
    <sheetView showGridLines="0" workbookViewId="0">
      <selection activeCell="B8" sqref="B8"/>
    </sheetView>
  </sheetViews>
  <sheetFormatPr defaultRowHeight="15" x14ac:dyDescent="0.25"/>
  <cols>
    <col min="1" max="1" width="1.5703125" style="186" customWidth="1"/>
    <col min="2" max="2" width="14.7109375" style="186" customWidth="1"/>
    <col min="3" max="3" width="19.5703125" style="186" bestFit="1" customWidth="1"/>
    <col min="4" max="6" width="16.85546875" style="186" bestFit="1" customWidth="1"/>
    <col min="7" max="7" width="15.85546875" style="186" bestFit="1" customWidth="1"/>
    <col min="9" max="9" width="13.42578125" style="186" bestFit="1" customWidth="1"/>
    <col min="10" max="10" width="15" style="186" bestFit="1" customWidth="1"/>
    <col min="11" max="11" width="14.42578125" style="186" customWidth="1"/>
    <col min="12" max="12" width="13.140625" style="186" customWidth="1"/>
    <col min="13" max="13" width="10.7109375" style="186" bestFit="1" customWidth="1"/>
    <col min="14" max="15" width="10.7109375" style="186" customWidth="1"/>
    <col min="16" max="16" width="1.5703125" style="186" customWidth="1"/>
    <col min="17" max="17" width="11.5703125" style="186" bestFit="1" customWidth="1"/>
    <col min="18" max="22" width="11.5703125" style="186" customWidth="1"/>
    <col min="23" max="23" width="1.5703125" style="186" customWidth="1"/>
    <col min="24" max="24" width="11.5703125" style="186" bestFit="1" customWidth="1"/>
    <col min="25" max="29" width="11.5703125" style="186" customWidth="1"/>
    <col min="30" max="30" width="1.5703125" style="186" customWidth="1"/>
    <col min="31" max="31" width="11.5703125" style="186" bestFit="1" customWidth="1"/>
    <col min="32" max="36" width="11.5703125" style="186" customWidth="1"/>
    <col min="37" max="38" width="5.7109375" style="186" customWidth="1"/>
    <col min="39" max="39" width="14.28515625" style="312" bestFit="1" customWidth="1"/>
    <col min="44" max="44" width="5.7109375" style="186" customWidth="1"/>
    <col min="50" max="50" width="5.7109375" style="186" customWidth="1"/>
  </cols>
  <sheetData>
    <row r="1" spans="1:55" ht="13.5" customHeight="1" thickBot="1" x14ac:dyDescent="0.3">
      <c r="N1" s="602" t="s">
        <v>176</v>
      </c>
      <c r="O1" s="604" t="s">
        <v>177</v>
      </c>
      <c r="Q1" s="439" t="s">
        <v>232</v>
      </c>
      <c r="R1" s="440"/>
      <c r="S1" s="440"/>
      <c r="T1" s="440"/>
      <c r="U1" s="440"/>
      <c r="V1" s="441"/>
      <c r="X1" s="439" t="s">
        <v>233</v>
      </c>
      <c r="Y1" s="440"/>
      <c r="Z1" s="440"/>
      <c r="AA1" s="440"/>
      <c r="AB1" s="440"/>
      <c r="AC1" s="441"/>
      <c r="AE1" s="439" t="s">
        <v>234</v>
      </c>
      <c r="AF1" s="440"/>
      <c r="AG1" s="440"/>
      <c r="AH1" s="440"/>
      <c r="AI1" s="440"/>
      <c r="AJ1" s="441"/>
      <c r="AM1" s="439" t="s">
        <v>235</v>
      </c>
      <c r="AN1" s="440"/>
      <c r="AO1" s="440"/>
      <c r="AP1" s="440"/>
      <c r="AQ1" s="441"/>
      <c r="AS1" s="439" t="s">
        <v>236</v>
      </c>
      <c r="AT1" s="440"/>
      <c r="AU1" s="440"/>
      <c r="AV1" s="440"/>
      <c r="AW1" s="441"/>
      <c r="AY1" s="439" t="s">
        <v>237</v>
      </c>
      <c r="AZ1" s="440"/>
      <c r="BA1" s="440"/>
      <c r="BB1" s="440"/>
      <c r="BC1" s="441"/>
    </row>
    <row r="2" spans="1:55" ht="25.5" customHeight="1" thickBot="1" x14ac:dyDescent="0.3">
      <c r="N2" s="603"/>
      <c r="O2" s="605"/>
      <c r="Q2" s="381" t="s">
        <v>156</v>
      </c>
      <c r="R2" s="382" t="s">
        <v>159</v>
      </c>
      <c r="S2" s="382" t="s">
        <v>162</v>
      </c>
      <c r="T2" s="382" t="s">
        <v>165</v>
      </c>
      <c r="U2" s="382" t="s">
        <v>172</v>
      </c>
      <c r="V2" s="378" t="s">
        <v>238</v>
      </c>
      <c r="X2" s="381" t="s">
        <v>156</v>
      </c>
      <c r="Y2" s="382" t="s">
        <v>159</v>
      </c>
      <c r="Z2" s="382" t="s">
        <v>162</v>
      </c>
      <c r="AA2" s="382" t="s">
        <v>165</v>
      </c>
      <c r="AB2" s="382" t="s">
        <v>172</v>
      </c>
      <c r="AC2" s="378" t="s">
        <v>238</v>
      </c>
      <c r="AE2" s="381" t="s">
        <v>156</v>
      </c>
      <c r="AF2" s="382" t="s">
        <v>159</v>
      </c>
      <c r="AG2" s="382" t="s">
        <v>162</v>
      </c>
      <c r="AH2" s="382" t="s">
        <v>165</v>
      </c>
      <c r="AI2" s="382" t="s">
        <v>172</v>
      </c>
      <c r="AJ2" s="378" t="s">
        <v>238</v>
      </c>
      <c r="AM2" s="381" t="s">
        <v>156</v>
      </c>
      <c r="AN2" s="382" t="s">
        <v>159</v>
      </c>
      <c r="AO2" s="382" t="s">
        <v>162</v>
      </c>
      <c r="AP2" s="382" t="s">
        <v>165</v>
      </c>
      <c r="AQ2" s="384" t="s">
        <v>172</v>
      </c>
      <c r="AS2" s="381" t="s">
        <v>156</v>
      </c>
      <c r="AT2" s="382" t="s">
        <v>159</v>
      </c>
      <c r="AU2" s="382" t="s">
        <v>162</v>
      </c>
      <c r="AV2" s="382" t="s">
        <v>165</v>
      </c>
      <c r="AW2" s="384" t="s">
        <v>172</v>
      </c>
      <c r="AY2" s="381" t="s">
        <v>156</v>
      </c>
      <c r="AZ2" s="382" t="s">
        <v>159</v>
      </c>
      <c r="BA2" s="382" t="s">
        <v>162</v>
      </c>
      <c r="BB2" s="382" t="s">
        <v>165</v>
      </c>
      <c r="BC2" s="384" t="s">
        <v>172</v>
      </c>
    </row>
    <row r="3" spans="1:55" ht="15.75" customHeight="1" thickBot="1" x14ac:dyDescent="0.3">
      <c r="B3" s="8" t="s">
        <v>239</v>
      </c>
      <c r="C3" s="8" t="s">
        <v>240</v>
      </c>
      <c r="D3" s="8" t="s">
        <v>241</v>
      </c>
      <c r="E3" s="8" t="s">
        <v>242</v>
      </c>
      <c r="F3" s="8" t="s">
        <v>54</v>
      </c>
      <c r="G3" s="8" t="s">
        <v>243</v>
      </c>
      <c r="H3" s="8" t="s">
        <v>244</v>
      </c>
      <c r="I3" s="8" t="s">
        <v>109</v>
      </c>
      <c r="J3" s="8" t="s">
        <v>245</v>
      </c>
      <c r="K3" s="8" t="s">
        <v>246</v>
      </c>
      <c r="L3" s="8" t="s">
        <v>247</v>
      </c>
      <c r="N3" s="314">
        <v>43252</v>
      </c>
      <c r="O3" s="389">
        <f>IF($N3&lt;=baseData, INDEX(Indicadores!B:B, MATCH($N3,Indicadores!A:A, 0)), INDEX(Indicadores!B:B, MATCH(baseData,Indicadores!A:A, 0)))</f>
        <v>733.98400000000004</v>
      </c>
      <c r="P3" s="376"/>
      <c r="Q3" s="397">
        <f>IF($N3&lt;=baseData, -INDEX('Fluxo Investidores'!$L$2:$X$86, MATCH($N3, 'Fluxo Investidores'!$A$2:$A$86, 0), MATCH(Q$2, 'Fluxo Investidores'!$L$1:$X$1, 0)), 0)</f>
        <v>0</v>
      </c>
      <c r="R3" s="390">
        <f>IF($N3&lt;=baseData, -INDEX('Fluxo Investidores'!$L$2:$X$86, MATCH($N3, 'Fluxo Investidores'!$A$2:$A$86, 0), MATCH(R$2, 'Fluxo Investidores'!$L$1:$X$1, 0)), 0)</f>
        <v>0</v>
      </c>
      <c r="S3" s="390">
        <f>IF($N3&lt;=baseData, -INDEX('Fluxo Investidores'!$L$2:$X$86, MATCH($N3, 'Fluxo Investidores'!$A$2:$A$86, 0), MATCH(S$2, 'Fluxo Investidores'!$L$1:$X$1, 0)), 0)</f>
        <v>0</v>
      </c>
      <c r="T3" s="390">
        <f>IF($N3&lt;=baseData, -INDEX('Fluxo Investidores'!$L$2:$X$86, MATCH($N3, 'Fluxo Investidores'!$A$2:$A$86, 0), MATCH(T$2, 'Fluxo Investidores'!$L$1:$X$1, 0)), 0)</f>
        <v>0</v>
      </c>
      <c r="U3" s="390">
        <f>IF($N3&lt;=baseData, -INDEX('Fluxo Investidores'!$L$2:$X$86, MATCH($N3, 'Fluxo Investidores'!$A$2:$A$86, 0), MATCH(U$2, 'Fluxo Investidores'!$L$1:$X$1, 0)), 0)</f>
        <v>0</v>
      </c>
      <c r="V3" s="393">
        <f t="shared" ref="V3:V34" si="0">SUM(Q3:U3)</f>
        <v>0</v>
      </c>
      <c r="W3" s="376"/>
      <c r="X3" s="430">
        <f t="shared" ref="X3:X31" si="1">IF($N3&lt;=baseData, INDEX($I$21:$I$25, MATCH(X$2, $B$21:$B$25, 0))*Q3, IF(OR($N3=EDATE(inicioObra, -1), $N3=EDATE(inicioObra, 13)), INDEX($L$4:$L$10, MATCH(X$2, $J$4:$J$10, 0)), 0))</f>
        <v>0</v>
      </c>
      <c r="Y3" s="431">
        <f t="shared" ref="Y3:Y31" si="2">IF($N3&lt;=baseData, INDEX($I$21:$I$25, MATCH(Y$2, $B$21:$B$25, 0))*R3, IF(OR($N3=EDATE(inicioObra, -1), $N3=EDATE(inicioObra, 13)), INDEX($L$4:$L$10, MATCH(Y$2, $J$4:$J$10, 0)), 0))</f>
        <v>0</v>
      </c>
      <c r="Z3" s="431">
        <f t="shared" ref="Z3:Z31" si="3">IF($N3&lt;=baseData, INDEX($I$21:$I$25, MATCH(Z$2, $B$21:$B$25, 0))*S3, IF(OR($N3=EDATE(inicioObra, -1), $N3=EDATE(inicioObra, 13)), INDEX($L$4:$L$10, MATCH(Z$2, $J$4:$J$10, 0)), 0))</f>
        <v>0</v>
      </c>
      <c r="AA3" s="431">
        <f t="shared" ref="AA3:AA31" si="4">IF($N3&lt;=baseData, INDEX($I$21:$I$25, MATCH(AA$2, $B$21:$B$25, 0))*T3, IF(OR($N3=EDATE(inicioObra, -1), $N3=EDATE(inicioObra, 13)), INDEX($L$4:$L$10, MATCH(AA$2, $J$4:$J$10, 0)), 0))</f>
        <v>0</v>
      </c>
      <c r="AB3" s="431">
        <f t="shared" ref="AB3:AB31" si="5">IF($N3&lt;=baseData, INDEX($I$21:$I$25, MATCH(AB$2, $B$21:$B$25, 0))*U3, IF(OR($N3=EDATE(inicioObra, -1), $N3=EDATE(inicioObra, 13)), INDEX($L$4:$L$10, MATCH(AB$2, $J$4:$J$10, 0)), 0))</f>
        <v>0</v>
      </c>
      <c r="AC3" s="442">
        <f t="shared" ref="AC3:AC34" si="6">SUM(X3:AB3)</f>
        <v>0</v>
      </c>
      <c r="AD3" s="443"/>
      <c r="AE3" s="430">
        <f t="shared" ref="AE3:AE31" si="7">IF($N3&lt;=baseData, X3*IFERROR(INDEX($F$30:$F$34, MATCH($N3, $C$30:$C$34, 0)), 0), IF(OR($N3=EDATE(inicioObra, -1), $N3=EDATE(inicioObra, 13)), INDEX($J$21:$J$25, MATCH(AE$2, $B$21:$B$25, 0)), 0))</f>
        <v>0</v>
      </c>
      <c r="AF3" s="431">
        <f t="shared" ref="AF3:AF31" si="8">IF($N3&lt;=baseData, Y3*IFERROR(INDEX($F$30:$F$34, MATCH($N3, $C$30:$C$34, 0)), 0), IF(OR($N3=EDATE(inicioObra, -1), $N3=EDATE(inicioObra, 13)), INDEX($J$21:$J$25, MATCH(AF$2, $B$21:$B$25, 0)), 0))</f>
        <v>0</v>
      </c>
      <c r="AG3" s="431">
        <f t="shared" ref="AG3:AG31" si="9">IF($N3&lt;=baseData, Z3*IFERROR(INDEX($F$30:$F$34, MATCH($N3, $C$30:$C$34, 0)), 0), IF(OR($N3=EDATE(inicioObra, -1), $N3=EDATE(inicioObra, 13)), INDEX($J$21:$J$25, MATCH(AG$2, $B$21:$B$25, 0)), 0))</f>
        <v>0</v>
      </c>
      <c r="AH3" s="431">
        <f t="shared" ref="AH3:AH31" si="10">IF($N3&lt;=baseData, AA3*IFERROR(INDEX($F$30:$F$34, MATCH($N3, $C$30:$C$34, 0)), 0), IF(OR($N3=EDATE(inicioObra, -1), $N3=EDATE(inicioObra, 13)), INDEX($J$21:$J$25, MATCH(AH$2, $B$21:$B$25, 0)), 0))</f>
        <v>0</v>
      </c>
      <c r="AI3" s="431">
        <f t="shared" ref="AI3:AI31" si="11">IF($N3&lt;=baseData, AB3*IFERROR(INDEX($F$30:$F$34, MATCH($N3, $C$30:$C$34, 0)), 0), IF(OR($N3=EDATE(inicioObra, -1), $N3=EDATE(inicioObra, 13)), INDEX($J$21:$J$25, MATCH(AI$2, $B$21:$B$25, 0)), 0))</f>
        <v>0</v>
      </c>
      <c r="AJ3" s="442">
        <f t="shared" ref="AJ3:AJ34" si="12">SUM(AE3:AI3)</f>
        <v>0</v>
      </c>
      <c r="AM3" s="394"/>
      <c r="AN3" s="395"/>
      <c r="AO3" s="395"/>
      <c r="AP3" s="395"/>
      <c r="AQ3" s="396"/>
      <c r="AS3" s="394">
        <f>X3</f>
        <v>0</v>
      </c>
      <c r="AT3" s="395">
        <f>Y3</f>
        <v>0</v>
      </c>
      <c r="AU3" s="395">
        <f>Z3</f>
        <v>0</v>
      </c>
      <c r="AV3" s="395">
        <f>AA3</f>
        <v>0</v>
      </c>
      <c r="AW3" s="396">
        <f>AB3</f>
        <v>0</v>
      </c>
      <c r="AY3" s="394">
        <f>IF($N3&lt;=baseData, IFERROR(INDEX('Fluxo Bandeira Co'!$W:$W, MATCH($N3, 'Fluxo Bandeira Co'!$A:$A, 0))*Permutas!AS3/(SUMIF('Fluxo Investidores'!$A:$A, "&lt;="&amp;$N3, 'Fluxo Investidores'!$Z:$Z)+SUMIF('Fluxo Investidores'!$A:$A, "&lt;="&amp;$N3, 'Fluxo Investidores'!$AA:$AA)), 0), IF($N3&lt;=terminoProjeto, -((1+txAdmKinea)^(1/12)-1)*AS2, 0))</f>
        <v>0</v>
      </c>
      <c r="AZ3" s="395">
        <f>IF($N3&lt;=baseData, IFERROR(INDEX('Fluxo Bandeira Co'!$W:$W, MATCH($N3, 'Fluxo Bandeira Co'!$A:$A, 0))*Permutas!AT3/(SUMIF('Fluxo Investidores'!$A:$A, "&lt;="&amp;$N3, 'Fluxo Investidores'!$Z:$Z)+SUMIF('Fluxo Investidores'!$A:$A, "&lt;="&amp;$N3, 'Fluxo Investidores'!$AA:$AA)), 0), IF($N3&lt;=terminoProjeto, -((1+txAdmKinea)^(1/12)-1)*AT2, 0))</f>
        <v>0</v>
      </c>
      <c r="BA3" s="395">
        <f>IF($N3&lt;=baseData, IFERROR(INDEX('Fluxo Bandeira Co'!$W:$W, MATCH($N3, 'Fluxo Bandeira Co'!$A:$A, 0))*Permutas!AU3/(SUMIF('Fluxo Investidores'!$A:$A, "&lt;="&amp;$N3, 'Fluxo Investidores'!$Z:$Z)+SUMIF('Fluxo Investidores'!$A:$A, "&lt;="&amp;$N3, 'Fluxo Investidores'!$AA:$AA)), 0), IF($N3&lt;=terminoProjeto, -((1+txAdmKinea)^(1/12)-1)*AU2, 0))</f>
        <v>0</v>
      </c>
      <c r="BB3" s="395">
        <f>IF($N3&lt;=baseData, IFERROR(INDEX('Fluxo Bandeira Co'!$W:$W, MATCH($N3, 'Fluxo Bandeira Co'!$A:$A, 0))*Permutas!AV3/(SUMIF('Fluxo Investidores'!$A:$A, "&lt;="&amp;$N3, 'Fluxo Investidores'!$Z:$Z)+SUMIF('Fluxo Investidores'!$A:$A, "&lt;="&amp;$N3, 'Fluxo Investidores'!$AA:$AA)), 0), IF($N3&lt;=terminoProjeto, -((1+txAdmKinea)^(1/12)-1)*AV2, 0))</f>
        <v>0</v>
      </c>
      <c r="BC3" s="396">
        <f>IF($N3&lt;=baseData, IFERROR(INDEX('Fluxo Bandeira Co'!$W:$W, MATCH($N3, 'Fluxo Bandeira Co'!$A:$A, 0))*Permutas!AW3/(SUMIF('Fluxo Investidores'!$A:$A, "&lt;="&amp;$N3, 'Fluxo Investidores'!$Z:$Z)+SUMIF('Fluxo Investidores'!$A:$A, "&lt;="&amp;$N3, 'Fluxo Investidores'!$AA:$AA)), 0), IF($N3&lt;=terminoProjeto, -((1+txAdmKinea)^(1/12)-1)*AW2, 0))</f>
        <v>0</v>
      </c>
    </row>
    <row r="4" spans="1:55" x14ac:dyDescent="0.25">
      <c r="B4" s="4" t="str">
        <f t="shared" ref="B4:B10" si="13">IF(LEN(C4)=2, CONCATENATE("B-0",C4), CONCATENATE("B-", C4))</f>
        <v>B-102</v>
      </c>
      <c r="C4" s="4">
        <v>102</v>
      </c>
      <c r="D4" s="4" t="str">
        <f t="shared" ref="D4:D10" si="14">RIGHT(C4, 1)</f>
        <v>2</v>
      </c>
      <c r="E4" s="4">
        <v>147.30000000000001</v>
      </c>
      <c r="F4" s="4" t="s">
        <v>54</v>
      </c>
      <c r="G4" s="4">
        <v>2</v>
      </c>
      <c r="H4" s="4" t="str">
        <f t="shared" ref="H4:H10" si="15">IF(LEN(C4)=2, LEFT(C4, 1), LEFT(C4, 2))</f>
        <v>10</v>
      </c>
      <c r="I4" s="4" t="s">
        <v>248</v>
      </c>
      <c r="J4" s="221" t="s">
        <v>165</v>
      </c>
      <c r="K4" s="444">
        <f>2045689+E4*C26</f>
        <v>2253897.5499999998</v>
      </c>
      <c r="L4" s="444">
        <f>IFERROR(INDEX($AM$3:$AQ$81, MATCH(baseData, $N$3:$N$81, 0), MATCH($J4, $AM$2:$AQ$2, 0)), "")-SUMIF($N$3:$N$81, "&lt;="&amp;baseData, $BB$3:$BB$81)</f>
        <v>573004.9021556119</v>
      </c>
      <c r="N4" s="315">
        <f t="shared" ref="N4:N35" si="16">EDATE(N3, 1)</f>
        <v>43282</v>
      </c>
      <c r="O4" s="389">
        <f>IF($N4&lt;=baseData, INDEX(Indicadores!B:B, MATCH($N4,Indicadores!A:A, 0)), INDEX(Indicadores!B:B, MATCH(baseData,Indicadores!A:A, 0)))</f>
        <v>738.48699999999997</v>
      </c>
      <c r="P4" s="390"/>
      <c r="Q4" s="397">
        <f>IF($N4&lt;=baseData, -INDEX('Fluxo Investidores'!$L$2:$X$86, MATCH($N4, 'Fluxo Investidores'!$A$2:$A$86, 0), MATCH(Q$2, 'Fluxo Investidores'!$L$1:$X$1, 0)), 0)</f>
        <v>0</v>
      </c>
      <c r="R4" s="390">
        <f>IF($N4&lt;=baseData, -INDEX('Fluxo Investidores'!$L$2:$X$86, MATCH($N4, 'Fluxo Investidores'!$A$2:$A$86, 0), MATCH(R$2, 'Fluxo Investidores'!$L$1:$X$1, 0)), 0)</f>
        <v>0</v>
      </c>
      <c r="S4" s="390">
        <f>IF($N4&lt;=baseData, -INDEX('Fluxo Investidores'!$L$2:$X$86, MATCH($N4, 'Fluxo Investidores'!$A$2:$A$86, 0), MATCH(S$2, 'Fluxo Investidores'!$L$1:$X$1, 0)), 0)</f>
        <v>0</v>
      </c>
      <c r="T4" s="390">
        <f>IF($N4&lt;=baseData, -INDEX('Fluxo Investidores'!$L$2:$X$86, MATCH($N4, 'Fluxo Investidores'!$A$2:$A$86, 0), MATCH(T$2, 'Fluxo Investidores'!$L$1:$X$1, 0)), 0)</f>
        <v>0</v>
      </c>
      <c r="U4" s="390">
        <f>IF($N4&lt;=baseData, -INDEX('Fluxo Investidores'!$L$2:$X$86, MATCH($N4, 'Fluxo Investidores'!$A$2:$A$86, 0), MATCH(U$2, 'Fluxo Investidores'!$L$1:$X$1, 0)), 0)</f>
        <v>0</v>
      </c>
      <c r="V4" s="393">
        <f t="shared" si="0"/>
        <v>0</v>
      </c>
      <c r="W4" s="390"/>
      <c r="X4" s="430">
        <f t="shared" si="1"/>
        <v>0</v>
      </c>
      <c r="Y4" s="431">
        <f t="shared" si="2"/>
        <v>0</v>
      </c>
      <c r="Z4" s="431">
        <f t="shared" si="3"/>
        <v>0</v>
      </c>
      <c r="AA4" s="431">
        <f t="shared" si="4"/>
        <v>0</v>
      </c>
      <c r="AB4" s="431">
        <f t="shared" si="5"/>
        <v>0</v>
      </c>
      <c r="AC4" s="442">
        <f t="shared" si="6"/>
        <v>0</v>
      </c>
      <c r="AD4" s="395"/>
      <c r="AE4" s="430">
        <f t="shared" si="7"/>
        <v>0</v>
      </c>
      <c r="AF4" s="431">
        <f t="shared" si="8"/>
        <v>0</v>
      </c>
      <c r="AG4" s="431">
        <f t="shared" si="9"/>
        <v>0</v>
      </c>
      <c r="AH4" s="431">
        <f t="shared" si="10"/>
        <v>0</v>
      </c>
      <c r="AI4" s="431">
        <f t="shared" si="11"/>
        <v>0</v>
      </c>
      <c r="AJ4" s="442">
        <f t="shared" si="12"/>
        <v>0</v>
      </c>
      <c r="AM4" s="394"/>
      <c r="AN4" s="395"/>
      <c r="AO4" s="395"/>
      <c r="AP4" s="395"/>
      <c r="AQ4" s="396"/>
      <c r="AS4" s="394">
        <f t="shared" ref="AS4:AS35" si="17">AS3+X4</f>
        <v>0</v>
      </c>
      <c r="AT4" s="395">
        <f t="shared" ref="AT4:AT35" si="18">AT3+Y4</f>
        <v>0</v>
      </c>
      <c r="AU4" s="395">
        <f t="shared" ref="AU4:AU35" si="19">AU3+Z4</f>
        <v>0</v>
      </c>
      <c r="AV4" s="395">
        <f t="shared" ref="AV4:AV35" si="20">AV3+AA4</f>
        <v>0</v>
      </c>
      <c r="AW4" s="396">
        <f t="shared" ref="AW4:AW35" si="21">AW3+AB4</f>
        <v>0</v>
      </c>
      <c r="AY4" s="394">
        <f>IF($N4&lt;=baseData, IFERROR(INDEX('Fluxo Bandeira Co'!$W:$W, MATCH($N4, 'Fluxo Bandeira Co'!$A:$A, 0))*Permutas!AS4/(SUMIF('Fluxo Investidores'!$A:$A, "&lt;="&amp;$N4, 'Fluxo Investidores'!$Z:$Z)+SUMIF('Fluxo Investidores'!$A:$A, "&lt;="&amp;$N4, 'Fluxo Investidores'!$AA:$AA)), 0), IF($N4&lt;=terminoProjeto, -((1+txAdmKinea)^(1/12)-1)*AS3, 0))</f>
        <v>0</v>
      </c>
      <c r="AZ4" s="395">
        <f>IF($N4&lt;=baseData, IFERROR(INDEX('Fluxo Bandeira Co'!$W:$W, MATCH($N4, 'Fluxo Bandeira Co'!$A:$A, 0))*Permutas!AT4/(SUMIF('Fluxo Investidores'!$A:$A, "&lt;="&amp;$N4, 'Fluxo Investidores'!$Z:$Z)+SUMIF('Fluxo Investidores'!$A:$A, "&lt;="&amp;$N4, 'Fluxo Investidores'!$AA:$AA)), 0), IF($N4&lt;=terminoProjeto, -((1+txAdmKinea)^(1/12)-1)*AT3, 0))</f>
        <v>0</v>
      </c>
      <c r="BA4" s="395">
        <f>IF($N4&lt;=baseData, IFERROR(INDEX('Fluxo Bandeira Co'!$W:$W, MATCH($N4, 'Fluxo Bandeira Co'!$A:$A, 0))*Permutas!AU4/(SUMIF('Fluxo Investidores'!$A:$A, "&lt;="&amp;$N4, 'Fluxo Investidores'!$Z:$Z)+SUMIF('Fluxo Investidores'!$A:$A, "&lt;="&amp;$N4, 'Fluxo Investidores'!$AA:$AA)), 0), IF($N4&lt;=terminoProjeto, -((1+txAdmKinea)^(1/12)-1)*AU3, 0))</f>
        <v>0</v>
      </c>
      <c r="BB4" s="395">
        <f>IF($N4&lt;=baseData, IFERROR(INDEX('Fluxo Bandeira Co'!$W:$W, MATCH($N4, 'Fluxo Bandeira Co'!$A:$A, 0))*Permutas!AV4/(SUMIF('Fluxo Investidores'!$A:$A, "&lt;="&amp;$N4, 'Fluxo Investidores'!$Z:$Z)+SUMIF('Fluxo Investidores'!$A:$A, "&lt;="&amp;$N4, 'Fluxo Investidores'!$AA:$AA)), 0), IF($N4&lt;=terminoProjeto, -((1+txAdmKinea)^(1/12)-1)*AV3, 0))</f>
        <v>0</v>
      </c>
      <c r="BC4" s="396">
        <f>IF($N4&lt;=baseData, IFERROR(INDEX('Fluxo Bandeira Co'!$W:$W, MATCH($N4, 'Fluxo Bandeira Co'!$A:$A, 0))*Permutas!AW4/(SUMIF('Fluxo Investidores'!$A:$A, "&lt;="&amp;$N4, 'Fluxo Investidores'!$Z:$Z)+SUMIF('Fluxo Investidores'!$A:$A, "&lt;="&amp;$N4, 'Fluxo Investidores'!$AA:$AA)), 0), IF($N4&lt;=terminoProjeto, -((1+txAdmKinea)^(1/12)-1)*AW3, 0))</f>
        <v>0</v>
      </c>
    </row>
    <row r="5" spans="1:55" x14ac:dyDescent="0.25">
      <c r="B5" s="4" t="str">
        <f t="shared" si="13"/>
        <v>B-142</v>
      </c>
      <c r="C5" s="4">
        <v>142</v>
      </c>
      <c r="D5" s="4" t="str">
        <f t="shared" si="14"/>
        <v>2</v>
      </c>
      <c r="E5" s="4">
        <v>147.5</v>
      </c>
      <c r="F5" s="4" t="s">
        <v>54</v>
      </c>
      <c r="G5" s="4">
        <v>2</v>
      </c>
      <c r="H5" s="4" t="str">
        <f t="shared" si="15"/>
        <v>14</v>
      </c>
      <c r="I5" s="4" t="s">
        <v>248</v>
      </c>
      <c r="J5" s="221" t="s">
        <v>162</v>
      </c>
      <c r="K5" s="444">
        <f>2086603+E5*C26</f>
        <v>2295094.25</v>
      </c>
      <c r="L5" s="444">
        <f>IFERROR(INDEX($AM$3:$AQ$81, MATCH(baseData, $N$3:$N$81, 0), MATCH($J5, $AM$2:$AQ$2, 0)), "")-SUMIF($N$3:$N$81, "&lt;="&amp;baseData, $BA$3:$BA$81)</f>
        <v>536527.64404594596</v>
      </c>
      <c r="N5" s="315">
        <f t="shared" si="16"/>
        <v>43313</v>
      </c>
      <c r="O5" s="389">
        <f>IF($N5&lt;=baseData, INDEX(Indicadores!B:B, MATCH($N5,Indicadores!A:A, 0)), INDEX(Indicadores!B:B, MATCH(baseData,Indicadores!A:A, 0)))</f>
        <v>739.58299999999997</v>
      </c>
      <c r="P5" s="390"/>
      <c r="Q5" s="397">
        <f>IF($N5&lt;=baseData, -INDEX('Fluxo Investidores'!$L$2:$X$86, MATCH($N5, 'Fluxo Investidores'!$A$2:$A$86, 0), MATCH(Q$2, 'Fluxo Investidores'!$L$1:$X$1, 0)), 0)</f>
        <v>0</v>
      </c>
      <c r="R5" s="390">
        <f>IF($N5&lt;=baseData, -INDEX('Fluxo Investidores'!$L$2:$X$86, MATCH($N5, 'Fluxo Investidores'!$A$2:$A$86, 0), MATCH(R$2, 'Fluxo Investidores'!$L$1:$X$1, 0)), 0)</f>
        <v>0</v>
      </c>
      <c r="S5" s="390">
        <f>IF($N5&lt;=baseData, -INDEX('Fluxo Investidores'!$L$2:$X$86, MATCH($N5, 'Fluxo Investidores'!$A$2:$A$86, 0), MATCH(S$2, 'Fluxo Investidores'!$L$1:$X$1, 0)), 0)</f>
        <v>0</v>
      </c>
      <c r="T5" s="390">
        <f>IF($N5&lt;=baseData, -INDEX('Fluxo Investidores'!$L$2:$X$86, MATCH($N5, 'Fluxo Investidores'!$A$2:$A$86, 0), MATCH(T$2, 'Fluxo Investidores'!$L$1:$X$1, 0)), 0)</f>
        <v>0</v>
      </c>
      <c r="U5" s="390">
        <f>IF($N5&lt;=baseData, -INDEX('Fluxo Investidores'!$L$2:$X$86, MATCH($N5, 'Fluxo Investidores'!$A$2:$A$86, 0), MATCH(U$2, 'Fluxo Investidores'!$L$1:$X$1, 0)), 0)</f>
        <v>0</v>
      </c>
      <c r="V5" s="393">
        <f t="shared" si="0"/>
        <v>0</v>
      </c>
      <c r="W5" s="390"/>
      <c r="X5" s="430">
        <f t="shared" si="1"/>
        <v>0</v>
      </c>
      <c r="Y5" s="431">
        <f t="shared" si="2"/>
        <v>0</v>
      </c>
      <c r="Z5" s="431">
        <f t="shared" si="3"/>
        <v>0</v>
      </c>
      <c r="AA5" s="431">
        <f t="shared" si="4"/>
        <v>0</v>
      </c>
      <c r="AB5" s="431">
        <f t="shared" si="5"/>
        <v>0</v>
      </c>
      <c r="AC5" s="442">
        <f t="shared" si="6"/>
        <v>0</v>
      </c>
      <c r="AD5" s="395"/>
      <c r="AE5" s="430">
        <f t="shared" si="7"/>
        <v>0</v>
      </c>
      <c r="AF5" s="431">
        <f t="shared" si="8"/>
        <v>0</v>
      </c>
      <c r="AG5" s="431">
        <f t="shared" si="9"/>
        <v>0</v>
      </c>
      <c r="AH5" s="431">
        <f t="shared" si="10"/>
        <v>0</v>
      </c>
      <c r="AI5" s="431">
        <f t="shared" si="11"/>
        <v>0</v>
      </c>
      <c r="AJ5" s="442">
        <f t="shared" si="12"/>
        <v>0</v>
      </c>
      <c r="AM5" s="394"/>
      <c r="AN5" s="395"/>
      <c r="AO5" s="395"/>
      <c r="AP5" s="395"/>
      <c r="AQ5" s="396"/>
      <c r="AS5" s="394">
        <f t="shared" si="17"/>
        <v>0</v>
      </c>
      <c r="AT5" s="395">
        <f t="shared" si="18"/>
        <v>0</v>
      </c>
      <c r="AU5" s="395">
        <f t="shared" si="19"/>
        <v>0</v>
      </c>
      <c r="AV5" s="395">
        <f t="shared" si="20"/>
        <v>0</v>
      </c>
      <c r="AW5" s="396">
        <f t="shared" si="21"/>
        <v>0</v>
      </c>
      <c r="AY5" s="394">
        <f>IF($N5&lt;=baseData, IFERROR(INDEX('Fluxo Bandeira Co'!$W:$W, MATCH($N5, 'Fluxo Bandeira Co'!$A:$A, 0))*Permutas!AS5/(SUMIF('Fluxo Investidores'!$A:$A, "&lt;="&amp;$N5, 'Fluxo Investidores'!$Z:$Z)+SUMIF('Fluxo Investidores'!$A:$A, "&lt;="&amp;$N5, 'Fluxo Investidores'!$AA:$AA)), 0), IF($N5&lt;=terminoProjeto, -((1+txAdmKinea)^(1/12)-1)*AS4, 0))</f>
        <v>0</v>
      </c>
      <c r="AZ5" s="395">
        <f>IF($N5&lt;=baseData, IFERROR(INDEX('Fluxo Bandeira Co'!$W:$W, MATCH($N5, 'Fluxo Bandeira Co'!$A:$A, 0))*Permutas!AT5/(SUMIF('Fluxo Investidores'!$A:$A, "&lt;="&amp;$N5, 'Fluxo Investidores'!$Z:$Z)+SUMIF('Fluxo Investidores'!$A:$A, "&lt;="&amp;$N5, 'Fluxo Investidores'!$AA:$AA)), 0), IF($N5&lt;=terminoProjeto, -((1+txAdmKinea)^(1/12)-1)*AT4, 0))</f>
        <v>0</v>
      </c>
      <c r="BA5" s="395">
        <f>IF($N5&lt;=baseData, IFERROR(INDEX('Fluxo Bandeira Co'!$W:$W, MATCH($N5, 'Fluxo Bandeira Co'!$A:$A, 0))*Permutas!AU5/(SUMIF('Fluxo Investidores'!$A:$A, "&lt;="&amp;$N5, 'Fluxo Investidores'!$Z:$Z)+SUMIF('Fluxo Investidores'!$A:$A, "&lt;="&amp;$N5, 'Fluxo Investidores'!$AA:$AA)), 0), IF($N5&lt;=terminoProjeto, -((1+txAdmKinea)^(1/12)-1)*AU4, 0))</f>
        <v>0</v>
      </c>
      <c r="BB5" s="395">
        <f>IF($N5&lt;=baseData, IFERROR(INDEX('Fluxo Bandeira Co'!$W:$W, MATCH($N5, 'Fluxo Bandeira Co'!$A:$A, 0))*Permutas!AV5/(SUMIF('Fluxo Investidores'!$A:$A, "&lt;="&amp;$N5, 'Fluxo Investidores'!$Z:$Z)+SUMIF('Fluxo Investidores'!$A:$A, "&lt;="&amp;$N5, 'Fluxo Investidores'!$AA:$AA)), 0), IF($N5&lt;=terminoProjeto, -((1+txAdmKinea)^(1/12)-1)*AV4, 0))</f>
        <v>0</v>
      </c>
      <c r="BC5" s="396">
        <f>IF($N5&lt;=baseData, IFERROR(INDEX('Fluxo Bandeira Co'!$W:$W, MATCH($N5, 'Fluxo Bandeira Co'!$A:$A, 0))*Permutas!AW5/(SUMIF('Fluxo Investidores'!$A:$A, "&lt;="&amp;$N5, 'Fluxo Investidores'!$Z:$Z)+SUMIF('Fluxo Investidores'!$A:$A, "&lt;="&amp;$N5, 'Fluxo Investidores'!$AA:$AA)), 0), IF($N5&lt;=terminoProjeto, -((1+txAdmKinea)^(1/12)-1)*AW4, 0))</f>
        <v>0</v>
      </c>
    </row>
    <row r="6" spans="1:55" x14ac:dyDescent="0.25">
      <c r="B6" s="4" t="str">
        <f t="shared" si="13"/>
        <v>B-152</v>
      </c>
      <c r="C6" s="4">
        <v>152</v>
      </c>
      <c r="D6" s="4" t="str">
        <f t="shared" si="14"/>
        <v>2</v>
      </c>
      <c r="E6" s="4">
        <v>148.9</v>
      </c>
      <c r="F6" s="4" t="s">
        <v>54</v>
      </c>
      <c r="G6" s="4">
        <v>2</v>
      </c>
      <c r="H6" s="4" t="str">
        <f t="shared" si="15"/>
        <v>15</v>
      </c>
      <c r="I6" s="4" t="s">
        <v>249</v>
      </c>
      <c r="J6" s="221" t="s">
        <v>155</v>
      </c>
      <c r="K6" s="444">
        <f>custoPermutaLDI*E6</f>
        <v>2025040</v>
      </c>
      <c r="L6" s="444" t="str">
        <f>IFERROR(INDEX($AM$3:$AQ$81, MATCH(baseData, $N$3:$N$81, 0), MATCH($J6, $AM$2:$AQ$2, 0)), "")</f>
        <v/>
      </c>
      <c r="N6" s="315">
        <f t="shared" si="16"/>
        <v>43344</v>
      </c>
      <c r="O6" s="389">
        <f>IF($N6&lt;=baseData, INDEX(Indicadores!B:B, MATCH($N6,Indicadores!A:A, 0)), INDEX(Indicadores!B:B, MATCH(baseData,Indicadores!A:A, 0)))</f>
        <v>741.30499999999995</v>
      </c>
      <c r="P6" s="390"/>
      <c r="Q6" s="397">
        <f>IF($N6&lt;=baseData, -INDEX('Fluxo Investidores'!$L$2:$X$86, MATCH($N6, 'Fluxo Investidores'!$A$2:$A$86, 0), MATCH(Q$2, 'Fluxo Investidores'!$L$1:$X$1, 0)), 0)</f>
        <v>0</v>
      </c>
      <c r="R6" s="390">
        <f>IF($N6&lt;=baseData, -INDEX('Fluxo Investidores'!$L$2:$X$86, MATCH($N6, 'Fluxo Investidores'!$A$2:$A$86, 0), MATCH(R$2, 'Fluxo Investidores'!$L$1:$X$1, 0)), 0)</f>
        <v>0</v>
      </c>
      <c r="S6" s="390">
        <f>IF($N6&lt;=baseData, -INDEX('Fluxo Investidores'!$L$2:$X$86, MATCH($N6, 'Fluxo Investidores'!$A$2:$A$86, 0), MATCH(S$2, 'Fluxo Investidores'!$L$1:$X$1, 0)), 0)</f>
        <v>0</v>
      </c>
      <c r="T6" s="390">
        <f>IF($N6&lt;=baseData, -INDEX('Fluxo Investidores'!$L$2:$X$86, MATCH($N6, 'Fluxo Investidores'!$A$2:$A$86, 0), MATCH(T$2, 'Fluxo Investidores'!$L$1:$X$1, 0)), 0)</f>
        <v>0</v>
      </c>
      <c r="U6" s="390">
        <f>IF($N6&lt;=baseData, -INDEX('Fluxo Investidores'!$L$2:$X$86, MATCH($N6, 'Fluxo Investidores'!$A$2:$A$86, 0), MATCH(U$2, 'Fluxo Investidores'!$L$1:$X$1, 0)), 0)</f>
        <v>0</v>
      </c>
      <c r="V6" s="393">
        <f t="shared" si="0"/>
        <v>0</v>
      </c>
      <c r="W6" s="390"/>
      <c r="X6" s="430">
        <f t="shared" si="1"/>
        <v>0</v>
      </c>
      <c r="Y6" s="431">
        <f t="shared" si="2"/>
        <v>0</v>
      </c>
      <c r="Z6" s="431">
        <f t="shared" si="3"/>
        <v>0</v>
      </c>
      <c r="AA6" s="431">
        <f t="shared" si="4"/>
        <v>0</v>
      </c>
      <c r="AB6" s="431">
        <f t="shared" si="5"/>
        <v>0</v>
      </c>
      <c r="AC6" s="442">
        <f t="shared" si="6"/>
        <v>0</v>
      </c>
      <c r="AD6" s="395"/>
      <c r="AE6" s="430">
        <f t="shared" si="7"/>
        <v>0</v>
      </c>
      <c r="AF6" s="431">
        <f t="shared" si="8"/>
        <v>0</v>
      </c>
      <c r="AG6" s="431">
        <f t="shared" si="9"/>
        <v>0</v>
      </c>
      <c r="AH6" s="431">
        <f t="shared" si="10"/>
        <v>0</v>
      </c>
      <c r="AI6" s="431">
        <f t="shared" si="11"/>
        <v>0</v>
      </c>
      <c r="AJ6" s="442">
        <f t="shared" si="12"/>
        <v>0</v>
      </c>
      <c r="AM6" s="394"/>
      <c r="AN6" s="395"/>
      <c r="AO6" s="395"/>
      <c r="AP6" s="395"/>
      <c r="AQ6" s="396"/>
      <c r="AS6" s="394">
        <f t="shared" si="17"/>
        <v>0</v>
      </c>
      <c r="AT6" s="395">
        <f t="shared" si="18"/>
        <v>0</v>
      </c>
      <c r="AU6" s="395">
        <f t="shared" si="19"/>
        <v>0</v>
      </c>
      <c r="AV6" s="395">
        <f t="shared" si="20"/>
        <v>0</v>
      </c>
      <c r="AW6" s="396">
        <f t="shared" si="21"/>
        <v>0</v>
      </c>
      <c r="AY6" s="394">
        <f>IF($N6&lt;=baseData, IFERROR(INDEX('Fluxo Bandeira Co'!$W:$W, MATCH($N6, 'Fluxo Bandeira Co'!$A:$A, 0))*Permutas!AS6/(SUMIF('Fluxo Investidores'!$A:$A, "&lt;="&amp;$N6, 'Fluxo Investidores'!$Z:$Z)+SUMIF('Fluxo Investidores'!$A:$A, "&lt;="&amp;$N6, 'Fluxo Investidores'!$AA:$AA)), 0), IF($N6&lt;=terminoProjeto, -((1+txAdmKinea)^(1/12)-1)*AS5, 0))</f>
        <v>0</v>
      </c>
      <c r="AZ6" s="395">
        <f>IF($N6&lt;=baseData, IFERROR(INDEX('Fluxo Bandeira Co'!$W:$W, MATCH($N6, 'Fluxo Bandeira Co'!$A:$A, 0))*Permutas!AT6/(SUMIF('Fluxo Investidores'!$A:$A, "&lt;="&amp;$N6, 'Fluxo Investidores'!$Z:$Z)+SUMIF('Fluxo Investidores'!$A:$A, "&lt;="&amp;$N6, 'Fluxo Investidores'!$AA:$AA)), 0), IF($N6&lt;=terminoProjeto, -((1+txAdmKinea)^(1/12)-1)*AT5, 0))</f>
        <v>0</v>
      </c>
      <c r="BA6" s="395">
        <f>IF($N6&lt;=baseData, IFERROR(INDEX('Fluxo Bandeira Co'!$W:$W, MATCH($N6, 'Fluxo Bandeira Co'!$A:$A, 0))*Permutas!AU6/(SUMIF('Fluxo Investidores'!$A:$A, "&lt;="&amp;$N6, 'Fluxo Investidores'!$Z:$Z)+SUMIF('Fluxo Investidores'!$A:$A, "&lt;="&amp;$N6, 'Fluxo Investidores'!$AA:$AA)), 0), IF($N6&lt;=terminoProjeto, -((1+txAdmKinea)^(1/12)-1)*AU5, 0))</f>
        <v>0</v>
      </c>
      <c r="BB6" s="395">
        <f>IF($N6&lt;=baseData, IFERROR(INDEX('Fluxo Bandeira Co'!$W:$W, MATCH($N6, 'Fluxo Bandeira Co'!$A:$A, 0))*Permutas!AV6/(SUMIF('Fluxo Investidores'!$A:$A, "&lt;="&amp;$N6, 'Fluxo Investidores'!$Z:$Z)+SUMIF('Fluxo Investidores'!$A:$A, "&lt;="&amp;$N6, 'Fluxo Investidores'!$AA:$AA)), 0), IF($N6&lt;=terminoProjeto, -((1+txAdmKinea)^(1/12)-1)*AV5, 0))</f>
        <v>0</v>
      </c>
      <c r="BC6" s="396">
        <f>IF($N6&lt;=baseData, IFERROR(INDEX('Fluxo Bandeira Co'!$W:$W, MATCH($N6, 'Fluxo Bandeira Co'!$A:$A, 0))*Permutas!AW6/(SUMIF('Fluxo Investidores'!$A:$A, "&lt;="&amp;$N6, 'Fluxo Investidores'!$Z:$Z)+SUMIF('Fluxo Investidores'!$A:$A, "&lt;="&amp;$N6, 'Fluxo Investidores'!$AA:$AA)), 0), IF($N6&lt;=terminoProjeto, -((1+txAdmKinea)^(1/12)-1)*AW5, 0))</f>
        <v>0</v>
      </c>
    </row>
    <row r="7" spans="1:55" x14ac:dyDescent="0.25">
      <c r="B7" s="4" t="str">
        <f t="shared" si="13"/>
        <v>B-162</v>
      </c>
      <c r="C7" s="4">
        <v>162</v>
      </c>
      <c r="D7" s="4" t="str">
        <f t="shared" si="14"/>
        <v>2</v>
      </c>
      <c r="E7" s="4">
        <v>148.9</v>
      </c>
      <c r="F7" s="4" t="s">
        <v>54</v>
      </c>
      <c r="G7" s="4">
        <v>2</v>
      </c>
      <c r="H7" s="4" t="str">
        <f t="shared" si="15"/>
        <v>16</v>
      </c>
      <c r="I7" s="4" t="s">
        <v>249</v>
      </c>
      <c r="J7" s="221" t="s">
        <v>155</v>
      </c>
      <c r="K7" s="444">
        <f>custoPermutaLDI*E7</f>
        <v>2025040</v>
      </c>
      <c r="L7" s="444" t="str">
        <f>IFERROR(INDEX($AM$3:$AQ$81, MATCH(baseData, $N$3:$N$81, 0), MATCH($J7, $AM$2:$AQ$2, 0)), "")</f>
        <v/>
      </c>
      <c r="N7" s="315">
        <f t="shared" si="16"/>
        <v>43374</v>
      </c>
      <c r="O7" s="389">
        <f>IF($N7&lt;=baseData, INDEX(Indicadores!B:B, MATCH($N7,Indicadores!A:A, 0)), INDEX(Indicadores!B:B, MATCH(baseData,Indicadores!A:A, 0)))</f>
        <v>743.86599999999999</v>
      </c>
      <c r="P7" s="390"/>
      <c r="Q7" s="397">
        <f>IF($N7&lt;=baseData, -INDEX('Fluxo Investidores'!$L$2:$X$86, MATCH($N7, 'Fluxo Investidores'!$A$2:$A$86, 0), MATCH(Q$2, 'Fluxo Investidores'!$L$1:$X$1, 0)), 0)</f>
        <v>0</v>
      </c>
      <c r="R7" s="390">
        <f>IF($N7&lt;=baseData, -INDEX('Fluxo Investidores'!$L$2:$X$86, MATCH($N7, 'Fluxo Investidores'!$A$2:$A$86, 0), MATCH(R$2, 'Fluxo Investidores'!$L$1:$X$1, 0)), 0)</f>
        <v>0</v>
      </c>
      <c r="S7" s="390">
        <f>IF($N7&lt;=baseData, -INDEX('Fluxo Investidores'!$L$2:$X$86, MATCH($N7, 'Fluxo Investidores'!$A$2:$A$86, 0), MATCH(S$2, 'Fluxo Investidores'!$L$1:$X$1, 0)), 0)</f>
        <v>0</v>
      </c>
      <c r="T7" s="390">
        <f>IF($N7&lt;=baseData, -INDEX('Fluxo Investidores'!$L$2:$X$86, MATCH($N7, 'Fluxo Investidores'!$A$2:$A$86, 0), MATCH(T$2, 'Fluxo Investidores'!$L$1:$X$1, 0)), 0)</f>
        <v>0</v>
      </c>
      <c r="U7" s="390">
        <f>IF($N7&lt;=baseData, -INDEX('Fluxo Investidores'!$L$2:$X$86, MATCH($N7, 'Fluxo Investidores'!$A$2:$A$86, 0), MATCH(U$2, 'Fluxo Investidores'!$L$1:$X$1, 0)), 0)</f>
        <v>0</v>
      </c>
      <c r="V7" s="393">
        <f t="shared" si="0"/>
        <v>0</v>
      </c>
      <c r="W7" s="390"/>
      <c r="X7" s="430">
        <f t="shared" si="1"/>
        <v>0</v>
      </c>
      <c r="Y7" s="431">
        <f t="shared" si="2"/>
        <v>0</v>
      </c>
      <c r="Z7" s="431">
        <f t="shared" si="3"/>
        <v>0</v>
      </c>
      <c r="AA7" s="431">
        <f t="shared" si="4"/>
        <v>0</v>
      </c>
      <c r="AB7" s="431">
        <f t="shared" si="5"/>
        <v>0</v>
      </c>
      <c r="AC7" s="442">
        <f t="shared" si="6"/>
        <v>0</v>
      </c>
      <c r="AD7" s="395"/>
      <c r="AE7" s="430">
        <f t="shared" si="7"/>
        <v>0</v>
      </c>
      <c r="AF7" s="431">
        <f t="shared" si="8"/>
        <v>0</v>
      </c>
      <c r="AG7" s="431">
        <f t="shared" si="9"/>
        <v>0</v>
      </c>
      <c r="AH7" s="431">
        <f t="shared" si="10"/>
        <v>0</v>
      </c>
      <c r="AI7" s="431">
        <f t="shared" si="11"/>
        <v>0</v>
      </c>
      <c r="AJ7" s="442">
        <f t="shared" si="12"/>
        <v>0</v>
      </c>
      <c r="AM7" s="394"/>
      <c r="AN7" s="395"/>
      <c r="AO7" s="395"/>
      <c r="AP7" s="395"/>
      <c r="AQ7" s="396"/>
      <c r="AS7" s="394">
        <f t="shared" si="17"/>
        <v>0</v>
      </c>
      <c r="AT7" s="395">
        <f t="shared" si="18"/>
        <v>0</v>
      </c>
      <c r="AU7" s="395">
        <f t="shared" si="19"/>
        <v>0</v>
      </c>
      <c r="AV7" s="395">
        <f t="shared" si="20"/>
        <v>0</v>
      </c>
      <c r="AW7" s="396">
        <f t="shared" si="21"/>
        <v>0</v>
      </c>
      <c r="AY7" s="394">
        <f>IF($N7&lt;=baseData, IFERROR(INDEX('Fluxo Bandeira Co'!$W:$W, MATCH($N7, 'Fluxo Bandeira Co'!$A:$A, 0))*Permutas!AS7/(SUMIF('Fluxo Investidores'!$A:$A, "&lt;="&amp;$N7, 'Fluxo Investidores'!$Z:$Z)+SUMIF('Fluxo Investidores'!$A:$A, "&lt;="&amp;$N7, 'Fluxo Investidores'!$AA:$AA)), 0), IF($N7&lt;=terminoProjeto, -((1+txAdmKinea)^(1/12)-1)*AS6, 0))</f>
        <v>0</v>
      </c>
      <c r="AZ7" s="395">
        <f>IF($N7&lt;=baseData, IFERROR(INDEX('Fluxo Bandeira Co'!$W:$W, MATCH($N7, 'Fluxo Bandeira Co'!$A:$A, 0))*Permutas!AT7/(SUMIF('Fluxo Investidores'!$A:$A, "&lt;="&amp;$N7, 'Fluxo Investidores'!$Z:$Z)+SUMIF('Fluxo Investidores'!$A:$A, "&lt;="&amp;$N7, 'Fluxo Investidores'!$AA:$AA)), 0), IF($N7&lt;=terminoProjeto, -((1+txAdmKinea)^(1/12)-1)*AT6, 0))</f>
        <v>0</v>
      </c>
      <c r="BA7" s="395">
        <f>IF($N7&lt;=baseData, IFERROR(INDEX('Fluxo Bandeira Co'!$W:$W, MATCH($N7, 'Fluxo Bandeira Co'!$A:$A, 0))*Permutas!AU7/(SUMIF('Fluxo Investidores'!$A:$A, "&lt;="&amp;$N7, 'Fluxo Investidores'!$Z:$Z)+SUMIF('Fluxo Investidores'!$A:$A, "&lt;="&amp;$N7, 'Fluxo Investidores'!$AA:$AA)), 0), IF($N7&lt;=terminoProjeto, -((1+txAdmKinea)^(1/12)-1)*AU6, 0))</f>
        <v>0</v>
      </c>
      <c r="BB7" s="395">
        <f>IF($N7&lt;=baseData, IFERROR(INDEX('Fluxo Bandeira Co'!$W:$W, MATCH($N7, 'Fluxo Bandeira Co'!$A:$A, 0))*Permutas!AV7/(SUMIF('Fluxo Investidores'!$A:$A, "&lt;="&amp;$N7, 'Fluxo Investidores'!$Z:$Z)+SUMIF('Fluxo Investidores'!$A:$A, "&lt;="&amp;$N7, 'Fluxo Investidores'!$AA:$AA)), 0), IF($N7&lt;=terminoProjeto, -((1+txAdmKinea)^(1/12)-1)*AV6, 0))</f>
        <v>0</v>
      </c>
      <c r="BC7" s="396">
        <f>IF($N7&lt;=baseData, IFERROR(INDEX('Fluxo Bandeira Co'!$W:$W, MATCH($N7, 'Fluxo Bandeira Co'!$A:$A, 0))*Permutas!AW7/(SUMIF('Fluxo Investidores'!$A:$A, "&lt;="&amp;$N7, 'Fluxo Investidores'!$Z:$Z)+SUMIF('Fluxo Investidores'!$A:$A, "&lt;="&amp;$N7, 'Fluxo Investidores'!$AA:$AA)), 0), IF($N7&lt;=terminoProjeto, -((1+txAdmKinea)^(1/12)-1)*AW6, 0))</f>
        <v>0</v>
      </c>
    </row>
    <row r="8" spans="1:55" x14ac:dyDescent="0.25">
      <c r="B8" s="4" t="str">
        <f t="shared" si="13"/>
        <v>B-182</v>
      </c>
      <c r="C8" s="4">
        <v>182</v>
      </c>
      <c r="D8" s="4" t="str">
        <f t="shared" si="14"/>
        <v>2</v>
      </c>
      <c r="E8" s="4">
        <v>147.6</v>
      </c>
      <c r="F8" s="4" t="s">
        <v>54</v>
      </c>
      <c r="G8" s="4">
        <v>2</v>
      </c>
      <c r="H8" s="4" t="str">
        <f t="shared" si="15"/>
        <v>18</v>
      </c>
      <c r="I8" s="4" t="s">
        <v>248</v>
      </c>
      <c r="J8" s="221" t="s">
        <v>156</v>
      </c>
      <c r="K8" s="444">
        <f>2127517+E8*C26</f>
        <v>2336149.6</v>
      </c>
      <c r="L8" s="444">
        <f>IFERROR(INDEX($AM$3:$AQ$81, MATCH(baseData, $N$3:$N$81, 0), MATCH($J8, $AM$2:$AQ$2, 0)), "")-SUMIF($N$3:$N$81, "&lt;="&amp;baseData, $AY$3:$AY$81)</f>
        <v>616480.45011867792</v>
      </c>
      <c r="N8" s="315">
        <f t="shared" si="16"/>
        <v>43405</v>
      </c>
      <c r="O8" s="389">
        <f>IF($N8&lt;=baseData, INDEX(Indicadores!B:B, MATCH($N8,Indicadores!A:A, 0)), INDEX(Indicadores!B:B, MATCH(baseData,Indicadores!A:A, 0)))</f>
        <v>744.86500000000001</v>
      </c>
      <c r="P8" s="390"/>
      <c r="Q8" s="397">
        <f>IF($N8&lt;=baseData, -INDEX('Fluxo Investidores'!$L$2:$X$86, MATCH($N8, 'Fluxo Investidores'!$A$2:$A$86, 0), MATCH(Q$2, 'Fluxo Investidores'!$L$1:$X$1, 0)), 0)</f>
        <v>0</v>
      </c>
      <c r="R8" s="390">
        <f>IF($N8&lt;=baseData, -INDEX('Fluxo Investidores'!$L$2:$X$86, MATCH($N8, 'Fluxo Investidores'!$A$2:$A$86, 0), MATCH(R$2, 'Fluxo Investidores'!$L$1:$X$1, 0)), 0)</f>
        <v>0</v>
      </c>
      <c r="S8" s="390">
        <f>IF($N8&lt;=baseData, -INDEX('Fluxo Investidores'!$L$2:$X$86, MATCH($N8, 'Fluxo Investidores'!$A$2:$A$86, 0), MATCH(S$2, 'Fluxo Investidores'!$L$1:$X$1, 0)), 0)</f>
        <v>0</v>
      </c>
      <c r="T8" s="390">
        <f>IF($N8&lt;=baseData, -INDEX('Fluxo Investidores'!$L$2:$X$86, MATCH($N8, 'Fluxo Investidores'!$A$2:$A$86, 0), MATCH(T$2, 'Fluxo Investidores'!$L$1:$X$1, 0)), 0)</f>
        <v>0</v>
      </c>
      <c r="U8" s="390">
        <f>IF($N8&lt;=baseData, -INDEX('Fluxo Investidores'!$L$2:$X$86, MATCH($N8, 'Fluxo Investidores'!$A$2:$A$86, 0), MATCH(U$2, 'Fluxo Investidores'!$L$1:$X$1, 0)), 0)</f>
        <v>0</v>
      </c>
      <c r="V8" s="393">
        <f t="shared" si="0"/>
        <v>0</v>
      </c>
      <c r="W8" s="390"/>
      <c r="X8" s="430">
        <f t="shared" si="1"/>
        <v>0</v>
      </c>
      <c r="Y8" s="431">
        <f t="shared" si="2"/>
        <v>0</v>
      </c>
      <c r="Z8" s="431">
        <f t="shared" si="3"/>
        <v>0</v>
      </c>
      <c r="AA8" s="431">
        <f t="shared" si="4"/>
        <v>0</v>
      </c>
      <c r="AB8" s="431">
        <f t="shared" si="5"/>
        <v>0</v>
      </c>
      <c r="AC8" s="442">
        <f t="shared" si="6"/>
        <v>0</v>
      </c>
      <c r="AD8" s="395"/>
      <c r="AE8" s="430">
        <f t="shared" si="7"/>
        <v>0</v>
      </c>
      <c r="AF8" s="431">
        <f t="shared" si="8"/>
        <v>0</v>
      </c>
      <c r="AG8" s="431">
        <f t="shared" si="9"/>
        <v>0</v>
      </c>
      <c r="AH8" s="431">
        <f t="shared" si="10"/>
        <v>0</v>
      </c>
      <c r="AI8" s="431">
        <f t="shared" si="11"/>
        <v>0</v>
      </c>
      <c r="AJ8" s="442">
        <f t="shared" si="12"/>
        <v>0</v>
      </c>
      <c r="AM8" s="394"/>
      <c r="AN8" s="395"/>
      <c r="AO8" s="395"/>
      <c r="AP8" s="395"/>
      <c r="AQ8" s="396"/>
      <c r="AS8" s="394">
        <f t="shared" si="17"/>
        <v>0</v>
      </c>
      <c r="AT8" s="395">
        <f t="shared" si="18"/>
        <v>0</v>
      </c>
      <c r="AU8" s="395">
        <f t="shared" si="19"/>
        <v>0</v>
      </c>
      <c r="AV8" s="395">
        <f t="shared" si="20"/>
        <v>0</v>
      </c>
      <c r="AW8" s="396">
        <f t="shared" si="21"/>
        <v>0</v>
      </c>
      <c r="AY8" s="394">
        <f>IF($N8&lt;=baseData, IFERROR(INDEX('Fluxo Bandeira Co'!$W:$W, MATCH($N8, 'Fluxo Bandeira Co'!$A:$A, 0))*Permutas!AS8/(SUMIF('Fluxo Investidores'!$A:$A, "&lt;="&amp;$N8, 'Fluxo Investidores'!$Z:$Z)+SUMIF('Fluxo Investidores'!$A:$A, "&lt;="&amp;$N8, 'Fluxo Investidores'!$AA:$AA)), 0), IF($N8&lt;=terminoProjeto, -((1+txAdmKinea)^(1/12)-1)*AS7, 0))</f>
        <v>0</v>
      </c>
      <c r="AZ8" s="395">
        <f>IF($N8&lt;=baseData, IFERROR(INDEX('Fluxo Bandeira Co'!$W:$W, MATCH($N8, 'Fluxo Bandeira Co'!$A:$A, 0))*Permutas!AT8/(SUMIF('Fluxo Investidores'!$A:$A, "&lt;="&amp;$N8, 'Fluxo Investidores'!$Z:$Z)+SUMIF('Fluxo Investidores'!$A:$A, "&lt;="&amp;$N8, 'Fluxo Investidores'!$AA:$AA)), 0), IF($N8&lt;=terminoProjeto, -((1+txAdmKinea)^(1/12)-1)*AT7, 0))</f>
        <v>0</v>
      </c>
      <c r="BA8" s="395">
        <f>IF($N8&lt;=baseData, IFERROR(INDEX('Fluxo Bandeira Co'!$W:$W, MATCH($N8, 'Fluxo Bandeira Co'!$A:$A, 0))*Permutas!AU8/(SUMIF('Fluxo Investidores'!$A:$A, "&lt;="&amp;$N8, 'Fluxo Investidores'!$Z:$Z)+SUMIF('Fluxo Investidores'!$A:$A, "&lt;="&amp;$N8, 'Fluxo Investidores'!$AA:$AA)), 0), IF($N8&lt;=terminoProjeto, -((1+txAdmKinea)^(1/12)-1)*AU7, 0))</f>
        <v>0</v>
      </c>
      <c r="BB8" s="395">
        <f>IF($N8&lt;=baseData, IFERROR(INDEX('Fluxo Bandeira Co'!$W:$W, MATCH($N8, 'Fluxo Bandeira Co'!$A:$A, 0))*Permutas!AV8/(SUMIF('Fluxo Investidores'!$A:$A, "&lt;="&amp;$N8, 'Fluxo Investidores'!$Z:$Z)+SUMIF('Fluxo Investidores'!$A:$A, "&lt;="&amp;$N8, 'Fluxo Investidores'!$AA:$AA)), 0), IF($N8&lt;=terminoProjeto, -((1+txAdmKinea)^(1/12)-1)*AV7, 0))</f>
        <v>0</v>
      </c>
      <c r="BC8" s="396">
        <f>IF($N8&lt;=baseData, IFERROR(INDEX('Fluxo Bandeira Co'!$W:$W, MATCH($N8, 'Fluxo Bandeira Co'!$A:$A, 0))*Permutas!AW8/(SUMIF('Fluxo Investidores'!$A:$A, "&lt;="&amp;$N8, 'Fluxo Investidores'!$Z:$Z)+SUMIF('Fluxo Investidores'!$A:$A, "&lt;="&amp;$N8, 'Fluxo Investidores'!$AA:$AA)), 0), IF($N8&lt;=terminoProjeto, -((1+txAdmKinea)^(1/12)-1)*AW7, 0))</f>
        <v>0</v>
      </c>
    </row>
    <row r="9" spans="1:55" x14ac:dyDescent="0.25">
      <c r="B9" s="4" t="str">
        <f t="shared" si="13"/>
        <v>B-202</v>
      </c>
      <c r="C9" s="4">
        <v>202</v>
      </c>
      <c r="D9" s="4" t="str">
        <f t="shared" si="14"/>
        <v>2</v>
      </c>
      <c r="E9" s="4">
        <v>147.6</v>
      </c>
      <c r="F9" s="4" t="s">
        <v>54</v>
      </c>
      <c r="G9" s="4">
        <v>2</v>
      </c>
      <c r="H9" s="4" t="str">
        <f t="shared" si="15"/>
        <v>20</v>
      </c>
      <c r="I9" s="4" t="s">
        <v>248</v>
      </c>
      <c r="J9" s="221" t="s">
        <v>159</v>
      </c>
      <c r="K9" s="444">
        <f>2147974+E9*C26</f>
        <v>2356606.6</v>
      </c>
      <c r="L9" s="444">
        <f>IFERROR(INDEX($AM$3:$AQ$81, MATCH(baseData, $N$3:$N$81, 0), MATCH($J9, $AM$2:$AQ$2, 0)), "")-SUMIF($N$3:$N$81, "&lt;="&amp;baseData, $AZ$3:$AZ$81)</f>
        <v>627293.30262120452</v>
      </c>
      <c r="N9" s="315">
        <f t="shared" si="16"/>
        <v>43435</v>
      </c>
      <c r="O9" s="389">
        <f>IF($N9&lt;=baseData, INDEX(Indicadores!B:B, MATCH($N9,Indicadores!A:A, 0)), INDEX(Indicadores!B:B, MATCH(baseData,Indicadores!A:A, 0)))</f>
        <v>745.85599999999999</v>
      </c>
      <c r="P9" s="390"/>
      <c r="Q9" s="397">
        <f>IF($N9&lt;=baseData, -INDEX('Fluxo Investidores'!$L$2:$X$86, MATCH($N9, 'Fluxo Investidores'!$A$2:$A$86, 0), MATCH(Q$2, 'Fluxo Investidores'!$L$1:$X$1, 0)), 0)</f>
        <v>0</v>
      </c>
      <c r="R9" s="390">
        <f>IF($N9&lt;=baseData, -INDEX('Fluxo Investidores'!$L$2:$X$86, MATCH($N9, 'Fluxo Investidores'!$A$2:$A$86, 0), MATCH(R$2, 'Fluxo Investidores'!$L$1:$X$1, 0)), 0)</f>
        <v>0</v>
      </c>
      <c r="S9" s="390">
        <f>IF($N9&lt;=baseData, -INDEX('Fluxo Investidores'!$L$2:$X$86, MATCH($N9, 'Fluxo Investidores'!$A$2:$A$86, 0), MATCH(S$2, 'Fluxo Investidores'!$L$1:$X$1, 0)), 0)</f>
        <v>0</v>
      </c>
      <c r="T9" s="390">
        <f>IF($N9&lt;=baseData, -INDEX('Fluxo Investidores'!$L$2:$X$86, MATCH($N9, 'Fluxo Investidores'!$A$2:$A$86, 0), MATCH(T$2, 'Fluxo Investidores'!$L$1:$X$1, 0)), 0)</f>
        <v>0</v>
      </c>
      <c r="U9" s="390">
        <f>IF($N9&lt;=baseData, -INDEX('Fluxo Investidores'!$L$2:$X$86, MATCH($N9, 'Fluxo Investidores'!$A$2:$A$86, 0), MATCH(U$2, 'Fluxo Investidores'!$L$1:$X$1, 0)), 0)</f>
        <v>0</v>
      </c>
      <c r="V9" s="393">
        <f t="shared" si="0"/>
        <v>0</v>
      </c>
      <c r="W9" s="390"/>
      <c r="X9" s="430">
        <f t="shared" si="1"/>
        <v>0</v>
      </c>
      <c r="Y9" s="431">
        <f t="shared" si="2"/>
        <v>0</v>
      </c>
      <c r="Z9" s="431">
        <f t="shared" si="3"/>
        <v>0</v>
      </c>
      <c r="AA9" s="431">
        <f t="shared" si="4"/>
        <v>0</v>
      </c>
      <c r="AB9" s="431">
        <f t="shared" si="5"/>
        <v>0</v>
      </c>
      <c r="AC9" s="442">
        <f t="shared" si="6"/>
        <v>0</v>
      </c>
      <c r="AD9" s="395"/>
      <c r="AE9" s="430">
        <f t="shared" si="7"/>
        <v>0</v>
      </c>
      <c r="AF9" s="431">
        <f t="shared" si="8"/>
        <v>0</v>
      </c>
      <c r="AG9" s="431">
        <f t="shared" si="9"/>
        <v>0</v>
      </c>
      <c r="AH9" s="431">
        <f t="shared" si="10"/>
        <v>0</v>
      </c>
      <c r="AI9" s="431">
        <f t="shared" si="11"/>
        <v>0</v>
      </c>
      <c r="AJ9" s="442">
        <f t="shared" si="12"/>
        <v>0</v>
      </c>
      <c r="AM9" s="394"/>
      <c r="AN9" s="395"/>
      <c r="AO9" s="395"/>
      <c r="AP9" s="395"/>
      <c r="AQ9" s="396"/>
      <c r="AS9" s="394">
        <f t="shared" si="17"/>
        <v>0</v>
      </c>
      <c r="AT9" s="395">
        <f t="shared" si="18"/>
        <v>0</v>
      </c>
      <c r="AU9" s="395">
        <f t="shared" si="19"/>
        <v>0</v>
      </c>
      <c r="AV9" s="395">
        <f t="shared" si="20"/>
        <v>0</v>
      </c>
      <c r="AW9" s="396">
        <f t="shared" si="21"/>
        <v>0</v>
      </c>
      <c r="AY9" s="394">
        <f>IF($N9&lt;=baseData, IFERROR(INDEX('Fluxo Bandeira Co'!$W:$W, MATCH($N9, 'Fluxo Bandeira Co'!$A:$A, 0))*Permutas!AS9/(SUMIF('Fluxo Investidores'!$A:$A, "&lt;="&amp;$N9, 'Fluxo Investidores'!$Z:$Z)+SUMIF('Fluxo Investidores'!$A:$A, "&lt;="&amp;$N9, 'Fluxo Investidores'!$AA:$AA)), 0), IF($N9&lt;=terminoProjeto, -((1+txAdmKinea)^(1/12)-1)*AS8, 0))</f>
        <v>0</v>
      </c>
      <c r="AZ9" s="395">
        <f>IF($N9&lt;=baseData, IFERROR(INDEX('Fluxo Bandeira Co'!$W:$W, MATCH($N9, 'Fluxo Bandeira Co'!$A:$A, 0))*Permutas!AT9/(SUMIF('Fluxo Investidores'!$A:$A, "&lt;="&amp;$N9, 'Fluxo Investidores'!$Z:$Z)+SUMIF('Fluxo Investidores'!$A:$A, "&lt;="&amp;$N9, 'Fluxo Investidores'!$AA:$AA)), 0), IF($N9&lt;=terminoProjeto, -((1+txAdmKinea)^(1/12)-1)*AT8, 0))</f>
        <v>0</v>
      </c>
      <c r="BA9" s="395">
        <f>IF($N9&lt;=baseData, IFERROR(INDEX('Fluxo Bandeira Co'!$W:$W, MATCH($N9, 'Fluxo Bandeira Co'!$A:$A, 0))*Permutas!AU9/(SUMIF('Fluxo Investidores'!$A:$A, "&lt;="&amp;$N9, 'Fluxo Investidores'!$Z:$Z)+SUMIF('Fluxo Investidores'!$A:$A, "&lt;="&amp;$N9, 'Fluxo Investidores'!$AA:$AA)), 0), IF($N9&lt;=terminoProjeto, -((1+txAdmKinea)^(1/12)-1)*AU8, 0))</f>
        <v>0</v>
      </c>
      <c r="BB9" s="395">
        <f>IF($N9&lt;=baseData, IFERROR(INDEX('Fluxo Bandeira Co'!$W:$W, MATCH($N9, 'Fluxo Bandeira Co'!$A:$A, 0))*Permutas!AV9/(SUMIF('Fluxo Investidores'!$A:$A, "&lt;="&amp;$N9, 'Fluxo Investidores'!$Z:$Z)+SUMIF('Fluxo Investidores'!$A:$A, "&lt;="&amp;$N9, 'Fluxo Investidores'!$AA:$AA)), 0), IF($N9&lt;=terminoProjeto, -((1+txAdmKinea)^(1/12)-1)*AV8, 0))</f>
        <v>0</v>
      </c>
      <c r="BC9" s="396">
        <f>IF($N9&lt;=baseData, IFERROR(INDEX('Fluxo Bandeira Co'!$W:$W, MATCH($N9, 'Fluxo Bandeira Co'!$A:$A, 0))*Permutas!AW9/(SUMIF('Fluxo Investidores'!$A:$A, "&lt;="&amp;$N9, 'Fluxo Investidores'!$Z:$Z)+SUMIF('Fluxo Investidores'!$A:$A, "&lt;="&amp;$N9, 'Fluxo Investidores'!$AA:$AA)), 0), IF($N9&lt;=terminoProjeto, -((1+txAdmKinea)^(1/12)-1)*AW8, 0))</f>
        <v>0</v>
      </c>
    </row>
    <row r="10" spans="1:55" x14ac:dyDescent="0.25">
      <c r="A10" s="4"/>
      <c r="B10" s="4" t="str">
        <f t="shared" si="13"/>
        <v>B-222</v>
      </c>
      <c r="C10" s="4">
        <v>222</v>
      </c>
      <c r="D10" s="4" t="str">
        <f t="shared" si="14"/>
        <v>2</v>
      </c>
      <c r="E10" s="4">
        <v>147.30000000000001</v>
      </c>
      <c r="F10" s="4" t="s">
        <v>54</v>
      </c>
      <c r="G10" s="4">
        <v>2</v>
      </c>
      <c r="H10" s="4" t="str">
        <f t="shared" si="15"/>
        <v>22</v>
      </c>
      <c r="I10" s="4" t="s">
        <v>248</v>
      </c>
      <c r="J10" s="221" t="s">
        <v>172</v>
      </c>
      <c r="K10" s="444">
        <f>16804*E10</f>
        <v>2475229.2000000002</v>
      </c>
      <c r="L10" s="444">
        <f>IFERROR(INDEX($AM$3:$AQ$81, MATCH(baseData, $N$3:$N$81, 0), MATCH($J10, $AM$2:$AQ$2, 0)), "")-SUMIF($N$3:$N$81, "&lt;="&amp;baseData, $BC$3:$BC$81)</f>
        <v>578638.06296832149</v>
      </c>
      <c r="N10" s="315">
        <f t="shared" si="16"/>
        <v>43466</v>
      </c>
      <c r="O10" s="389">
        <f>IF($N10&lt;=baseData, INDEX(Indicadores!B:B, MATCH($N10,Indicadores!A:A, 0)), INDEX(Indicadores!B:B, MATCH(baseData,Indicadores!A:A, 0)))</f>
        <v>749.51700000000005</v>
      </c>
      <c r="P10" s="390"/>
      <c r="Q10" s="397">
        <f>IF($N10&lt;=baseData, -INDEX('Fluxo Investidores'!$L$2:$X$86, MATCH($N10, 'Fluxo Investidores'!$A$2:$A$86, 0), MATCH(Q$2, 'Fluxo Investidores'!$L$1:$X$1, 0)), 0)</f>
        <v>0</v>
      </c>
      <c r="R10" s="390">
        <f>IF($N10&lt;=baseData, -INDEX('Fluxo Investidores'!$L$2:$X$86, MATCH($N10, 'Fluxo Investidores'!$A$2:$A$86, 0), MATCH(R$2, 'Fluxo Investidores'!$L$1:$X$1, 0)), 0)</f>
        <v>0</v>
      </c>
      <c r="S10" s="390">
        <f>IF($N10&lt;=baseData, -INDEX('Fluxo Investidores'!$L$2:$X$86, MATCH($N10, 'Fluxo Investidores'!$A$2:$A$86, 0), MATCH(S$2, 'Fluxo Investidores'!$L$1:$X$1, 0)), 0)</f>
        <v>0</v>
      </c>
      <c r="T10" s="390">
        <f>IF($N10&lt;=baseData, -INDEX('Fluxo Investidores'!$L$2:$X$86, MATCH($N10, 'Fluxo Investidores'!$A$2:$A$86, 0), MATCH(T$2, 'Fluxo Investidores'!$L$1:$X$1, 0)), 0)</f>
        <v>0</v>
      </c>
      <c r="U10" s="390">
        <f>IF($N10&lt;=baseData, -INDEX('Fluxo Investidores'!$L$2:$X$86, MATCH($N10, 'Fluxo Investidores'!$A$2:$A$86, 0), MATCH(U$2, 'Fluxo Investidores'!$L$1:$X$1, 0)), 0)</f>
        <v>0</v>
      </c>
      <c r="V10" s="393">
        <f t="shared" si="0"/>
        <v>0</v>
      </c>
      <c r="W10" s="390"/>
      <c r="X10" s="430">
        <f t="shared" si="1"/>
        <v>0</v>
      </c>
      <c r="Y10" s="431">
        <f t="shared" si="2"/>
        <v>0</v>
      </c>
      <c r="Z10" s="431">
        <f t="shared" si="3"/>
        <v>0</v>
      </c>
      <c r="AA10" s="431">
        <f t="shared" si="4"/>
        <v>0</v>
      </c>
      <c r="AB10" s="431">
        <f t="shared" si="5"/>
        <v>0</v>
      </c>
      <c r="AC10" s="442">
        <f t="shared" si="6"/>
        <v>0</v>
      </c>
      <c r="AD10" s="395"/>
      <c r="AE10" s="430">
        <f t="shared" si="7"/>
        <v>0</v>
      </c>
      <c r="AF10" s="431">
        <f t="shared" si="8"/>
        <v>0</v>
      </c>
      <c r="AG10" s="431">
        <f t="shared" si="9"/>
        <v>0</v>
      </c>
      <c r="AH10" s="431">
        <f t="shared" si="10"/>
        <v>0</v>
      </c>
      <c r="AI10" s="431">
        <f t="shared" si="11"/>
        <v>0</v>
      </c>
      <c r="AJ10" s="442">
        <f t="shared" si="12"/>
        <v>0</v>
      </c>
      <c r="AM10" s="394"/>
      <c r="AN10" s="395"/>
      <c r="AO10" s="395"/>
      <c r="AP10" s="395"/>
      <c r="AQ10" s="396"/>
      <c r="AS10" s="394">
        <f t="shared" si="17"/>
        <v>0</v>
      </c>
      <c r="AT10" s="395">
        <f t="shared" si="18"/>
        <v>0</v>
      </c>
      <c r="AU10" s="395">
        <f t="shared" si="19"/>
        <v>0</v>
      </c>
      <c r="AV10" s="395">
        <f t="shared" si="20"/>
        <v>0</v>
      </c>
      <c r="AW10" s="396">
        <f t="shared" si="21"/>
        <v>0</v>
      </c>
      <c r="AY10" s="394">
        <f>IF($N10&lt;=baseData, IFERROR(INDEX('Fluxo Bandeira Co'!$W:$W, MATCH($N10, 'Fluxo Bandeira Co'!$A:$A, 0))*Permutas!AS10/(SUMIF('Fluxo Investidores'!$A:$A, "&lt;="&amp;$N10, 'Fluxo Investidores'!$Z:$Z)+SUMIF('Fluxo Investidores'!$A:$A, "&lt;="&amp;$N10, 'Fluxo Investidores'!$AA:$AA)), 0), IF($N10&lt;=terminoProjeto, -((1+txAdmKinea)^(1/12)-1)*AS9, 0))</f>
        <v>0</v>
      </c>
      <c r="AZ10" s="395">
        <f>IF($N10&lt;=baseData, IFERROR(INDEX('Fluxo Bandeira Co'!$W:$W, MATCH($N10, 'Fluxo Bandeira Co'!$A:$A, 0))*Permutas!AT10/(SUMIF('Fluxo Investidores'!$A:$A, "&lt;="&amp;$N10, 'Fluxo Investidores'!$Z:$Z)+SUMIF('Fluxo Investidores'!$A:$A, "&lt;="&amp;$N10, 'Fluxo Investidores'!$AA:$AA)), 0), IF($N10&lt;=terminoProjeto, -((1+txAdmKinea)^(1/12)-1)*AT9, 0))</f>
        <v>0</v>
      </c>
      <c r="BA10" s="395">
        <f>IF($N10&lt;=baseData, IFERROR(INDEX('Fluxo Bandeira Co'!$W:$W, MATCH($N10, 'Fluxo Bandeira Co'!$A:$A, 0))*Permutas!AU10/(SUMIF('Fluxo Investidores'!$A:$A, "&lt;="&amp;$N10, 'Fluxo Investidores'!$Z:$Z)+SUMIF('Fluxo Investidores'!$A:$A, "&lt;="&amp;$N10, 'Fluxo Investidores'!$AA:$AA)), 0), IF($N10&lt;=terminoProjeto, -((1+txAdmKinea)^(1/12)-1)*AU9, 0))</f>
        <v>0</v>
      </c>
      <c r="BB10" s="395">
        <f>IF($N10&lt;=baseData, IFERROR(INDEX('Fluxo Bandeira Co'!$W:$W, MATCH($N10, 'Fluxo Bandeira Co'!$A:$A, 0))*Permutas!AV10/(SUMIF('Fluxo Investidores'!$A:$A, "&lt;="&amp;$N10, 'Fluxo Investidores'!$Z:$Z)+SUMIF('Fluxo Investidores'!$A:$A, "&lt;="&amp;$N10, 'Fluxo Investidores'!$AA:$AA)), 0), IF($N10&lt;=terminoProjeto, -((1+txAdmKinea)^(1/12)-1)*AV9, 0))</f>
        <v>0</v>
      </c>
      <c r="BC10" s="396">
        <f>IF($N10&lt;=baseData, IFERROR(INDEX('Fluxo Bandeira Co'!$W:$W, MATCH($N10, 'Fluxo Bandeira Co'!$A:$A, 0))*Permutas!AW10/(SUMIF('Fluxo Investidores'!$A:$A, "&lt;="&amp;$N10, 'Fluxo Investidores'!$Z:$Z)+SUMIF('Fluxo Investidores'!$A:$A, "&lt;="&amp;$N10, 'Fluxo Investidores'!$AA:$AA)), 0), IF($N10&lt;=terminoProjeto, -((1+txAdmKinea)^(1/12)-1)*AW9, 0))</f>
        <v>0</v>
      </c>
    </row>
    <row r="11" spans="1:55" x14ac:dyDescent="0.25">
      <c r="B11" s="4"/>
      <c r="C11" s="4"/>
      <c r="D11" s="4"/>
      <c r="E11" s="4"/>
      <c r="F11" s="4"/>
      <c r="G11" s="4"/>
      <c r="H11" s="4"/>
      <c r="I11" s="4"/>
      <c r="N11" s="315">
        <f t="shared" si="16"/>
        <v>43497</v>
      </c>
      <c r="O11" s="389">
        <f>IF($N11&lt;=baseData, INDEX(Indicadores!B:B, MATCH($N11,Indicadores!A:A, 0)), INDEX(Indicadores!B:B, MATCH(baseData,Indicadores!A:A, 0)))</f>
        <v>750.18</v>
      </c>
      <c r="P11" s="390"/>
      <c r="Q11" s="397">
        <f>IF($N11&lt;=baseData, -INDEX('Fluxo Investidores'!$L$2:$X$86, MATCH($N11, 'Fluxo Investidores'!$A$2:$A$86, 0), MATCH(Q$2, 'Fluxo Investidores'!$L$1:$X$1, 0)), 0)</f>
        <v>0</v>
      </c>
      <c r="R11" s="390">
        <f>IF($N11&lt;=baseData, -INDEX('Fluxo Investidores'!$L$2:$X$86, MATCH($N11, 'Fluxo Investidores'!$A$2:$A$86, 0), MATCH(R$2, 'Fluxo Investidores'!$L$1:$X$1, 0)), 0)</f>
        <v>0</v>
      </c>
      <c r="S11" s="390">
        <f>IF($N11&lt;=baseData, -INDEX('Fluxo Investidores'!$L$2:$X$86, MATCH($N11, 'Fluxo Investidores'!$A$2:$A$86, 0), MATCH(S$2, 'Fluxo Investidores'!$L$1:$X$1, 0)), 0)</f>
        <v>0</v>
      </c>
      <c r="T11" s="390">
        <f>IF($N11&lt;=baseData, -INDEX('Fluxo Investidores'!$L$2:$X$86, MATCH($N11, 'Fluxo Investidores'!$A$2:$A$86, 0), MATCH(T$2, 'Fluxo Investidores'!$L$1:$X$1, 0)), 0)</f>
        <v>0</v>
      </c>
      <c r="U11" s="390">
        <f>IF($N11&lt;=baseData, -INDEX('Fluxo Investidores'!$L$2:$X$86, MATCH($N11, 'Fluxo Investidores'!$A$2:$A$86, 0), MATCH(U$2, 'Fluxo Investidores'!$L$1:$X$1, 0)), 0)</f>
        <v>0</v>
      </c>
      <c r="V11" s="393">
        <f t="shared" si="0"/>
        <v>0</v>
      </c>
      <c r="W11" s="390"/>
      <c r="X11" s="430">
        <f t="shared" si="1"/>
        <v>0</v>
      </c>
      <c r="Y11" s="431">
        <f t="shared" si="2"/>
        <v>0</v>
      </c>
      <c r="Z11" s="431">
        <f t="shared" si="3"/>
        <v>0</v>
      </c>
      <c r="AA11" s="431">
        <f t="shared" si="4"/>
        <v>0</v>
      </c>
      <c r="AB11" s="431">
        <f t="shared" si="5"/>
        <v>0</v>
      </c>
      <c r="AC11" s="442">
        <f t="shared" si="6"/>
        <v>0</v>
      </c>
      <c r="AD11" s="395"/>
      <c r="AE11" s="430">
        <f t="shared" si="7"/>
        <v>0</v>
      </c>
      <c r="AF11" s="431">
        <f t="shared" si="8"/>
        <v>0</v>
      </c>
      <c r="AG11" s="431">
        <f t="shared" si="9"/>
        <v>0</v>
      </c>
      <c r="AH11" s="431">
        <f t="shared" si="10"/>
        <v>0</v>
      </c>
      <c r="AI11" s="431">
        <f t="shared" si="11"/>
        <v>0</v>
      </c>
      <c r="AJ11" s="442">
        <f t="shared" si="12"/>
        <v>0</v>
      </c>
      <c r="AM11" s="394"/>
      <c r="AN11" s="395"/>
      <c r="AO11" s="395"/>
      <c r="AP11" s="395"/>
      <c r="AQ11" s="396"/>
      <c r="AS11" s="394">
        <f t="shared" si="17"/>
        <v>0</v>
      </c>
      <c r="AT11" s="395">
        <f t="shared" si="18"/>
        <v>0</v>
      </c>
      <c r="AU11" s="395">
        <f t="shared" si="19"/>
        <v>0</v>
      </c>
      <c r="AV11" s="395">
        <f t="shared" si="20"/>
        <v>0</v>
      </c>
      <c r="AW11" s="396">
        <f t="shared" si="21"/>
        <v>0</v>
      </c>
      <c r="AY11" s="394">
        <f>IF($N11&lt;=baseData, IFERROR(INDEX('Fluxo Bandeira Co'!$W:$W, MATCH($N11, 'Fluxo Bandeira Co'!$A:$A, 0))*Permutas!AS11/(SUMIF('Fluxo Investidores'!$A:$A, "&lt;="&amp;$N11, 'Fluxo Investidores'!$Z:$Z)+SUMIF('Fluxo Investidores'!$A:$A, "&lt;="&amp;$N11, 'Fluxo Investidores'!$AA:$AA)), 0), IF($N11&lt;=terminoProjeto, -((1+txAdmKinea)^(1/12)-1)*AS10, 0))</f>
        <v>0</v>
      </c>
      <c r="AZ11" s="395">
        <f>IF($N11&lt;=baseData, IFERROR(INDEX('Fluxo Bandeira Co'!$W:$W, MATCH($N11, 'Fluxo Bandeira Co'!$A:$A, 0))*Permutas!AT11/(SUMIF('Fluxo Investidores'!$A:$A, "&lt;="&amp;$N11, 'Fluxo Investidores'!$Z:$Z)+SUMIF('Fluxo Investidores'!$A:$A, "&lt;="&amp;$N11, 'Fluxo Investidores'!$AA:$AA)), 0), IF($N11&lt;=terminoProjeto, -((1+txAdmKinea)^(1/12)-1)*AT10, 0))</f>
        <v>0</v>
      </c>
      <c r="BA11" s="395">
        <f>IF($N11&lt;=baseData, IFERROR(INDEX('Fluxo Bandeira Co'!$W:$W, MATCH($N11, 'Fluxo Bandeira Co'!$A:$A, 0))*Permutas!AU11/(SUMIF('Fluxo Investidores'!$A:$A, "&lt;="&amp;$N11, 'Fluxo Investidores'!$Z:$Z)+SUMIF('Fluxo Investidores'!$A:$A, "&lt;="&amp;$N11, 'Fluxo Investidores'!$AA:$AA)), 0), IF($N11&lt;=terminoProjeto, -((1+txAdmKinea)^(1/12)-1)*AU10, 0))</f>
        <v>0</v>
      </c>
      <c r="BB11" s="395">
        <f>IF($N11&lt;=baseData, IFERROR(INDEX('Fluxo Bandeira Co'!$W:$W, MATCH($N11, 'Fluxo Bandeira Co'!$A:$A, 0))*Permutas!AV11/(SUMIF('Fluxo Investidores'!$A:$A, "&lt;="&amp;$N11, 'Fluxo Investidores'!$Z:$Z)+SUMIF('Fluxo Investidores'!$A:$A, "&lt;="&amp;$N11, 'Fluxo Investidores'!$AA:$AA)), 0), IF($N11&lt;=terminoProjeto, -((1+txAdmKinea)^(1/12)-1)*AV10, 0))</f>
        <v>0</v>
      </c>
      <c r="BC11" s="396">
        <f>IF($N11&lt;=baseData, IFERROR(INDEX('Fluxo Bandeira Co'!$W:$W, MATCH($N11, 'Fluxo Bandeira Co'!$A:$A, 0))*Permutas!AW11/(SUMIF('Fluxo Investidores'!$A:$A, "&lt;="&amp;$N11, 'Fluxo Investidores'!$Z:$Z)+SUMIF('Fluxo Investidores'!$A:$A, "&lt;="&amp;$N11, 'Fluxo Investidores'!$AA:$AA)), 0), IF($N11&lt;=terminoProjeto, -((1+txAdmKinea)^(1/12)-1)*AW10, 0))</f>
        <v>0</v>
      </c>
    </row>
    <row r="12" spans="1:55" ht="15.75" customHeight="1" thickBot="1" x14ac:dyDescent="0.3">
      <c r="B12" s="14" t="s">
        <v>249</v>
      </c>
      <c r="C12" s="14"/>
      <c r="D12" s="14"/>
      <c r="E12" s="14"/>
      <c r="F12" s="14"/>
      <c r="N12" s="315">
        <f t="shared" si="16"/>
        <v>43525</v>
      </c>
      <c r="O12" s="389">
        <f>IF($N12&lt;=baseData, INDEX(Indicadores!B:B, MATCH($N12,Indicadores!A:A, 0)), INDEX(Indicadores!B:B, MATCH(baseData,Indicadores!A:A, 0)))</f>
        <v>752.524</v>
      </c>
      <c r="P12" s="390"/>
      <c r="Q12" s="397">
        <f>IF($N12&lt;=baseData, -INDEX('Fluxo Investidores'!$L$2:$X$86, MATCH($N12, 'Fluxo Investidores'!$A$2:$A$86, 0), MATCH(Q$2, 'Fluxo Investidores'!$L$1:$X$1, 0)), 0)</f>
        <v>0</v>
      </c>
      <c r="R12" s="390">
        <f>IF($N12&lt;=baseData, -INDEX('Fluxo Investidores'!$L$2:$X$86, MATCH($N12, 'Fluxo Investidores'!$A$2:$A$86, 0), MATCH(R$2, 'Fluxo Investidores'!$L$1:$X$1, 0)), 0)</f>
        <v>0</v>
      </c>
      <c r="S12" s="390">
        <f>IF($N12&lt;=baseData, -INDEX('Fluxo Investidores'!$L$2:$X$86, MATCH($N12, 'Fluxo Investidores'!$A$2:$A$86, 0), MATCH(S$2, 'Fluxo Investidores'!$L$1:$X$1, 0)), 0)</f>
        <v>0</v>
      </c>
      <c r="T12" s="390">
        <f>IF($N12&lt;=baseData, -INDEX('Fluxo Investidores'!$L$2:$X$86, MATCH($N12, 'Fluxo Investidores'!$A$2:$A$86, 0), MATCH(T$2, 'Fluxo Investidores'!$L$1:$X$1, 0)), 0)</f>
        <v>0</v>
      </c>
      <c r="U12" s="390">
        <f>IF($N12&lt;=baseData, -INDEX('Fluxo Investidores'!$L$2:$X$86, MATCH($N12, 'Fluxo Investidores'!$A$2:$A$86, 0), MATCH(U$2, 'Fluxo Investidores'!$L$1:$X$1, 0)), 0)</f>
        <v>0</v>
      </c>
      <c r="V12" s="393">
        <f t="shared" si="0"/>
        <v>0</v>
      </c>
      <c r="W12" s="390"/>
      <c r="X12" s="430">
        <f t="shared" si="1"/>
        <v>0</v>
      </c>
      <c r="Y12" s="431">
        <f t="shared" si="2"/>
        <v>0</v>
      </c>
      <c r="Z12" s="431">
        <f t="shared" si="3"/>
        <v>0</v>
      </c>
      <c r="AA12" s="431">
        <f t="shared" si="4"/>
        <v>0</v>
      </c>
      <c r="AB12" s="431">
        <f t="shared" si="5"/>
        <v>0</v>
      </c>
      <c r="AC12" s="442">
        <f t="shared" si="6"/>
        <v>0</v>
      </c>
      <c r="AD12" s="395"/>
      <c r="AE12" s="430">
        <f t="shared" si="7"/>
        <v>0</v>
      </c>
      <c r="AF12" s="431">
        <f t="shared" si="8"/>
        <v>0</v>
      </c>
      <c r="AG12" s="431">
        <f t="shared" si="9"/>
        <v>0</v>
      </c>
      <c r="AH12" s="431">
        <f t="shared" si="10"/>
        <v>0</v>
      </c>
      <c r="AI12" s="431">
        <f t="shared" si="11"/>
        <v>0</v>
      </c>
      <c r="AJ12" s="442">
        <f t="shared" si="12"/>
        <v>0</v>
      </c>
      <c r="AM12" s="394"/>
      <c r="AN12" s="395"/>
      <c r="AO12" s="395"/>
      <c r="AP12" s="395"/>
      <c r="AQ12" s="396"/>
      <c r="AS12" s="394">
        <f t="shared" si="17"/>
        <v>0</v>
      </c>
      <c r="AT12" s="395">
        <f t="shared" si="18"/>
        <v>0</v>
      </c>
      <c r="AU12" s="395">
        <f t="shared" si="19"/>
        <v>0</v>
      </c>
      <c r="AV12" s="395">
        <f t="shared" si="20"/>
        <v>0</v>
      </c>
      <c r="AW12" s="396">
        <f t="shared" si="21"/>
        <v>0</v>
      </c>
      <c r="AY12" s="394">
        <f>IF($N12&lt;=baseData, IFERROR(INDEX('Fluxo Bandeira Co'!$W:$W, MATCH($N12, 'Fluxo Bandeira Co'!$A:$A, 0))*Permutas!AS12/(SUMIF('Fluxo Investidores'!$A:$A, "&lt;="&amp;$N12, 'Fluxo Investidores'!$Z:$Z)+SUMIF('Fluxo Investidores'!$A:$A, "&lt;="&amp;$N12, 'Fluxo Investidores'!$AA:$AA)), 0), IF($N12&lt;=terminoProjeto, -((1+txAdmKinea)^(1/12)-1)*AS11, 0))</f>
        <v>0</v>
      </c>
      <c r="AZ12" s="395">
        <f>IF($N12&lt;=baseData, IFERROR(INDEX('Fluxo Bandeira Co'!$W:$W, MATCH($N12, 'Fluxo Bandeira Co'!$A:$A, 0))*Permutas!AT12/(SUMIF('Fluxo Investidores'!$A:$A, "&lt;="&amp;$N12, 'Fluxo Investidores'!$Z:$Z)+SUMIF('Fluxo Investidores'!$A:$A, "&lt;="&amp;$N12, 'Fluxo Investidores'!$AA:$AA)), 0), IF($N12&lt;=terminoProjeto, -((1+txAdmKinea)^(1/12)-1)*AT11, 0))</f>
        <v>0</v>
      </c>
      <c r="BA12" s="395">
        <f>IF($N12&lt;=baseData, IFERROR(INDEX('Fluxo Bandeira Co'!$W:$W, MATCH($N12, 'Fluxo Bandeira Co'!$A:$A, 0))*Permutas!AU12/(SUMIF('Fluxo Investidores'!$A:$A, "&lt;="&amp;$N12, 'Fluxo Investidores'!$Z:$Z)+SUMIF('Fluxo Investidores'!$A:$A, "&lt;="&amp;$N12, 'Fluxo Investidores'!$AA:$AA)), 0), IF($N12&lt;=terminoProjeto, -((1+txAdmKinea)^(1/12)-1)*AU11, 0))</f>
        <v>0</v>
      </c>
      <c r="BB12" s="395">
        <f>IF($N12&lt;=baseData, IFERROR(INDEX('Fluxo Bandeira Co'!$W:$W, MATCH($N12, 'Fluxo Bandeira Co'!$A:$A, 0))*Permutas!AV12/(SUMIF('Fluxo Investidores'!$A:$A, "&lt;="&amp;$N12, 'Fluxo Investidores'!$Z:$Z)+SUMIF('Fluxo Investidores'!$A:$A, "&lt;="&amp;$N12, 'Fluxo Investidores'!$AA:$AA)), 0), IF($N12&lt;=terminoProjeto, -((1+txAdmKinea)^(1/12)-1)*AV11, 0))</f>
        <v>0</v>
      </c>
      <c r="BC12" s="396">
        <f>IF($N12&lt;=baseData, IFERROR(INDEX('Fluxo Bandeira Co'!$W:$W, MATCH($N12, 'Fluxo Bandeira Co'!$A:$A, 0))*Permutas!AW12/(SUMIF('Fluxo Investidores'!$A:$A, "&lt;="&amp;$N12, 'Fluxo Investidores'!$Z:$Z)+SUMIF('Fluxo Investidores'!$A:$A, "&lt;="&amp;$N12, 'Fluxo Investidores'!$AA:$AA)), 0), IF($N12&lt;=terminoProjeto, -((1+txAdmKinea)^(1/12)-1)*AW11, 0))</f>
        <v>0</v>
      </c>
    </row>
    <row r="13" spans="1:55" x14ac:dyDescent="0.25">
      <c r="B13" s="217" t="s">
        <v>250</v>
      </c>
      <c r="C13" s="184">
        <v>13600</v>
      </c>
      <c r="D13" s="156"/>
      <c r="E13" s="156"/>
      <c r="F13" s="156"/>
      <c r="K13" s="336"/>
      <c r="N13" s="315">
        <f t="shared" si="16"/>
        <v>43556</v>
      </c>
      <c r="O13" s="389">
        <f>IF($N13&lt;=baseData, INDEX(Indicadores!B:B, MATCH($N13,Indicadores!A:A, 0)), INDEX(Indicadores!B:B, MATCH(baseData,Indicadores!A:A, 0)))</f>
        <v>755.37300000000005</v>
      </c>
      <c r="P13" s="390"/>
      <c r="Q13" s="397">
        <f>IF($N13&lt;=baseData, -INDEX('Fluxo Investidores'!$L$2:$X$86, MATCH($N13, 'Fluxo Investidores'!$A$2:$A$86, 0), MATCH(Q$2, 'Fluxo Investidores'!$L$1:$X$1, 0)), 0)</f>
        <v>400000</v>
      </c>
      <c r="R13" s="390">
        <f>IF($N13&lt;=baseData, -INDEX('Fluxo Investidores'!$L$2:$X$86, MATCH($N13, 'Fluxo Investidores'!$A$2:$A$86, 0), MATCH(R$2, 'Fluxo Investidores'!$L$1:$X$1, 0)), 0)</f>
        <v>400000</v>
      </c>
      <c r="S13" s="390">
        <f>IF($N13&lt;=baseData, -INDEX('Fluxo Investidores'!$L$2:$X$86, MATCH($N13, 'Fluxo Investidores'!$A$2:$A$86, 0), MATCH(S$2, 'Fluxo Investidores'!$L$1:$X$1, 0)), 0)</f>
        <v>1000000</v>
      </c>
      <c r="T13" s="390">
        <f>IF($N13&lt;=baseData, -INDEX('Fluxo Investidores'!$L$2:$X$86, MATCH($N13, 'Fluxo Investidores'!$A$2:$A$86, 0), MATCH(T$2, 'Fluxo Investidores'!$L$1:$X$1, 0)), 0)</f>
        <v>400000</v>
      </c>
      <c r="U13" s="390">
        <f>IF($N13&lt;=baseData, -INDEX('Fluxo Investidores'!$L$2:$X$86, MATCH($N13, 'Fluxo Investidores'!$A$2:$A$86, 0), MATCH(U$2, 'Fluxo Investidores'!$L$1:$X$1, 0)), 0)</f>
        <v>1000000</v>
      </c>
      <c r="V13" s="393">
        <f t="shared" si="0"/>
        <v>3200000</v>
      </c>
      <c r="W13" s="390"/>
      <c r="X13" s="430">
        <f t="shared" si="1"/>
        <v>400000</v>
      </c>
      <c r="Y13" s="431">
        <f t="shared" si="2"/>
        <v>400000</v>
      </c>
      <c r="Z13" s="431">
        <f t="shared" si="3"/>
        <v>437691.53009595751</v>
      </c>
      <c r="AA13" s="431">
        <f t="shared" si="4"/>
        <v>400000</v>
      </c>
      <c r="AB13" s="431">
        <f t="shared" si="5"/>
        <v>472044.60378313129</v>
      </c>
      <c r="AC13" s="442">
        <f t="shared" si="6"/>
        <v>2109736.1338790888</v>
      </c>
      <c r="AD13" s="395"/>
      <c r="AE13" s="430">
        <f t="shared" si="7"/>
        <v>332693.63250000001</v>
      </c>
      <c r="AF13" s="431">
        <f t="shared" si="8"/>
        <v>332693.63250000001</v>
      </c>
      <c r="AG13" s="431">
        <f t="shared" si="9"/>
        <v>364042.96265526797</v>
      </c>
      <c r="AH13" s="431">
        <f t="shared" si="10"/>
        <v>332693.63250000001</v>
      </c>
      <c r="AI13" s="431">
        <f t="shared" si="11"/>
        <v>392615.584836583</v>
      </c>
      <c r="AJ13" s="442">
        <f t="shared" si="12"/>
        <v>1754739.4449918512</v>
      </c>
      <c r="AM13" s="394"/>
      <c r="AN13" s="395"/>
      <c r="AO13" s="395"/>
      <c r="AP13" s="395"/>
      <c r="AQ13" s="396"/>
      <c r="AS13" s="394">
        <f t="shared" si="17"/>
        <v>400000</v>
      </c>
      <c r="AT13" s="395">
        <f t="shared" si="18"/>
        <v>400000</v>
      </c>
      <c r="AU13" s="395">
        <f t="shared" si="19"/>
        <v>437691.53009595751</v>
      </c>
      <c r="AV13" s="395">
        <f t="shared" si="20"/>
        <v>400000</v>
      </c>
      <c r="AW13" s="396">
        <f t="shared" si="21"/>
        <v>472044.60378313129</v>
      </c>
      <c r="AY13" s="394">
        <f>IF($N13&lt;=baseData, IFERROR(INDEX('Fluxo Bandeira Co'!$W:$W, MATCH($N13, 'Fluxo Bandeira Co'!$A:$A, 0))*Permutas!AS13/(SUMIF('Fluxo Investidores'!$A:$A, "&lt;="&amp;$N13, 'Fluxo Investidores'!$Z:$Z)+SUMIF('Fluxo Investidores'!$A:$A, "&lt;="&amp;$N13, 'Fluxo Investidores'!$AA:$AA)), 0), IF($N13&lt;=terminoProjeto, -((1+txAdmKinea)^(1/12)-1)*AS12, 0))</f>
        <v>0</v>
      </c>
      <c r="AZ13" s="395">
        <f>IF($N13&lt;=baseData, IFERROR(INDEX('Fluxo Bandeira Co'!$W:$W, MATCH($N13, 'Fluxo Bandeira Co'!$A:$A, 0))*Permutas!AT13/(SUMIF('Fluxo Investidores'!$A:$A, "&lt;="&amp;$N13, 'Fluxo Investidores'!$Z:$Z)+SUMIF('Fluxo Investidores'!$A:$A, "&lt;="&amp;$N13, 'Fluxo Investidores'!$AA:$AA)), 0), IF($N13&lt;=terminoProjeto, -((1+txAdmKinea)^(1/12)-1)*AT12, 0))</f>
        <v>0</v>
      </c>
      <c r="BA13" s="395">
        <f>IF($N13&lt;=baseData, IFERROR(INDEX('Fluxo Bandeira Co'!$W:$W, MATCH($N13, 'Fluxo Bandeira Co'!$A:$A, 0))*Permutas!AU13/(SUMIF('Fluxo Investidores'!$A:$A, "&lt;="&amp;$N13, 'Fluxo Investidores'!$Z:$Z)+SUMIF('Fluxo Investidores'!$A:$A, "&lt;="&amp;$N13, 'Fluxo Investidores'!$AA:$AA)), 0), IF($N13&lt;=terminoProjeto, -((1+txAdmKinea)^(1/12)-1)*AU12, 0))</f>
        <v>0</v>
      </c>
      <c r="BB13" s="395">
        <f>IF($N13&lt;=baseData, IFERROR(INDEX('Fluxo Bandeira Co'!$W:$W, MATCH($N13, 'Fluxo Bandeira Co'!$A:$A, 0))*Permutas!AV13/(SUMIF('Fluxo Investidores'!$A:$A, "&lt;="&amp;$N13, 'Fluxo Investidores'!$Z:$Z)+SUMIF('Fluxo Investidores'!$A:$A, "&lt;="&amp;$N13, 'Fluxo Investidores'!$AA:$AA)), 0), IF($N13&lt;=terminoProjeto, -((1+txAdmKinea)^(1/12)-1)*AV12, 0))</f>
        <v>0</v>
      </c>
      <c r="BC13" s="396">
        <f>IF($N13&lt;=baseData, IFERROR(INDEX('Fluxo Bandeira Co'!$W:$W, MATCH($N13, 'Fluxo Bandeira Co'!$A:$A, 0))*Permutas!AW13/(SUMIF('Fluxo Investidores'!$A:$A, "&lt;="&amp;$N13, 'Fluxo Investidores'!$Z:$Z)+SUMIF('Fluxo Investidores'!$A:$A, "&lt;="&amp;$N13, 'Fluxo Investidores'!$AA:$AA)), 0), IF($N13&lt;=terminoProjeto, -((1+txAdmKinea)^(1/12)-1)*AW12, 0))</f>
        <v>0</v>
      </c>
    </row>
    <row r="14" spans="1:55" ht="15" customHeight="1" x14ac:dyDescent="0.25">
      <c r="B14" s="217" t="s">
        <v>251</v>
      </c>
      <c r="C14" s="369">
        <f>SUMIF($I$4:$I$9, $B$12, K4:K9)</f>
        <v>4050080</v>
      </c>
      <c r="N14" s="315">
        <f t="shared" si="16"/>
        <v>43586</v>
      </c>
      <c r="O14" s="389">
        <f>IF($N14&lt;=baseData, INDEX(Indicadores!B:B, MATCH($N14,Indicadores!A:A, 0)), INDEX(Indicadores!B:B, MATCH(baseData,Indicadores!A:A, 0)))</f>
        <v>755.625</v>
      </c>
      <c r="P14" s="390"/>
      <c r="Q14" s="397">
        <f>IF($N14&lt;=baseData, -INDEX('Fluxo Investidores'!$L$2:$X$86, MATCH($N14, 'Fluxo Investidores'!$A$2:$A$86, 0), MATCH(Q$2, 'Fluxo Investidores'!$L$1:$X$1, 0)), 0)</f>
        <v>0</v>
      </c>
      <c r="R14" s="390">
        <f>IF($N14&lt;=baseData, -INDEX('Fluxo Investidores'!$L$2:$X$86, MATCH($N14, 'Fluxo Investidores'!$A$2:$A$86, 0), MATCH(R$2, 'Fluxo Investidores'!$L$1:$X$1, 0)), 0)</f>
        <v>0</v>
      </c>
      <c r="S14" s="390">
        <f>IF($N14&lt;=baseData, -INDEX('Fluxo Investidores'!$L$2:$X$86, MATCH($N14, 'Fluxo Investidores'!$A$2:$A$86, 0), MATCH(S$2, 'Fluxo Investidores'!$L$1:$X$1, 0)), 0)</f>
        <v>0</v>
      </c>
      <c r="T14" s="390">
        <f>IF($N14&lt;=baseData, -INDEX('Fluxo Investidores'!$L$2:$X$86, MATCH($N14, 'Fluxo Investidores'!$A$2:$A$86, 0), MATCH(T$2, 'Fluxo Investidores'!$L$1:$X$1, 0)), 0)</f>
        <v>0</v>
      </c>
      <c r="U14" s="390">
        <f>IF($N14&lt;=baseData, -INDEX('Fluxo Investidores'!$L$2:$X$86, MATCH($N14, 'Fluxo Investidores'!$A$2:$A$86, 0), MATCH(U$2, 'Fluxo Investidores'!$L$1:$X$1, 0)), 0)</f>
        <v>0</v>
      </c>
      <c r="V14" s="393">
        <f t="shared" si="0"/>
        <v>0</v>
      </c>
      <c r="W14" s="390"/>
      <c r="X14" s="430">
        <f t="shared" si="1"/>
        <v>0</v>
      </c>
      <c r="Y14" s="431">
        <f t="shared" si="2"/>
        <v>0</v>
      </c>
      <c r="Z14" s="431">
        <f t="shared" si="3"/>
        <v>0</v>
      </c>
      <c r="AA14" s="431">
        <f t="shared" si="4"/>
        <v>0</v>
      </c>
      <c r="AB14" s="431">
        <f t="shared" si="5"/>
        <v>0</v>
      </c>
      <c r="AC14" s="442">
        <f t="shared" si="6"/>
        <v>0</v>
      </c>
      <c r="AD14" s="395"/>
      <c r="AE14" s="430">
        <f t="shared" si="7"/>
        <v>0</v>
      </c>
      <c r="AF14" s="431">
        <f t="shared" si="8"/>
        <v>0</v>
      </c>
      <c r="AG14" s="431">
        <f t="shared" si="9"/>
        <v>0</v>
      </c>
      <c r="AH14" s="431">
        <f t="shared" si="10"/>
        <v>0</v>
      </c>
      <c r="AI14" s="431">
        <f t="shared" si="11"/>
        <v>0</v>
      </c>
      <c r="AJ14" s="442">
        <f t="shared" si="12"/>
        <v>0</v>
      </c>
      <c r="AM14" s="394"/>
      <c r="AN14" s="395"/>
      <c r="AO14" s="395"/>
      <c r="AP14" s="395"/>
      <c r="AQ14" s="396"/>
      <c r="AS14" s="394">
        <f t="shared" si="17"/>
        <v>400000</v>
      </c>
      <c r="AT14" s="395">
        <f t="shared" si="18"/>
        <v>400000</v>
      </c>
      <c r="AU14" s="395">
        <f t="shared" si="19"/>
        <v>437691.53009595751</v>
      </c>
      <c r="AV14" s="395">
        <f t="shared" si="20"/>
        <v>400000</v>
      </c>
      <c r="AW14" s="396">
        <f t="shared" si="21"/>
        <v>472044.60378313129</v>
      </c>
      <c r="AY14" s="394">
        <f>IF($N14&lt;=baseData, IFERROR(INDEX('Fluxo Bandeira Co'!$W:$W, MATCH($N14, 'Fluxo Bandeira Co'!$A:$A, 0))*Permutas!AS14/(SUMIF('Fluxo Investidores'!$A:$A, "&lt;="&amp;$N14, 'Fluxo Investidores'!$Z:$Z)+SUMIF('Fluxo Investidores'!$A:$A, "&lt;="&amp;$N14, 'Fluxo Investidores'!$AA:$AA)), 0), IF($N14&lt;=terminoProjeto, -((1+txAdmKinea)^(1/12)-1)*AS13, 0))</f>
        <v>0</v>
      </c>
      <c r="AZ14" s="395">
        <f>IF($N14&lt;=baseData, IFERROR(INDEX('Fluxo Bandeira Co'!$W:$W, MATCH($N14, 'Fluxo Bandeira Co'!$A:$A, 0))*Permutas!AT14/(SUMIF('Fluxo Investidores'!$A:$A, "&lt;="&amp;$N14, 'Fluxo Investidores'!$Z:$Z)+SUMIF('Fluxo Investidores'!$A:$A, "&lt;="&amp;$N14, 'Fluxo Investidores'!$AA:$AA)), 0), IF($N14&lt;=terminoProjeto, -((1+txAdmKinea)^(1/12)-1)*AT13, 0))</f>
        <v>0</v>
      </c>
      <c r="BA14" s="395">
        <f>IF($N14&lt;=baseData, IFERROR(INDEX('Fluxo Bandeira Co'!$W:$W, MATCH($N14, 'Fluxo Bandeira Co'!$A:$A, 0))*Permutas!AU14/(SUMIF('Fluxo Investidores'!$A:$A, "&lt;="&amp;$N14, 'Fluxo Investidores'!$Z:$Z)+SUMIF('Fluxo Investidores'!$A:$A, "&lt;="&amp;$N14, 'Fluxo Investidores'!$AA:$AA)), 0), IF($N14&lt;=terminoProjeto, -((1+txAdmKinea)^(1/12)-1)*AU13, 0))</f>
        <v>0</v>
      </c>
      <c r="BB14" s="395">
        <f>IF($N14&lt;=baseData, IFERROR(INDEX('Fluxo Bandeira Co'!$W:$W, MATCH($N14, 'Fluxo Bandeira Co'!$A:$A, 0))*Permutas!AV14/(SUMIF('Fluxo Investidores'!$A:$A, "&lt;="&amp;$N14, 'Fluxo Investidores'!$Z:$Z)+SUMIF('Fluxo Investidores'!$A:$A, "&lt;="&amp;$N14, 'Fluxo Investidores'!$AA:$AA)), 0), IF($N14&lt;=terminoProjeto, -((1+txAdmKinea)^(1/12)-1)*AV13, 0))</f>
        <v>0</v>
      </c>
      <c r="BC14" s="396">
        <f>IF($N14&lt;=baseData, IFERROR(INDEX('Fluxo Bandeira Co'!$W:$W, MATCH($N14, 'Fluxo Bandeira Co'!$A:$A, 0))*Permutas!AW14/(SUMIF('Fluxo Investidores'!$A:$A, "&lt;="&amp;$N14, 'Fluxo Investidores'!$Z:$Z)+SUMIF('Fluxo Investidores'!$A:$A, "&lt;="&amp;$N14, 'Fluxo Investidores'!$AA:$AA)), 0), IF($N14&lt;=terminoProjeto, -((1+txAdmKinea)^(1/12)-1)*AW13, 0))</f>
        <v>0</v>
      </c>
    </row>
    <row r="15" spans="1:55" x14ac:dyDescent="0.25">
      <c r="B15" s="601" t="s">
        <v>252</v>
      </c>
      <c r="C15" s="217" t="s">
        <v>191</v>
      </c>
      <c r="D15" s="355">
        <v>43800</v>
      </c>
      <c r="E15" s="17">
        <v>0.5</v>
      </c>
      <c r="F15" s="369">
        <f>E15*$C$14</f>
        <v>2025040</v>
      </c>
      <c r="N15" s="315">
        <f t="shared" si="16"/>
        <v>43617</v>
      </c>
      <c r="O15" s="389">
        <f>IF($N15&lt;=baseData, INDEX(Indicadores!B:B, MATCH($N15,Indicadores!A:A, 0)), INDEX(Indicadores!B:B, MATCH(baseData,Indicadores!A:A, 0)))</f>
        <v>762.30399999999997</v>
      </c>
      <c r="P15" s="390"/>
      <c r="Q15" s="397">
        <f>IF($N15&lt;=baseData, -INDEX('Fluxo Investidores'!$L$2:$X$86, MATCH($N15, 'Fluxo Investidores'!$A$2:$A$86, 0), MATCH(Q$2, 'Fluxo Investidores'!$L$1:$X$1, 0)), 0)</f>
        <v>0</v>
      </c>
      <c r="R15" s="390">
        <f>IF($N15&lt;=baseData, -INDEX('Fluxo Investidores'!$L$2:$X$86, MATCH($N15, 'Fluxo Investidores'!$A$2:$A$86, 0), MATCH(R$2, 'Fluxo Investidores'!$L$1:$X$1, 0)), 0)</f>
        <v>0</v>
      </c>
      <c r="S15" s="390">
        <f>IF($N15&lt;=baseData, -INDEX('Fluxo Investidores'!$L$2:$X$86, MATCH($N15, 'Fluxo Investidores'!$A$2:$A$86, 0), MATCH(S$2, 'Fluxo Investidores'!$L$1:$X$1, 0)), 0)</f>
        <v>0</v>
      </c>
      <c r="T15" s="390">
        <f>IF($N15&lt;=baseData, -INDEX('Fluxo Investidores'!$L$2:$X$86, MATCH($N15, 'Fluxo Investidores'!$A$2:$A$86, 0), MATCH(T$2, 'Fluxo Investidores'!$L$1:$X$1, 0)), 0)</f>
        <v>0</v>
      </c>
      <c r="U15" s="390">
        <f>IF($N15&lt;=baseData, -INDEX('Fluxo Investidores'!$L$2:$X$86, MATCH($N15, 'Fluxo Investidores'!$A$2:$A$86, 0), MATCH(U$2, 'Fluxo Investidores'!$L$1:$X$1, 0)), 0)</f>
        <v>0</v>
      </c>
      <c r="V15" s="393">
        <f t="shared" si="0"/>
        <v>0</v>
      </c>
      <c r="W15" s="390"/>
      <c r="X15" s="430">
        <f t="shared" si="1"/>
        <v>0</v>
      </c>
      <c r="Y15" s="431">
        <f t="shared" si="2"/>
        <v>0</v>
      </c>
      <c r="Z15" s="431">
        <f t="shared" si="3"/>
        <v>0</v>
      </c>
      <c r="AA15" s="431">
        <f t="shared" si="4"/>
        <v>0</v>
      </c>
      <c r="AB15" s="431">
        <f t="shared" si="5"/>
        <v>0</v>
      </c>
      <c r="AC15" s="442">
        <f t="shared" si="6"/>
        <v>0</v>
      </c>
      <c r="AD15" s="395"/>
      <c r="AE15" s="430">
        <f t="shared" si="7"/>
        <v>0</v>
      </c>
      <c r="AF15" s="431">
        <f t="shared" si="8"/>
        <v>0</v>
      </c>
      <c r="AG15" s="431">
        <f t="shared" si="9"/>
        <v>0</v>
      </c>
      <c r="AH15" s="431">
        <f t="shared" si="10"/>
        <v>0</v>
      </c>
      <c r="AI15" s="431">
        <f t="shared" si="11"/>
        <v>0</v>
      </c>
      <c r="AJ15" s="442">
        <f t="shared" si="12"/>
        <v>0</v>
      </c>
      <c r="AM15" s="394"/>
      <c r="AN15" s="395"/>
      <c r="AO15" s="395"/>
      <c r="AP15" s="395"/>
      <c r="AQ15" s="396"/>
      <c r="AS15" s="394">
        <f t="shared" si="17"/>
        <v>400000</v>
      </c>
      <c r="AT15" s="395">
        <f t="shared" si="18"/>
        <v>400000</v>
      </c>
      <c r="AU15" s="395">
        <f t="shared" si="19"/>
        <v>437691.53009595751</v>
      </c>
      <c r="AV15" s="395">
        <f t="shared" si="20"/>
        <v>400000</v>
      </c>
      <c r="AW15" s="396">
        <f t="shared" si="21"/>
        <v>472044.60378313129</v>
      </c>
      <c r="AY15" s="394">
        <f>IF($N15&lt;=baseData, IFERROR(INDEX('Fluxo Bandeira Co'!$W:$W, MATCH($N15, 'Fluxo Bandeira Co'!$A:$A, 0))*Permutas!AS15/(SUMIF('Fluxo Investidores'!$A:$A, "&lt;="&amp;$N15, 'Fluxo Investidores'!$Z:$Z)+SUMIF('Fluxo Investidores'!$A:$A, "&lt;="&amp;$N15, 'Fluxo Investidores'!$AA:$AA)), 0), IF($N15&lt;=terminoProjeto, -((1+txAdmKinea)^(1/12)-1)*AS14, 0))</f>
        <v>-502.72750000000002</v>
      </c>
      <c r="AZ15" s="395">
        <f>IF($N15&lt;=baseData, IFERROR(INDEX('Fluxo Bandeira Co'!$W:$W, MATCH($N15, 'Fluxo Bandeira Co'!$A:$A, 0))*Permutas!AT15/(SUMIF('Fluxo Investidores'!$A:$A, "&lt;="&amp;$N15, 'Fluxo Investidores'!$Z:$Z)+SUMIF('Fluxo Investidores'!$A:$A, "&lt;="&amp;$N15, 'Fluxo Investidores'!$AA:$AA)), 0), IF($N15&lt;=terminoProjeto, -((1+txAdmKinea)^(1/12)-1)*AT14, 0))</f>
        <v>-502.72750000000002</v>
      </c>
      <c r="BA15" s="395">
        <f>IF($N15&lt;=baseData, IFERROR(INDEX('Fluxo Bandeira Co'!$W:$W, MATCH($N15, 'Fluxo Bandeira Co'!$A:$A, 0))*Permutas!AU15/(SUMIF('Fluxo Investidores'!$A:$A, "&lt;="&amp;$N15, 'Fluxo Investidores'!$Z:$Z)+SUMIF('Fluxo Investidores'!$A:$A, "&lt;="&amp;$N15, 'Fluxo Investidores'!$AA:$AA)), 0), IF($N15&lt;=terminoProjeto, -((1+txAdmKinea)^(1/12)-1)*AU14, 0))</f>
        <v>-550.09892174078868</v>
      </c>
      <c r="BB15" s="395">
        <f>IF($N15&lt;=baseData, IFERROR(INDEX('Fluxo Bandeira Co'!$W:$W, MATCH($N15, 'Fluxo Bandeira Co'!$A:$A, 0))*Permutas!AV15/(SUMIF('Fluxo Investidores'!$A:$A, "&lt;="&amp;$N15, 'Fluxo Investidores'!$Z:$Z)+SUMIF('Fluxo Investidores'!$A:$A, "&lt;="&amp;$N15, 'Fluxo Investidores'!$AA:$AA)), 0), IF($N15&lt;=terminoProjeto, -((1+txAdmKinea)^(1/12)-1)*AV14, 0))</f>
        <v>-502.72750000000002</v>
      </c>
      <c r="BC15" s="396">
        <f>IF($N15&lt;=baseData, IFERROR(INDEX('Fluxo Bandeira Co'!$W:$W, MATCH($N15, 'Fluxo Bandeira Co'!$A:$A, 0))*Permutas!AW15/(SUMIF('Fluxo Investidores'!$A:$A, "&lt;="&amp;$N15, 'Fluxo Investidores'!$Z:$Z)+SUMIF('Fluxo Investidores'!$A:$A, "&lt;="&amp;$N15, 'Fluxo Investidores'!$AA:$AA)), 0), IF($N15&lt;=terminoProjeto, -((1+txAdmKinea)^(1/12)-1)*AW14, 0))</f>
        <v>-593.2745088709604</v>
      </c>
    </row>
    <row r="16" spans="1:55" x14ac:dyDescent="0.25">
      <c r="B16" s="599"/>
      <c r="C16" s="217" t="s">
        <v>253</v>
      </c>
      <c r="D16" s="355">
        <f>inicioObra</f>
        <v>44166</v>
      </c>
      <c r="E16" s="17">
        <v>0.25</v>
      </c>
      <c r="F16" s="369">
        <f>E16*$C$14</f>
        <v>1012520</v>
      </c>
      <c r="N16" s="315">
        <f t="shared" si="16"/>
        <v>43647</v>
      </c>
      <c r="O16" s="389">
        <f>IF($N16&lt;=baseData, INDEX(Indicadores!B:B, MATCH($N16,Indicadores!A:A, 0)), INDEX(Indicadores!B:B, MATCH(baseData,Indicadores!A:A, 0)))</f>
        <v>766.69899999999996</v>
      </c>
      <c r="P16" s="390"/>
      <c r="Q16" s="397">
        <f>IF($N16&lt;=baseData, -INDEX('Fluxo Investidores'!$L$2:$X$86, MATCH($N16, 'Fluxo Investidores'!$A$2:$A$86, 0), MATCH(Q$2, 'Fluxo Investidores'!$L$1:$X$1, 0)), 0)</f>
        <v>0</v>
      </c>
      <c r="R16" s="390">
        <f>IF($N16&lt;=baseData, -INDEX('Fluxo Investidores'!$L$2:$X$86, MATCH($N16, 'Fluxo Investidores'!$A$2:$A$86, 0), MATCH(R$2, 'Fluxo Investidores'!$L$1:$X$1, 0)), 0)</f>
        <v>0</v>
      </c>
      <c r="S16" s="390">
        <f>IF($N16&lt;=baseData, -INDEX('Fluxo Investidores'!$L$2:$X$86, MATCH($N16, 'Fluxo Investidores'!$A$2:$A$86, 0), MATCH(S$2, 'Fluxo Investidores'!$L$1:$X$1, 0)), 0)</f>
        <v>0</v>
      </c>
      <c r="T16" s="390">
        <f>IF($N16&lt;=baseData, -INDEX('Fluxo Investidores'!$L$2:$X$86, MATCH($N16, 'Fluxo Investidores'!$A$2:$A$86, 0), MATCH(T$2, 'Fluxo Investidores'!$L$1:$X$1, 0)), 0)</f>
        <v>0</v>
      </c>
      <c r="U16" s="390">
        <f>IF($N16&lt;=baseData, -INDEX('Fluxo Investidores'!$L$2:$X$86, MATCH($N16, 'Fluxo Investidores'!$A$2:$A$86, 0), MATCH(U$2, 'Fluxo Investidores'!$L$1:$X$1, 0)), 0)</f>
        <v>0</v>
      </c>
      <c r="V16" s="393">
        <f t="shared" si="0"/>
        <v>0</v>
      </c>
      <c r="W16" s="390"/>
      <c r="X16" s="430">
        <f t="shared" si="1"/>
        <v>0</v>
      </c>
      <c r="Y16" s="431">
        <f t="shared" si="2"/>
        <v>0</v>
      </c>
      <c r="Z16" s="431">
        <f t="shared" si="3"/>
        <v>0</v>
      </c>
      <c r="AA16" s="431">
        <f t="shared" si="4"/>
        <v>0</v>
      </c>
      <c r="AB16" s="431">
        <f t="shared" si="5"/>
        <v>0</v>
      </c>
      <c r="AC16" s="442">
        <f t="shared" si="6"/>
        <v>0</v>
      </c>
      <c r="AD16" s="395"/>
      <c r="AE16" s="430">
        <f t="shared" si="7"/>
        <v>0</v>
      </c>
      <c r="AF16" s="431">
        <f t="shared" si="8"/>
        <v>0</v>
      </c>
      <c r="AG16" s="431">
        <f t="shared" si="9"/>
        <v>0</v>
      </c>
      <c r="AH16" s="431">
        <f t="shared" si="10"/>
        <v>0</v>
      </c>
      <c r="AI16" s="431">
        <f t="shared" si="11"/>
        <v>0</v>
      </c>
      <c r="AJ16" s="442">
        <f t="shared" si="12"/>
        <v>0</v>
      </c>
      <c r="AM16" s="394"/>
      <c r="AN16" s="395"/>
      <c r="AO16" s="395"/>
      <c r="AP16" s="395"/>
      <c r="AQ16" s="396"/>
      <c r="AS16" s="394">
        <f t="shared" si="17"/>
        <v>400000</v>
      </c>
      <c r="AT16" s="395">
        <f t="shared" si="18"/>
        <v>400000</v>
      </c>
      <c r="AU16" s="395">
        <f t="shared" si="19"/>
        <v>437691.53009595751</v>
      </c>
      <c r="AV16" s="395">
        <f t="shared" si="20"/>
        <v>400000</v>
      </c>
      <c r="AW16" s="396">
        <f t="shared" si="21"/>
        <v>472044.60378313129</v>
      </c>
      <c r="AY16" s="394">
        <f>IF($N16&lt;=baseData, IFERROR(INDEX('Fluxo Bandeira Co'!$W:$W, MATCH($N16, 'Fluxo Bandeira Co'!$A:$A, 0))*Permutas!AS16/(SUMIF('Fluxo Investidores'!$A:$A, "&lt;="&amp;$N16, 'Fluxo Investidores'!$Z:$Z)+SUMIF('Fluxo Investidores'!$A:$A, "&lt;="&amp;$N16, 'Fluxo Investidores'!$AA:$AA)), 0), IF($N16&lt;=terminoProjeto, -((1+txAdmKinea)^(1/12)-1)*AS15, 0))</f>
        <v>-434.17392857142858</v>
      </c>
      <c r="AZ16" s="395">
        <f>IF($N16&lt;=baseData, IFERROR(INDEX('Fluxo Bandeira Co'!$W:$W, MATCH($N16, 'Fluxo Bandeira Co'!$A:$A, 0))*Permutas!AT16/(SUMIF('Fluxo Investidores'!$A:$A, "&lt;="&amp;$N16, 'Fluxo Investidores'!$Z:$Z)+SUMIF('Fluxo Investidores'!$A:$A, "&lt;="&amp;$N16, 'Fluxo Investidores'!$AA:$AA)), 0), IF($N16&lt;=terminoProjeto, -((1+txAdmKinea)^(1/12)-1)*AT15, 0))</f>
        <v>-434.17392857142858</v>
      </c>
      <c r="BA16" s="395">
        <f>IF($N16&lt;=baseData, IFERROR(INDEX('Fluxo Bandeira Co'!$W:$W, MATCH($N16, 'Fluxo Bandeira Co'!$A:$A, 0))*Permutas!AU16/(SUMIF('Fluxo Investidores'!$A:$A, "&lt;="&amp;$N16, 'Fluxo Investidores'!$Z:$Z)+SUMIF('Fluxo Investidores'!$A:$A, "&lt;="&amp;$N16, 'Fluxo Investidores'!$AA:$AA)), 0), IF($N16&lt;=terminoProjeto, -((1+txAdmKinea)^(1/12)-1)*AU15, 0))</f>
        <v>-475.08562781050387</v>
      </c>
      <c r="BB16" s="395">
        <f>IF($N16&lt;=baseData, IFERROR(INDEX('Fluxo Bandeira Co'!$W:$W, MATCH($N16, 'Fluxo Bandeira Co'!$A:$A, 0))*Permutas!AV16/(SUMIF('Fluxo Investidores'!$A:$A, "&lt;="&amp;$N16, 'Fluxo Investidores'!$Z:$Z)+SUMIF('Fluxo Investidores'!$A:$A, "&lt;="&amp;$N16, 'Fluxo Investidores'!$AA:$AA)), 0), IF($N16&lt;=terminoProjeto, -((1+txAdmKinea)^(1/12)-1)*AV15, 0))</f>
        <v>-434.17392857142858</v>
      </c>
      <c r="BC16" s="396">
        <f>IF($N16&lt;=baseData, IFERROR(INDEX('Fluxo Bandeira Co'!$W:$W, MATCH($N16, 'Fluxo Bandeira Co'!$A:$A, 0))*Permutas!AW16/(SUMIF('Fluxo Investidores'!$A:$A, "&lt;="&amp;$N16, 'Fluxo Investidores'!$Z:$Z)+SUMIF('Fluxo Investidores'!$A:$A, "&lt;="&amp;$N16, 'Fluxo Investidores'!$AA:$AA)), 0), IF($N16&lt;=terminoProjeto, -((1+txAdmKinea)^(1/12)-1)*AW15, 0))</f>
        <v>-512.37365021366395</v>
      </c>
    </row>
    <row r="17" spans="2:56" x14ac:dyDescent="0.25">
      <c r="B17" s="599"/>
      <c r="C17" s="217" t="s">
        <v>254</v>
      </c>
      <c r="D17" s="355">
        <f>EDATE(D16, 12)</f>
        <v>44531</v>
      </c>
      <c r="E17" s="17">
        <v>0.25</v>
      </c>
      <c r="F17" s="369">
        <f>E17*$C$14</f>
        <v>1012520</v>
      </c>
      <c r="M17" s="192"/>
      <c r="N17" s="315">
        <f t="shared" si="16"/>
        <v>43678</v>
      </c>
      <c r="O17" s="389">
        <f>IF($N17&lt;=baseData, INDEX(Indicadores!B:B, MATCH($N17,Indicadores!A:A, 0)), INDEX(Indicadores!B:B, MATCH(baseData,Indicadores!A:A, 0)))</f>
        <v>769.95100000000002</v>
      </c>
      <c r="P17" s="390"/>
      <c r="Q17" s="397">
        <f>IF($N17&lt;=baseData, -INDEX('Fluxo Investidores'!$L$2:$X$86, MATCH($N17, 'Fluxo Investidores'!$A$2:$A$86, 0), MATCH(Q$2, 'Fluxo Investidores'!$L$1:$X$1, 0)), 0)</f>
        <v>235000</v>
      </c>
      <c r="R17" s="390">
        <f>IF($N17&lt;=baseData, -INDEX('Fluxo Investidores'!$L$2:$X$86, MATCH($N17, 'Fluxo Investidores'!$A$2:$A$86, 0), MATCH(R$2, 'Fluxo Investidores'!$L$1:$X$1, 0)), 0)</f>
        <v>235000</v>
      </c>
      <c r="S17" s="390">
        <f>IF($N17&lt;=baseData, -INDEX('Fluxo Investidores'!$L$2:$X$86, MATCH($N17, 'Fluxo Investidores'!$A$2:$A$86, 0), MATCH(S$2, 'Fluxo Investidores'!$L$1:$X$1, 0)), 0)</f>
        <v>587500</v>
      </c>
      <c r="T17" s="390">
        <f>IF($N17&lt;=baseData, -INDEX('Fluxo Investidores'!$L$2:$X$86, MATCH($N17, 'Fluxo Investidores'!$A$2:$A$86, 0), MATCH(T$2, 'Fluxo Investidores'!$L$1:$X$1, 0)), 0)</f>
        <v>235000</v>
      </c>
      <c r="U17" s="390">
        <f>IF($N17&lt;=baseData, -INDEX('Fluxo Investidores'!$L$2:$X$86, MATCH($N17, 'Fluxo Investidores'!$A$2:$A$86, 0), MATCH(U$2, 'Fluxo Investidores'!$L$1:$X$1, 0)), 0)</f>
        <v>587500</v>
      </c>
      <c r="V17" s="393">
        <f t="shared" si="0"/>
        <v>1880000</v>
      </c>
      <c r="W17" s="390"/>
      <c r="X17" s="430">
        <f t="shared" si="1"/>
        <v>235000</v>
      </c>
      <c r="Y17" s="431">
        <f t="shared" si="2"/>
        <v>235000</v>
      </c>
      <c r="Z17" s="431">
        <f t="shared" si="3"/>
        <v>257143.77393137504</v>
      </c>
      <c r="AA17" s="431">
        <f t="shared" si="4"/>
        <v>235000</v>
      </c>
      <c r="AB17" s="431">
        <f t="shared" si="5"/>
        <v>277326.20472258964</v>
      </c>
      <c r="AC17" s="442">
        <f t="shared" si="6"/>
        <v>1239469.9786539646</v>
      </c>
      <c r="AD17" s="395"/>
      <c r="AE17" s="430">
        <f t="shared" si="7"/>
        <v>231428.57142857142</v>
      </c>
      <c r="AF17" s="431">
        <f t="shared" si="8"/>
        <v>231428.57142857142</v>
      </c>
      <c r="AG17" s="431">
        <f t="shared" si="9"/>
        <v>253235.81384123256</v>
      </c>
      <c r="AH17" s="431">
        <f t="shared" si="10"/>
        <v>231428.57142857142</v>
      </c>
      <c r="AI17" s="431">
        <f t="shared" si="11"/>
        <v>273111.52076024027</v>
      </c>
      <c r="AJ17" s="442">
        <f t="shared" si="12"/>
        <v>1220633.0488871871</v>
      </c>
      <c r="AM17" s="394"/>
      <c r="AN17" s="395"/>
      <c r="AO17" s="395"/>
      <c r="AP17" s="395"/>
      <c r="AQ17" s="396"/>
      <c r="AS17" s="394">
        <f t="shared" si="17"/>
        <v>635000</v>
      </c>
      <c r="AT17" s="395">
        <f t="shared" si="18"/>
        <v>635000</v>
      </c>
      <c r="AU17" s="395">
        <f t="shared" si="19"/>
        <v>694835.30402733258</v>
      </c>
      <c r="AV17" s="395">
        <f t="shared" si="20"/>
        <v>635000</v>
      </c>
      <c r="AW17" s="396">
        <f t="shared" si="21"/>
        <v>749370.80850572092</v>
      </c>
      <c r="AY17" s="394">
        <f>IF($N17&lt;=baseData, IFERROR(INDEX('Fluxo Bandeira Co'!$W:$W, MATCH($N17, 'Fluxo Bandeira Co'!$A:$A, 0))*Permutas!AS17/(SUMIF('Fluxo Investidores'!$A:$A, "&lt;="&amp;$N17, 'Fluxo Investidores'!$Z:$Z)+SUMIF('Fluxo Investidores'!$A:$A, "&lt;="&amp;$N17, 'Fluxo Investidores'!$AA:$AA)), 0), IF($N17&lt;=terminoProjeto, -((1+txAdmKinea)^(1/12)-1)*AS16, 0))</f>
        <v>-525.57892857142861</v>
      </c>
      <c r="AZ17" s="395">
        <f>IF($N17&lt;=baseData, IFERROR(INDEX('Fluxo Bandeira Co'!$W:$W, MATCH($N17, 'Fluxo Bandeira Co'!$A:$A, 0))*Permutas!AT17/(SUMIF('Fluxo Investidores'!$A:$A, "&lt;="&amp;$N17, 'Fluxo Investidores'!$Z:$Z)+SUMIF('Fluxo Investidores'!$A:$A, "&lt;="&amp;$N17, 'Fluxo Investidores'!$AA:$AA)), 0), IF($N17&lt;=terminoProjeto, -((1+txAdmKinea)^(1/12)-1)*AT16, 0))</f>
        <v>-525.57892857142861</v>
      </c>
      <c r="BA17" s="395">
        <f>IF($N17&lt;=baseData, IFERROR(INDEX('Fluxo Bandeira Co'!$W:$W, MATCH($N17, 'Fluxo Bandeira Co'!$A:$A, 0))*Permutas!AU17/(SUMIF('Fluxo Investidores'!$A:$A, "&lt;="&amp;$N17, 'Fluxo Investidores'!$Z:$Z)+SUMIF('Fluxo Investidores'!$A:$A, "&lt;="&amp;$N17, 'Fluxo Investidores'!$AA:$AA)), 0), IF($N17&lt;=terminoProjeto, -((1+txAdmKinea)^(1/12)-1)*AU16, 0))</f>
        <v>-575.10361358155637</v>
      </c>
      <c r="BB17" s="395">
        <f>IF($N17&lt;=baseData, IFERROR(INDEX('Fluxo Bandeira Co'!$W:$W, MATCH($N17, 'Fluxo Bandeira Co'!$A:$A, 0))*Permutas!AV17/(SUMIF('Fluxo Investidores'!$A:$A, "&lt;="&amp;$N17, 'Fluxo Investidores'!$Z:$Z)+SUMIF('Fluxo Investidores'!$A:$A, "&lt;="&amp;$N17, 'Fluxo Investidores'!$AA:$AA)), 0), IF($N17&lt;=terminoProjeto, -((1+txAdmKinea)^(1/12)-1)*AV16, 0))</f>
        <v>-525.57892857142861</v>
      </c>
      <c r="BC17" s="396">
        <f>IF($N17&lt;=baseData, IFERROR(INDEX('Fluxo Bandeira Co'!$W:$W, MATCH($N17, 'Fluxo Bandeira Co'!$A:$A, 0))*Permutas!AW17/(SUMIF('Fluxo Investidores'!$A:$A, "&lt;="&amp;$N17, 'Fluxo Investidores'!$Z:$Z)+SUMIF('Fluxo Investidores'!$A:$A, "&lt;="&amp;$N17, 'Fluxo Investidores'!$AA:$AA)), 0), IF($N17&lt;=terminoProjeto, -((1+txAdmKinea)^(1/12)-1)*AW16, 0))</f>
        <v>-620.24174273565666</v>
      </c>
    </row>
    <row r="18" spans="2:56" x14ac:dyDescent="0.25">
      <c r="M18" s="192"/>
      <c r="N18" s="315">
        <f t="shared" si="16"/>
        <v>43709</v>
      </c>
      <c r="O18" s="389">
        <f>IF($N18&lt;=baseData, INDEX(Indicadores!B:B, MATCH($N18,Indicadores!A:A, 0)), INDEX(Indicadores!B:B, MATCH(baseData,Indicadores!A:A, 0)))</f>
        <v>773.52</v>
      </c>
      <c r="P18" s="390"/>
      <c r="Q18" s="397">
        <f>IF($N18&lt;=baseData, -INDEX('Fluxo Investidores'!$L$2:$X$86, MATCH($N18, 'Fluxo Investidores'!$A$2:$A$86, 0), MATCH(Q$2, 'Fluxo Investidores'!$L$1:$X$1, 0)), 0)</f>
        <v>0</v>
      </c>
      <c r="R18" s="390">
        <f>IF($N18&lt;=baseData, -INDEX('Fluxo Investidores'!$L$2:$X$86, MATCH($N18, 'Fluxo Investidores'!$A$2:$A$86, 0), MATCH(R$2, 'Fluxo Investidores'!$L$1:$X$1, 0)), 0)</f>
        <v>0</v>
      </c>
      <c r="S18" s="390">
        <f>IF($N18&lt;=baseData, -INDEX('Fluxo Investidores'!$L$2:$X$86, MATCH($N18, 'Fluxo Investidores'!$A$2:$A$86, 0), MATCH(S$2, 'Fluxo Investidores'!$L$1:$X$1, 0)), 0)</f>
        <v>0</v>
      </c>
      <c r="T18" s="390">
        <f>IF($N18&lt;=baseData, -INDEX('Fluxo Investidores'!$L$2:$X$86, MATCH($N18, 'Fluxo Investidores'!$A$2:$A$86, 0), MATCH(T$2, 'Fluxo Investidores'!$L$1:$X$1, 0)), 0)</f>
        <v>0</v>
      </c>
      <c r="U18" s="390">
        <f>IF($N18&lt;=baseData, -INDEX('Fluxo Investidores'!$L$2:$X$86, MATCH($N18, 'Fluxo Investidores'!$A$2:$A$86, 0), MATCH(U$2, 'Fluxo Investidores'!$L$1:$X$1, 0)), 0)</f>
        <v>0</v>
      </c>
      <c r="V18" s="393">
        <f t="shared" si="0"/>
        <v>0</v>
      </c>
      <c r="W18" s="390"/>
      <c r="X18" s="430">
        <f t="shared" si="1"/>
        <v>0</v>
      </c>
      <c r="Y18" s="431">
        <f t="shared" si="2"/>
        <v>0</v>
      </c>
      <c r="Z18" s="431">
        <f t="shared" si="3"/>
        <v>0</v>
      </c>
      <c r="AA18" s="431">
        <f t="shared" si="4"/>
        <v>0</v>
      </c>
      <c r="AB18" s="431">
        <f t="shared" si="5"/>
        <v>0</v>
      </c>
      <c r="AC18" s="442">
        <f t="shared" si="6"/>
        <v>0</v>
      </c>
      <c r="AD18" s="395"/>
      <c r="AE18" s="430">
        <f t="shared" si="7"/>
        <v>0</v>
      </c>
      <c r="AF18" s="431">
        <f t="shared" si="8"/>
        <v>0</v>
      </c>
      <c r="AG18" s="431">
        <f t="shared" si="9"/>
        <v>0</v>
      </c>
      <c r="AH18" s="431">
        <f t="shared" si="10"/>
        <v>0</v>
      </c>
      <c r="AI18" s="431">
        <f t="shared" si="11"/>
        <v>0</v>
      </c>
      <c r="AJ18" s="442">
        <f t="shared" si="12"/>
        <v>0</v>
      </c>
      <c r="AM18" s="394"/>
      <c r="AN18" s="395"/>
      <c r="AO18" s="395"/>
      <c r="AP18" s="395"/>
      <c r="AQ18" s="396"/>
      <c r="AS18" s="394">
        <f t="shared" si="17"/>
        <v>635000</v>
      </c>
      <c r="AT18" s="395">
        <f t="shared" si="18"/>
        <v>635000</v>
      </c>
      <c r="AU18" s="395">
        <f t="shared" si="19"/>
        <v>694835.30402733258</v>
      </c>
      <c r="AV18" s="395">
        <f t="shared" si="20"/>
        <v>635000</v>
      </c>
      <c r="AW18" s="396">
        <f t="shared" si="21"/>
        <v>749370.80850572092</v>
      </c>
      <c r="AY18" s="394">
        <f>IF($N18&lt;=baseData, IFERROR(INDEX('Fluxo Bandeira Co'!$W:$W, MATCH($N18, 'Fluxo Bandeira Co'!$A:$A, 0))*Permutas!AS18/(SUMIF('Fluxo Investidores'!$A:$A, "&lt;="&amp;$N18, 'Fluxo Investidores'!$Z:$Z)+SUMIF('Fluxo Investidores'!$A:$A, "&lt;="&amp;$N18, 'Fluxo Investidores'!$AA:$AA)), 0), IF($N18&lt;=terminoProjeto, -((1+txAdmKinea)^(1/12)-1)*AS17, 0))</f>
        <v>-594.13250000000005</v>
      </c>
      <c r="AZ18" s="395">
        <f>IF($N18&lt;=baseData, IFERROR(INDEX('Fluxo Bandeira Co'!$W:$W, MATCH($N18, 'Fluxo Bandeira Co'!$A:$A, 0))*Permutas!AT18/(SUMIF('Fluxo Investidores'!$A:$A, "&lt;="&amp;$N18, 'Fluxo Investidores'!$Z:$Z)+SUMIF('Fluxo Investidores'!$A:$A, "&lt;="&amp;$N18, 'Fluxo Investidores'!$AA:$AA)), 0), IF($N18&lt;=terminoProjeto, -((1+txAdmKinea)^(1/12)-1)*AT17, 0))</f>
        <v>-594.13250000000005</v>
      </c>
      <c r="BA18" s="395">
        <f>IF($N18&lt;=baseData, IFERROR(INDEX('Fluxo Bandeira Co'!$W:$W, MATCH($N18, 'Fluxo Bandeira Co'!$A:$A, 0))*Permutas!AU18/(SUMIF('Fluxo Investidores'!$A:$A, "&lt;="&amp;$N18, 'Fluxo Investidores'!$Z:$Z)+SUMIF('Fluxo Investidores'!$A:$A, "&lt;="&amp;$N18, 'Fluxo Investidores'!$AA:$AA)), 0), IF($N18&lt;=terminoProjeto, -((1+txAdmKinea)^(1/12)-1)*AU17, 0))</f>
        <v>-650.11690751184119</v>
      </c>
      <c r="BB18" s="395">
        <f>IF($N18&lt;=baseData, IFERROR(INDEX('Fluxo Bandeira Co'!$W:$W, MATCH($N18, 'Fluxo Bandeira Co'!$A:$A, 0))*Permutas!AV18/(SUMIF('Fluxo Investidores'!$A:$A, "&lt;="&amp;$N18, 'Fluxo Investidores'!$Z:$Z)+SUMIF('Fluxo Investidores'!$A:$A, "&lt;="&amp;$N18, 'Fluxo Investidores'!$AA:$AA)), 0), IF($N18&lt;=terminoProjeto, -((1+txAdmKinea)^(1/12)-1)*AV17, 0))</f>
        <v>-594.13250000000005</v>
      </c>
      <c r="BC18" s="396">
        <f>IF($N18&lt;=baseData, IFERROR(INDEX('Fluxo Bandeira Co'!$W:$W, MATCH($N18, 'Fluxo Bandeira Co'!$A:$A, 0))*Permutas!AW18/(SUMIF('Fluxo Investidores'!$A:$A, "&lt;="&amp;$N18, 'Fluxo Investidores'!$Z:$Z)+SUMIF('Fluxo Investidores'!$A:$A, "&lt;="&amp;$N18, 'Fluxo Investidores'!$AA:$AA)), 0), IF($N18&lt;=terminoProjeto, -((1+txAdmKinea)^(1/12)-1)*AW17, 0))</f>
        <v>-701.14260139295311</v>
      </c>
    </row>
    <row r="19" spans="2:56" ht="15.75" customHeight="1" thickBot="1" x14ac:dyDescent="0.3">
      <c r="B19" s="14" t="s">
        <v>248</v>
      </c>
      <c r="C19" s="14"/>
      <c r="D19" s="14"/>
      <c r="E19" s="14"/>
      <c r="F19" s="14"/>
      <c r="G19" s="14"/>
      <c r="H19" s="14"/>
      <c r="M19" s="192"/>
      <c r="N19" s="315">
        <f t="shared" si="16"/>
        <v>43739</v>
      </c>
      <c r="O19" s="389">
        <f>IF($N19&lt;=baseData, INDEX(Indicadores!B:B, MATCH($N19,Indicadores!A:A, 0)), INDEX(Indicadores!B:B, MATCH(baseData,Indicadores!A:A, 0)))</f>
        <v>774.93899999999996</v>
      </c>
      <c r="P19" s="390"/>
      <c r="Q19" s="397">
        <f>IF($N19&lt;=baseData, -INDEX('Fluxo Investidores'!$L$2:$X$86, MATCH($N19, 'Fluxo Investidores'!$A$2:$A$86, 0), MATCH(Q$2, 'Fluxo Investidores'!$L$1:$X$1, 0)), 0)</f>
        <v>390000</v>
      </c>
      <c r="R19" s="390">
        <f>IF($N19&lt;=baseData, -INDEX('Fluxo Investidores'!$L$2:$X$86, MATCH($N19, 'Fluxo Investidores'!$A$2:$A$86, 0), MATCH(R$2, 'Fluxo Investidores'!$L$1:$X$1, 0)), 0)</f>
        <v>390000</v>
      </c>
      <c r="S19" s="390">
        <f>IF($N19&lt;=baseData, -INDEX('Fluxo Investidores'!$L$2:$X$86, MATCH($N19, 'Fluxo Investidores'!$A$2:$A$86, 0), MATCH(S$2, 'Fluxo Investidores'!$L$1:$X$1, 0)), 0)</f>
        <v>975000</v>
      </c>
      <c r="T19" s="390">
        <f>IF($N19&lt;=baseData, -INDEX('Fluxo Investidores'!$L$2:$X$86, MATCH($N19, 'Fluxo Investidores'!$A$2:$A$86, 0), MATCH(T$2, 'Fluxo Investidores'!$L$1:$X$1, 0)), 0)</f>
        <v>390000</v>
      </c>
      <c r="U19" s="390">
        <f>IF($N19&lt;=baseData, -INDEX('Fluxo Investidores'!$L$2:$X$86, MATCH($N19, 'Fluxo Investidores'!$A$2:$A$86, 0), MATCH(U$2, 'Fluxo Investidores'!$L$1:$X$1, 0)), 0)</f>
        <v>975000</v>
      </c>
      <c r="V19" s="393">
        <f t="shared" si="0"/>
        <v>3120000</v>
      </c>
      <c r="W19" s="390"/>
      <c r="X19" s="430">
        <f t="shared" si="1"/>
        <v>390000</v>
      </c>
      <c r="Y19" s="431">
        <f t="shared" si="2"/>
        <v>390000</v>
      </c>
      <c r="Z19" s="431">
        <f t="shared" si="3"/>
        <v>426749.24184355856</v>
      </c>
      <c r="AA19" s="431">
        <f t="shared" si="4"/>
        <v>390000</v>
      </c>
      <c r="AB19" s="431">
        <f t="shared" si="5"/>
        <v>460243.48868855298</v>
      </c>
      <c r="AC19" s="442">
        <f t="shared" si="6"/>
        <v>2056992.7305321116</v>
      </c>
      <c r="AD19" s="395"/>
      <c r="AE19" s="430">
        <f t="shared" si="7"/>
        <v>372857.1428571429</v>
      </c>
      <c r="AF19" s="431">
        <f t="shared" si="8"/>
        <v>372857.1428571429</v>
      </c>
      <c r="AG19" s="431">
        <f t="shared" si="9"/>
        <v>407991.03341087466</v>
      </c>
      <c r="AH19" s="431">
        <f t="shared" si="10"/>
        <v>372857.1428571429</v>
      </c>
      <c r="AI19" s="431">
        <f t="shared" si="11"/>
        <v>440013.00566927594</v>
      </c>
      <c r="AJ19" s="442">
        <f t="shared" si="12"/>
        <v>1966575.4676515795</v>
      </c>
      <c r="AM19" s="394"/>
      <c r="AN19" s="395"/>
      <c r="AO19" s="395"/>
      <c r="AP19" s="395"/>
      <c r="AQ19" s="396"/>
      <c r="AS19" s="394">
        <f t="shared" si="17"/>
        <v>1025000</v>
      </c>
      <c r="AT19" s="395">
        <f t="shared" si="18"/>
        <v>1025000</v>
      </c>
      <c r="AU19" s="395">
        <f t="shared" si="19"/>
        <v>1121584.5458708911</v>
      </c>
      <c r="AV19" s="395">
        <f t="shared" si="20"/>
        <v>1025000</v>
      </c>
      <c r="AW19" s="396">
        <f t="shared" si="21"/>
        <v>1209614.2971942739</v>
      </c>
      <c r="AY19" s="394">
        <f>IF($N19&lt;=baseData, IFERROR(INDEX('Fluxo Bandeira Co'!$W:$W, MATCH($N19, 'Fluxo Bandeira Co'!$A:$A, 0))*Permutas!AS19/(SUMIF('Fluxo Investidores'!$A:$A, "&lt;="&amp;$N19, 'Fluxo Investidores'!$Z:$Z)+SUMIF('Fluxo Investidores'!$A:$A, "&lt;="&amp;$N19, 'Fluxo Investidores'!$AA:$AA)), 0), IF($N19&lt;=terminoProjeto, -((1+txAdmKinea)^(1/12)-1)*AS18, 0))</f>
        <v>-761.80392857142863</v>
      </c>
      <c r="AZ19" s="395">
        <f>IF($N19&lt;=baseData, IFERROR(INDEX('Fluxo Bandeira Co'!$W:$W, MATCH($N19, 'Fluxo Bandeira Co'!$A:$A, 0))*Permutas!AT19/(SUMIF('Fluxo Investidores'!$A:$A, "&lt;="&amp;$N19, 'Fluxo Investidores'!$Z:$Z)+SUMIF('Fluxo Investidores'!$A:$A, "&lt;="&amp;$N19, 'Fluxo Investidores'!$AA:$AA)), 0), IF($N19&lt;=terminoProjeto, -((1+txAdmKinea)^(1/12)-1)*AT18, 0))</f>
        <v>-761.80392857142863</v>
      </c>
      <c r="BA19" s="395">
        <f>IF($N19&lt;=baseData, IFERROR(INDEX('Fluxo Bandeira Co'!$W:$W, MATCH($N19, 'Fluxo Bandeira Co'!$A:$A, 0))*Permutas!AU19/(SUMIF('Fluxo Investidores'!$A:$A, "&lt;="&amp;$N19, 'Fluxo Investidores'!$Z:$Z)+SUMIF('Fluxo Investidores'!$A:$A, "&lt;="&amp;$N19, 'Fluxo Investidores'!$AA:$AA)), 0), IF($N19&lt;=terminoProjeto, -((1+txAdmKinea)^(1/12)-1)*AU18, 0))</f>
        <v>-833.58781782385017</v>
      </c>
      <c r="BB19" s="395">
        <f>IF($N19&lt;=baseData, IFERROR(INDEX('Fluxo Bandeira Co'!$W:$W, MATCH($N19, 'Fluxo Bandeira Co'!$A:$A, 0))*Permutas!AV19/(SUMIF('Fluxo Investidores'!$A:$A, "&lt;="&amp;$N19, 'Fluxo Investidores'!$Z:$Z)+SUMIF('Fluxo Investidores'!$A:$A, "&lt;="&amp;$N19, 'Fluxo Investidores'!$AA:$AA)), 0), IF($N19&lt;=terminoProjeto, -((1+txAdmKinea)^(1/12)-1)*AV18, 0))</f>
        <v>-761.80392857142863</v>
      </c>
      <c r="BC19" s="396">
        <f>IF($N19&lt;=baseData, IFERROR(INDEX('Fluxo Bandeira Co'!$W:$W, MATCH($N19, 'Fluxo Bandeira Co'!$A:$A, 0))*Permutas!AW19/(SUMIF('Fluxo Investidores'!$A:$A, "&lt;="&amp;$N19, 'Fluxo Investidores'!$Z:$Z)+SUMIF('Fluxo Investidores'!$A:$A, "&lt;="&amp;$N19, 'Fluxo Investidores'!$AA:$AA)), 0), IF($N19&lt;=terminoProjeto, -((1+txAdmKinea)^(1/12)-1)*AW18, 0))</f>
        <v>-899.01358405733208</v>
      </c>
    </row>
    <row r="20" spans="2:56" x14ac:dyDescent="0.25">
      <c r="B20" s="222" t="s">
        <v>245</v>
      </c>
      <c r="C20" s="222" t="s">
        <v>255</v>
      </c>
      <c r="D20" s="222" t="s">
        <v>256</v>
      </c>
      <c r="E20" s="222" t="s">
        <v>257</v>
      </c>
      <c r="F20" s="222" t="s">
        <v>258</v>
      </c>
      <c r="G20" s="222" t="s">
        <v>259</v>
      </c>
      <c r="H20" s="222" t="s">
        <v>260</v>
      </c>
      <c r="I20" s="222" t="s">
        <v>109</v>
      </c>
      <c r="J20" s="222" t="s">
        <v>261</v>
      </c>
      <c r="M20" s="192"/>
      <c r="N20" s="315">
        <f t="shared" si="16"/>
        <v>43770</v>
      </c>
      <c r="O20" s="389">
        <f>IF($N20&lt;=baseData, INDEX(Indicadores!B:B, MATCH($N20,Indicadores!A:A, 0)), INDEX(Indicadores!B:B, MATCH(baseData,Indicadores!A:A, 0)))</f>
        <v>775.22500000000002</v>
      </c>
      <c r="P20" s="390"/>
      <c r="Q20" s="397">
        <f>IF($N20&lt;=baseData, -INDEX('Fluxo Investidores'!$L$2:$X$86, MATCH($N20, 'Fluxo Investidores'!$A$2:$A$86, 0), MATCH(Q$2, 'Fluxo Investidores'!$L$1:$X$1, 0)), 0)</f>
        <v>0</v>
      </c>
      <c r="R20" s="390">
        <f>IF($N20&lt;=baseData, -INDEX('Fluxo Investidores'!$L$2:$X$86, MATCH($N20, 'Fluxo Investidores'!$A$2:$A$86, 0), MATCH(R$2, 'Fluxo Investidores'!$L$1:$X$1, 0)), 0)</f>
        <v>0</v>
      </c>
      <c r="S20" s="390">
        <f>IF($N20&lt;=baseData, -INDEX('Fluxo Investidores'!$L$2:$X$86, MATCH($N20, 'Fluxo Investidores'!$A$2:$A$86, 0), MATCH(S$2, 'Fluxo Investidores'!$L$1:$X$1, 0)), 0)</f>
        <v>0</v>
      </c>
      <c r="T20" s="390">
        <f>IF($N20&lt;=baseData, -INDEX('Fluxo Investidores'!$L$2:$X$86, MATCH($N20, 'Fluxo Investidores'!$A$2:$A$86, 0), MATCH(T$2, 'Fluxo Investidores'!$L$1:$X$1, 0)), 0)</f>
        <v>0</v>
      </c>
      <c r="U20" s="390">
        <f>IF($N20&lt;=baseData, -INDEX('Fluxo Investidores'!$L$2:$X$86, MATCH($N20, 'Fluxo Investidores'!$A$2:$A$86, 0), MATCH(U$2, 'Fluxo Investidores'!$L$1:$X$1, 0)), 0)</f>
        <v>0</v>
      </c>
      <c r="V20" s="393">
        <f t="shared" si="0"/>
        <v>0</v>
      </c>
      <c r="W20" s="390"/>
      <c r="X20" s="430">
        <f t="shared" si="1"/>
        <v>0</v>
      </c>
      <c r="Y20" s="431">
        <f t="shared" si="2"/>
        <v>0</v>
      </c>
      <c r="Z20" s="431">
        <f t="shared" si="3"/>
        <v>0</v>
      </c>
      <c r="AA20" s="431">
        <f t="shared" si="4"/>
        <v>0</v>
      </c>
      <c r="AB20" s="431">
        <f t="shared" si="5"/>
        <v>0</v>
      </c>
      <c r="AC20" s="442">
        <f t="shared" si="6"/>
        <v>0</v>
      </c>
      <c r="AD20" s="395"/>
      <c r="AE20" s="430">
        <f t="shared" si="7"/>
        <v>0</v>
      </c>
      <c r="AF20" s="431">
        <f t="shared" si="8"/>
        <v>0</v>
      </c>
      <c r="AG20" s="431">
        <f t="shared" si="9"/>
        <v>0</v>
      </c>
      <c r="AH20" s="431">
        <f t="shared" si="10"/>
        <v>0</v>
      </c>
      <c r="AI20" s="431">
        <f t="shared" si="11"/>
        <v>0</v>
      </c>
      <c r="AJ20" s="442">
        <f t="shared" si="12"/>
        <v>0</v>
      </c>
      <c r="AM20" s="394"/>
      <c r="AN20" s="395"/>
      <c r="AO20" s="395"/>
      <c r="AP20" s="395"/>
      <c r="AQ20" s="396"/>
      <c r="AS20" s="394">
        <f t="shared" si="17"/>
        <v>1025000</v>
      </c>
      <c r="AT20" s="395">
        <f t="shared" si="18"/>
        <v>1025000</v>
      </c>
      <c r="AU20" s="395">
        <f t="shared" si="19"/>
        <v>1121584.5458708911</v>
      </c>
      <c r="AV20" s="395">
        <f t="shared" si="20"/>
        <v>1025000</v>
      </c>
      <c r="AW20" s="396">
        <f t="shared" si="21"/>
        <v>1209614.2971942739</v>
      </c>
      <c r="AY20" s="394">
        <f>IF($N20&lt;=baseData, IFERROR(INDEX('Fluxo Bandeira Co'!$W:$W, MATCH($N20, 'Fluxo Bandeira Co'!$A:$A, 0))*Permutas!AS20/(SUMIF('Fluxo Investidores'!$A:$A, "&lt;="&amp;$N20, 'Fluxo Investidores'!$Z:$Z)+SUMIF('Fluxo Investidores'!$A:$A, "&lt;="&amp;$N20, 'Fluxo Investidores'!$AA:$AA)), 0), IF($N20&lt;=terminoProjeto, -((1+txAdmKinea)^(1/12)-1)*AS19, 0))</f>
        <v>-923.47642857142853</v>
      </c>
      <c r="AZ20" s="395">
        <f>IF($N20&lt;=baseData, IFERROR(INDEX('Fluxo Bandeira Co'!$W:$W, MATCH($N20, 'Fluxo Bandeira Co'!$A:$A, 0))*Permutas!AT20/(SUMIF('Fluxo Investidores'!$A:$A, "&lt;="&amp;$N20, 'Fluxo Investidores'!$Z:$Z)+SUMIF('Fluxo Investidores'!$A:$A, "&lt;="&amp;$N20, 'Fluxo Investidores'!$AA:$AA)), 0), IF($N20&lt;=terminoProjeto, -((1+txAdmKinea)^(1/12)-1)*AT19, 0))</f>
        <v>-923.47642857142853</v>
      </c>
      <c r="BA20" s="395">
        <f>IF($N20&lt;=baseData, IFERROR(INDEX('Fluxo Bandeira Co'!$W:$W, MATCH($N20, 'Fluxo Bandeira Co'!$A:$A, 0))*Permutas!AU20/(SUMIF('Fluxo Investidores'!$A:$A, "&lt;="&amp;$N20, 'Fluxo Investidores'!$Z:$Z)+SUMIF('Fluxo Investidores'!$A:$A, "&lt;="&amp;$N20, 'Fluxo Investidores'!$AA:$AA)), 0), IF($N20&lt;=terminoProjeto, -((1+txAdmKinea)^(1/12)-1)*AU19, 0))</f>
        <v>-1010.4945275724469</v>
      </c>
      <c r="BB20" s="395">
        <f>IF($N20&lt;=baseData, IFERROR(INDEX('Fluxo Bandeira Co'!$W:$W, MATCH($N20, 'Fluxo Bandeira Co'!$A:$A, 0))*Permutas!AV20/(SUMIF('Fluxo Investidores'!$A:$A, "&lt;="&amp;$N20, 'Fluxo Investidores'!$Z:$Z)+SUMIF('Fluxo Investidores'!$A:$A, "&lt;="&amp;$N20, 'Fluxo Investidores'!$AA:$AA)), 0), IF($N20&lt;=terminoProjeto, -((1+txAdmKinea)^(1/12)-1)*AV19, 0))</f>
        <v>-923.47642857142853</v>
      </c>
      <c r="BC20" s="396">
        <f>IF($N20&lt;=baseData, IFERROR(INDEX('Fluxo Bandeira Co'!$W:$W, MATCH($N20, 'Fluxo Bandeira Co'!$A:$A, 0))*Permutas!AW20/(SUMIF('Fluxo Investidores'!$A:$A, "&lt;="&amp;$N20, 'Fluxo Investidores'!$Z:$Z)+SUMIF('Fluxo Investidores'!$A:$A, "&lt;="&amp;$N20, 'Fluxo Investidores'!$AA:$AA)), 0), IF($N20&lt;=terminoProjeto, -((1+txAdmKinea)^(1/12)-1)*AW19, 0))</f>
        <v>-1089.8051620701528</v>
      </c>
    </row>
    <row r="21" spans="2:56" x14ac:dyDescent="0.25">
      <c r="B21" s="211" t="s">
        <v>156</v>
      </c>
      <c r="C21" s="445">
        <v>2097453.5299999998</v>
      </c>
      <c r="D21" s="445">
        <f>INDEX($K$4:$K$10, MATCH(B21, $J$4:$J$10, 0))</f>
        <v>2336149.6</v>
      </c>
      <c r="E21" s="446"/>
      <c r="F21" s="445">
        <f>D21-C21</f>
        <v>238696.0700000003</v>
      </c>
      <c r="G21" s="445">
        <f>IF(F21&gt;0, F21, 0)</f>
        <v>238696.0700000003</v>
      </c>
      <c r="H21" s="216">
        <f>(G21-F21)/C21</f>
        <v>0</v>
      </c>
      <c r="I21" s="216">
        <f>1-H21</f>
        <v>1</v>
      </c>
      <c r="J21" s="445">
        <f>INDEX($L$4:$L$10, MATCH($B21, $J$4:$J$10, 0))+SUMIF($N$3:$N$81, "&lt;="&amp;baseData, $X$3:$X$81)-SUMIF($N$3:$N$81, "&lt;="&amp;baseData, $AE$3:$AE$81)+SUMIF($N$3:$N$81, "&lt;="&amp;baseData, $AY$3:$AY$81)</f>
        <v>630176.25251640868</v>
      </c>
      <c r="M21" s="192"/>
      <c r="N21" s="315">
        <f t="shared" si="16"/>
        <v>43800</v>
      </c>
      <c r="O21" s="389">
        <f>IF($N21&lt;=baseData, INDEX(Indicadores!B:B, MATCH($N21,Indicadores!A:A, 0)), INDEX(Indicadores!B:B, MATCH(baseData,Indicadores!A:A, 0)))</f>
        <v>776.83900000000006</v>
      </c>
      <c r="P21" s="390"/>
      <c r="Q21" s="397">
        <f>IF($N21&lt;=baseData, -INDEX('Fluxo Investidores'!$L$2:$X$86, MATCH($N21, 'Fluxo Investidores'!$A$2:$A$86, 0), MATCH(Q$2, 'Fluxo Investidores'!$L$1:$X$1, 0)), 0)</f>
        <v>128100</v>
      </c>
      <c r="R21" s="390">
        <f>IF($N21&lt;=baseData, -INDEX('Fluxo Investidores'!$L$2:$X$86, MATCH($N21, 'Fluxo Investidores'!$A$2:$A$86, 0), MATCH(R$2, 'Fluxo Investidores'!$L$1:$X$1, 0)), 0)</f>
        <v>128100</v>
      </c>
      <c r="S21" s="390">
        <f>IF($N21&lt;=baseData, -INDEX('Fluxo Investidores'!$L$2:$X$86, MATCH($N21, 'Fluxo Investidores'!$A$2:$A$86, 0), MATCH(S$2, 'Fluxo Investidores'!$L$1:$X$1, 0)), 0)</f>
        <v>320200</v>
      </c>
      <c r="T21" s="390">
        <f>IF($N21&lt;=baseData, -INDEX('Fluxo Investidores'!$L$2:$X$86, MATCH($N21, 'Fluxo Investidores'!$A$2:$A$86, 0), MATCH(T$2, 'Fluxo Investidores'!$L$1:$X$1, 0)), 0)</f>
        <v>128100</v>
      </c>
      <c r="U21" s="390">
        <f>IF($N21&lt;=baseData, -INDEX('Fluxo Investidores'!$L$2:$X$86, MATCH($N21, 'Fluxo Investidores'!$A$2:$A$86, 0), MATCH(U$2, 'Fluxo Investidores'!$L$1:$X$1, 0)), 0)</f>
        <v>320200</v>
      </c>
      <c r="V21" s="393">
        <f t="shared" si="0"/>
        <v>1024700</v>
      </c>
      <c r="W21" s="390"/>
      <c r="X21" s="430">
        <f t="shared" si="1"/>
        <v>128100</v>
      </c>
      <c r="Y21" s="431">
        <f t="shared" si="2"/>
        <v>128100</v>
      </c>
      <c r="Z21" s="431">
        <f t="shared" si="3"/>
        <v>140148.8279367256</v>
      </c>
      <c r="AA21" s="431">
        <f t="shared" si="4"/>
        <v>128100</v>
      </c>
      <c r="AB21" s="431">
        <f t="shared" si="5"/>
        <v>151148.68213135863</v>
      </c>
      <c r="AC21" s="442">
        <f t="shared" si="6"/>
        <v>675597.51006808423</v>
      </c>
      <c r="AD21" s="395"/>
      <c r="AE21" s="430">
        <f t="shared" si="7"/>
        <v>166400.59053174581</v>
      </c>
      <c r="AF21" s="431">
        <f t="shared" si="8"/>
        <v>166400.59053174581</v>
      </c>
      <c r="AG21" s="431">
        <f t="shared" si="9"/>
        <v>182051.89485560637</v>
      </c>
      <c r="AH21" s="431">
        <f t="shared" si="10"/>
        <v>166400.59053174581</v>
      </c>
      <c r="AI21" s="431">
        <f t="shared" si="11"/>
        <v>196340.59301134435</v>
      </c>
      <c r="AJ21" s="442">
        <f t="shared" si="12"/>
        <v>877594.25946218811</v>
      </c>
      <c r="AM21" s="394"/>
      <c r="AN21" s="395"/>
      <c r="AO21" s="395"/>
      <c r="AP21" s="395"/>
      <c r="AQ21" s="396"/>
      <c r="AS21" s="394">
        <f t="shared" si="17"/>
        <v>1153100</v>
      </c>
      <c r="AT21" s="395">
        <f t="shared" si="18"/>
        <v>1153100</v>
      </c>
      <c r="AU21" s="395">
        <f t="shared" si="19"/>
        <v>1261733.3738076168</v>
      </c>
      <c r="AV21" s="395">
        <f t="shared" si="20"/>
        <v>1153100</v>
      </c>
      <c r="AW21" s="396">
        <f t="shared" si="21"/>
        <v>1360762.9793256326</v>
      </c>
      <c r="AY21" s="394">
        <f>IF($N21&lt;=baseData, IFERROR(INDEX('Fluxo Bandeira Co'!$W:$W, MATCH($N21, 'Fluxo Bandeira Co'!$A:$A, 0))*Permutas!AS21/(SUMIF('Fluxo Investidores'!$A:$A, "&lt;="&amp;$N21, 'Fluxo Investidores'!$Z:$Z)+SUMIF('Fluxo Investidores'!$A:$A, "&lt;="&amp;$N21, 'Fluxo Investidores'!$AA:$AA)), 0), IF($N21&lt;=terminoProjeto, -((1+txAdmKinea)^(1/12)-1)*AS20, 0))</f>
        <v>-1171.144922304507</v>
      </c>
      <c r="AZ21" s="395">
        <f>IF($N21&lt;=baseData, IFERROR(INDEX('Fluxo Bandeira Co'!$W:$W, MATCH($N21, 'Fluxo Bandeira Co'!$A:$A, 0))*Permutas!AT21/(SUMIF('Fluxo Investidores'!$A:$A, "&lt;="&amp;$N21, 'Fluxo Investidores'!$Z:$Z)+SUMIF('Fluxo Investidores'!$A:$A, "&lt;="&amp;$N21, 'Fluxo Investidores'!$AA:$AA)), 0), IF($N21&lt;=terminoProjeto, -((1+txAdmKinea)^(1/12)-1)*AT20, 0))</f>
        <v>-1171.144922304507</v>
      </c>
      <c r="BA21" s="395">
        <f>IF($N21&lt;=baseData, IFERROR(INDEX('Fluxo Bandeira Co'!$W:$W, MATCH($N21, 'Fluxo Bandeira Co'!$A:$A, 0))*Permutas!AU21/(SUMIF('Fluxo Investidores'!$A:$A, "&lt;="&amp;$N21, 'Fluxo Investidores'!$Z:$Z)+SUMIF('Fluxo Investidores'!$A:$A, "&lt;="&amp;$N21, 'Fluxo Investidores'!$AA:$AA)), 0), IF($N21&lt;=terminoProjeto, -((1+txAdmKinea)^(1/12)-1)*AU20, 0))</f>
        <v>-1281.4783054695383</v>
      </c>
      <c r="BB21" s="395">
        <f>IF($N21&lt;=baseData, IFERROR(INDEX('Fluxo Bandeira Co'!$W:$W, MATCH($N21, 'Fluxo Bandeira Co'!$A:$A, 0))*Permutas!AV21/(SUMIF('Fluxo Investidores'!$A:$A, "&lt;="&amp;$N21, 'Fluxo Investidores'!$Z:$Z)+SUMIF('Fluxo Investidores'!$A:$A, "&lt;="&amp;$N21, 'Fluxo Investidores'!$AA:$AA)), 0), IF($N21&lt;=terminoProjeto, -((1+txAdmKinea)^(1/12)-1)*AV20, 0))</f>
        <v>-1171.144922304507</v>
      </c>
      <c r="BC21" s="396">
        <f>IF($N21&lt;=baseData, IFERROR(INDEX('Fluxo Bandeira Co'!$W:$W, MATCH($N21, 'Fluxo Bandeira Co'!$A:$A, 0))*Permutas!AW21/(SUMIF('Fluxo Investidores'!$A:$A, "&lt;="&amp;$N21, 'Fluxo Investidores'!$Z:$Z)+SUMIF('Fluxo Investidores'!$A:$A, "&lt;="&amp;$N21, 'Fluxo Investidores'!$AA:$AA)), 0), IF($N21&lt;=terminoProjeto, -((1+txAdmKinea)^(1/12)-1)*AW20, 0))</f>
        <v>-1382.057630471917</v>
      </c>
    </row>
    <row r="22" spans="2:56" x14ac:dyDescent="0.25">
      <c r="B22" s="211" t="s">
        <v>159</v>
      </c>
      <c r="C22" s="445">
        <v>2097453.5299999998</v>
      </c>
      <c r="D22" s="445">
        <f>INDEX($K$4:$K$10, MATCH(B22, $J$4:$J$10, 0))</f>
        <v>2356606.6</v>
      </c>
      <c r="E22" s="446"/>
      <c r="F22" s="445">
        <f>D22-C22</f>
        <v>259153.0700000003</v>
      </c>
      <c r="G22" s="445">
        <f>IF(F22&gt;0, F22, 0)</f>
        <v>259153.0700000003</v>
      </c>
      <c r="H22" s="216">
        <f>(G22-F22)/C22</f>
        <v>0</v>
      </c>
      <c r="I22" s="216">
        <f>1-H22</f>
        <v>1</v>
      </c>
      <c r="J22" s="445">
        <f>INDEX($L$4:$L$10, MATCH($B22, $J$4:$J$10, 0))+SUMIF($N$3:$N$81, "&lt;="&amp;baseData, $Y$3:$Y$81)-SUMIF($N$3:$N$81, "&lt;="&amp;baseData, $AF$3:$AF$81)+SUMIF($N$3:$N$81, "&lt;="&amp;baseData, $AZ$3:$AZ$81)</f>
        <v>641382.06494167785</v>
      </c>
      <c r="M22" s="192"/>
      <c r="N22" s="315">
        <f t="shared" si="16"/>
        <v>43831</v>
      </c>
      <c r="O22" s="389">
        <f>IF($N22&lt;=baseData, INDEX(Indicadores!B:B, MATCH($N22,Indicadores!A:A, 0)), INDEX(Indicadores!B:B, MATCH(baseData,Indicadores!A:A, 0)))</f>
        <v>779.76599999999996</v>
      </c>
      <c r="P22" s="390"/>
      <c r="Q22" s="397">
        <f>IF($N22&lt;=baseData, -INDEX('Fluxo Investidores'!$L$2:$X$86, MATCH($N22, 'Fluxo Investidores'!$A$2:$A$86, 0), MATCH(Q$2, 'Fluxo Investidores'!$L$1:$X$1, 0)), 0)</f>
        <v>0</v>
      </c>
      <c r="R22" s="390">
        <f>IF($N22&lt;=baseData, -INDEX('Fluxo Investidores'!$L$2:$X$86, MATCH($N22, 'Fluxo Investidores'!$A$2:$A$86, 0), MATCH(R$2, 'Fluxo Investidores'!$L$1:$X$1, 0)), 0)</f>
        <v>0</v>
      </c>
      <c r="S22" s="390">
        <f>IF($N22&lt;=baseData, -INDEX('Fluxo Investidores'!$L$2:$X$86, MATCH($N22, 'Fluxo Investidores'!$A$2:$A$86, 0), MATCH(S$2, 'Fluxo Investidores'!$L$1:$X$1, 0)), 0)</f>
        <v>0</v>
      </c>
      <c r="T22" s="390">
        <f>IF($N22&lt;=baseData, -INDEX('Fluxo Investidores'!$L$2:$X$86, MATCH($N22, 'Fluxo Investidores'!$A$2:$A$86, 0), MATCH(T$2, 'Fluxo Investidores'!$L$1:$X$1, 0)), 0)</f>
        <v>0</v>
      </c>
      <c r="U22" s="390">
        <f>IF($N22&lt;=baseData, -INDEX('Fluxo Investidores'!$L$2:$X$86, MATCH($N22, 'Fluxo Investidores'!$A$2:$A$86, 0), MATCH(U$2, 'Fluxo Investidores'!$L$1:$X$1, 0)), 0)</f>
        <v>0</v>
      </c>
      <c r="V22" s="393">
        <f t="shared" si="0"/>
        <v>0</v>
      </c>
      <c r="W22" s="390"/>
      <c r="X22" s="430">
        <f t="shared" si="1"/>
        <v>0</v>
      </c>
      <c r="Y22" s="431">
        <f t="shared" si="2"/>
        <v>0</v>
      </c>
      <c r="Z22" s="431">
        <f t="shared" si="3"/>
        <v>0</v>
      </c>
      <c r="AA22" s="431">
        <f t="shared" si="4"/>
        <v>0</v>
      </c>
      <c r="AB22" s="431">
        <f t="shared" si="5"/>
        <v>0</v>
      </c>
      <c r="AC22" s="442">
        <f t="shared" si="6"/>
        <v>0</v>
      </c>
      <c r="AD22" s="395"/>
      <c r="AE22" s="430">
        <f t="shared" si="7"/>
        <v>0</v>
      </c>
      <c r="AF22" s="431">
        <f t="shared" si="8"/>
        <v>0</v>
      </c>
      <c r="AG22" s="431">
        <f t="shared" si="9"/>
        <v>0</v>
      </c>
      <c r="AH22" s="431">
        <f t="shared" si="10"/>
        <v>0</v>
      </c>
      <c r="AI22" s="431">
        <f t="shared" si="11"/>
        <v>0</v>
      </c>
      <c r="AJ22" s="442">
        <f t="shared" si="12"/>
        <v>0</v>
      </c>
      <c r="AM22" s="394"/>
      <c r="AN22" s="395"/>
      <c r="AO22" s="395"/>
      <c r="AP22" s="395"/>
      <c r="AQ22" s="396"/>
      <c r="AS22" s="394">
        <f t="shared" si="17"/>
        <v>1153100</v>
      </c>
      <c r="AT22" s="395">
        <f t="shared" si="18"/>
        <v>1153100</v>
      </c>
      <c r="AU22" s="395">
        <f t="shared" si="19"/>
        <v>1261733.3738076168</v>
      </c>
      <c r="AV22" s="395">
        <f t="shared" si="20"/>
        <v>1153100</v>
      </c>
      <c r="AW22" s="396">
        <f t="shared" si="21"/>
        <v>1360762.9793256326</v>
      </c>
      <c r="AY22" s="394">
        <f>IF($N22&lt;=baseData, IFERROR(INDEX('Fluxo Bandeira Co'!$W:$W, MATCH($N22, 'Fluxo Bandeira Co'!$A:$A, 0))*Permutas!AS22/(SUMIF('Fluxo Investidores'!$A:$A, "&lt;="&amp;$N22, 'Fluxo Investidores'!$Z:$Z)+SUMIF('Fluxo Investidores'!$A:$A, "&lt;="&amp;$N22, 'Fluxo Investidores'!$AA:$AA)), 0), IF($N22&lt;=terminoProjeto, -((1+txAdmKinea)^(1/12)-1)*AS21, 0))</f>
        <v>-1273.6054376004683</v>
      </c>
      <c r="AZ22" s="395">
        <f>IF($N22&lt;=baseData, IFERROR(INDEX('Fluxo Bandeira Co'!$W:$W, MATCH($N22, 'Fluxo Bandeira Co'!$A:$A, 0))*Permutas!AT22/(SUMIF('Fluxo Investidores'!$A:$A, "&lt;="&amp;$N22, 'Fluxo Investidores'!$Z:$Z)+SUMIF('Fluxo Investidores'!$A:$A, "&lt;="&amp;$N22, 'Fluxo Investidores'!$AA:$AA)), 0), IF($N22&lt;=terminoProjeto, -((1+txAdmKinea)^(1/12)-1)*AT21, 0))</f>
        <v>-1273.6054376004683</v>
      </c>
      <c r="BA22" s="395">
        <f>IF($N22&lt;=baseData, IFERROR(INDEX('Fluxo Bandeira Co'!$W:$W, MATCH($N22, 'Fluxo Bandeira Co'!$A:$A, 0))*Permutas!AU22/(SUMIF('Fluxo Investidores'!$A:$A, "&lt;="&amp;$N22, 'Fluxo Investidores'!$Z:$Z)+SUMIF('Fluxo Investidores'!$A:$A, "&lt;="&amp;$N22, 'Fluxo Investidores'!$AA:$AA)), 0), IF($N22&lt;=terminoProjeto, -((1+txAdmKinea)^(1/12)-1)*AU21, 0))</f>
        <v>-1393.5916101668242</v>
      </c>
      <c r="BB22" s="395">
        <f>IF($N22&lt;=baseData, IFERROR(INDEX('Fluxo Bandeira Co'!$W:$W, MATCH($N22, 'Fluxo Bandeira Co'!$A:$A, 0))*Permutas!AV22/(SUMIF('Fluxo Investidores'!$A:$A, "&lt;="&amp;$N22, 'Fluxo Investidores'!$Z:$Z)+SUMIF('Fluxo Investidores'!$A:$A, "&lt;="&amp;$N22, 'Fluxo Investidores'!$AA:$AA)), 0), IF($N22&lt;=terminoProjeto, -((1+txAdmKinea)^(1/12)-1)*AV21, 0))</f>
        <v>-1273.6054376004683</v>
      </c>
      <c r="BC22" s="396">
        <f>IF($N22&lt;=baseData, IFERROR(INDEX('Fluxo Bandeira Co'!$W:$W, MATCH($N22, 'Fluxo Bandeira Co'!$A:$A, 0))*Permutas!AW22/(SUMIF('Fluxo Investidores'!$A:$A, "&lt;="&amp;$N22, 'Fluxo Investidores'!$Z:$Z)+SUMIF('Fluxo Investidores'!$A:$A, "&lt;="&amp;$N22, 'Fluxo Investidores'!$AA:$AA)), 0), IF($N22&lt;=terminoProjeto, -((1+txAdmKinea)^(1/12)-1)*AW21, 0))</f>
        <v>-1502.9703666243511</v>
      </c>
    </row>
    <row r="23" spans="2:56" x14ac:dyDescent="0.25">
      <c r="B23" s="211" t="s">
        <v>162</v>
      </c>
      <c r="C23" s="445">
        <v>5243634.1399999997</v>
      </c>
      <c r="D23" s="445">
        <f>INDEX($K$4:$K$10, MATCH(B23, $J$4:$J$10, 0))</f>
        <v>2295094.25</v>
      </c>
      <c r="E23" s="446"/>
      <c r="F23" s="445">
        <f>D23-C23</f>
        <v>-2948539.8899999997</v>
      </c>
      <c r="G23" s="445">
        <f>IF(F23&gt;0, F23, 0)</f>
        <v>0</v>
      </c>
      <c r="H23" s="216">
        <f>(G23-F23)/C23</f>
        <v>0.56230846990404248</v>
      </c>
      <c r="I23" s="216">
        <f>1-H23</f>
        <v>0.43769153009595752</v>
      </c>
      <c r="J23" s="445">
        <f>INDEX($L$4:$L$10, MATCH($B23, $J$4:$J$10, 0))+SUMIF($N$3:$N$81, "&lt;="&amp;baseData, $Z$3:$Z$81)-SUMIF($N$3:$N$81, "&lt;="&amp;baseData, $AG$3:$AG$81)+SUMIF($N$3:$N$81, "&lt;="&amp;baseData, $BA$3:$BA$81)</f>
        <v>550406.93187391968</v>
      </c>
      <c r="M23" s="192"/>
      <c r="N23" s="315">
        <f t="shared" si="16"/>
        <v>43862</v>
      </c>
      <c r="O23" s="389">
        <f>IF($N23&lt;=baseData, INDEX(Indicadores!B:B, MATCH($N23,Indicadores!A:A, 0)), INDEX(Indicadores!B:B, MATCH(baseData,Indicadores!A:A, 0)))</f>
        <v>782.33600000000001</v>
      </c>
      <c r="P23" s="390"/>
      <c r="Q23" s="397">
        <f>IF($N23&lt;=baseData, -INDEX('Fluxo Investidores'!$L$2:$X$86, MATCH($N23, 'Fluxo Investidores'!$A$2:$A$86, 0), MATCH(Q$2, 'Fluxo Investidores'!$L$1:$X$1, 0)), 0)</f>
        <v>0</v>
      </c>
      <c r="R23" s="390">
        <f>IF($N23&lt;=baseData, -INDEX('Fluxo Investidores'!$L$2:$X$86, MATCH($N23, 'Fluxo Investidores'!$A$2:$A$86, 0), MATCH(R$2, 'Fluxo Investidores'!$L$1:$X$1, 0)), 0)</f>
        <v>0</v>
      </c>
      <c r="S23" s="390">
        <f>IF($N23&lt;=baseData, -INDEX('Fluxo Investidores'!$L$2:$X$86, MATCH($N23, 'Fluxo Investidores'!$A$2:$A$86, 0), MATCH(S$2, 'Fluxo Investidores'!$L$1:$X$1, 0)), 0)</f>
        <v>0</v>
      </c>
      <c r="T23" s="390">
        <f>IF($N23&lt;=baseData, -INDEX('Fluxo Investidores'!$L$2:$X$86, MATCH($N23, 'Fluxo Investidores'!$A$2:$A$86, 0), MATCH(T$2, 'Fluxo Investidores'!$L$1:$X$1, 0)), 0)</f>
        <v>0</v>
      </c>
      <c r="U23" s="390">
        <f>IF($N23&lt;=baseData, -INDEX('Fluxo Investidores'!$L$2:$X$86, MATCH($N23, 'Fluxo Investidores'!$A$2:$A$86, 0), MATCH(U$2, 'Fluxo Investidores'!$L$1:$X$1, 0)), 0)</f>
        <v>0</v>
      </c>
      <c r="V23" s="393">
        <f t="shared" si="0"/>
        <v>0</v>
      </c>
      <c r="W23" s="390"/>
      <c r="X23" s="430">
        <f t="shared" si="1"/>
        <v>0</v>
      </c>
      <c r="Y23" s="431">
        <f t="shared" si="2"/>
        <v>0</v>
      </c>
      <c r="Z23" s="431">
        <f t="shared" si="3"/>
        <v>0</v>
      </c>
      <c r="AA23" s="431">
        <f t="shared" si="4"/>
        <v>0</v>
      </c>
      <c r="AB23" s="431">
        <f t="shared" si="5"/>
        <v>0</v>
      </c>
      <c r="AC23" s="442">
        <f t="shared" si="6"/>
        <v>0</v>
      </c>
      <c r="AD23" s="395"/>
      <c r="AE23" s="430">
        <f t="shared" si="7"/>
        <v>0</v>
      </c>
      <c r="AF23" s="431">
        <f t="shared" si="8"/>
        <v>0</v>
      </c>
      <c r="AG23" s="431">
        <f t="shared" si="9"/>
        <v>0</v>
      </c>
      <c r="AH23" s="431">
        <f t="shared" si="10"/>
        <v>0</v>
      </c>
      <c r="AI23" s="431">
        <f t="shared" si="11"/>
        <v>0</v>
      </c>
      <c r="AJ23" s="442">
        <f t="shared" si="12"/>
        <v>0</v>
      </c>
      <c r="AM23" s="394">
        <f>INDEX($K:$K, MATCH(AM$2, $J:$J, 0))-SUM(X$3:X$22)</f>
        <v>1183049.6000000001</v>
      </c>
      <c r="AN23" s="395">
        <f>INDEX($K:$K, MATCH(AN$2, $J:$J, 0))-SUM(Y$3:Y$22)</f>
        <v>1203506.6000000001</v>
      </c>
      <c r="AO23" s="395">
        <f>INDEX($K:$K, MATCH(AO$2, $J:$J, 0))-SUM(Z$3:Z$22)</f>
        <v>1033360.8761923832</v>
      </c>
      <c r="AP23" s="395">
        <f>INDEX($K:$K, MATCH(AP$2, $J:$J, 0))-SUM(AA$3:AA$22)</f>
        <v>1100797.5499999998</v>
      </c>
      <c r="AQ23" s="396">
        <f>INDEX($K:$K, MATCH(AQ$2, $J:$J, 0))-SUM(AB$3:AB$22)</f>
        <v>1114466.2206743676</v>
      </c>
      <c r="AS23" s="394">
        <f t="shared" si="17"/>
        <v>1153100</v>
      </c>
      <c r="AT23" s="395">
        <f t="shared" si="18"/>
        <v>1153100</v>
      </c>
      <c r="AU23" s="395">
        <f t="shared" si="19"/>
        <v>1261733.3738076168</v>
      </c>
      <c r="AV23" s="395">
        <f t="shared" si="20"/>
        <v>1153100</v>
      </c>
      <c r="AW23" s="396">
        <f t="shared" si="21"/>
        <v>1360762.9793256326</v>
      </c>
      <c r="AY23" s="394">
        <f>IF($N23&lt;=baseData, IFERROR(INDEX('Fluxo Bandeira Co'!$W:$W, MATCH($N23, 'Fluxo Bandeira Co'!$A:$A, 0))*Permutas!AS23/(SUMIF('Fluxo Investidores'!$A:$A, "&lt;="&amp;$N23, 'Fluxo Investidores'!$Z:$Z)+SUMIF('Fluxo Investidores'!$A:$A, "&lt;="&amp;$N23, 'Fluxo Investidores'!$AA:$AA)), 0), IF($N23&lt;=terminoProjeto, -((1+txAdmKinea)^(1/12)-1)*AS22, 0))</f>
        <v>-1449.2381574847536</v>
      </c>
      <c r="AZ23" s="395">
        <f>IF($N23&lt;=baseData, IFERROR(INDEX('Fluxo Bandeira Co'!$W:$W, MATCH($N23, 'Fluxo Bandeira Co'!$A:$A, 0))*Permutas!AT23/(SUMIF('Fluxo Investidores'!$A:$A, "&lt;="&amp;$N23, 'Fluxo Investidores'!$Z:$Z)+SUMIF('Fluxo Investidores'!$A:$A, "&lt;="&amp;$N23, 'Fluxo Investidores'!$AA:$AA)), 0), IF($N23&lt;=terminoProjeto, -((1+txAdmKinea)^(1/12)-1)*AT22, 0))</f>
        <v>-1449.2381574847536</v>
      </c>
      <c r="BA23" s="395">
        <f>IF($N23&lt;=baseData, IFERROR(INDEX('Fluxo Bandeira Co'!$W:$W, MATCH($N23, 'Fluxo Bandeira Co'!$A:$A, 0))*Permutas!AU23/(SUMIF('Fluxo Investidores'!$A:$A, "&lt;="&amp;$N23, 'Fluxo Investidores'!$Z:$Z)+SUMIF('Fluxo Investidores'!$A:$A, "&lt;="&amp;$N23, 'Fluxo Investidores'!$AA:$AA)), 0), IF($N23&lt;=terminoProjeto, -((1+txAdmKinea)^(1/12)-1)*AU22, 0))</f>
        <v>-1585.7706616026123</v>
      </c>
      <c r="BB23" s="395">
        <f>IF($N23&lt;=baseData, IFERROR(INDEX('Fluxo Bandeira Co'!$W:$W, MATCH($N23, 'Fluxo Bandeira Co'!$A:$A, 0))*Permutas!AV23/(SUMIF('Fluxo Investidores'!$A:$A, "&lt;="&amp;$N23, 'Fluxo Investidores'!$Z:$Z)+SUMIF('Fluxo Investidores'!$A:$A, "&lt;="&amp;$N23, 'Fluxo Investidores'!$AA:$AA)), 0), IF($N23&lt;=terminoProjeto, -((1+txAdmKinea)^(1/12)-1)*AV22, 0))</f>
        <v>-1449.2381574847536</v>
      </c>
      <c r="BC23" s="396">
        <f>IF($N23&lt;=baseData, IFERROR(INDEX('Fluxo Bandeira Co'!$W:$W, MATCH($N23, 'Fluxo Bandeira Co'!$A:$A, 0))*Permutas!AW23/(SUMIF('Fluxo Investidores'!$A:$A, "&lt;="&amp;$N23, 'Fluxo Investidores'!$Z:$Z)+SUMIF('Fluxo Investidores'!$A:$A, "&lt;="&amp;$N23, 'Fluxo Investidores'!$AA:$AA)), 0), IF($N23&lt;=terminoProjeto, -((1+txAdmKinea)^(1/12)-1)*AW22, 0))</f>
        <v>-1710.2329658584197</v>
      </c>
    </row>
    <row r="24" spans="2:56" x14ac:dyDescent="0.25">
      <c r="B24" s="211" t="s">
        <v>165</v>
      </c>
      <c r="C24" s="445">
        <v>2097453.5299999998</v>
      </c>
      <c r="D24" s="445">
        <f>INDEX($K$4:$K$10, MATCH(B24, $J$4:$J$10, 0))</f>
        <v>2253897.5499999998</v>
      </c>
      <c r="E24" s="446"/>
      <c r="F24" s="445">
        <f>D24-C24</f>
        <v>156444.02000000002</v>
      </c>
      <c r="G24" s="445">
        <f>IF(F24&gt;0, F24, 0)</f>
        <v>156444.02000000002</v>
      </c>
      <c r="H24" s="216">
        <f>(G24-F24)/C24</f>
        <v>0</v>
      </c>
      <c r="I24" s="216">
        <f>1-H24</f>
        <v>1</v>
      </c>
      <c r="J24" s="445">
        <f>INDEX($L$4:$L$10, MATCH($B24, $J$4:$J$10, 0))+SUMIF($N$3:$N$81, "&lt;="&amp;baseData, $AA$3:$AA$81)-SUMIF($N$3:$N$81, "&lt;="&amp;baseData, $AH$3:$AH$81)+SUMIF($N$3:$N$81, "&lt;="&amp;baseData, $BB$3:$BB$81)</f>
        <v>585120.7140741765</v>
      </c>
      <c r="M24" s="192"/>
      <c r="N24" s="315">
        <f t="shared" si="16"/>
        <v>43891</v>
      </c>
      <c r="O24" s="389">
        <f>IF($N24&lt;=baseData, INDEX(Indicadores!B:B, MATCH($N24,Indicadores!A:A, 0)), INDEX(Indicadores!B:B, MATCH(baseData,Indicadores!A:A, 0)))</f>
        <v>784.33799999999997</v>
      </c>
      <c r="P24" s="390"/>
      <c r="Q24" s="397">
        <f>IF($N24&lt;=baseData, -INDEX('Fluxo Investidores'!$L$2:$X$86, MATCH($N24, 'Fluxo Investidores'!$A$2:$A$86, 0), MATCH(Q$2, 'Fluxo Investidores'!$L$1:$X$1, 0)), 0)</f>
        <v>0</v>
      </c>
      <c r="R24" s="390">
        <f>IF($N24&lt;=baseData, -INDEX('Fluxo Investidores'!$L$2:$X$86, MATCH($N24, 'Fluxo Investidores'!$A$2:$A$86, 0), MATCH(R$2, 'Fluxo Investidores'!$L$1:$X$1, 0)), 0)</f>
        <v>0</v>
      </c>
      <c r="S24" s="390">
        <f>IF($N24&lt;=baseData, -INDEX('Fluxo Investidores'!$L$2:$X$86, MATCH($N24, 'Fluxo Investidores'!$A$2:$A$86, 0), MATCH(S$2, 'Fluxo Investidores'!$L$1:$X$1, 0)), 0)</f>
        <v>0</v>
      </c>
      <c r="T24" s="390">
        <f>IF($N24&lt;=baseData, -INDEX('Fluxo Investidores'!$L$2:$X$86, MATCH($N24, 'Fluxo Investidores'!$A$2:$A$86, 0), MATCH(T$2, 'Fluxo Investidores'!$L$1:$X$1, 0)), 0)</f>
        <v>0</v>
      </c>
      <c r="U24" s="390">
        <f>IF($N24&lt;=baseData, -INDEX('Fluxo Investidores'!$L$2:$X$86, MATCH($N24, 'Fluxo Investidores'!$A$2:$A$86, 0), MATCH(U$2, 'Fluxo Investidores'!$L$1:$X$1, 0)), 0)</f>
        <v>0</v>
      </c>
      <c r="V24" s="393">
        <f t="shared" si="0"/>
        <v>0</v>
      </c>
      <c r="W24" s="390"/>
      <c r="X24" s="430">
        <f t="shared" si="1"/>
        <v>0</v>
      </c>
      <c r="Y24" s="431">
        <f t="shared" si="2"/>
        <v>0</v>
      </c>
      <c r="Z24" s="431">
        <f t="shared" si="3"/>
        <v>0</v>
      </c>
      <c r="AA24" s="431">
        <f t="shared" si="4"/>
        <v>0</v>
      </c>
      <c r="AB24" s="431">
        <f t="shared" si="5"/>
        <v>0</v>
      </c>
      <c r="AC24" s="442">
        <f t="shared" si="6"/>
        <v>0</v>
      </c>
      <c r="AD24" s="395"/>
      <c r="AE24" s="430">
        <f t="shared" si="7"/>
        <v>0</v>
      </c>
      <c r="AF24" s="431">
        <f t="shared" si="8"/>
        <v>0</v>
      </c>
      <c r="AG24" s="431">
        <f t="shared" si="9"/>
        <v>0</v>
      </c>
      <c r="AH24" s="431">
        <f t="shared" si="10"/>
        <v>0</v>
      </c>
      <c r="AI24" s="431">
        <f t="shared" si="11"/>
        <v>0</v>
      </c>
      <c r="AJ24" s="442">
        <f t="shared" si="12"/>
        <v>0</v>
      </c>
      <c r="AM24" s="394">
        <f t="shared" ref="AM24:AM55" si="22">(AM23-X24)/$O23*$O24</f>
        <v>1186077.0272169504</v>
      </c>
      <c r="AN24" s="395">
        <f t="shared" ref="AN24:AN55" si="23">(AN23-Y24)/$O23*$O24</f>
        <v>1206586.3767368498</v>
      </c>
      <c r="AO24" s="395">
        <f t="shared" ref="AO24:AO55" si="24">(AO23-Z24)/$O23*$O24</f>
        <v>1036005.2495487635</v>
      </c>
      <c r="AP24" s="395">
        <f t="shared" ref="AP24:AP55" si="25">(AP23-AA24)/$O23*$O24</f>
        <v>1103614.4939922229</v>
      </c>
      <c r="AQ24" s="396">
        <f t="shared" ref="AQ24:AQ55" si="26">(AQ23-AB24)/$O23*$O24</f>
        <v>1117318.1428328648</v>
      </c>
      <c r="AS24" s="394">
        <f t="shared" si="17"/>
        <v>1153100</v>
      </c>
      <c r="AT24" s="395">
        <f t="shared" si="18"/>
        <v>1153100</v>
      </c>
      <c r="AU24" s="395">
        <f t="shared" si="19"/>
        <v>1261733.3738076168</v>
      </c>
      <c r="AV24" s="395">
        <f t="shared" si="20"/>
        <v>1153100</v>
      </c>
      <c r="AW24" s="396">
        <f t="shared" si="21"/>
        <v>1360762.9793256326</v>
      </c>
      <c r="AY24" s="394">
        <f>IF($N24&lt;=baseData, IFERROR(INDEX('Fluxo Bandeira Co'!$W:$W, MATCH($N24, 'Fluxo Bandeira Co'!$A:$A, 0))*Permutas!AS24/(SUMIF('Fluxo Investidores'!$A:$A, "&lt;="&amp;$N24, 'Fluxo Investidores'!$Z:$Z)+SUMIF('Fluxo Investidores'!$A:$A, "&lt;="&amp;$N24, 'Fluxo Investidores'!$AA:$AA)), 0), IF($N24&lt;=terminoProjeto, -((1+txAdmKinea)^(1/12)-1)*AS23, 0))</f>
        <v>-1185.7401483291674</v>
      </c>
      <c r="AZ24" s="395">
        <f>IF($N24&lt;=baseData, IFERROR(INDEX('Fluxo Bandeira Co'!$W:$W, MATCH($N24, 'Fluxo Bandeira Co'!$A:$A, 0))*Permutas!AT24/(SUMIF('Fluxo Investidores'!$A:$A, "&lt;="&amp;$N24, 'Fluxo Investidores'!$Z:$Z)+SUMIF('Fluxo Investidores'!$A:$A, "&lt;="&amp;$N24, 'Fluxo Investidores'!$AA:$AA)), 0), IF($N24&lt;=terminoProjeto, -((1+txAdmKinea)^(1/12)-1)*AT23, 0))</f>
        <v>-1185.7401483291674</v>
      </c>
      <c r="BA24" s="395">
        <f>IF($N24&lt;=baseData, IFERROR(INDEX('Fluxo Bandeira Co'!$W:$W, MATCH($N24, 'Fluxo Bandeira Co'!$A:$A, 0))*Permutas!AU24/(SUMIF('Fluxo Investidores'!$A:$A, "&lt;="&amp;$N24, 'Fluxo Investidores'!$Z:$Z)+SUMIF('Fluxo Investidores'!$A:$A, "&lt;="&amp;$N24, 'Fluxo Investidores'!$AA:$AA)), 0), IF($N24&lt;=terminoProjeto, -((1+txAdmKinea)^(1/12)-1)*AU23, 0))</f>
        <v>-1297.4485454951905</v>
      </c>
      <c r="BB24" s="395">
        <f>IF($N24&lt;=baseData, IFERROR(INDEX('Fluxo Bandeira Co'!$W:$W, MATCH($N24, 'Fluxo Bandeira Co'!$A:$A, 0))*Permutas!AV24/(SUMIF('Fluxo Investidores'!$A:$A, "&lt;="&amp;$N24, 'Fluxo Investidores'!$Z:$Z)+SUMIF('Fluxo Investidores'!$A:$A, "&lt;="&amp;$N24, 'Fluxo Investidores'!$AA:$AA)), 0), IF($N24&lt;=terminoProjeto, -((1+txAdmKinea)^(1/12)-1)*AV23, 0))</f>
        <v>-1185.7401483291674</v>
      </c>
      <c r="BC24" s="396">
        <f>IF($N24&lt;=baseData, IFERROR(INDEX('Fluxo Bandeira Co'!$W:$W, MATCH($N24, 'Fluxo Bandeira Co'!$A:$A, 0))*Permutas!AW24/(SUMIF('Fluxo Investidores'!$A:$A, "&lt;="&amp;$N24, 'Fluxo Investidores'!$Z:$Z)+SUMIF('Fluxo Investidores'!$A:$A, "&lt;="&amp;$N24, 'Fluxo Investidores'!$AA:$AA)), 0), IF($N24&lt;=terminoProjeto, -((1+txAdmKinea)^(1/12)-1)*AW23, 0))</f>
        <v>-1399.2813259443371</v>
      </c>
    </row>
    <row r="25" spans="2:56" x14ac:dyDescent="0.25">
      <c r="B25" s="211" t="s">
        <v>172</v>
      </c>
      <c r="C25" s="445">
        <v>5243634.1399999997</v>
      </c>
      <c r="D25" s="445">
        <f>INDEX($K$4:$K$10, MATCH(B25, $J$4:$J$10, 0))</f>
        <v>2475229.2000000002</v>
      </c>
      <c r="E25" s="446"/>
      <c r="F25" s="445">
        <f>D25-C25</f>
        <v>-2768404.9399999995</v>
      </c>
      <c r="G25" s="445">
        <f>IF(F25&gt;0, F25, 0)</f>
        <v>0</v>
      </c>
      <c r="H25" s="216">
        <f>(G25-F25)/C25</f>
        <v>0.52795539621686871</v>
      </c>
      <c r="I25" s="216">
        <f>1-H25</f>
        <v>0.47204460378313129</v>
      </c>
      <c r="J25" s="445">
        <f>INDEX($L$4:$L$10, MATCH($B25, $J$4:$J$10, 0))+SUMIF($N$3:$N$81, "&lt;="&amp;baseData, $AB$3:$AB$81)-SUMIF($N$3:$N$81, "&lt;="&amp;baseData, $AI$3:$AI$81)+SUMIF($N$3:$N$81, "&lt;="&amp;baseData, $BC$3:$BC$81)</f>
        <v>596860.77333730133</v>
      </c>
      <c r="M25" s="192"/>
      <c r="N25" s="315">
        <f t="shared" si="16"/>
        <v>43922</v>
      </c>
      <c r="O25" s="389">
        <f>IF($N25&lt;=baseData, INDEX(Indicadores!B:B, MATCH($N25,Indicadores!A:A, 0)), INDEX(Indicadores!B:B, MATCH(baseData,Indicadores!A:A, 0)))</f>
        <v>786.07</v>
      </c>
      <c r="P25" s="390"/>
      <c r="Q25" s="397">
        <f>IF($N25&lt;=baseData, -INDEX('Fluxo Investidores'!$L$2:$X$86, MATCH($N25, 'Fluxo Investidores'!$A$2:$A$86, 0), MATCH(Q$2, 'Fluxo Investidores'!$L$1:$X$1, 0)), 0)</f>
        <v>0</v>
      </c>
      <c r="R25" s="390">
        <f>IF($N25&lt;=baseData, -INDEX('Fluxo Investidores'!$L$2:$X$86, MATCH($N25, 'Fluxo Investidores'!$A$2:$A$86, 0), MATCH(R$2, 'Fluxo Investidores'!$L$1:$X$1, 0)), 0)</f>
        <v>0</v>
      </c>
      <c r="S25" s="390">
        <f>IF($N25&lt;=baseData, -INDEX('Fluxo Investidores'!$L$2:$X$86, MATCH($N25, 'Fluxo Investidores'!$A$2:$A$86, 0), MATCH(S$2, 'Fluxo Investidores'!$L$1:$X$1, 0)), 0)</f>
        <v>0</v>
      </c>
      <c r="T25" s="390">
        <f>IF($N25&lt;=baseData, -INDEX('Fluxo Investidores'!$L$2:$X$86, MATCH($N25, 'Fluxo Investidores'!$A$2:$A$86, 0), MATCH(T$2, 'Fluxo Investidores'!$L$1:$X$1, 0)), 0)</f>
        <v>0</v>
      </c>
      <c r="U25" s="390">
        <f>IF($N25&lt;=baseData, -INDEX('Fluxo Investidores'!$L$2:$X$86, MATCH($N25, 'Fluxo Investidores'!$A$2:$A$86, 0), MATCH(U$2, 'Fluxo Investidores'!$L$1:$X$1, 0)), 0)</f>
        <v>0</v>
      </c>
      <c r="V25" s="393">
        <f t="shared" si="0"/>
        <v>0</v>
      </c>
      <c r="W25" s="390"/>
      <c r="X25" s="430">
        <f t="shared" si="1"/>
        <v>0</v>
      </c>
      <c r="Y25" s="431">
        <f t="shared" si="2"/>
        <v>0</v>
      </c>
      <c r="Z25" s="431">
        <f t="shared" si="3"/>
        <v>0</v>
      </c>
      <c r="AA25" s="431">
        <f t="shared" si="4"/>
        <v>0</v>
      </c>
      <c r="AB25" s="431">
        <f t="shared" si="5"/>
        <v>0</v>
      </c>
      <c r="AC25" s="442">
        <f t="shared" si="6"/>
        <v>0</v>
      </c>
      <c r="AD25" s="395"/>
      <c r="AE25" s="430">
        <f t="shared" si="7"/>
        <v>0</v>
      </c>
      <c r="AF25" s="431">
        <f t="shared" si="8"/>
        <v>0</v>
      </c>
      <c r="AG25" s="431">
        <f t="shared" si="9"/>
        <v>0</v>
      </c>
      <c r="AH25" s="431">
        <f t="shared" si="10"/>
        <v>0</v>
      </c>
      <c r="AI25" s="431">
        <f t="shared" si="11"/>
        <v>0</v>
      </c>
      <c r="AJ25" s="442">
        <f t="shared" si="12"/>
        <v>0</v>
      </c>
      <c r="AM25" s="394">
        <f t="shared" si="22"/>
        <v>1188696.1600539924</v>
      </c>
      <c r="AN25" s="395">
        <f t="shared" si="23"/>
        <v>1209250.7989687298</v>
      </c>
      <c r="AO25" s="395">
        <f t="shared" si="24"/>
        <v>1038292.9891358019</v>
      </c>
      <c r="AP25" s="395">
        <f t="shared" si="25"/>
        <v>1106051.5304530277</v>
      </c>
      <c r="AQ25" s="396">
        <f t="shared" si="26"/>
        <v>1119785.4401248316</v>
      </c>
      <c r="AS25" s="394">
        <f t="shared" si="17"/>
        <v>1153100</v>
      </c>
      <c r="AT25" s="395">
        <f t="shared" si="18"/>
        <v>1153100</v>
      </c>
      <c r="AU25" s="395">
        <f t="shared" si="19"/>
        <v>1261733.3738076168</v>
      </c>
      <c r="AV25" s="395">
        <f t="shared" si="20"/>
        <v>1153100</v>
      </c>
      <c r="AW25" s="396">
        <f t="shared" si="21"/>
        <v>1360762.9793256326</v>
      </c>
      <c r="AY25" s="394">
        <f>IF($N25&lt;=baseData, IFERROR(INDEX('Fluxo Bandeira Co'!$W:$W, MATCH($N25, 'Fluxo Bandeira Co'!$A:$A, 0))*Permutas!AS25/(SUMIF('Fluxo Investidores'!$A:$A, "&lt;="&amp;$N25, 'Fluxo Investidores'!$Z:$Z)+SUMIF('Fluxo Investidores'!$A:$A, "&lt;="&amp;$N25, 'Fluxo Investidores'!$AA:$AA)), 0), IF($N25&lt;=terminoProjeto, -((1+txAdmKinea)^(1/12)-1)*AS24, 0))</f>
        <v>-1449.2381574847536</v>
      </c>
      <c r="AZ25" s="395">
        <f>IF($N25&lt;=baseData, IFERROR(INDEX('Fluxo Bandeira Co'!$W:$W, MATCH($N25, 'Fluxo Bandeira Co'!$A:$A, 0))*Permutas!AT25/(SUMIF('Fluxo Investidores'!$A:$A, "&lt;="&amp;$N25, 'Fluxo Investidores'!$Z:$Z)+SUMIF('Fluxo Investidores'!$A:$A, "&lt;="&amp;$N25, 'Fluxo Investidores'!$AA:$AA)), 0), IF($N25&lt;=terminoProjeto, -((1+txAdmKinea)^(1/12)-1)*AT24, 0))</f>
        <v>-1449.2381574847536</v>
      </c>
      <c r="BA25" s="395">
        <f>IF($N25&lt;=baseData, IFERROR(INDEX('Fluxo Bandeira Co'!$W:$W, MATCH($N25, 'Fluxo Bandeira Co'!$A:$A, 0))*Permutas!AU25/(SUMIF('Fluxo Investidores'!$A:$A, "&lt;="&amp;$N25, 'Fluxo Investidores'!$Z:$Z)+SUMIF('Fluxo Investidores'!$A:$A, "&lt;="&amp;$N25, 'Fluxo Investidores'!$AA:$AA)), 0), IF($N25&lt;=terminoProjeto, -((1+txAdmKinea)^(1/12)-1)*AU24, 0))</f>
        <v>-1585.7706616026123</v>
      </c>
      <c r="BB25" s="395">
        <f>IF($N25&lt;=baseData, IFERROR(INDEX('Fluxo Bandeira Co'!$W:$W, MATCH($N25, 'Fluxo Bandeira Co'!$A:$A, 0))*Permutas!AV25/(SUMIF('Fluxo Investidores'!$A:$A, "&lt;="&amp;$N25, 'Fluxo Investidores'!$Z:$Z)+SUMIF('Fluxo Investidores'!$A:$A, "&lt;="&amp;$N25, 'Fluxo Investidores'!$AA:$AA)), 0), IF($N25&lt;=terminoProjeto, -((1+txAdmKinea)^(1/12)-1)*AV24, 0))</f>
        <v>-1449.2381574847536</v>
      </c>
      <c r="BC25" s="396">
        <f>IF($N25&lt;=baseData, IFERROR(INDEX('Fluxo Bandeira Co'!$W:$W, MATCH($N25, 'Fluxo Bandeira Co'!$A:$A, 0))*Permutas!AW25/(SUMIF('Fluxo Investidores'!$A:$A, "&lt;="&amp;$N25, 'Fluxo Investidores'!$Z:$Z)+SUMIF('Fluxo Investidores'!$A:$A, "&lt;="&amp;$N25, 'Fluxo Investidores'!$AA:$AA)), 0), IF($N25&lt;=terminoProjeto, -((1+txAdmKinea)^(1/12)-1)*AW24, 0))</f>
        <v>-1710.2329658584197</v>
      </c>
    </row>
    <row r="26" spans="2:56" x14ac:dyDescent="0.25">
      <c r="B26" s="211" t="s">
        <v>262</v>
      </c>
      <c r="C26" s="359">
        <v>1413.5</v>
      </c>
      <c r="D26" s="447"/>
      <c r="M26" s="192"/>
      <c r="N26" s="315">
        <f t="shared" si="16"/>
        <v>43952</v>
      </c>
      <c r="O26" s="389">
        <f>IF($N26&lt;=baseData, INDEX(Indicadores!B:B, MATCH($N26,Indicadores!A:A, 0)), INDEX(Indicadores!B:B, MATCH(baseData,Indicadores!A:A, 0)))</f>
        <v>787.66600000000005</v>
      </c>
      <c r="P26" s="390"/>
      <c r="Q26" s="397">
        <f>IF($N26&lt;=baseData, -INDEX('Fluxo Investidores'!$L$2:$X$86, MATCH($N26, 'Fluxo Investidores'!$A$2:$A$86, 0), MATCH(Q$2, 'Fluxo Investidores'!$L$1:$X$1, 0)), 0)</f>
        <v>0</v>
      </c>
      <c r="R26" s="390">
        <f>IF($N26&lt;=baseData, -INDEX('Fluxo Investidores'!$L$2:$X$86, MATCH($N26, 'Fluxo Investidores'!$A$2:$A$86, 0), MATCH(R$2, 'Fluxo Investidores'!$L$1:$X$1, 0)), 0)</f>
        <v>0</v>
      </c>
      <c r="S26" s="390">
        <f>IF($N26&lt;=baseData, -INDEX('Fluxo Investidores'!$L$2:$X$86, MATCH($N26, 'Fluxo Investidores'!$A$2:$A$86, 0), MATCH(S$2, 'Fluxo Investidores'!$L$1:$X$1, 0)), 0)</f>
        <v>0</v>
      </c>
      <c r="T26" s="390">
        <f>IF($N26&lt;=baseData, -INDEX('Fluxo Investidores'!$L$2:$X$86, MATCH($N26, 'Fluxo Investidores'!$A$2:$A$86, 0), MATCH(T$2, 'Fluxo Investidores'!$L$1:$X$1, 0)), 0)</f>
        <v>0</v>
      </c>
      <c r="U26" s="390">
        <f>IF($N26&lt;=baseData, -INDEX('Fluxo Investidores'!$L$2:$X$86, MATCH($N26, 'Fluxo Investidores'!$A$2:$A$86, 0), MATCH(U$2, 'Fluxo Investidores'!$L$1:$X$1, 0)), 0)</f>
        <v>0</v>
      </c>
      <c r="V26" s="393">
        <f t="shared" si="0"/>
        <v>0</v>
      </c>
      <c r="W26" s="390"/>
      <c r="X26" s="430">
        <f t="shared" si="1"/>
        <v>0</v>
      </c>
      <c r="Y26" s="431">
        <f t="shared" si="2"/>
        <v>0</v>
      </c>
      <c r="Z26" s="431">
        <f t="shared" si="3"/>
        <v>0</v>
      </c>
      <c r="AA26" s="431">
        <f t="shared" si="4"/>
        <v>0</v>
      </c>
      <c r="AB26" s="431">
        <f t="shared" si="5"/>
        <v>0</v>
      </c>
      <c r="AC26" s="442">
        <f t="shared" si="6"/>
        <v>0</v>
      </c>
      <c r="AD26" s="395"/>
      <c r="AE26" s="430">
        <f t="shared" si="7"/>
        <v>0</v>
      </c>
      <c r="AF26" s="431">
        <f t="shared" si="8"/>
        <v>0</v>
      </c>
      <c r="AG26" s="431">
        <f t="shared" si="9"/>
        <v>0</v>
      </c>
      <c r="AH26" s="431">
        <f t="shared" si="10"/>
        <v>0</v>
      </c>
      <c r="AI26" s="431">
        <f t="shared" si="11"/>
        <v>0</v>
      </c>
      <c r="AJ26" s="442">
        <f t="shared" si="12"/>
        <v>0</v>
      </c>
      <c r="AM26" s="394">
        <f t="shared" si="22"/>
        <v>1191109.6334996729</v>
      </c>
      <c r="AN26" s="395">
        <f t="shared" si="23"/>
        <v>1211706.0055981064</v>
      </c>
      <c r="AO26" s="395">
        <f t="shared" si="24"/>
        <v>1040401.0909723568</v>
      </c>
      <c r="AP26" s="395">
        <f t="shared" si="25"/>
        <v>1108297.2060831918</v>
      </c>
      <c r="AQ26" s="396">
        <f t="shared" si="26"/>
        <v>1122059.0004469901</v>
      </c>
      <c r="AS26" s="394">
        <f t="shared" si="17"/>
        <v>1153100</v>
      </c>
      <c r="AT26" s="395">
        <f t="shared" si="18"/>
        <v>1153100</v>
      </c>
      <c r="AU26" s="395">
        <f t="shared" si="19"/>
        <v>1261733.3738076168</v>
      </c>
      <c r="AV26" s="395">
        <f t="shared" si="20"/>
        <v>1153100</v>
      </c>
      <c r="AW26" s="396">
        <f t="shared" si="21"/>
        <v>1360762.9793256326</v>
      </c>
      <c r="AY26" s="394">
        <f>IF($N26&lt;=baseData, IFERROR(INDEX('Fluxo Bandeira Co'!$W:$W, MATCH($N26, 'Fluxo Bandeira Co'!$A:$A, 0))*Permutas!AS26/(SUMIF('Fluxo Investidores'!$A:$A, "&lt;="&amp;$N26, 'Fluxo Investidores'!$Z:$Z)+SUMIF('Fluxo Investidores'!$A:$A, "&lt;="&amp;$N26, 'Fluxo Investidores'!$AA:$AA)), 0), IF($N26&lt;=terminoProjeto, -((1+txAdmKinea)^(1/12)-1)*AS25, 0))</f>
        <v>-1317.4893314811545</v>
      </c>
      <c r="AZ26" s="395">
        <f>IF($N26&lt;=baseData, IFERROR(INDEX('Fluxo Bandeira Co'!$W:$W, MATCH($N26, 'Fluxo Bandeira Co'!$A:$A, 0))*Permutas!AT26/(SUMIF('Fluxo Investidores'!$A:$A, "&lt;="&amp;$N26, 'Fluxo Investidores'!$Z:$Z)+SUMIF('Fluxo Investidores'!$A:$A, "&lt;="&amp;$N26, 'Fluxo Investidores'!$AA:$AA)), 0), IF($N26&lt;=terminoProjeto, -((1+txAdmKinea)^(1/12)-1)*AT25, 0))</f>
        <v>-1317.4893314811545</v>
      </c>
      <c r="BA26" s="395">
        <f>IF($N26&lt;=baseData, IFERROR(INDEX('Fluxo Bandeira Co'!$W:$W, MATCH($N26, 'Fluxo Bandeira Co'!$A:$A, 0))*Permutas!AU26/(SUMIF('Fluxo Investidores'!$A:$A, "&lt;="&amp;$N26, 'Fluxo Investidores'!$Z:$Z)+SUMIF('Fluxo Investidores'!$A:$A, "&lt;="&amp;$N26, 'Fluxo Investidores'!$AA:$AA)), 0), IF($N26&lt;=terminoProjeto, -((1+txAdmKinea)^(1/12)-1)*AU25, 0))</f>
        <v>-1441.6097989465429</v>
      </c>
      <c r="BB26" s="395">
        <f>IF($N26&lt;=baseData, IFERROR(INDEX('Fluxo Bandeira Co'!$W:$W, MATCH($N26, 'Fluxo Bandeira Co'!$A:$A, 0))*Permutas!AV26/(SUMIF('Fluxo Investidores'!$A:$A, "&lt;="&amp;$N26, 'Fluxo Investidores'!$Z:$Z)+SUMIF('Fluxo Investidores'!$A:$A, "&lt;="&amp;$N26, 'Fluxo Investidores'!$AA:$AA)), 0), IF($N26&lt;=terminoProjeto, -((1+txAdmKinea)^(1/12)-1)*AV25, 0))</f>
        <v>-1317.4893314811545</v>
      </c>
      <c r="BC26" s="396">
        <f>IF($N26&lt;=baseData, IFERROR(INDEX('Fluxo Bandeira Co'!$W:$W, MATCH($N26, 'Fluxo Bandeira Co'!$A:$A, 0))*Permutas!AW26/(SUMIF('Fluxo Investidores'!$A:$A, "&lt;="&amp;$N26, 'Fluxo Investidores'!$Z:$Z)+SUMIF('Fluxo Investidores'!$A:$A, "&lt;="&amp;$N26, 'Fluxo Investidores'!$AA:$AA)), 0), IF($N26&lt;=terminoProjeto, -((1+txAdmKinea)^(1/12)-1)*AW25, 0))</f>
        <v>-1554.757356635185</v>
      </c>
    </row>
    <row r="27" spans="2:56" x14ac:dyDescent="0.25">
      <c r="M27" s="192"/>
      <c r="N27" s="315">
        <f t="shared" si="16"/>
        <v>43983</v>
      </c>
      <c r="O27" s="389">
        <f>IF($N27&lt;=baseData, INDEX(Indicadores!B:B, MATCH($N27,Indicadores!A:A, 0)), INDEX(Indicadores!B:B, MATCH(baseData,Indicadores!A:A, 0)))</f>
        <v>790.33100000000002</v>
      </c>
      <c r="P27" s="390"/>
      <c r="Q27" s="397">
        <f>IF($N27&lt;=baseData, -INDEX('Fluxo Investidores'!$L$2:$X$86, MATCH($N27, 'Fluxo Investidores'!$A$2:$A$86, 0), MATCH(Q$2, 'Fluxo Investidores'!$L$1:$X$1, 0)), 0)</f>
        <v>0</v>
      </c>
      <c r="R27" s="390">
        <f>IF($N27&lt;=baseData, -INDEX('Fluxo Investidores'!$L$2:$X$86, MATCH($N27, 'Fluxo Investidores'!$A$2:$A$86, 0), MATCH(R$2, 'Fluxo Investidores'!$L$1:$X$1, 0)), 0)</f>
        <v>0</v>
      </c>
      <c r="S27" s="390">
        <f>IF($N27&lt;=baseData, -INDEX('Fluxo Investidores'!$L$2:$X$86, MATCH($N27, 'Fluxo Investidores'!$A$2:$A$86, 0), MATCH(S$2, 'Fluxo Investidores'!$L$1:$X$1, 0)), 0)</f>
        <v>0</v>
      </c>
      <c r="T27" s="390">
        <f>IF($N27&lt;=baseData, -INDEX('Fluxo Investidores'!$L$2:$X$86, MATCH($N27, 'Fluxo Investidores'!$A$2:$A$86, 0), MATCH(T$2, 'Fluxo Investidores'!$L$1:$X$1, 0)), 0)</f>
        <v>0</v>
      </c>
      <c r="U27" s="390">
        <f>IF($N27&lt;=baseData, -INDEX('Fluxo Investidores'!$L$2:$X$86, MATCH($N27, 'Fluxo Investidores'!$A$2:$A$86, 0), MATCH(U$2, 'Fluxo Investidores'!$L$1:$X$1, 0)), 0)</f>
        <v>0</v>
      </c>
      <c r="V27" s="393">
        <f t="shared" si="0"/>
        <v>0</v>
      </c>
      <c r="W27" s="390"/>
      <c r="X27" s="430">
        <f t="shared" si="1"/>
        <v>0</v>
      </c>
      <c r="Y27" s="431">
        <f t="shared" si="2"/>
        <v>0</v>
      </c>
      <c r="Z27" s="431">
        <f t="shared" si="3"/>
        <v>0</v>
      </c>
      <c r="AA27" s="431">
        <f t="shared" si="4"/>
        <v>0</v>
      </c>
      <c r="AB27" s="431">
        <f t="shared" si="5"/>
        <v>0</v>
      </c>
      <c r="AC27" s="442">
        <f t="shared" si="6"/>
        <v>0</v>
      </c>
      <c r="AD27" s="395"/>
      <c r="AE27" s="430">
        <f t="shared" si="7"/>
        <v>0</v>
      </c>
      <c r="AF27" s="431">
        <f t="shared" si="8"/>
        <v>0</v>
      </c>
      <c r="AG27" s="431">
        <f t="shared" si="9"/>
        <v>0</v>
      </c>
      <c r="AH27" s="431">
        <f t="shared" si="10"/>
        <v>0</v>
      </c>
      <c r="AI27" s="431">
        <f t="shared" si="11"/>
        <v>0</v>
      </c>
      <c r="AJ27" s="442">
        <f t="shared" si="12"/>
        <v>0</v>
      </c>
      <c r="AM27" s="394">
        <f t="shared" si="22"/>
        <v>1195139.6502495091</v>
      </c>
      <c r="AN27" s="395">
        <f t="shared" si="23"/>
        <v>1215805.7083971594</v>
      </c>
      <c r="AO27" s="395">
        <f t="shared" si="24"/>
        <v>1043921.1983623436</v>
      </c>
      <c r="AP27" s="395">
        <f t="shared" si="25"/>
        <v>1112047.0341247877</v>
      </c>
      <c r="AQ27" s="396">
        <f t="shared" si="26"/>
        <v>1125855.3903333014</v>
      </c>
      <c r="AS27" s="394">
        <f t="shared" si="17"/>
        <v>1153100</v>
      </c>
      <c r="AT27" s="395">
        <f t="shared" si="18"/>
        <v>1153100</v>
      </c>
      <c r="AU27" s="395">
        <f t="shared" si="19"/>
        <v>1261733.3738076168</v>
      </c>
      <c r="AV27" s="395">
        <f t="shared" si="20"/>
        <v>1153100</v>
      </c>
      <c r="AW27" s="396">
        <f t="shared" si="21"/>
        <v>1360762.9793256326</v>
      </c>
      <c r="AY27" s="394">
        <f>IF($N27&lt;=baseData, IFERROR(INDEX('Fluxo Bandeira Co'!$W:$W, MATCH($N27, 'Fluxo Bandeira Co'!$A:$A, 0))*Permutas!AS27/(SUMIF('Fluxo Investidores'!$A:$A, "&lt;="&amp;$N27, 'Fluxo Investidores'!$Z:$Z)+SUMIF('Fluxo Investidores'!$A:$A, "&lt;="&amp;$N27, 'Fluxo Investidores'!$AA:$AA)), 0), IF($N27&lt;=terminoProjeto, -((1+txAdmKinea)^(1/12)-1)*AS26, 0))</f>
        <v>-1317.4893314811545</v>
      </c>
      <c r="AZ27" s="395">
        <f>IF($N27&lt;=baseData, IFERROR(INDEX('Fluxo Bandeira Co'!$W:$W, MATCH($N27, 'Fluxo Bandeira Co'!$A:$A, 0))*Permutas!AT27/(SUMIF('Fluxo Investidores'!$A:$A, "&lt;="&amp;$N27, 'Fluxo Investidores'!$Z:$Z)+SUMIF('Fluxo Investidores'!$A:$A, "&lt;="&amp;$N27, 'Fluxo Investidores'!$AA:$AA)), 0), IF($N27&lt;=terminoProjeto, -((1+txAdmKinea)^(1/12)-1)*AT26, 0))</f>
        <v>-1317.4893314811545</v>
      </c>
      <c r="BA27" s="395">
        <f>IF($N27&lt;=baseData, IFERROR(INDEX('Fluxo Bandeira Co'!$W:$W, MATCH($N27, 'Fluxo Bandeira Co'!$A:$A, 0))*Permutas!AU27/(SUMIF('Fluxo Investidores'!$A:$A, "&lt;="&amp;$N27, 'Fluxo Investidores'!$Z:$Z)+SUMIF('Fluxo Investidores'!$A:$A, "&lt;="&amp;$N27, 'Fluxo Investidores'!$AA:$AA)), 0), IF($N27&lt;=terminoProjeto, -((1+txAdmKinea)^(1/12)-1)*AU26, 0))</f>
        <v>-1441.6097989465429</v>
      </c>
      <c r="BB27" s="395">
        <f>IF($N27&lt;=baseData, IFERROR(INDEX('Fluxo Bandeira Co'!$W:$W, MATCH($N27, 'Fluxo Bandeira Co'!$A:$A, 0))*Permutas!AV27/(SUMIF('Fluxo Investidores'!$A:$A, "&lt;="&amp;$N27, 'Fluxo Investidores'!$Z:$Z)+SUMIF('Fluxo Investidores'!$A:$A, "&lt;="&amp;$N27, 'Fluxo Investidores'!$AA:$AA)), 0), IF($N27&lt;=terminoProjeto, -((1+txAdmKinea)^(1/12)-1)*AV26, 0))</f>
        <v>-1317.4893314811545</v>
      </c>
      <c r="BC27" s="396">
        <f>IF($N27&lt;=baseData, IFERROR(INDEX('Fluxo Bandeira Co'!$W:$W, MATCH($N27, 'Fluxo Bandeira Co'!$A:$A, 0))*Permutas!AW27/(SUMIF('Fluxo Investidores'!$A:$A, "&lt;="&amp;$N27, 'Fluxo Investidores'!$Z:$Z)+SUMIF('Fluxo Investidores'!$A:$A, "&lt;="&amp;$N27, 'Fluxo Investidores'!$AA:$AA)), 0), IF($N27&lt;=terminoProjeto, -((1+txAdmKinea)^(1/12)-1)*AW26, 0))</f>
        <v>-1554.757356635185</v>
      </c>
    </row>
    <row r="28" spans="2:56" ht="15.75" customHeight="1" thickBot="1" x14ac:dyDescent="0.3">
      <c r="B28" s="14" t="s">
        <v>263</v>
      </c>
      <c r="C28" s="14"/>
      <c r="D28" s="14"/>
      <c r="E28" s="14"/>
      <c r="F28" s="14"/>
      <c r="N28" s="315">
        <f t="shared" si="16"/>
        <v>44013</v>
      </c>
      <c r="O28" s="389">
        <f>IF($N28&lt;=baseData, INDEX(Indicadores!B:B, MATCH($N28,Indicadores!A:A, 0)), INDEX(Indicadores!B:B, MATCH(baseData,Indicadores!A:A, 0)))</f>
        <v>799.58900000000006</v>
      </c>
      <c r="P28" s="390"/>
      <c r="Q28" s="397">
        <f>IF($N28&lt;=baseData, -INDEX('Fluxo Investidores'!$L$2:$X$86, MATCH($N28, 'Fluxo Investidores'!$A$2:$A$86, 0), MATCH(Q$2, 'Fluxo Investidores'!$L$1:$X$1, 0)), 0)</f>
        <v>0</v>
      </c>
      <c r="R28" s="390">
        <f>IF($N28&lt;=baseData, -INDEX('Fluxo Investidores'!$L$2:$X$86, MATCH($N28, 'Fluxo Investidores'!$A$2:$A$86, 0), MATCH(R$2, 'Fluxo Investidores'!$L$1:$X$1, 0)), 0)</f>
        <v>0</v>
      </c>
      <c r="S28" s="390">
        <f>IF($N28&lt;=baseData, -INDEX('Fluxo Investidores'!$L$2:$X$86, MATCH($N28, 'Fluxo Investidores'!$A$2:$A$86, 0), MATCH(S$2, 'Fluxo Investidores'!$L$1:$X$1, 0)), 0)</f>
        <v>0</v>
      </c>
      <c r="T28" s="390">
        <f>IF($N28&lt;=baseData, -INDEX('Fluxo Investidores'!$L$2:$X$86, MATCH($N28, 'Fluxo Investidores'!$A$2:$A$86, 0), MATCH(T$2, 'Fluxo Investidores'!$L$1:$X$1, 0)), 0)</f>
        <v>0</v>
      </c>
      <c r="U28" s="390">
        <f>IF($N28&lt;=baseData, -INDEX('Fluxo Investidores'!$L$2:$X$86, MATCH($N28, 'Fluxo Investidores'!$A$2:$A$86, 0), MATCH(U$2, 'Fluxo Investidores'!$L$1:$X$1, 0)), 0)</f>
        <v>0</v>
      </c>
      <c r="V28" s="393">
        <f t="shared" si="0"/>
        <v>0</v>
      </c>
      <c r="W28" s="390"/>
      <c r="X28" s="430">
        <f t="shared" si="1"/>
        <v>0</v>
      </c>
      <c r="Y28" s="431">
        <f t="shared" si="2"/>
        <v>0</v>
      </c>
      <c r="Z28" s="431">
        <f t="shared" si="3"/>
        <v>0</v>
      </c>
      <c r="AA28" s="431">
        <f t="shared" si="4"/>
        <v>0</v>
      </c>
      <c r="AB28" s="431">
        <f t="shared" si="5"/>
        <v>0</v>
      </c>
      <c r="AC28" s="442">
        <f t="shared" si="6"/>
        <v>0</v>
      </c>
      <c r="AD28" s="395"/>
      <c r="AE28" s="430">
        <f t="shared" si="7"/>
        <v>0</v>
      </c>
      <c r="AF28" s="431">
        <f t="shared" si="8"/>
        <v>0</v>
      </c>
      <c r="AG28" s="431">
        <f t="shared" si="9"/>
        <v>0</v>
      </c>
      <c r="AH28" s="431">
        <f t="shared" si="10"/>
        <v>0</v>
      </c>
      <c r="AI28" s="431">
        <f t="shared" si="11"/>
        <v>0</v>
      </c>
      <c r="AJ28" s="442">
        <f t="shared" si="12"/>
        <v>0</v>
      </c>
      <c r="AM28" s="394">
        <f t="shared" si="22"/>
        <v>1209139.6108761453</v>
      </c>
      <c r="AN28" s="395">
        <f t="shared" si="23"/>
        <v>1230047.752867566</v>
      </c>
      <c r="AO28" s="395">
        <f t="shared" si="24"/>
        <v>1056149.7740533373</v>
      </c>
      <c r="AP28" s="395">
        <f t="shared" si="25"/>
        <v>1125073.6412576563</v>
      </c>
      <c r="AQ28" s="396">
        <f t="shared" si="26"/>
        <v>1139043.7496456727</v>
      </c>
      <c r="AS28" s="394">
        <f t="shared" si="17"/>
        <v>1153100</v>
      </c>
      <c r="AT28" s="395">
        <f t="shared" si="18"/>
        <v>1153100</v>
      </c>
      <c r="AU28" s="395">
        <f t="shared" si="19"/>
        <v>1261733.3738076168</v>
      </c>
      <c r="AV28" s="395">
        <f t="shared" si="20"/>
        <v>1153100</v>
      </c>
      <c r="AW28" s="396">
        <f t="shared" si="21"/>
        <v>1360762.9793256326</v>
      </c>
      <c r="AY28" s="394">
        <f>IF($N28&lt;=baseData, IFERROR(INDEX('Fluxo Bandeira Co'!$W:$W, MATCH($N28, 'Fluxo Bandeira Co'!$A:$A, 0))*Permutas!AS28/(SUMIF('Fluxo Investidores'!$A:$A, "&lt;="&amp;$N28, 'Fluxo Investidores'!$Z:$Z)+SUMIF('Fluxo Investidores'!$A:$A, "&lt;="&amp;$N28, 'Fluxo Investidores'!$AA:$AA)), 0), IF($N28&lt;=terminoProjeto, -((1+txAdmKinea)^(1/12)-1)*AS27, 0))</f>
        <v>-1383.3635659087602</v>
      </c>
      <c r="AZ28" s="395">
        <f>IF($N28&lt;=baseData, IFERROR(INDEX('Fluxo Bandeira Co'!$W:$W, MATCH($N28, 'Fluxo Bandeira Co'!$A:$A, 0))*Permutas!AT28/(SUMIF('Fluxo Investidores'!$A:$A, "&lt;="&amp;$N28, 'Fluxo Investidores'!$Z:$Z)+SUMIF('Fluxo Investidores'!$A:$A, "&lt;="&amp;$N28, 'Fluxo Investidores'!$AA:$AA)), 0), IF($N28&lt;=terminoProjeto, -((1+txAdmKinea)^(1/12)-1)*AT27, 0))</f>
        <v>-1383.3635659087602</v>
      </c>
      <c r="BA28" s="395">
        <f>IF($N28&lt;=baseData, IFERROR(INDEX('Fluxo Bandeira Co'!$W:$W, MATCH($N28, 'Fluxo Bandeira Co'!$A:$A, 0))*Permutas!AU28/(SUMIF('Fluxo Investidores'!$A:$A, "&lt;="&amp;$N28, 'Fluxo Investidores'!$Z:$Z)+SUMIF('Fluxo Investidores'!$A:$A, "&lt;="&amp;$N28, 'Fluxo Investidores'!$AA:$AA)), 0), IF($N28&lt;=terminoProjeto, -((1+txAdmKinea)^(1/12)-1)*AU27, 0))</f>
        <v>-1513.6900348769364</v>
      </c>
      <c r="BB28" s="395">
        <f>IF($N28&lt;=baseData, IFERROR(INDEX('Fluxo Bandeira Co'!$W:$W, MATCH($N28, 'Fluxo Bandeira Co'!$A:$A, 0))*Permutas!AV28/(SUMIF('Fluxo Investidores'!$A:$A, "&lt;="&amp;$N28, 'Fluxo Investidores'!$Z:$Z)+SUMIF('Fluxo Investidores'!$A:$A, "&lt;="&amp;$N28, 'Fluxo Investidores'!$AA:$AA)), 0), IF($N28&lt;=terminoProjeto, -((1+txAdmKinea)^(1/12)-1)*AV27, 0))</f>
        <v>-1383.3635659087602</v>
      </c>
      <c r="BC28" s="396">
        <f>IF($N28&lt;=baseData, IFERROR(INDEX('Fluxo Bandeira Co'!$W:$W, MATCH($N28, 'Fluxo Bandeira Co'!$A:$A, 0))*Permutas!AW28/(SUMIF('Fluxo Investidores'!$A:$A, "&lt;="&amp;$N28, 'Fluxo Investidores'!$Z:$Z)+SUMIF('Fluxo Investidores'!$A:$A, "&lt;="&amp;$N28, 'Fluxo Investidores'!$AA:$AA)), 0), IF($N28&lt;=terminoProjeto, -((1+txAdmKinea)^(1/12)-1)*AW27, 0))</f>
        <v>-1632.4949505129957</v>
      </c>
    </row>
    <row r="29" spans="2:56" x14ac:dyDescent="0.25">
      <c r="B29" s="222" t="s">
        <v>264</v>
      </c>
      <c r="C29" s="222" t="s">
        <v>265</v>
      </c>
      <c r="D29" s="222" t="s">
        <v>266</v>
      </c>
      <c r="E29" s="222" t="s">
        <v>267</v>
      </c>
      <c r="F29" s="222" t="s">
        <v>268</v>
      </c>
      <c r="N29" s="315">
        <f t="shared" si="16"/>
        <v>44044</v>
      </c>
      <c r="O29" s="389">
        <f>IF($N29&lt;=baseData, INDEX(Indicadores!B:B, MATCH($N29,Indicadores!A:A, 0)), INDEX(Indicadores!B:B, MATCH(baseData,Indicadores!A:A, 0)))</f>
        <v>805.35599999999999</v>
      </c>
      <c r="P29" s="390"/>
      <c r="Q29" s="397">
        <f>IF($N29&lt;=baseData, -INDEX('Fluxo Investidores'!$L$2:$X$86, MATCH($N29, 'Fluxo Investidores'!$A$2:$A$86, 0), MATCH(Q$2, 'Fluxo Investidores'!$L$1:$X$1, 0)), 0)</f>
        <v>0</v>
      </c>
      <c r="R29" s="390">
        <f>IF($N29&lt;=baseData, -INDEX('Fluxo Investidores'!$L$2:$X$86, MATCH($N29, 'Fluxo Investidores'!$A$2:$A$86, 0), MATCH(R$2, 'Fluxo Investidores'!$L$1:$X$1, 0)), 0)</f>
        <v>0</v>
      </c>
      <c r="S29" s="390">
        <f>IF($N29&lt;=baseData, -INDEX('Fluxo Investidores'!$L$2:$X$86, MATCH($N29, 'Fluxo Investidores'!$A$2:$A$86, 0), MATCH(S$2, 'Fluxo Investidores'!$L$1:$X$1, 0)), 0)</f>
        <v>0</v>
      </c>
      <c r="T29" s="390">
        <f>IF($N29&lt;=baseData, -INDEX('Fluxo Investidores'!$L$2:$X$86, MATCH($N29, 'Fluxo Investidores'!$A$2:$A$86, 0), MATCH(T$2, 'Fluxo Investidores'!$L$1:$X$1, 0)), 0)</f>
        <v>0</v>
      </c>
      <c r="U29" s="390">
        <f>IF($N29&lt;=baseData, -INDEX('Fluxo Investidores'!$L$2:$X$86, MATCH($N29, 'Fluxo Investidores'!$A$2:$A$86, 0), MATCH(U$2, 'Fluxo Investidores'!$L$1:$X$1, 0)), 0)</f>
        <v>0</v>
      </c>
      <c r="V29" s="393">
        <f t="shared" si="0"/>
        <v>0</v>
      </c>
      <c r="W29" s="390"/>
      <c r="X29" s="430">
        <f t="shared" si="1"/>
        <v>0</v>
      </c>
      <c r="Y29" s="431">
        <f t="shared" si="2"/>
        <v>0</v>
      </c>
      <c r="Z29" s="431">
        <f t="shared" si="3"/>
        <v>0</v>
      </c>
      <c r="AA29" s="431">
        <f t="shared" si="4"/>
        <v>0</v>
      </c>
      <c r="AB29" s="431">
        <f t="shared" si="5"/>
        <v>0</v>
      </c>
      <c r="AC29" s="442">
        <f t="shared" si="6"/>
        <v>0</v>
      </c>
      <c r="AD29" s="395"/>
      <c r="AE29" s="430">
        <f t="shared" si="7"/>
        <v>0</v>
      </c>
      <c r="AF29" s="431">
        <f t="shared" si="8"/>
        <v>0</v>
      </c>
      <c r="AG29" s="431">
        <f t="shared" si="9"/>
        <v>0</v>
      </c>
      <c r="AH29" s="431">
        <f t="shared" si="10"/>
        <v>0</v>
      </c>
      <c r="AI29" s="431">
        <f t="shared" si="11"/>
        <v>0</v>
      </c>
      <c r="AJ29" s="442">
        <f t="shared" si="12"/>
        <v>0</v>
      </c>
      <c r="AM29" s="394">
        <f t="shared" si="22"/>
        <v>1217860.4763907066</v>
      </c>
      <c r="AN29" s="395">
        <f t="shared" si="23"/>
        <v>1238919.4174237158</v>
      </c>
      <c r="AO29" s="395">
        <f t="shared" si="24"/>
        <v>1063767.2071933199</v>
      </c>
      <c r="AP29" s="395">
        <f t="shared" si="25"/>
        <v>1133188.1847157739</v>
      </c>
      <c r="AQ29" s="396">
        <f t="shared" si="26"/>
        <v>1147259.0518874575</v>
      </c>
      <c r="AS29" s="394">
        <f t="shared" si="17"/>
        <v>1153100</v>
      </c>
      <c r="AT29" s="395">
        <f t="shared" si="18"/>
        <v>1153100</v>
      </c>
      <c r="AU29" s="395">
        <f t="shared" si="19"/>
        <v>1261733.3738076168</v>
      </c>
      <c r="AV29" s="395">
        <f t="shared" si="20"/>
        <v>1153100</v>
      </c>
      <c r="AW29" s="396">
        <f t="shared" si="21"/>
        <v>1360762.9793256326</v>
      </c>
      <c r="AY29" s="394">
        <f>IF($N29&lt;=baseData, IFERROR(INDEX('Fluxo Bandeira Co'!$W:$W, MATCH($N29, 'Fluxo Bandeira Co'!$A:$A, 0))*Permutas!AS29/(SUMIF('Fluxo Investidores'!$A:$A, "&lt;="&amp;$N29, 'Fluxo Investidores'!$Z:$Z)+SUMIF('Fluxo Investidores'!$A:$A, "&lt;="&amp;$N29, 'Fluxo Investidores'!$AA:$AA)), 0), IF($N29&lt;=terminoProjeto, -((1+txAdmKinea)^(1/12)-1)*AS28, 0))</f>
        <v>-1515.112391912359</v>
      </c>
      <c r="AZ29" s="395">
        <f>IF($N29&lt;=baseData, IFERROR(INDEX('Fluxo Bandeira Co'!$W:$W, MATCH($N29, 'Fluxo Bandeira Co'!$A:$A, 0))*Permutas!AT29/(SUMIF('Fluxo Investidores'!$A:$A, "&lt;="&amp;$N29, 'Fluxo Investidores'!$Z:$Z)+SUMIF('Fluxo Investidores'!$A:$A, "&lt;="&amp;$N29, 'Fluxo Investidores'!$AA:$AA)), 0), IF($N29&lt;=terminoProjeto, -((1+txAdmKinea)^(1/12)-1)*AT28, 0))</f>
        <v>-1515.112391912359</v>
      </c>
      <c r="BA29" s="395">
        <f>IF($N29&lt;=baseData, IFERROR(INDEX('Fluxo Bandeira Co'!$W:$W, MATCH($N29, 'Fluxo Bandeira Co'!$A:$A, 0))*Permutas!AU29/(SUMIF('Fluxo Investidores'!$A:$A, "&lt;="&amp;$N29, 'Fluxo Investidores'!$Z:$Z)+SUMIF('Fluxo Investidores'!$A:$A, "&lt;="&amp;$N29, 'Fluxo Investidores'!$AA:$AA)), 0), IF($N29&lt;=terminoProjeto, -((1+txAdmKinea)^(1/12)-1)*AU28, 0))</f>
        <v>-1657.8508975330058</v>
      </c>
      <c r="BB29" s="395">
        <f>IF($N29&lt;=baseData, IFERROR(INDEX('Fluxo Bandeira Co'!$W:$W, MATCH($N29, 'Fluxo Bandeira Co'!$A:$A, 0))*Permutas!AV29/(SUMIF('Fluxo Investidores'!$A:$A, "&lt;="&amp;$N29, 'Fluxo Investidores'!$Z:$Z)+SUMIF('Fluxo Investidores'!$A:$A, "&lt;="&amp;$N29, 'Fluxo Investidores'!$AA:$AA)), 0), IF($N29&lt;=terminoProjeto, -((1+txAdmKinea)^(1/12)-1)*AV28, 0))</f>
        <v>-1515.112391912359</v>
      </c>
      <c r="BC29" s="396">
        <f>IF($N29&lt;=baseData, IFERROR(INDEX('Fluxo Bandeira Co'!$W:$W, MATCH($N29, 'Fluxo Bandeira Co'!$A:$A, 0))*Permutas!AW29/(SUMIF('Fluxo Investidores'!$A:$A, "&lt;="&amp;$N29, 'Fluxo Investidores'!$Z:$Z)+SUMIF('Fluxo Investidores'!$A:$A, "&lt;="&amp;$N29, 'Fluxo Investidores'!$AA:$AA)), 0), IF($N29&lt;=terminoProjeto, -((1+txAdmKinea)^(1/12)-1)*AW28, 0))</f>
        <v>-1787.9705597362304</v>
      </c>
    </row>
    <row r="30" spans="2:56" x14ac:dyDescent="0.25">
      <c r="B30" s="211" t="s">
        <v>128</v>
      </c>
      <c r="C30" s="448">
        <v>43556</v>
      </c>
      <c r="D30" s="445">
        <f>INDEX(Premissas!R$28:R$36, MATCH(Permutas!$B30, Premissas!$P$28:$P$33, 0))</f>
        <v>11200000</v>
      </c>
      <c r="E30" s="445">
        <v>9315421.7100000009</v>
      </c>
      <c r="F30" s="216">
        <f>E30/D30</f>
        <v>0.83173408125000003</v>
      </c>
      <c r="N30" s="315">
        <f t="shared" si="16"/>
        <v>44075</v>
      </c>
      <c r="O30" s="389">
        <f>IF($N30&lt;=baseData, INDEX(Indicadores!B:B, MATCH($N30,Indicadores!A:A, 0)), INDEX(Indicadores!B:B, MATCH(baseData,Indicadores!A:A, 0)))</f>
        <v>814.70100000000002</v>
      </c>
      <c r="P30" s="390"/>
      <c r="Q30" s="397">
        <f>IF($N30&lt;=baseData, -INDEX('Fluxo Investidores'!$L$2:$X$86, MATCH($N30, 'Fluxo Investidores'!$A$2:$A$86, 0), MATCH(Q$2, 'Fluxo Investidores'!$L$1:$X$1, 0)), 0)</f>
        <v>0</v>
      </c>
      <c r="R30" s="390">
        <f>IF($N30&lt;=baseData, -INDEX('Fluxo Investidores'!$L$2:$X$86, MATCH($N30, 'Fluxo Investidores'!$A$2:$A$86, 0), MATCH(R$2, 'Fluxo Investidores'!$L$1:$X$1, 0)), 0)</f>
        <v>0</v>
      </c>
      <c r="S30" s="390">
        <f>IF($N30&lt;=baseData, -INDEX('Fluxo Investidores'!$L$2:$X$86, MATCH($N30, 'Fluxo Investidores'!$A$2:$A$86, 0), MATCH(S$2, 'Fluxo Investidores'!$L$1:$X$1, 0)), 0)</f>
        <v>0</v>
      </c>
      <c r="T30" s="390">
        <f>IF($N30&lt;=baseData, -INDEX('Fluxo Investidores'!$L$2:$X$86, MATCH($N30, 'Fluxo Investidores'!$A$2:$A$86, 0), MATCH(T$2, 'Fluxo Investidores'!$L$1:$X$1, 0)), 0)</f>
        <v>0</v>
      </c>
      <c r="U30" s="390">
        <f>IF($N30&lt;=baseData, -INDEX('Fluxo Investidores'!$L$2:$X$86, MATCH($N30, 'Fluxo Investidores'!$A$2:$A$86, 0), MATCH(U$2, 'Fluxo Investidores'!$L$1:$X$1, 0)), 0)</f>
        <v>0</v>
      </c>
      <c r="V30" s="393">
        <f t="shared" si="0"/>
        <v>0</v>
      </c>
      <c r="W30" s="390"/>
      <c r="X30" s="430">
        <f t="shared" si="1"/>
        <v>0</v>
      </c>
      <c r="Y30" s="431">
        <f t="shared" si="2"/>
        <v>0</v>
      </c>
      <c r="Z30" s="431">
        <f t="shared" si="3"/>
        <v>0</v>
      </c>
      <c r="AA30" s="431">
        <f t="shared" si="4"/>
        <v>0</v>
      </c>
      <c r="AB30" s="431">
        <f t="shared" si="5"/>
        <v>0</v>
      </c>
      <c r="AC30" s="442">
        <f t="shared" si="6"/>
        <v>0</v>
      </c>
      <c r="AD30" s="395"/>
      <c r="AE30" s="430">
        <f t="shared" si="7"/>
        <v>0</v>
      </c>
      <c r="AF30" s="431">
        <f t="shared" si="8"/>
        <v>0</v>
      </c>
      <c r="AG30" s="431">
        <f t="shared" si="9"/>
        <v>0</v>
      </c>
      <c r="AH30" s="431">
        <f t="shared" si="10"/>
        <v>0</v>
      </c>
      <c r="AI30" s="431">
        <f t="shared" si="11"/>
        <v>0</v>
      </c>
      <c r="AJ30" s="442">
        <f t="shared" si="12"/>
        <v>0</v>
      </c>
      <c r="AM30" s="394">
        <f t="shared" si="22"/>
        <v>1231991.9985397577</v>
      </c>
      <c r="AN30" s="395">
        <f t="shared" si="23"/>
        <v>1253295.2983457239</v>
      </c>
      <c r="AO30" s="395">
        <f t="shared" si="24"/>
        <v>1076110.6982099903</v>
      </c>
      <c r="AP30" s="395">
        <f t="shared" si="25"/>
        <v>1146337.2064976553</v>
      </c>
      <c r="AQ30" s="396">
        <f t="shared" si="26"/>
        <v>1160571.3458790442</v>
      </c>
      <c r="AS30" s="394">
        <f t="shared" si="17"/>
        <v>1153100</v>
      </c>
      <c r="AT30" s="395">
        <f t="shared" si="18"/>
        <v>1153100</v>
      </c>
      <c r="AU30" s="395">
        <f t="shared" si="19"/>
        <v>1261733.3738076168</v>
      </c>
      <c r="AV30" s="395">
        <f t="shared" si="20"/>
        <v>1153100</v>
      </c>
      <c r="AW30" s="396">
        <f t="shared" si="21"/>
        <v>1360762.9793256326</v>
      </c>
      <c r="AY30" s="394">
        <f>IFERROR(-38733.58*Permutas!AS30/SUMIF('Fluxo Bandeira Co'!$A:$A, "&lt;="&amp;Permutas!$N30, 'Fluxo Bandeira Co'!$F:$F), 0)</f>
        <v>-1383.3635659087602</v>
      </c>
      <c r="AZ30" s="395">
        <f>IFERROR(-38733.58*Permutas!AT30/SUMIF('Fluxo Bandeira Co'!$A:$A, "&lt;="&amp;Permutas!$N30, 'Fluxo Bandeira Co'!$F:$F), 0)</f>
        <v>-1383.3635659087602</v>
      </c>
      <c r="BA30" s="395">
        <f>IFERROR(-38733.58*Permutas!AU30/SUMIF('Fluxo Bandeira Co'!$A:$A, "&lt;="&amp;Permutas!$N30, 'Fluxo Bandeira Co'!$F:$F), 0)</f>
        <v>-1513.6900348769364</v>
      </c>
      <c r="BB30" s="395">
        <f>IFERROR(-38733.58*Permutas!AV30/SUMIF('Fluxo Bandeira Co'!$A:$A, "&lt;="&amp;Permutas!$N30, 'Fluxo Bandeira Co'!$F:$F), 0)</f>
        <v>-1383.3635659087602</v>
      </c>
      <c r="BC30" s="396">
        <f>IFERROR(-38733.58*Permutas!AW30/SUMIF('Fluxo Bandeira Co'!$A:$A, "&lt;="&amp;Permutas!$N30, 'Fluxo Bandeira Co'!$F:$F), 0)</f>
        <v>-1632.4949505129957</v>
      </c>
      <c r="BD30" t="s">
        <v>269</v>
      </c>
    </row>
    <row r="31" spans="2:56" x14ac:dyDescent="0.25">
      <c r="B31" s="211" t="s">
        <v>131</v>
      </c>
      <c r="C31" s="448">
        <v>43678</v>
      </c>
      <c r="D31" s="445">
        <f>INDEX(Premissas!R$28:R$36, MATCH(Permutas!$B31, Premissas!$P$28:$P$33, 0))</f>
        <v>6580000</v>
      </c>
      <c r="E31" s="445">
        <f>2000000+600000+2500000+1380000</f>
        <v>6480000</v>
      </c>
      <c r="F31" s="216">
        <f>E31/D31</f>
        <v>0.98480243161094227</v>
      </c>
      <c r="N31" s="315">
        <f t="shared" si="16"/>
        <v>44105</v>
      </c>
      <c r="O31" s="389">
        <f>IF($N31&lt;=baseData, INDEX(Indicadores!B:B, MATCH($N31,Indicadores!A:A, 0)), INDEX(Indicadores!B:B, MATCH(baseData,Indicadores!A:A, 0)))</f>
        <v>828.77800000000002</v>
      </c>
      <c r="P31" s="390"/>
      <c r="Q31" s="397">
        <f>IF($N31&lt;=baseData, -INDEX('Fluxo Investidores'!$L$2:$X$86, MATCH($N31, 'Fluxo Investidores'!$A$2:$A$86, 0), MATCH(Q$2, 'Fluxo Investidores'!$L$1:$X$1, 0)), 0)</f>
        <v>0</v>
      </c>
      <c r="R31" s="390">
        <f>IF($N31&lt;=baseData, -INDEX('Fluxo Investidores'!$L$2:$X$86, MATCH($N31, 'Fluxo Investidores'!$A$2:$A$86, 0), MATCH(R$2, 'Fluxo Investidores'!$L$1:$X$1, 0)), 0)</f>
        <v>0</v>
      </c>
      <c r="S31" s="390">
        <f>IF($N31&lt;=baseData, -INDEX('Fluxo Investidores'!$L$2:$X$86, MATCH($N31, 'Fluxo Investidores'!$A$2:$A$86, 0), MATCH(S$2, 'Fluxo Investidores'!$L$1:$X$1, 0)), 0)</f>
        <v>0</v>
      </c>
      <c r="T31" s="390">
        <f>IF($N31&lt;=baseData, -INDEX('Fluxo Investidores'!$L$2:$X$86, MATCH($N31, 'Fluxo Investidores'!$A$2:$A$86, 0), MATCH(T$2, 'Fluxo Investidores'!$L$1:$X$1, 0)), 0)</f>
        <v>0</v>
      </c>
      <c r="U31" s="390">
        <f>IF($N31&lt;=baseData, -INDEX('Fluxo Investidores'!$L$2:$X$86, MATCH($N31, 'Fluxo Investidores'!$A$2:$A$86, 0), MATCH(U$2, 'Fluxo Investidores'!$L$1:$X$1, 0)), 0)</f>
        <v>0</v>
      </c>
      <c r="V31" s="393">
        <f t="shared" si="0"/>
        <v>0</v>
      </c>
      <c r="W31" s="390"/>
      <c r="X31" s="430">
        <f t="shared" si="1"/>
        <v>0</v>
      </c>
      <c r="Y31" s="431">
        <f t="shared" si="2"/>
        <v>0</v>
      </c>
      <c r="Z31" s="431">
        <f t="shared" si="3"/>
        <v>0</v>
      </c>
      <c r="AA31" s="431">
        <f t="shared" si="4"/>
        <v>0</v>
      </c>
      <c r="AB31" s="431">
        <f t="shared" si="5"/>
        <v>0</v>
      </c>
      <c r="AC31" s="442">
        <f t="shared" si="6"/>
        <v>0</v>
      </c>
      <c r="AD31" s="395"/>
      <c r="AE31" s="430">
        <f t="shared" si="7"/>
        <v>0</v>
      </c>
      <c r="AF31" s="431">
        <f t="shared" si="8"/>
        <v>0</v>
      </c>
      <c r="AG31" s="431">
        <f t="shared" si="9"/>
        <v>0</v>
      </c>
      <c r="AH31" s="431">
        <f t="shared" si="10"/>
        <v>0</v>
      </c>
      <c r="AI31" s="431">
        <f t="shared" si="11"/>
        <v>0</v>
      </c>
      <c r="AJ31" s="442">
        <f t="shared" si="12"/>
        <v>0</v>
      </c>
      <c r="AM31" s="394">
        <f t="shared" si="22"/>
        <v>1253279.2577470548</v>
      </c>
      <c r="AN31" s="395">
        <f t="shared" si="23"/>
        <v>1274950.6515548311</v>
      </c>
      <c r="AO31" s="395">
        <f t="shared" si="24"/>
        <v>1094704.5262508322</v>
      </c>
      <c r="AP31" s="395">
        <f t="shared" si="25"/>
        <v>1166144.4595338828</v>
      </c>
      <c r="AQ31" s="396">
        <f t="shared" si="26"/>
        <v>1180624.5467907151</v>
      </c>
      <c r="AS31" s="394">
        <f t="shared" si="17"/>
        <v>1153100</v>
      </c>
      <c r="AT31" s="395">
        <f t="shared" si="18"/>
        <v>1153100</v>
      </c>
      <c r="AU31" s="395">
        <f t="shared" si="19"/>
        <v>1261733.3738076168</v>
      </c>
      <c r="AV31" s="395">
        <f t="shared" si="20"/>
        <v>1153100</v>
      </c>
      <c r="AW31" s="396">
        <f t="shared" si="21"/>
        <v>1360762.9793256326</v>
      </c>
      <c r="AY31" s="394">
        <f>IF($N31&lt;=baseData, IFERROR(INDEX('Fluxo Bandeira Co'!$W:$W, MATCH($N31, 'Fluxo Bandeira Co'!$A:$A, 0))*Permutas!AS31/(SUMIF('Fluxo Investidores'!$A:$A, "&lt;="&amp;$N31, 'Fluxo Investidores'!$Z:$Z)+SUMIF('Fluxo Investidores'!$A:$A, "&lt;="&amp;$N31, 'Fluxo Investidores'!$AA:$AA)), 0), IF($N31&lt;=terminoProjeto, -((1+txAdmKinea)^(1/12)-1)*AS30, 0))</f>
        <v>0</v>
      </c>
      <c r="AZ31" s="395">
        <f>IF($N31&lt;=baseData, IFERROR(INDEX('Fluxo Bandeira Co'!$W:$W, MATCH($N31, 'Fluxo Bandeira Co'!$A:$A, 0))*Permutas!AT31/(SUMIF('Fluxo Investidores'!$A:$A, "&lt;="&amp;$N31, 'Fluxo Investidores'!$Z:$Z)+SUMIF('Fluxo Investidores'!$A:$A, "&lt;="&amp;$N31, 'Fluxo Investidores'!$AA:$AA)), 0), IF($N31&lt;=terminoProjeto, -((1+txAdmKinea)^(1/12)-1)*AT30, 0))</f>
        <v>0</v>
      </c>
      <c r="BA31" s="395">
        <f>IF($N31&lt;=baseData, IFERROR(INDEX('Fluxo Bandeira Co'!$W:$W, MATCH($N31, 'Fluxo Bandeira Co'!$A:$A, 0))*Permutas!AU31/(SUMIF('Fluxo Investidores'!$A:$A, "&lt;="&amp;$N31, 'Fluxo Investidores'!$Z:$Z)+SUMIF('Fluxo Investidores'!$A:$A, "&lt;="&amp;$N31, 'Fluxo Investidores'!$AA:$AA)), 0), IF($N31&lt;=terminoProjeto, -((1+txAdmKinea)^(1/12)-1)*AU30, 0))</f>
        <v>0</v>
      </c>
      <c r="BB31" s="395">
        <f>IF($N31&lt;=baseData, IFERROR(INDEX('Fluxo Bandeira Co'!$W:$W, MATCH($N31, 'Fluxo Bandeira Co'!$A:$A, 0))*Permutas!AV31/(SUMIF('Fluxo Investidores'!$A:$A, "&lt;="&amp;$N31, 'Fluxo Investidores'!$Z:$Z)+SUMIF('Fluxo Investidores'!$A:$A, "&lt;="&amp;$N31, 'Fluxo Investidores'!$AA:$AA)), 0), IF($N31&lt;=terminoProjeto, -((1+txAdmKinea)^(1/12)-1)*AV30, 0))</f>
        <v>0</v>
      </c>
      <c r="BC31" s="396">
        <f>IF($N31&lt;=baseData, IFERROR(INDEX('Fluxo Bandeira Co'!$W:$W, MATCH($N31, 'Fluxo Bandeira Co'!$A:$A, 0))*Permutas!AW31/(SUMIF('Fluxo Investidores'!$A:$A, "&lt;="&amp;$N31, 'Fluxo Investidores'!$Z:$Z)+SUMIF('Fluxo Investidores'!$A:$A, "&lt;="&amp;$N31, 'Fluxo Investidores'!$AA:$AA)), 0), IF($N31&lt;=terminoProjeto, -((1+txAdmKinea)^(1/12)-1)*AW30, 0))</f>
        <v>0</v>
      </c>
    </row>
    <row r="32" spans="2:56" x14ac:dyDescent="0.25">
      <c r="B32" s="211" t="s">
        <v>137</v>
      </c>
      <c r="C32" s="448">
        <v>43739</v>
      </c>
      <c r="D32" s="445">
        <f>INDEX(Premissas!R$28:R$36, MATCH(Permutas!$B32, Premissas!$P$28:$P$33, 0))</f>
        <v>10920000</v>
      </c>
      <c r="E32" s="445">
        <v>10440000</v>
      </c>
      <c r="F32" s="216">
        <f>E32/D32</f>
        <v>0.95604395604395609</v>
      </c>
      <c r="N32" s="316">
        <f t="shared" si="16"/>
        <v>44136</v>
      </c>
      <c r="O32" s="403">
        <f>IF($N32&lt;=baseData, INDEX(Indicadores!B:B, MATCH($N32,Indicadores!A:A, 0)), INDEX(Indicadores!B:B, MATCH(baseData,Indicadores!A:A, 0)))</f>
        <v>839.38199999999995</v>
      </c>
      <c r="P32" s="404"/>
      <c r="Q32" s="412">
        <f>IF($N32&lt;=baseData, -INDEX('Fluxo Investidores'!$L$2:$X$86, MATCH($N32, 'Fluxo Investidores'!$A$2:$A$86, 0), MATCH(Q$2, 'Fluxo Investidores'!$L$1:$X$1, 0)), 0)</f>
        <v>665296</v>
      </c>
      <c r="R32" s="404">
        <f>IF($N32&lt;=baseData, -INDEX('Fluxo Investidores'!$L$2:$X$86, MATCH($N32, 'Fluxo Investidores'!$A$2:$A$86, 0), MATCH(R$2, 'Fluxo Investidores'!$L$1:$X$1, 0)), 0)</f>
        <v>676314</v>
      </c>
      <c r="S32" s="404">
        <f>IF($N32&lt;=baseData, -INDEX('Fluxo Investidores'!$L$2:$X$86, MATCH($N32, 'Fluxo Investidores'!$A$2:$A$86, 0), MATCH(S$2, 'Fluxo Investidores'!$L$1:$X$1, 0)), 0)</f>
        <v>694526</v>
      </c>
      <c r="T32" s="404">
        <f>IF($N32&lt;=baseData, -INDEX('Fluxo Investidores'!$L$2:$X$86, MATCH($N32, 'Fluxo Investidores'!$A$2:$A$86, 0), MATCH(T$2, 'Fluxo Investidores'!$L$1:$X$1, 0)), 0)</f>
        <v>620996</v>
      </c>
      <c r="U32" s="404">
        <f>IF($N32&lt;=baseData, -INDEX('Fluxo Investidores'!$L$2:$X$86, MATCH($N32, 'Fluxo Investidores'!$A$2:$A$86, 0), MATCH(U$2, 'Fluxo Investidores'!$L$1:$X$1, 0)), 0)</f>
        <v>734074</v>
      </c>
      <c r="V32" s="405">
        <f t="shared" si="0"/>
        <v>3391206</v>
      </c>
      <c r="W32" s="404"/>
      <c r="X32" s="449">
        <v>665296.02913267596</v>
      </c>
      <c r="Y32" s="450">
        <v>676313.82286955602</v>
      </c>
      <c r="Z32" s="450">
        <v>587325.95774923195</v>
      </c>
      <c r="AA32" s="450">
        <v>620996.46803693799</v>
      </c>
      <c r="AB32" s="450">
        <v>633423.38143144397</v>
      </c>
      <c r="AC32" s="451">
        <f t="shared" si="6"/>
        <v>3183355.6592198457</v>
      </c>
      <c r="AD32" s="452"/>
      <c r="AE32" s="449">
        <v>680346.16113745933</v>
      </c>
      <c r="AF32" s="450">
        <v>690948.05257543561</v>
      </c>
      <c r="AG32" s="450">
        <v>605201.04088232829</v>
      </c>
      <c r="AH32" s="450">
        <v>637718.83559451171</v>
      </c>
      <c r="AI32" s="450">
        <v>649447.34578202048</v>
      </c>
      <c r="AJ32" s="451">
        <f t="shared" si="12"/>
        <v>3263661.4359717555</v>
      </c>
      <c r="AM32" s="407">
        <f t="shared" si="22"/>
        <v>595506.32183865225</v>
      </c>
      <c r="AN32" s="452">
        <f t="shared" si="23"/>
        <v>606296.23196501774</v>
      </c>
      <c r="AO32" s="452">
        <f t="shared" si="24"/>
        <v>513870.34596238105</v>
      </c>
      <c r="AP32" s="452">
        <f t="shared" si="25"/>
        <v>552123.01894921018</v>
      </c>
      <c r="AQ32" s="453">
        <f t="shared" si="26"/>
        <v>554202.4626396884</v>
      </c>
      <c r="AS32" s="407">
        <f t="shared" si="17"/>
        <v>1818396.0291326758</v>
      </c>
      <c r="AT32" s="452">
        <f t="shared" si="18"/>
        <v>1829413.822869556</v>
      </c>
      <c r="AU32" s="452">
        <f t="shared" si="19"/>
        <v>1849059.3315568487</v>
      </c>
      <c r="AV32" s="452">
        <f t="shared" si="20"/>
        <v>1774096.468036938</v>
      </c>
      <c r="AW32" s="453">
        <f t="shared" si="21"/>
        <v>1994186.3607570766</v>
      </c>
      <c r="AY32" s="407">
        <f>IF($N32&lt;=baseData, IFERROR(INDEX('Fluxo Bandeira Co'!$W:$W, MATCH($N32, 'Fluxo Bandeira Co'!$A:$A, 0))*Permutas!AS32/(SUMIF('Fluxo Investidores'!$A:$A, "&lt;="&amp;$N32, 'Fluxo Investidores'!$Z:$Z)+SUMIF('Fluxo Investidores'!$A:$A, "&lt;="&amp;$N32, 'Fluxo Investidores'!$AA:$AA)), 0), IF($N32&lt;=terminoProjeto, -((1+txAdmKinea)^(1/12)-1)*AS31, 0))</f>
        <v>-3786.4500558441446</v>
      </c>
      <c r="AZ32" s="452">
        <f>IF($N32&lt;=baseData, IFERROR(INDEX('Fluxo Bandeira Co'!$W:$W, MATCH($N32, 'Fluxo Bandeira Co'!$A:$A, 0))*Permutas!AT32/(SUMIF('Fluxo Investidores'!$A:$A, "&lt;="&amp;$N32, 'Fluxo Investidores'!$Z:$Z)+SUMIF('Fluxo Investidores'!$A:$A, "&lt;="&amp;$N32, 'Fluxo Investidores'!$AA:$AA)), 0), IF($N32&lt;=terminoProjeto, -((1+txAdmKinea)^(1/12)-1)*AT31, 0))</f>
        <v>-3809.392432005287</v>
      </c>
      <c r="BA32" s="452">
        <f>IF($N32&lt;=baseData, IFERROR(INDEX('Fluxo Bandeira Co'!$W:$W, MATCH($N32, 'Fluxo Bandeira Co'!$A:$A, 0))*Permutas!AU32/(SUMIF('Fluxo Investidores'!$A:$A, "&lt;="&amp;$N32, 'Fluxo Investidores'!$Z:$Z)+SUMIF('Fluxo Investidores'!$A:$A, "&lt;="&amp;$N32, 'Fluxo Investidores'!$AA:$AA)), 0), IF($N32&lt;=terminoProjeto, -((1+txAdmKinea)^(1/12)-1)*AU31, 0))</f>
        <v>-3850.3003180071973</v>
      </c>
      <c r="BB32" s="452">
        <f>IF($N32&lt;=baseData, IFERROR(INDEX('Fluxo Bandeira Co'!$W:$W, MATCH($N32, 'Fluxo Bandeira Co'!$A:$A, 0))*Permutas!AV32/(SUMIF('Fluxo Investidores'!$A:$A, "&lt;="&amp;$N32, 'Fluxo Investidores'!$Z:$Z)+SUMIF('Fluxo Investidores'!$A:$A, "&lt;="&amp;$N32, 'Fluxo Investidores'!$AA:$AA)), 0), IF($N32&lt;=terminoProjeto, -((1+txAdmKinea)^(1/12)-1)*AV31, 0))</f>
        <v>-3694.2049822202025</v>
      </c>
      <c r="BC32" s="453">
        <f>IF($N32&lt;=baseData, IFERROR(INDEX('Fluxo Bandeira Co'!$W:$W, MATCH($N32, 'Fluxo Bandeira Co'!$A:$A, 0))*Permutas!AW32/(SUMIF('Fluxo Investidores'!$A:$A, "&lt;="&amp;$N32, 'Fluxo Investidores'!$Z:$Z)+SUMIF('Fluxo Investidores'!$A:$A, "&lt;="&amp;$N32, 'Fluxo Investidores'!$AA:$AA)), 0), IF($N32&lt;=terminoProjeto, -((1+txAdmKinea)^(1/12)-1)*AW31, 0))</f>
        <v>-4152.4986505023471</v>
      </c>
    </row>
    <row r="33" spans="2:55" x14ac:dyDescent="0.25">
      <c r="B33" s="211" t="s">
        <v>141</v>
      </c>
      <c r="C33" s="448">
        <v>43800</v>
      </c>
      <c r="D33" s="445">
        <f>INDEX(Premissas!R$28:R$36, MATCH(Permutas!$B33, Premissas!$P$28:$P$33, 0))</f>
        <v>3586300</v>
      </c>
      <c r="E33" s="445">
        <f>1776284.17+120000+2762282.87</f>
        <v>4658567.04</v>
      </c>
      <c r="F33" s="216">
        <f>E33/D33</f>
        <v>1.2989897777653849</v>
      </c>
      <c r="N33" s="315">
        <f t="shared" si="16"/>
        <v>44166</v>
      </c>
      <c r="O33" s="389">
        <f>IF($N33&lt;=baseData, INDEX(Indicadores!B:B, MATCH($N33,Indicadores!A:A, 0)), INDEX(Indicadores!B:B, MATCH(baseData,Indicadores!A:A, 0)))</f>
        <v>839.38199999999995</v>
      </c>
      <c r="Q33" s="397">
        <f>IF($N33&lt;=baseData, -INDEX('Fluxo Investidores'!$L$2:$X$86, MATCH($N33, 'Fluxo Investidores'!$A$2:$A$86, 0), MATCH(Q$2, 'Fluxo Investidores'!$L$1:$X$1, 0)), 0)</f>
        <v>0</v>
      </c>
      <c r="R33" s="390">
        <f>IF($N33&lt;=baseData, -INDEX('Fluxo Investidores'!$L$2:$X$86, MATCH($N33, 'Fluxo Investidores'!$A$2:$A$86, 0), MATCH(R$2, 'Fluxo Investidores'!$L$1:$X$1, 0)), 0)</f>
        <v>0</v>
      </c>
      <c r="S33" s="390">
        <f>IF($N33&lt;=baseData, -INDEX('Fluxo Investidores'!$L$2:$X$86, MATCH($N33, 'Fluxo Investidores'!$A$2:$A$86, 0), MATCH(S$2, 'Fluxo Investidores'!$L$1:$X$1, 0)), 0)</f>
        <v>0</v>
      </c>
      <c r="T33" s="390">
        <f>IF($N33&lt;=baseData, -INDEX('Fluxo Investidores'!$L$2:$X$86, MATCH($N33, 'Fluxo Investidores'!$A$2:$A$86, 0), MATCH(T$2, 'Fluxo Investidores'!$L$1:$X$1, 0)), 0)</f>
        <v>0</v>
      </c>
      <c r="U33" s="390">
        <f>IF($N33&lt;=baseData, -INDEX('Fluxo Investidores'!$L$2:$X$86, MATCH($N33, 'Fluxo Investidores'!$A$2:$A$86, 0), MATCH(U$2, 'Fluxo Investidores'!$L$1:$X$1, 0)), 0)</f>
        <v>0</v>
      </c>
      <c r="V33" s="393">
        <f t="shared" si="0"/>
        <v>0</v>
      </c>
      <c r="X33" s="394">
        <f t="shared" ref="X33:X64" si="27">IF($N33&lt;=baseData, INDEX($I$21:$I$25, MATCH(X$2, $B$21:$B$25, 0))*Q33, IF(OR($N33=EDATE(inicioObra, -1), $N33=EDATE(inicioObra, 13)), INDEX($L$4:$L$10, MATCH(X$2, $J$4:$J$10, 0)), 0))</f>
        <v>0</v>
      </c>
      <c r="Y33" s="395">
        <f t="shared" ref="Y33:Y64" si="28">IF($N33&lt;=baseData, INDEX($I$21:$I$25, MATCH(Y$2, $B$21:$B$25, 0))*R33, IF(OR($N33=EDATE(inicioObra, -1), $N33=EDATE(inicioObra, 13)), INDEX($L$4:$L$10, MATCH(Y$2, $J$4:$J$10, 0)), 0))</f>
        <v>0</v>
      </c>
      <c r="Z33" s="395">
        <f t="shared" ref="Z33:Z64" si="29">IF($N33&lt;=baseData, INDEX($I$21:$I$25, MATCH(Z$2, $B$21:$B$25, 0))*S33, IF(OR($N33=EDATE(inicioObra, -1), $N33=EDATE(inicioObra, 13)), INDEX($L$4:$L$10, MATCH(Z$2, $J$4:$J$10, 0)), 0))</f>
        <v>0</v>
      </c>
      <c r="AA33" s="395">
        <f t="shared" ref="AA33:AA64" si="30">IF($N33&lt;=baseData, INDEX($I$21:$I$25, MATCH(AA$2, $B$21:$B$25, 0))*T33, IF(OR($N33=EDATE(inicioObra, -1), $N33=EDATE(inicioObra, 13)), INDEX($L$4:$L$10, MATCH(AA$2, $J$4:$J$10, 0)), 0))</f>
        <v>0</v>
      </c>
      <c r="AB33" s="395">
        <f t="shared" ref="AB33:AB64" si="31">IF($N33&lt;=baseData, INDEX($I$21:$I$25, MATCH(AB$2, $B$21:$B$25, 0))*U33, IF(OR($N33=EDATE(inicioObra, -1), $N33=EDATE(inicioObra, 13)), INDEX($L$4:$L$10, MATCH(AB$2, $J$4:$J$10, 0)), 0))</f>
        <v>0</v>
      </c>
      <c r="AC33" s="442">
        <f t="shared" si="6"/>
        <v>0</v>
      </c>
      <c r="AD33" s="86"/>
      <c r="AE33" s="394">
        <f t="shared" ref="AE33:AE64" si="32">IF($N33&lt;=baseData, X33*IFERROR(INDEX($F$30:$F$34, MATCH($N33, $C$30:$C$34, 0)), 0), IF(OR($N33=EDATE(inicioObra, -1), $N33=EDATE(inicioObra, 13)), INDEX($J$21:$J$25, MATCH(AE$2, $B$21:$B$25, 0)), 0))</f>
        <v>0</v>
      </c>
      <c r="AF33" s="395">
        <f t="shared" ref="AF33:AF64" si="33">IF($N33&lt;=baseData, Y33*IFERROR(INDEX($F$30:$F$34, MATCH($N33, $C$30:$C$34, 0)), 0), IF(OR($N33=EDATE(inicioObra, -1), $N33=EDATE(inicioObra, 13)), INDEX($J$21:$J$25, MATCH(AF$2, $B$21:$B$25, 0)), 0))</f>
        <v>0</v>
      </c>
      <c r="AG33" s="395">
        <f t="shared" ref="AG33:AG64" si="34">IF($N33&lt;=baseData, Z33*IFERROR(INDEX($F$30:$F$34, MATCH($N33, $C$30:$C$34, 0)), 0), IF(OR($N33=EDATE(inicioObra, -1), $N33=EDATE(inicioObra, 13)), INDEX($J$21:$J$25, MATCH(AG$2, $B$21:$B$25, 0)), 0))</f>
        <v>0</v>
      </c>
      <c r="AH33" s="395">
        <f t="shared" ref="AH33:AH64" si="35">IF($N33&lt;=baseData, AA33*IFERROR(INDEX($F$30:$F$34, MATCH($N33, $C$30:$C$34, 0)), 0), IF(OR($N33=EDATE(inicioObra, -1), $N33=EDATE(inicioObra, 13)), INDEX($J$21:$J$25, MATCH(AH$2, $B$21:$B$25, 0)), 0))</f>
        <v>0</v>
      </c>
      <c r="AI33" s="395">
        <f t="shared" ref="AI33:AI64" si="36">IF($N33&lt;=baseData, AB33*IFERROR(INDEX($F$30:$F$34, MATCH($N33, $C$30:$C$34, 0)), 0), IF(OR($N33=EDATE(inicioObra, -1), $N33=EDATE(inicioObra, 13)), INDEX($J$21:$J$25, MATCH(AI$2, $B$21:$B$25, 0)), 0))</f>
        <v>0</v>
      </c>
      <c r="AJ33" s="442">
        <f t="shared" si="12"/>
        <v>0</v>
      </c>
      <c r="AM33" s="394">
        <f t="shared" si="22"/>
        <v>595506.32183865225</v>
      </c>
      <c r="AN33" s="395">
        <f t="shared" si="23"/>
        <v>606296.23196501774</v>
      </c>
      <c r="AO33" s="395">
        <f t="shared" si="24"/>
        <v>513870.34596238105</v>
      </c>
      <c r="AP33" s="395">
        <f t="shared" si="25"/>
        <v>552123.01894921018</v>
      </c>
      <c r="AQ33" s="396">
        <f t="shared" si="26"/>
        <v>554202.4626396884</v>
      </c>
      <c r="AS33" s="394">
        <f t="shared" si="17"/>
        <v>1818396.0291326758</v>
      </c>
      <c r="AT33" s="395">
        <f t="shared" si="18"/>
        <v>1829413.822869556</v>
      </c>
      <c r="AU33" s="395">
        <f t="shared" si="19"/>
        <v>1849059.3315568487</v>
      </c>
      <c r="AV33" s="395">
        <f t="shared" si="20"/>
        <v>1774096.468036938</v>
      </c>
      <c r="AW33" s="396">
        <f t="shared" si="21"/>
        <v>1994186.3607570766</v>
      </c>
      <c r="AY33" s="394">
        <f>IF($N33&lt;=baseData, IFERROR(INDEX('Fluxo Bandeira Co'!$W:$W, MATCH($N33, 'Fluxo Bandeira Co'!$A:$A, 0))*Permutas!AS33/(SUMIF('Fluxo Investidores'!$A:$A, "&lt;="&amp;$N33, 'Fluxo Investidores'!$Z:$Z)+SUMIF('Fluxo Investidores'!$A:$A, "&lt;="&amp;$N33, 'Fluxo Investidores'!$AA:$AA)), 0), IF($N33&lt;=terminoProjeto, -((1+txAdmKinea)^(1/12)-1)*AS32, 0))</f>
        <v>-2182.7599815103963</v>
      </c>
      <c r="AZ33" s="395">
        <f>IF($N33&lt;=baseData, IFERROR(INDEX('Fluxo Bandeira Co'!$W:$W, MATCH($N33, 'Fluxo Bandeira Co'!$A:$A, 0))*Permutas!AT33/(SUMIF('Fluxo Investidores'!$A:$A, "&lt;="&amp;$N33, 'Fluxo Investidores'!$Z:$Z)+SUMIF('Fluxo Investidores'!$A:$A, "&lt;="&amp;$N33, 'Fluxo Investidores'!$AA:$AA)), 0), IF($N33&lt;=terminoProjeto, -((1+txAdmKinea)^(1/12)-1)*AT32, 0))</f>
        <v>-2195.9854829237865</v>
      </c>
      <c r="BA33" s="395">
        <f>IF($N33&lt;=baseData, IFERROR(INDEX('Fluxo Bandeira Co'!$W:$W, MATCH($N33, 'Fluxo Bandeira Co'!$A:$A, 0))*Permutas!AU33/(SUMIF('Fluxo Investidores'!$A:$A, "&lt;="&amp;$N33, 'Fluxo Investidores'!$Z:$Z)+SUMIF('Fluxo Investidores'!$A:$A, "&lt;="&amp;$N33, 'Fluxo Investidores'!$AA:$AA)), 0), IF($N33&lt;=terminoProjeto, -((1+txAdmKinea)^(1/12)-1)*AU32, 0))</f>
        <v>-2219.5674911838305</v>
      </c>
      <c r="BB33" s="395">
        <f>IF($N33&lt;=baseData, IFERROR(INDEX('Fluxo Bandeira Co'!$W:$W, MATCH($N33, 'Fluxo Bandeira Co'!$A:$A, 0))*Permutas!AV33/(SUMIF('Fluxo Investidores'!$A:$A, "&lt;="&amp;$N33, 'Fluxo Investidores'!$Z:$Z)+SUMIF('Fluxo Investidores'!$A:$A, "&lt;="&amp;$N33, 'Fluxo Investidores'!$AA:$AA)), 0), IF($N33&lt;=terminoProjeto, -((1+txAdmKinea)^(1/12)-1)*AV32, 0))</f>
        <v>-2129.5838264764611</v>
      </c>
      <c r="BC33" s="396">
        <f>IF($N33&lt;=baseData, IFERROR(INDEX('Fluxo Bandeira Co'!$W:$W, MATCH($N33, 'Fluxo Bandeira Co'!$A:$A, 0))*Permutas!AW33/(SUMIF('Fluxo Investidores'!$A:$A, "&lt;="&amp;$N33, 'Fluxo Investidores'!$Z:$Z)+SUMIF('Fluxo Investidores'!$A:$A, "&lt;="&amp;$N33, 'Fluxo Investidores'!$AA:$AA)), 0), IF($N33&lt;=terminoProjeto, -((1+txAdmKinea)^(1/12)-1)*AW32, 0))</f>
        <v>-2393.774576163466</v>
      </c>
    </row>
    <row r="34" spans="2:55" x14ac:dyDescent="0.25">
      <c r="B34" s="211" t="s">
        <v>146</v>
      </c>
      <c r="C34" s="448">
        <v>44166</v>
      </c>
      <c r="D34" s="445">
        <v>4916350</v>
      </c>
      <c r="E34" s="445">
        <v>3263661.44</v>
      </c>
      <c r="F34" s="216">
        <f>E34/D34</f>
        <v>0.66383830280594347</v>
      </c>
      <c r="N34" s="315">
        <f t="shared" si="16"/>
        <v>44197</v>
      </c>
      <c r="O34" s="389">
        <f>IF($N34&lt;=baseData, INDEX(Indicadores!B:B, MATCH($N34,Indicadores!A:A, 0)), INDEX(Indicadores!B:B, MATCH(baseData,Indicadores!A:A, 0)))</f>
        <v>839.38199999999995</v>
      </c>
      <c r="Q34" s="397">
        <f>IF($N34&lt;=baseData, -INDEX('Fluxo Investidores'!$L$2:$X$86, MATCH($N34, 'Fluxo Investidores'!$A$2:$A$86, 0), MATCH(Q$2, 'Fluxo Investidores'!$L$1:$X$1, 0)), 0)</f>
        <v>0</v>
      </c>
      <c r="R34" s="390">
        <f>IF($N34&lt;=baseData, -INDEX('Fluxo Investidores'!$L$2:$X$86, MATCH($N34, 'Fluxo Investidores'!$A$2:$A$86, 0), MATCH(R$2, 'Fluxo Investidores'!$L$1:$X$1, 0)), 0)</f>
        <v>0</v>
      </c>
      <c r="S34" s="390">
        <f>IF($N34&lt;=baseData, -INDEX('Fluxo Investidores'!$L$2:$X$86, MATCH($N34, 'Fluxo Investidores'!$A$2:$A$86, 0), MATCH(S$2, 'Fluxo Investidores'!$L$1:$X$1, 0)), 0)</f>
        <v>0</v>
      </c>
      <c r="T34" s="390">
        <f>IF($N34&lt;=baseData, -INDEX('Fluxo Investidores'!$L$2:$X$86, MATCH($N34, 'Fluxo Investidores'!$A$2:$A$86, 0), MATCH(T$2, 'Fluxo Investidores'!$L$1:$X$1, 0)), 0)</f>
        <v>0</v>
      </c>
      <c r="U34" s="390">
        <f>IF($N34&lt;=baseData, -INDEX('Fluxo Investidores'!$L$2:$X$86, MATCH($N34, 'Fluxo Investidores'!$A$2:$A$86, 0), MATCH(U$2, 'Fluxo Investidores'!$L$1:$X$1, 0)), 0)</f>
        <v>0</v>
      </c>
      <c r="V34" s="393">
        <f t="shared" si="0"/>
        <v>0</v>
      </c>
      <c r="X34" s="394">
        <f t="shared" si="27"/>
        <v>0</v>
      </c>
      <c r="Y34" s="395">
        <f t="shared" si="28"/>
        <v>0</v>
      </c>
      <c r="Z34" s="395">
        <f t="shared" si="29"/>
        <v>0</v>
      </c>
      <c r="AA34" s="395">
        <f t="shared" si="30"/>
        <v>0</v>
      </c>
      <c r="AB34" s="395">
        <f t="shared" si="31"/>
        <v>0</v>
      </c>
      <c r="AC34" s="442">
        <f t="shared" si="6"/>
        <v>0</v>
      </c>
      <c r="AD34" s="86"/>
      <c r="AE34" s="394">
        <f t="shared" si="32"/>
        <v>0</v>
      </c>
      <c r="AF34" s="395">
        <f t="shared" si="33"/>
        <v>0</v>
      </c>
      <c r="AG34" s="395">
        <f t="shared" si="34"/>
        <v>0</v>
      </c>
      <c r="AH34" s="395">
        <f t="shared" si="35"/>
        <v>0</v>
      </c>
      <c r="AI34" s="395">
        <f t="shared" si="36"/>
        <v>0</v>
      </c>
      <c r="AJ34" s="442">
        <f t="shared" si="12"/>
        <v>0</v>
      </c>
      <c r="AM34" s="394">
        <f t="shared" si="22"/>
        <v>595506.32183865225</v>
      </c>
      <c r="AN34" s="395">
        <f t="shared" si="23"/>
        <v>606296.23196501774</v>
      </c>
      <c r="AO34" s="395">
        <f t="shared" si="24"/>
        <v>513870.34596238105</v>
      </c>
      <c r="AP34" s="395">
        <f t="shared" si="25"/>
        <v>552123.01894921018</v>
      </c>
      <c r="AQ34" s="396">
        <f t="shared" si="26"/>
        <v>554202.4626396884</v>
      </c>
      <c r="AS34" s="394">
        <f t="shared" si="17"/>
        <v>1818396.0291326758</v>
      </c>
      <c r="AT34" s="395">
        <f t="shared" si="18"/>
        <v>1829413.822869556</v>
      </c>
      <c r="AU34" s="395">
        <f t="shared" si="19"/>
        <v>1849059.3315568487</v>
      </c>
      <c r="AV34" s="395">
        <f t="shared" si="20"/>
        <v>1774096.468036938</v>
      </c>
      <c r="AW34" s="396">
        <f t="shared" si="21"/>
        <v>1994186.3607570766</v>
      </c>
      <c r="AY34" s="394">
        <f>IF($N34&lt;=baseData, IFERROR(INDEX('Fluxo Bandeira Co'!$W:$W, MATCH($N34, 'Fluxo Bandeira Co'!$A:$A, 0))*Permutas!AS34/(SUMIF('Fluxo Investidores'!$A:$A, "&lt;="&amp;$N34, 'Fluxo Investidores'!$Z:$Z)+SUMIF('Fluxo Investidores'!$A:$A, "&lt;="&amp;$N34, 'Fluxo Investidores'!$AA:$AA)), 0), IF($N34&lt;=terminoProjeto, -((1+txAdmKinea)^(1/12)-1)*AS33, 0))</f>
        <v>-2182.7599815103963</v>
      </c>
      <c r="AZ34" s="395">
        <f>IF($N34&lt;=baseData, IFERROR(INDEX('Fluxo Bandeira Co'!$W:$W, MATCH($N34, 'Fluxo Bandeira Co'!$A:$A, 0))*Permutas!AT34/(SUMIF('Fluxo Investidores'!$A:$A, "&lt;="&amp;$N34, 'Fluxo Investidores'!$Z:$Z)+SUMIF('Fluxo Investidores'!$A:$A, "&lt;="&amp;$N34, 'Fluxo Investidores'!$AA:$AA)), 0), IF($N34&lt;=terminoProjeto, -((1+txAdmKinea)^(1/12)-1)*AT33, 0))</f>
        <v>-2195.9854829237865</v>
      </c>
      <c r="BA34" s="395">
        <f>IF($N34&lt;=baseData, IFERROR(INDEX('Fluxo Bandeira Co'!$W:$W, MATCH($N34, 'Fluxo Bandeira Co'!$A:$A, 0))*Permutas!AU34/(SUMIF('Fluxo Investidores'!$A:$A, "&lt;="&amp;$N34, 'Fluxo Investidores'!$Z:$Z)+SUMIF('Fluxo Investidores'!$A:$A, "&lt;="&amp;$N34, 'Fluxo Investidores'!$AA:$AA)), 0), IF($N34&lt;=terminoProjeto, -((1+txAdmKinea)^(1/12)-1)*AU33, 0))</f>
        <v>-2219.5674911838305</v>
      </c>
      <c r="BB34" s="395">
        <f>IF($N34&lt;=baseData, IFERROR(INDEX('Fluxo Bandeira Co'!$W:$W, MATCH($N34, 'Fluxo Bandeira Co'!$A:$A, 0))*Permutas!AV34/(SUMIF('Fluxo Investidores'!$A:$A, "&lt;="&amp;$N34, 'Fluxo Investidores'!$Z:$Z)+SUMIF('Fluxo Investidores'!$A:$A, "&lt;="&amp;$N34, 'Fluxo Investidores'!$AA:$AA)), 0), IF($N34&lt;=terminoProjeto, -((1+txAdmKinea)^(1/12)-1)*AV33, 0))</f>
        <v>-2129.5838264764611</v>
      </c>
      <c r="BC34" s="396">
        <f>IF($N34&lt;=baseData, IFERROR(INDEX('Fluxo Bandeira Co'!$W:$W, MATCH($N34, 'Fluxo Bandeira Co'!$A:$A, 0))*Permutas!AW34/(SUMIF('Fluxo Investidores'!$A:$A, "&lt;="&amp;$N34, 'Fluxo Investidores'!$Z:$Z)+SUMIF('Fluxo Investidores'!$A:$A, "&lt;="&amp;$N34, 'Fluxo Investidores'!$AA:$AA)), 0), IF($N34&lt;=terminoProjeto, -((1+txAdmKinea)^(1/12)-1)*AW33, 0))</f>
        <v>-2393.774576163466</v>
      </c>
    </row>
    <row r="35" spans="2:55" x14ac:dyDescent="0.25">
      <c r="N35" s="315">
        <f t="shared" si="16"/>
        <v>44228</v>
      </c>
      <c r="O35" s="389">
        <f>IF($N35&lt;=baseData, INDEX(Indicadores!B:B, MATCH($N35,Indicadores!A:A, 0)), INDEX(Indicadores!B:B, MATCH(baseData,Indicadores!A:A, 0)))</f>
        <v>839.38199999999995</v>
      </c>
      <c r="Q35" s="397">
        <f>IF($N35&lt;=baseData, -INDEX('Fluxo Investidores'!$L$2:$X$86, MATCH($N35, 'Fluxo Investidores'!$A$2:$A$86, 0), MATCH(Q$2, 'Fluxo Investidores'!$L$1:$X$1, 0)), 0)</f>
        <v>0</v>
      </c>
      <c r="R35" s="390">
        <f>IF($N35&lt;=baseData, -INDEX('Fluxo Investidores'!$L$2:$X$86, MATCH($N35, 'Fluxo Investidores'!$A$2:$A$86, 0), MATCH(R$2, 'Fluxo Investidores'!$L$1:$X$1, 0)), 0)</f>
        <v>0</v>
      </c>
      <c r="S35" s="390">
        <f>IF($N35&lt;=baseData, -INDEX('Fluxo Investidores'!$L$2:$X$86, MATCH($N35, 'Fluxo Investidores'!$A$2:$A$86, 0), MATCH(S$2, 'Fluxo Investidores'!$L$1:$X$1, 0)), 0)</f>
        <v>0</v>
      </c>
      <c r="T35" s="390">
        <f>IF($N35&lt;=baseData, -INDEX('Fluxo Investidores'!$L$2:$X$86, MATCH($N35, 'Fluxo Investidores'!$A$2:$A$86, 0), MATCH(T$2, 'Fluxo Investidores'!$L$1:$X$1, 0)), 0)</f>
        <v>0</v>
      </c>
      <c r="U35" s="390">
        <f>IF($N35&lt;=baseData, -INDEX('Fluxo Investidores'!$L$2:$X$86, MATCH($N35, 'Fluxo Investidores'!$A$2:$A$86, 0), MATCH(U$2, 'Fluxo Investidores'!$L$1:$X$1, 0)), 0)</f>
        <v>0</v>
      </c>
      <c r="V35" s="393">
        <f t="shared" ref="V35:V66" si="37">SUM(Q35:U35)</f>
        <v>0</v>
      </c>
      <c r="X35" s="394">
        <f t="shared" si="27"/>
        <v>0</v>
      </c>
      <c r="Y35" s="395">
        <f t="shared" si="28"/>
        <v>0</v>
      </c>
      <c r="Z35" s="395">
        <f t="shared" si="29"/>
        <v>0</v>
      </c>
      <c r="AA35" s="395">
        <f t="shared" si="30"/>
        <v>0</v>
      </c>
      <c r="AB35" s="395">
        <f t="shared" si="31"/>
        <v>0</v>
      </c>
      <c r="AC35" s="442">
        <f t="shared" ref="AC35:AC66" si="38">SUM(X35:AB35)</f>
        <v>0</v>
      </c>
      <c r="AD35" s="86"/>
      <c r="AE35" s="394">
        <f t="shared" si="32"/>
        <v>0</v>
      </c>
      <c r="AF35" s="395">
        <f t="shared" si="33"/>
        <v>0</v>
      </c>
      <c r="AG35" s="395">
        <f t="shared" si="34"/>
        <v>0</v>
      </c>
      <c r="AH35" s="395">
        <f t="shared" si="35"/>
        <v>0</v>
      </c>
      <c r="AI35" s="395">
        <f t="shared" si="36"/>
        <v>0</v>
      </c>
      <c r="AJ35" s="442">
        <f t="shared" ref="AJ35:AJ66" si="39">SUM(AE35:AI35)</f>
        <v>0</v>
      </c>
      <c r="AM35" s="394">
        <f t="shared" si="22"/>
        <v>595506.32183865225</v>
      </c>
      <c r="AN35" s="395">
        <f t="shared" si="23"/>
        <v>606296.23196501774</v>
      </c>
      <c r="AO35" s="395">
        <f t="shared" si="24"/>
        <v>513870.34596238105</v>
      </c>
      <c r="AP35" s="395">
        <f t="shared" si="25"/>
        <v>552123.01894921018</v>
      </c>
      <c r="AQ35" s="396">
        <f t="shared" si="26"/>
        <v>554202.4626396884</v>
      </c>
      <c r="AS35" s="394">
        <f t="shared" si="17"/>
        <v>1818396.0291326758</v>
      </c>
      <c r="AT35" s="395">
        <f t="shared" si="18"/>
        <v>1829413.822869556</v>
      </c>
      <c r="AU35" s="395">
        <f t="shared" si="19"/>
        <v>1849059.3315568487</v>
      </c>
      <c r="AV35" s="395">
        <f t="shared" si="20"/>
        <v>1774096.468036938</v>
      </c>
      <c r="AW35" s="396">
        <f t="shared" si="21"/>
        <v>1994186.3607570766</v>
      </c>
      <c r="AY35" s="394">
        <f>IF($N35&lt;=baseData, IFERROR(INDEX('Fluxo Bandeira Co'!$W:$W, MATCH($N35, 'Fluxo Bandeira Co'!$A:$A, 0))*Permutas!AS35/(SUMIF('Fluxo Investidores'!$A:$A, "&lt;="&amp;$N35, 'Fluxo Investidores'!$Z:$Z)+SUMIF('Fluxo Investidores'!$A:$A, "&lt;="&amp;$N35, 'Fluxo Investidores'!$AA:$AA)), 0), IF($N35&lt;=terminoProjeto, -((1+txAdmKinea)^(1/12)-1)*AS34, 0))</f>
        <v>-2182.7599815103963</v>
      </c>
      <c r="AZ35" s="395">
        <f>IF($N35&lt;=baseData, IFERROR(INDEX('Fluxo Bandeira Co'!$W:$W, MATCH($N35, 'Fluxo Bandeira Co'!$A:$A, 0))*Permutas!AT35/(SUMIF('Fluxo Investidores'!$A:$A, "&lt;="&amp;$N35, 'Fluxo Investidores'!$Z:$Z)+SUMIF('Fluxo Investidores'!$A:$A, "&lt;="&amp;$N35, 'Fluxo Investidores'!$AA:$AA)), 0), IF($N35&lt;=terminoProjeto, -((1+txAdmKinea)^(1/12)-1)*AT34, 0))</f>
        <v>-2195.9854829237865</v>
      </c>
      <c r="BA35" s="395">
        <f>IF($N35&lt;=baseData, IFERROR(INDEX('Fluxo Bandeira Co'!$W:$W, MATCH($N35, 'Fluxo Bandeira Co'!$A:$A, 0))*Permutas!AU35/(SUMIF('Fluxo Investidores'!$A:$A, "&lt;="&amp;$N35, 'Fluxo Investidores'!$Z:$Z)+SUMIF('Fluxo Investidores'!$A:$A, "&lt;="&amp;$N35, 'Fluxo Investidores'!$AA:$AA)), 0), IF($N35&lt;=terminoProjeto, -((1+txAdmKinea)^(1/12)-1)*AU34, 0))</f>
        <v>-2219.5674911838305</v>
      </c>
      <c r="BB35" s="395">
        <f>IF($N35&lt;=baseData, IFERROR(INDEX('Fluxo Bandeira Co'!$W:$W, MATCH($N35, 'Fluxo Bandeira Co'!$A:$A, 0))*Permutas!AV35/(SUMIF('Fluxo Investidores'!$A:$A, "&lt;="&amp;$N35, 'Fluxo Investidores'!$Z:$Z)+SUMIF('Fluxo Investidores'!$A:$A, "&lt;="&amp;$N35, 'Fluxo Investidores'!$AA:$AA)), 0), IF($N35&lt;=terminoProjeto, -((1+txAdmKinea)^(1/12)-1)*AV34, 0))</f>
        <v>-2129.5838264764611</v>
      </c>
      <c r="BC35" s="396">
        <f>IF($N35&lt;=baseData, IFERROR(INDEX('Fluxo Bandeira Co'!$W:$W, MATCH($N35, 'Fluxo Bandeira Co'!$A:$A, 0))*Permutas!AW35/(SUMIF('Fluxo Investidores'!$A:$A, "&lt;="&amp;$N35, 'Fluxo Investidores'!$Z:$Z)+SUMIF('Fluxo Investidores'!$A:$A, "&lt;="&amp;$N35, 'Fluxo Investidores'!$AA:$AA)), 0), IF($N35&lt;=terminoProjeto, -((1+txAdmKinea)^(1/12)-1)*AW34, 0))</f>
        <v>-2393.774576163466</v>
      </c>
    </row>
    <row r="36" spans="2:55" x14ac:dyDescent="0.25">
      <c r="N36" s="315">
        <f t="shared" ref="N36:N67" si="40">EDATE(N35, 1)</f>
        <v>44256</v>
      </c>
      <c r="O36" s="389">
        <f>IF($N36&lt;=baseData, INDEX(Indicadores!B:B, MATCH($N36,Indicadores!A:A, 0)), INDEX(Indicadores!B:B, MATCH(baseData,Indicadores!A:A, 0)))</f>
        <v>839.38199999999995</v>
      </c>
      <c r="Q36" s="397">
        <f>IF($N36&lt;=baseData, -INDEX('Fluxo Investidores'!$L$2:$X$86, MATCH($N36, 'Fluxo Investidores'!$A$2:$A$86, 0), MATCH(Q$2, 'Fluxo Investidores'!$L$1:$X$1, 0)), 0)</f>
        <v>0</v>
      </c>
      <c r="R36" s="390">
        <f>IF($N36&lt;=baseData, -INDEX('Fluxo Investidores'!$L$2:$X$86, MATCH($N36, 'Fluxo Investidores'!$A$2:$A$86, 0), MATCH(R$2, 'Fluxo Investidores'!$L$1:$X$1, 0)), 0)</f>
        <v>0</v>
      </c>
      <c r="S36" s="390">
        <f>IF($N36&lt;=baseData, -INDEX('Fluxo Investidores'!$L$2:$X$86, MATCH($N36, 'Fluxo Investidores'!$A$2:$A$86, 0), MATCH(S$2, 'Fluxo Investidores'!$L$1:$X$1, 0)), 0)</f>
        <v>0</v>
      </c>
      <c r="T36" s="390">
        <f>IF($N36&lt;=baseData, -INDEX('Fluxo Investidores'!$L$2:$X$86, MATCH($N36, 'Fluxo Investidores'!$A$2:$A$86, 0), MATCH(T$2, 'Fluxo Investidores'!$L$1:$X$1, 0)), 0)</f>
        <v>0</v>
      </c>
      <c r="U36" s="390">
        <f>IF($N36&lt;=baseData, -INDEX('Fluxo Investidores'!$L$2:$X$86, MATCH($N36, 'Fluxo Investidores'!$A$2:$A$86, 0), MATCH(U$2, 'Fluxo Investidores'!$L$1:$X$1, 0)), 0)</f>
        <v>0</v>
      </c>
      <c r="V36" s="393">
        <f t="shared" si="37"/>
        <v>0</v>
      </c>
      <c r="X36" s="394">
        <f t="shared" si="27"/>
        <v>0</v>
      </c>
      <c r="Y36" s="395">
        <f t="shared" si="28"/>
        <v>0</v>
      </c>
      <c r="Z36" s="395">
        <f t="shared" si="29"/>
        <v>0</v>
      </c>
      <c r="AA36" s="395">
        <f t="shared" si="30"/>
        <v>0</v>
      </c>
      <c r="AB36" s="395">
        <f t="shared" si="31"/>
        <v>0</v>
      </c>
      <c r="AC36" s="442">
        <f t="shared" si="38"/>
        <v>0</v>
      </c>
      <c r="AD36" s="86"/>
      <c r="AE36" s="394">
        <f t="shared" si="32"/>
        <v>0</v>
      </c>
      <c r="AF36" s="395">
        <f t="shared" si="33"/>
        <v>0</v>
      </c>
      <c r="AG36" s="395">
        <f t="shared" si="34"/>
        <v>0</v>
      </c>
      <c r="AH36" s="395">
        <f t="shared" si="35"/>
        <v>0</v>
      </c>
      <c r="AI36" s="395">
        <f t="shared" si="36"/>
        <v>0</v>
      </c>
      <c r="AJ36" s="442">
        <f t="shared" si="39"/>
        <v>0</v>
      </c>
      <c r="AM36" s="394">
        <f t="shared" si="22"/>
        <v>595506.32183865225</v>
      </c>
      <c r="AN36" s="395">
        <f t="shared" si="23"/>
        <v>606296.23196501774</v>
      </c>
      <c r="AO36" s="395">
        <f t="shared" si="24"/>
        <v>513870.34596238105</v>
      </c>
      <c r="AP36" s="395">
        <f t="shared" si="25"/>
        <v>552123.01894921018</v>
      </c>
      <c r="AQ36" s="396">
        <f t="shared" si="26"/>
        <v>554202.4626396884</v>
      </c>
      <c r="AS36" s="394">
        <f t="shared" ref="AS36:AS67" si="41">AS35+X36</f>
        <v>1818396.0291326758</v>
      </c>
      <c r="AT36" s="395">
        <f t="shared" ref="AT36:AT67" si="42">AT35+Y36</f>
        <v>1829413.822869556</v>
      </c>
      <c r="AU36" s="395">
        <f t="shared" ref="AU36:AU67" si="43">AU35+Z36</f>
        <v>1849059.3315568487</v>
      </c>
      <c r="AV36" s="395">
        <f t="shared" ref="AV36:AV67" si="44">AV35+AA36</f>
        <v>1774096.468036938</v>
      </c>
      <c r="AW36" s="396">
        <f t="shared" ref="AW36:AW67" si="45">AW35+AB36</f>
        <v>1994186.3607570766</v>
      </c>
      <c r="AY36" s="394">
        <f>IF($N36&lt;=baseData, IFERROR(INDEX('Fluxo Bandeira Co'!$W:$W, MATCH($N36, 'Fluxo Bandeira Co'!$A:$A, 0))*Permutas!AS36/(SUMIF('Fluxo Investidores'!$A:$A, "&lt;="&amp;$N36, 'Fluxo Investidores'!$Z:$Z)+SUMIF('Fluxo Investidores'!$A:$A, "&lt;="&amp;$N36, 'Fluxo Investidores'!$AA:$AA)), 0), IF($N36&lt;=terminoProjeto, -((1+txAdmKinea)^(1/12)-1)*AS35, 0))</f>
        <v>-2182.7599815103963</v>
      </c>
      <c r="AZ36" s="395">
        <f>IF($N36&lt;=baseData, IFERROR(INDEX('Fluxo Bandeira Co'!$W:$W, MATCH($N36, 'Fluxo Bandeira Co'!$A:$A, 0))*Permutas!AT36/(SUMIF('Fluxo Investidores'!$A:$A, "&lt;="&amp;$N36, 'Fluxo Investidores'!$Z:$Z)+SUMIF('Fluxo Investidores'!$A:$A, "&lt;="&amp;$N36, 'Fluxo Investidores'!$AA:$AA)), 0), IF($N36&lt;=terminoProjeto, -((1+txAdmKinea)^(1/12)-1)*AT35, 0))</f>
        <v>-2195.9854829237865</v>
      </c>
      <c r="BA36" s="395">
        <f>IF($N36&lt;=baseData, IFERROR(INDEX('Fluxo Bandeira Co'!$W:$W, MATCH($N36, 'Fluxo Bandeira Co'!$A:$A, 0))*Permutas!AU36/(SUMIF('Fluxo Investidores'!$A:$A, "&lt;="&amp;$N36, 'Fluxo Investidores'!$Z:$Z)+SUMIF('Fluxo Investidores'!$A:$A, "&lt;="&amp;$N36, 'Fluxo Investidores'!$AA:$AA)), 0), IF($N36&lt;=terminoProjeto, -((1+txAdmKinea)^(1/12)-1)*AU35, 0))</f>
        <v>-2219.5674911838305</v>
      </c>
      <c r="BB36" s="395">
        <f>IF($N36&lt;=baseData, IFERROR(INDEX('Fluxo Bandeira Co'!$W:$W, MATCH($N36, 'Fluxo Bandeira Co'!$A:$A, 0))*Permutas!AV36/(SUMIF('Fluxo Investidores'!$A:$A, "&lt;="&amp;$N36, 'Fluxo Investidores'!$Z:$Z)+SUMIF('Fluxo Investidores'!$A:$A, "&lt;="&amp;$N36, 'Fluxo Investidores'!$AA:$AA)), 0), IF($N36&lt;=terminoProjeto, -((1+txAdmKinea)^(1/12)-1)*AV35, 0))</f>
        <v>-2129.5838264764611</v>
      </c>
      <c r="BC36" s="396">
        <f>IF($N36&lt;=baseData, IFERROR(INDEX('Fluxo Bandeira Co'!$W:$W, MATCH($N36, 'Fluxo Bandeira Co'!$A:$A, 0))*Permutas!AW36/(SUMIF('Fluxo Investidores'!$A:$A, "&lt;="&amp;$N36, 'Fluxo Investidores'!$Z:$Z)+SUMIF('Fluxo Investidores'!$A:$A, "&lt;="&amp;$N36, 'Fluxo Investidores'!$AA:$AA)), 0), IF($N36&lt;=terminoProjeto, -((1+txAdmKinea)^(1/12)-1)*AW35, 0))</f>
        <v>-2393.774576163466</v>
      </c>
    </row>
    <row r="37" spans="2:55" x14ac:dyDescent="0.25">
      <c r="N37" s="315">
        <f t="shared" si="40"/>
        <v>44287</v>
      </c>
      <c r="O37" s="389">
        <f>IF($N37&lt;=baseData, INDEX(Indicadores!B:B, MATCH($N37,Indicadores!A:A, 0)), INDEX(Indicadores!B:B, MATCH(baseData,Indicadores!A:A, 0)))</f>
        <v>839.38199999999995</v>
      </c>
      <c r="Q37" s="397">
        <f>IF($N37&lt;=baseData, -INDEX('Fluxo Investidores'!$L$2:$X$86, MATCH($N37, 'Fluxo Investidores'!$A$2:$A$86, 0), MATCH(Q$2, 'Fluxo Investidores'!$L$1:$X$1, 0)), 0)</f>
        <v>0</v>
      </c>
      <c r="R37" s="390">
        <f>IF($N37&lt;=baseData, -INDEX('Fluxo Investidores'!$L$2:$X$86, MATCH($N37, 'Fluxo Investidores'!$A$2:$A$86, 0), MATCH(R$2, 'Fluxo Investidores'!$L$1:$X$1, 0)), 0)</f>
        <v>0</v>
      </c>
      <c r="S37" s="390">
        <f>IF($N37&lt;=baseData, -INDEX('Fluxo Investidores'!$L$2:$X$86, MATCH($N37, 'Fluxo Investidores'!$A$2:$A$86, 0), MATCH(S$2, 'Fluxo Investidores'!$L$1:$X$1, 0)), 0)</f>
        <v>0</v>
      </c>
      <c r="T37" s="390">
        <f>IF($N37&lt;=baseData, -INDEX('Fluxo Investidores'!$L$2:$X$86, MATCH($N37, 'Fluxo Investidores'!$A$2:$A$86, 0), MATCH(T$2, 'Fluxo Investidores'!$L$1:$X$1, 0)), 0)</f>
        <v>0</v>
      </c>
      <c r="U37" s="390">
        <f>IF($N37&lt;=baseData, -INDEX('Fluxo Investidores'!$L$2:$X$86, MATCH($N37, 'Fluxo Investidores'!$A$2:$A$86, 0), MATCH(U$2, 'Fluxo Investidores'!$L$1:$X$1, 0)), 0)</f>
        <v>0</v>
      </c>
      <c r="V37" s="393">
        <f t="shared" si="37"/>
        <v>0</v>
      </c>
      <c r="X37" s="394">
        <f t="shared" si="27"/>
        <v>0</v>
      </c>
      <c r="Y37" s="395">
        <f t="shared" si="28"/>
        <v>0</v>
      </c>
      <c r="Z37" s="395">
        <f t="shared" si="29"/>
        <v>0</v>
      </c>
      <c r="AA37" s="395">
        <f t="shared" si="30"/>
        <v>0</v>
      </c>
      <c r="AB37" s="395">
        <f t="shared" si="31"/>
        <v>0</v>
      </c>
      <c r="AC37" s="442">
        <f t="shared" si="38"/>
        <v>0</v>
      </c>
      <c r="AD37" s="86"/>
      <c r="AE37" s="394">
        <f t="shared" si="32"/>
        <v>0</v>
      </c>
      <c r="AF37" s="395">
        <f t="shared" si="33"/>
        <v>0</v>
      </c>
      <c r="AG37" s="395">
        <f t="shared" si="34"/>
        <v>0</v>
      </c>
      <c r="AH37" s="395">
        <f t="shared" si="35"/>
        <v>0</v>
      </c>
      <c r="AI37" s="395">
        <f t="shared" si="36"/>
        <v>0</v>
      </c>
      <c r="AJ37" s="442">
        <f t="shared" si="39"/>
        <v>0</v>
      </c>
      <c r="AM37" s="394">
        <f t="shared" si="22"/>
        <v>595506.32183865225</v>
      </c>
      <c r="AN37" s="395">
        <f t="shared" si="23"/>
        <v>606296.23196501774</v>
      </c>
      <c r="AO37" s="395">
        <f t="shared" si="24"/>
        <v>513870.34596238105</v>
      </c>
      <c r="AP37" s="395">
        <f t="shared" si="25"/>
        <v>552123.01894921018</v>
      </c>
      <c r="AQ37" s="396">
        <f t="shared" si="26"/>
        <v>554202.4626396884</v>
      </c>
      <c r="AS37" s="394">
        <f t="shared" si="41"/>
        <v>1818396.0291326758</v>
      </c>
      <c r="AT37" s="395">
        <f t="shared" si="42"/>
        <v>1829413.822869556</v>
      </c>
      <c r="AU37" s="395">
        <f t="shared" si="43"/>
        <v>1849059.3315568487</v>
      </c>
      <c r="AV37" s="395">
        <f t="shared" si="44"/>
        <v>1774096.468036938</v>
      </c>
      <c r="AW37" s="396">
        <f t="shared" si="45"/>
        <v>1994186.3607570766</v>
      </c>
      <c r="AY37" s="394">
        <f>IF($N37&lt;=baseData, IFERROR(INDEX('Fluxo Bandeira Co'!$W:$W, MATCH($N37, 'Fluxo Bandeira Co'!$A:$A, 0))*Permutas!AS37/(SUMIF('Fluxo Investidores'!$A:$A, "&lt;="&amp;$N37, 'Fluxo Investidores'!$Z:$Z)+SUMIF('Fluxo Investidores'!$A:$A, "&lt;="&amp;$N37, 'Fluxo Investidores'!$AA:$AA)), 0), IF($N37&lt;=terminoProjeto, -((1+txAdmKinea)^(1/12)-1)*AS36, 0))</f>
        <v>-2182.7599815103963</v>
      </c>
      <c r="AZ37" s="395">
        <f>IF($N37&lt;=baseData, IFERROR(INDEX('Fluxo Bandeira Co'!$W:$W, MATCH($N37, 'Fluxo Bandeira Co'!$A:$A, 0))*Permutas!AT37/(SUMIF('Fluxo Investidores'!$A:$A, "&lt;="&amp;$N37, 'Fluxo Investidores'!$Z:$Z)+SUMIF('Fluxo Investidores'!$A:$A, "&lt;="&amp;$N37, 'Fluxo Investidores'!$AA:$AA)), 0), IF($N37&lt;=terminoProjeto, -((1+txAdmKinea)^(1/12)-1)*AT36, 0))</f>
        <v>-2195.9854829237865</v>
      </c>
      <c r="BA37" s="395">
        <f>IF($N37&lt;=baseData, IFERROR(INDEX('Fluxo Bandeira Co'!$W:$W, MATCH($N37, 'Fluxo Bandeira Co'!$A:$A, 0))*Permutas!AU37/(SUMIF('Fluxo Investidores'!$A:$A, "&lt;="&amp;$N37, 'Fluxo Investidores'!$Z:$Z)+SUMIF('Fluxo Investidores'!$A:$A, "&lt;="&amp;$N37, 'Fluxo Investidores'!$AA:$AA)), 0), IF($N37&lt;=terminoProjeto, -((1+txAdmKinea)^(1/12)-1)*AU36, 0))</f>
        <v>-2219.5674911838305</v>
      </c>
      <c r="BB37" s="395">
        <f>IF($N37&lt;=baseData, IFERROR(INDEX('Fluxo Bandeira Co'!$W:$W, MATCH($N37, 'Fluxo Bandeira Co'!$A:$A, 0))*Permutas!AV37/(SUMIF('Fluxo Investidores'!$A:$A, "&lt;="&amp;$N37, 'Fluxo Investidores'!$Z:$Z)+SUMIF('Fluxo Investidores'!$A:$A, "&lt;="&amp;$N37, 'Fluxo Investidores'!$AA:$AA)), 0), IF($N37&lt;=terminoProjeto, -((1+txAdmKinea)^(1/12)-1)*AV36, 0))</f>
        <v>-2129.5838264764611</v>
      </c>
      <c r="BC37" s="396">
        <f>IF($N37&lt;=baseData, IFERROR(INDEX('Fluxo Bandeira Co'!$W:$W, MATCH($N37, 'Fluxo Bandeira Co'!$A:$A, 0))*Permutas!AW37/(SUMIF('Fluxo Investidores'!$A:$A, "&lt;="&amp;$N37, 'Fluxo Investidores'!$Z:$Z)+SUMIF('Fluxo Investidores'!$A:$A, "&lt;="&amp;$N37, 'Fluxo Investidores'!$AA:$AA)), 0), IF($N37&lt;=terminoProjeto, -((1+txAdmKinea)^(1/12)-1)*AW36, 0))</f>
        <v>-2393.774576163466</v>
      </c>
    </row>
    <row r="38" spans="2:55" x14ac:dyDescent="0.25">
      <c r="N38" s="315">
        <f t="shared" si="40"/>
        <v>44317</v>
      </c>
      <c r="O38" s="389">
        <f>IF($N38&lt;=baseData, INDEX(Indicadores!B:B, MATCH($N38,Indicadores!A:A, 0)), INDEX(Indicadores!B:B, MATCH(baseData,Indicadores!A:A, 0)))</f>
        <v>839.38199999999995</v>
      </c>
      <c r="Q38" s="397">
        <f>IF($N38&lt;=baseData, -INDEX('Fluxo Investidores'!$L$2:$X$86, MATCH($N38, 'Fluxo Investidores'!$A$2:$A$86, 0), MATCH(Q$2, 'Fluxo Investidores'!$L$1:$X$1, 0)), 0)</f>
        <v>0</v>
      </c>
      <c r="R38" s="390">
        <f>IF($N38&lt;=baseData, -INDEX('Fluxo Investidores'!$L$2:$X$86, MATCH($N38, 'Fluxo Investidores'!$A$2:$A$86, 0), MATCH(R$2, 'Fluxo Investidores'!$L$1:$X$1, 0)), 0)</f>
        <v>0</v>
      </c>
      <c r="S38" s="390">
        <f>IF($N38&lt;=baseData, -INDEX('Fluxo Investidores'!$L$2:$X$86, MATCH($N38, 'Fluxo Investidores'!$A$2:$A$86, 0), MATCH(S$2, 'Fluxo Investidores'!$L$1:$X$1, 0)), 0)</f>
        <v>0</v>
      </c>
      <c r="T38" s="390">
        <f>IF($N38&lt;=baseData, -INDEX('Fluxo Investidores'!$L$2:$X$86, MATCH($N38, 'Fluxo Investidores'!$A$2:$A$86, 0), MATCH(T$2, 'Fluxo Investidores'!$L$1:$X$1, 0)), 0)</f>
        <v>0</v>
      </c>
      <c r="U38" s="390">
        <f>IF($N38&lt;=baseData, -INDEX('Fluxo Investidores'!$L$2:$X$86, MATCH($N38, 'Fluxo Investidores'!$A$2:$A$86, 0), MATCH(U$2, 'Fluxo Investidores'!$L$1:$X$1, 0)), 0)</f>
        <v>0</v>
      </c>
      <c r="V38" s="393">
        <f t="shared" si="37"/>
        <v>0</v>
      </c>
      <c r="X38" s="394">
        <f t="shared" si="27"/>
        <v>0</v>
      </c>
      <c r="Y38" s="395">
        <f t="shared" si="28"/>
        <v>0</v>
      </c>
      <c r="Z38" s="395">
        <f t="shared" si="29"/>
        <v>0</v>
      </c>
      <c r="AA38" s="395">
        <f t="shared" si="30"/>
        <v>0</v>
      </c>
      <c r="AB38" s="395">
        <f t="shared" si="31"/>
        <v>0</v>
      </c>
      <c r="AC38" s="442">
        <f t="shared" si="38"/>
        <v>0</v>
      </c>
      <c r="AD38" s="86"/>
      <c r="AE38" s="394">
        <f t="shared" si="32"/>
        <v>0</v>
      </c>
      <c r="AF38" s="395">
        <f t="shared" si="33"/>
        <v>0</v>
      </c>
      <c r="AG38" s="395">
        <f t="shared" si="34"/>
        <v>0</v>
      </c>
      <c r="AH38" s="395">
        <f t="shared" si="35"/>
        <v>0</v>
      </c>
      <c r="AI38" s="395">
        <f t="shared" si="36"/>
        <v>0</v>
      </c>
      <c r="AJ38" s="442">
        <f t="shared" si="39"/>
        <v>0</v>
      </c>
      <c r="AM38" s="394">
        <f t="shared" si="22"/>
        <v>595506.32183865225</v>
      </c>
      <c r="AN38" s="395">
        <f t="shared" si="23"/>
        <v>606296.23196501774</v>
      </c>
      <c r="AO38" s="395">
        <f t="shared" si="24"/>
        <v>513870.34596238105</v>
      </c>
      <c r="AP38" s="395">
        <f t="shared" si="25"/>
        <v>552123.01894921018</v>
      </c>
      <c r="AQ38" s="396">
        <f t="shared" si="26"/>
        <v>554202.4626396884</v>
      </c>
      <c r="AS38" s="394">
        <f t="shared" si="41"/>
        <v>1818396.0291326758</v>
      </c>
      <c r="AT38" s="395">
        <f t="shared" si="42"/>
        <v>1829413.822869556</v>
      </c>
      <c r="AU38" s="395">
        <f t="shared" si="43"/>
        <v>1849059.3315568487</v>
      </c>
      <c r="AV38" s="395">
        <f t="shared" si="44"/>
        <v>1774096.468036938</v>
      </c>
      <c r="AW38" s="396">
        <f t="shared" si="45"/>
        <v>1994186.3607570766</v>
      </c>
      <c r="AY38" s="394">
        <f>IF($N38&lt;=baseData, IFERROR(INDEX('Fluxo Bandeira Co'!$W:$W, MATCH($N38, 'Fluxo Bandeira Co'!$A:$A, 0))*Permutas!AS38/(SUMIF('Fluxo Investidores'!$A:$A, "&lt;="&amp;$N38, 'Fluxo Investidores'!$Z:$Z)+SUMIF('Fluxo Investidores'!$A:$A, "&lt;="&amp;$N38, 'Fluxo Investidores'!$AA:$AA)), 0), IF($N38&lt;=terminoProjeto, -((1+txAdmKinea)^(1/12)-1)*AS37, 0))</f>
        <v>-2182.7599815103963</v>
      </c>
      <c r="AZ38" s="395">
        <f>IF($N38&lt;=baseData, IFERROR(INDEX('Fluxo Bandeira Co'!$W:$W, MATCH($N38, 'Fluxo Bandeira Co'!$A:$A, 0))*Permutas!AT38/(SUMIF('Fluxo Investidores'!$A:$A, "&lt;="&amp;$N38, 'Fluxo Investidores'!$Z:$Z)+SUMIF('Fluxo Investidores'!$A:$A, "&lt;="&amp;$N38, 'Fluxo Investidores'!$AA:$AA)), 0), IF($N38&lt;=terminoProjeto, -((1+txAdmKinea)^(1/12)-1)*AT37, 0))</f>
        <v>-2195.9854829237865</v>
      </c>
      <c r="BA38" s="395">
        <f>IF($N38&lt;=baseData, IFERROR(INDEX('Fluxo Bandeira Co'!$W:$W, MATCH($N38, 'Fluxo Bandeira Co'!$A:$A, 0))*Permutas!AU38/(SUMIF('Fluxo Investidores'!$A:$A, "&lt;="&amp;$N38, 'Fluxo Investidores'!$Z:$Z)+SUMIF('Fluxo Investidores'!$A:$A, "&lt;="&amp;$N38, 'Fluxo Investidores'!$AA:$AA)), 0), IF($N38&lt;=terminoProjeto, -((1+txAdmKinea)^(1/12)-1)*AU37, 0))</f>
        <v>-2219.5674911838305</v>
      </c>
      <c r="BB38" s="395">
        <f>IF($N38&lt;=baseData, IFERROR(INDEX('Fluxo Bandeira Co'!$W:$W, MATCH($N38, 'Fluxo Bandeira Co'!$A:$A, 0))*Permutas!AV38/(SUMIF('Fluxo Investidores'!$A:$A, "&lt;="&amp;$N38, 'Fluxo Investidores'!$Z:$Z)+SUMIF('Fluxo Investidores'!$A:$A, "&lt;="&amp;$N38, 'Fluxo Investidores'!$AA:$AA)), 0), IF($N38&lt;=terminoProjeto, -((1+txAdmKinea)^(1/12)-1)*AV37, 0))</f>
        <v>-2129.5838264764611</v>
      </c>
      <c r="BC38" s="396">
        <f>IF($N38&lt;=baseData, IFERROR(INDEX('Fluxo Bandeira Co'!$W:$W, MATCH($N38, 'Fluxo Bandeira Co'!$A:$A, 0))*Permutas!AW38/(SUMIF('Fluxo Investidores'!$A:$A, "&lt;="&amp;$N38, 'Fluxo Investidores'!$Z:$Z)+SUMIF('Fluxo Investidores'!$A:$A, "&lt;="&amp;$N38, 'Fluxo Investidores'!$AA:$AA)), 0), IF($N38&lt;=terminoProjeto, -((1+txAdmKinea)^(1/12)-1)*AW37, 0))</f>
        <v>-2393.774576163466</v>
      </c>
    </row>
    <row r="39" spans="2:55" x14ac:dyDescent="0.25">
      <c r="N39" s="315">
        <f t="shared" si="40"/>
        <v>44348</v>
      </c>
      <c r="O39" s="389">
        <f>IF($N39&lt;=baseData, INDEX(Indicadores!B:B, MATCH($N39,Indicadores!A:A, 0)), INDEX(Indicadores!B:B, MATCH(baseData,Indicadores!A:A, 0)))</f>
        <v>839.38199999999995</v>
      </c>
      <c r="Q39" s="397">
        <f>IF($N39&lt;=baseData, -INDEX('Fluxo Investidores'!$L$2:$X$86, MATCH($N39, 'Fluxo Investidores'!$A$2:$A$86, 0), MATCH(Q$2, 'Fluxo Investidores'!$L$1:$X$1, 0)), 0)</f>
        <v>0</v>
      </c>
      <c r="R39" s="390">
        <f>IF($N39&lt;=baseData, -INDEX('Fluxo Investidores'!$L$2:$X$86, MATCH($N39, 'Fluxo Investidores'!$A$2:$A$86, 0), MATCH(R$2, 'Fluxo Investidores'!$L$1:$X$1, 0)), 0)</f>
        <v>0</v>
      </c>
      <c r="S39" s="390">
        <f>IF($N39&lt;=baseData, -INDEX('Fluxo Investidores'!$L$2:$X$86, MATCH($N39, 'Fluxo Investidores'!$A$2:$A$86, 0), MATCH(S$2, 'Fluxo Investidores'!$L$1:$X$1, 0)), 0)</f>
        <v>0</v>
      </c>
      <c r="T39" s="390">
        <f>IF($N39&lt;=baseData, -INDEX('Fluxo Investidores'!$L$2:$X$86, MATCH($N39, 'Fluxo Investidores'!$A$2:$A$86, 0), MATCH(T$2, 'Fluxo Investidores'!$L$1:$X$1, 0)), 0)</f>
        <v>0</v>
      </c>
      <c r="U39" s="390">
        <f>IF($N39&lt;=baseData, -INDEX('Fluxo Investidores'!$L$2:$X$86, MATCH($N39, 'Fluxo Investidores'!$A$2:$A$86, 0), MATCH(U$2, 'Fluxo Investidores'!$L$1:$X$1, 0)), 0)</f>
        <v>0</v>
      </c>
      <c r="V39" s="393">
        <f t="shared" si="37"/>
        <v>0</v>
      </c>
      <c r="X39" s="394">
        <f t="shared" si="27"/>
        <v>0</v>
      </c>
      <c r="Y39" s="395">
        <f t="shared" si="28"/>
        <v>0</v>
      </c>
      <c r="Z39" s="395">
        <f t="shared" si="29"/>
        <v>0</v>
      </c>
      <c r="AA39" s="395">
        <f t="shared" si="30"/>
        <v>0</v>
      </c>
      <c r="AB39" s="395">
        <f t="shared" si="31"/>
        <v>0</v>
      </c>
      <c r="AC39" s="442">
        <f t="shared" si="38"/>
        <v>0</v>
      </c>
      <c r="AD39" s="86"/>
      <c r="AE39" s="394">
        <f t="shared" si="32"/>
        <v>0</v>
      </c>
      <c r="AF39" s="395">
        <f t="shared" si="33"/>
        <v>0</v>
      </c>
      <c r="AG39" s="395">
        <f t="shared" si="34"/>
        <v>0</v>
      </c>
      <c r="AH39" s="395">
        <f t="shared" si="35"/>
        <v>0</v>
      </c>
      <c r="AI39" s="395">
        <f t="shared" si="36"/>
        <v>0</v>
      </c>
      <c r="AJ39" s="442">
        <f t="shared" si="39"/>
        <v>0</v>
      </c>
      <c r="AM39" s="394">
        <f t="shared" si="22"/>
        <v>595506.32183865225</v>
      </c>
      <c r="AN39" s="395">
        <f t="shared" si="23"/>
        <v>606296.23196501774</v>
      </c>
      <c r="AO39" s="395">
        <f t="shared" si="24"/>
        <v>513870.34596238105</v>
      </c>
      <c r="AP39" s="395">
        <f t="shared" si="25"/>
        <v>552123.01894921018</v>
      </c>
      <c r="AQ39" s="396">
        <f t="shared" si="26"/>
        <v>554202.4626396884</v>
      </c>
      <c r="AS39" s="394">
        <f t="shared" si="41"/>
        <v>1818396.0291326758</v>
      </c>
      <c r="AT39" s="395">
        <f t="shared" si="42"/>
        <v>1829413.822869556</v>
      </c>
      <c r="AU39" s="395">
        <f t="shared" si="43"/>
        <v>1849059.3315568487</v>
      </c>
      <c r="AV39" s="395">
        <f t="shared" si="44"/>
        <v>1774096.468036938</v>
      </c>
      <c r="AW39" s="396">
        <f t="shared" si="45"/>
        <v>1994186.3607570766</v>
      </c>
      <c r="AY39" s="394">
        <f>IF($N39&lt;=baseData, IFERROR(INDEX('Fluxo Bandeira Co'!$W:$W, MATCH($N39, 'Fluxo Bandeira Co'!$A:$A, 0))*Permutas!AS39/(SUMIF('Fluxo Investidores'!$A:$A, "&lt;="&amp;$N39, 'Fluxo Investidores'!$Z:$Z)+SUMIF('Fluxo Investidores'!$A:$A, "&lt;="&amp;$N39, 'Fluxo Investidores'!$AA:$AA)), 0), IF($N39&lt;=terminoProjeto, -((1+txAdmKinea)^(1/12)-1)*AS38, 0))</f>
        <v>-2182.7599815103963</v>
      </c>
      <c r="AZ39" s="395">
        <f>IF($N39&lt;=baseData, IFERROR(INDEX('Fluxo Bandeira Co'!$W:$W, MATCH($N39, 'Fluxo Bandeira Co'!$A:$A, 0))*Permutas!AT39/(SUMIF('Fluxo Investidores'!$A:$A, "&lt;="&amp;$N39, 'Fluxo Investidores'!$Z:$Z)+SUMIF('Fluxo Investidores'!$A:$A, "&lt;="&amp;$N39, 'Fluxo Investidores'!$AA:$AA)), 0), IF($N39&lt;=terminoProjeto, -((1+txAdmKinea)^(1/12)-1)*AT38, 0))</f>
        <v>-2195.9854829237865</v>
      </c>
      <c r="BA39" s="395">
        <f>IF($N39&lt;=baseData, IFERROR(INDEX('Fluxo Bandeira Co'!$W:$W, MATCH($N39, 'Fluxo Bandeira Co'!$A:$A, 0))*Permutas!AU39/(SUMIF('Fluxo Investidores'!$A:$A, "&lt;="&amp;$N39, 'Fluxo Investidores'!$Z:$Z)+SUMIF('Fluxo Investidores'!$A:$A, "&lt;="&amp;$N39, 'Fluxo Investidores'!$AA:$AA)), 0), IF($N39&lt;=terminoProjeto, -((1+txAdmKinea)^(1/12)-1)*AU38, 0))</f>
        <v>-2219.5674911838305</v>
      </c>
      <c r="BB39" s="395">
        <f>IF($N39&lt;=baseData, IFERROR(INDEX('Fluxo Bandeira Co'!$W:$W, MATCH($N39, 'Fluxo Bandeira Co'!$A:$A, 0))*Permutas!AV39/(SUMIF('Fluxo Investidores'!$A:$A, "&lt;="&amp;$N39, 'Fluxo Investidores'!$Z:$Z)+SUMIF('Fluxo Investidores'!$A:$A, "&lt;="&amp;$N39, 'Fluxo Investidores'!$AA:$AA)), 0), IF($N39&lt;=terminoProjeto, -((1+txAdmKinea)^(1/12)-1)*AV38, 0))</f>
        <v>-2129.5838264764611</v>
      </c>
      <c r="BC39" s="396">
        <f>IF($N39&lt;=baseData, IFERROR(INDEX('Fluxo Bandeira Co'!$W:$W, MATCH($N39, 'Fluxo Bandeira Co'!$A:$A, 0))*Permutas!AW39/(SUMIF('Fluxo Investidores'!$A:$A, "&lt;="&amp;$N39, 'Fluxo Investidores'!$Z:$Z)+SUMIF('Fluxo Investidores'!$A:$A, "&lt;="&amp;$N39, 'Fluxo Investidores'!$AA:$AA)), 0), IF($N39&lt;=terminoProjeto, -((1+txAdmKinea)^(1/12)-1)*AW38, 0))</f>
        <v>-2393.774576163466</v>
      </c>
    </row>
    <row r="40" spans="2:55" x14ac:dyDescent="0.25">
      <c r="N40" s="315">
        <f t="shared" si="40"/>
        <v>44378</v>
      </c>
      <c r="O40" s="389">
        <f>IF($N40&lt;=baseData, INDEX(Indicadores!B:B, MATCH($N40,Indicadores!A:A, 0)), INDEX(Indicadores!B:B, MATCH(baseData,Indicadores!A:A, 0)))</f>
        <v>839.38199999999995</v>
      </c>
      <c r="Q40" s="397">
        <f>IF($N40&lt;=baseData, -INDEX('Fluxo Investidores'!$L$2:$X$86, MATCH($N40, 'Fluxo Investidores'!$A$2:$A$86, 0), MATCH(Q$2, 'Fluxo Investidores'!$L$1:$X$1, 0)), 0)</f>
        <v>0</v>
      </c>
      <c r="R40" s="390">
        <f>IF($N40&lt;=baseData, -INDEX('Fluxo Investidores'!$L$2:$X$86, MATCH($N40, 'Fluxo Investidores'!$A$2:$A$86, 0), MATCH(R$2, 'Fluxo Investidores'!$L$1:$X$1, 0)), 0)</f>
        <v>0</v>
      </c>
      <c r="S40" s="390">
        <f>IF($N40&lt;=baseData, -INDEX('Fluxo Investidores'!$L$2:$X$86, MATCH($N40, 'Fluxo Investidores'!$A$2:$A$86, 0), MATCH(S$2, 'Fluxo Investidores'!$L$1:$X$1, 0)), 0)</f>
        <v>0</v>
      </c>
      <c r="T40" s="390">
        <f>IF($N40&lt;=baseData, -INDEX('Fluxo Investidores'!$L$2:$X$86, MATCH($N40, 'Fluxo Investidores'!$A$2:$A$86, 0), MATCH(T$2, 'Fluxo Investidores'!$L$1:$X$1, 0)), 0)</f>
        <v>0</v>
      </c>
      <c r="U40" s="390">
        <f>IF($N40&lt;=baseData, -INDEX('Fluxo Investidores'!$L$2:$X$86, MATCH($N40, 'Fluxo Investidores'!$A$2:$A$86, 0), MATCH(U$2, 'Fluxo Investidores'!$L$1:$X$1, 0)), 0)</f>
        <v>0</v>
      </c>
      <c r="V40" s="393">
        <f t="shared" si="37"/>
        <v>0</v>
      </c>
      <c r="X40" s="394">
        <f t="shared" si="27"/>
        <v>0</v>
      </c>
      <c r="Y40" s="395">
        <f t="shared" si="28"/>
        <v>0</v>
      </c>
      <c r="Z40" s="395">
        <f t="shared" si="29"/>
        <v>0</v>
      </c>
      <c r="AA40" s="395">
        <f t="shared" si="30"/>
        <v>0</v>
      </c>
      <c r="AB40" s="395">
        <f t="shared" si="31"/>
        <v>0</v>
      </c>
      <c r="AC40" s="442">
        <f t="shared" si="38"/>
        <v>0</v>
      </c>
      <c r="AD40" s="86"/>
      <c r="AE40" s="394">
        <f t="shared" si="32"/>
        <v>0</v>
      </c>
      <c r="AF40" s="395">
        <f t="shared" si="33"/>
        <v>0</v>
      </c>
      <c r="AG40" s="395">
        <f t="shared" si="34"/>
        <v>0</v>
      </c>
      <c r="AH40" s="395">
        <f t="shared" si="35"/>
        <v>0</v>
      </c>
      <c r="AI40" s="395">
        <f t="shared" si="36"/>
        <v>0</v>
      </c>
      <c r="AJ40" s="442">
        <f t="shared" si="39"/>
        <v>0</v>
      </c>
      <c r="AM40" s="394">
        <f t="shared" si="22"/>
        <v>595506.32183865225</v>
      </c>
      <c r="AN40" s="395">
        <f t="shared" si="23"/>
        <v>606296.23196501774</v>
      </c>
      <c r="AO40" s="395">
        <f t="shared" si="24"/>
        <v>513870.34596238105</v>
      </c>
      <c r="AP40" s="395">
        <f t="shared" si="25"/>
        <v>552123.01894921018</v>
      </c>
      <c r="AQ40" s="396">
        <f t="shared" si="26"/>
        <v>554202.4626396884</v>
      </c>
      <c r="AS40" s="394">
        <f t="shared" si="41"/>
        <v>1818396.0291326758</v>
      </c>
      <c r="AT40" s="395">
        <f t="shared" si="42"/>
        <v>1829413.822869556</v>
      </c>
      <c r="AU40" s="395">
        <f t="shared" si="43"/>
        <v>1849059.3315568487</v>
      </c>
      <c r="AV40" s="395">
        <f t="shared" si="44"/>
        <v>1774096.468036938</v>
      </c>
      <c r="AW40" s="396">
        <f t="shared" si="45"/>
        <v>1994186.3607570766</v>
      </c>
      <c r="AY40" s="394">
        <f>IF($N40&lt;=baseData, IFERROR(INDEX('Fluxo Bandeira Co'!$W:$W, MATCH($N40, 'Fluxo Bandeira Co'!$A:$A, 0))*Permutas!AS40/(SUMIF('Fluxo Investidores'!$A:$A, "&lt;="&amp;$N40, 'Fluxo Investidores'!$Z:$Z)+SUMIF('Fluxo Investidores'!$A:$A, "&lt;="&amp;$N40, 'Fluxo Investidores'!$AA:$AA)), 0), IF($N40&lt;=terminoProjeto, -((1+txAdmKinea)^(1/12)-1)*AS39, 0))</f>
        <v>-2182.7599815103963</v>
      </c>
      <c r="AZ40" s="395">
        <f>IF($N40&lt;=baseData, IFERROR(INDEX('Fluxo Bandeira Co'!$W:$W, MATCH($N40, 'Fluxo Bandeira Co'!$A:$A, 0))*Permutas!AT40/(SUMIF('Fluxo Investidores'!$A:$A, "&lt;="&amp;$N40, 'Fluxo Investidores'!$Z:$Z)+SUMIF('Fluxo Investidores'!$A:$A, "&lt;="&amp;$N40, 'Fluxo Investidores'!$AA:$AA)), 0), IF($N40&lt;=terminoProjeto, -((1+txAdmKinea)^(1/12)-1)*AT39, 0))</f>
        <v>-2195.9854829237865</v>
      </c>
      <c r="BA40" s="395">
        <f>IF($N40&lt;=baseData, IFERROR(INDEX('Fluxo Bandeira Co'!$W:$W, MATCH($N40, 'Fluxo Bandeira Co'!$A:$A, 0))*Permutas!AU40/(SUMIF('Fluxo Investidores'!$A:$A, "&lt;="&amp;$N40, 'Fluxo Investidores'!$Z:$Z)+SUMIF('Fluxo Investidores'!$A:$A, "&lt;="&amp;$N40, 'Fluxo Investidores'!$AA:$AA)), 0), IF($N40&lt;=terminoProjeto, -((1+txAdmKinea)^(1/12)-1)*AU39, 0))</f>
        <v>-2219.5674911838305</v>
      </c>
      <c r="BB40" s="395">
        <f>IF($N40&lt;=baseData, IFERROR(INDEX('Fluxo Bandeira Co'!$W:$W, MATCH($N40, 'Fluxo Bandeira Co'!$A:$A, 0))*Permutas!AV40/(SUMIF('Fluxo Investidores'!$A:$A, "&lt;="&amp;$N40, 'Fluxo Investidores'!$Z:$Z)+SUMIF('Fluxo Investidores'!$A:$A, "&lt;="&amp;$N40, 'Fluxo Investidores'!$AA:$AA)), 0), IF($N40&lt;=terminoProjeto, -((1+txAdmKinea)^(1/12)-1)*AV39, 0))</f>
        <v>-2129.5838264764611</v>
      </c>
      <c r="BC40" s="396">
        <f>IF($N40&lt;=baseData, IFERROR(INDEX('Fluxo Bandeira Co'!$W:$W, MATCH($N40, 'Fluxo Bandeira Co'!$A:$A, 0))*Permutas!AW40/(SUMIF('Fluxo Investidores'!$A:$A, "&lt;="&amp;$N40, 'Fluxo Investidores'!$Z:$Z)+SUMIF('Fluxo Investidores'!$A:$A, "&lt;="&amp;$N40, 'Fluxo Investidores'!$AA:$AA)), 0), IF($N40&lt;=terminoProjeto, -((1+txAdmKinea)^(1/12)-1)*AW39, 0))</f>
        <v>-2393.774576163466</v>
      </c>
    </row>
    <row r="41" spans="2:55" x14ac:dyDescent="0.25">
      <c r="N41" s="315">
        <f t="shared" si="40"/>
        <v>44409</v>
      </c>
      <c r="O41" s="389">
        <f>IF($N41&lt;=baseData, INDEX(Indicadores!B:B, MATCH($N41,Indicadores!A:A, 0)), INDEX(Indicadores!B:B, MATCH(baseData,Indicadores!A:A, 0)))</f>
        <v>839.38199999999995</v>
      </c>
      <c r="Q41" s="397">
        <f>IF($N41&lt;=baseData, -INDEX('Fluxo Investidores'!$L$2:$X$86, MATCH($N41, 'Fluxo Investidores'!$A$2:$A$86, 0), MATCH(Q$2, 'Fluxo Investidores'!$L$1:$X$1, 0)), 0)</f>
        <v>0</v>
      </c>
      <c r="R41" s="390">
        <f>IF($N41&lt;=baseData, -INDEX('Fluxo Investidores'!$L$2:$X$86, MATCH($N41, 'Fluxo Investidores'!$A$2:$A$86, 0), MATCH(R$2, 'Fluxo Investidores'!$L$1:$X$1, 0)), 0)</f>
        <v>0</v>
      </c>
      <c r="S41" s="390">
        <f>IF($N41&lt;=baseData, -INDEX('Fluxo Investidores'!$L$2:$X$86, MATCH($N41, 'Fluxo Investidores'!$A$2:$A$86, 0), MATCH(S$2, 'Fluxo Investidores'!$L$1:$X$1, 0)), 0)</f>
        <v>0</v>
      </c>
      <c r="T41" s="390">
        <f>IF($N41&lt;=baseData, -INDEX('Fluxo Investidores'!$L$2:$X$86, MATCH($N41, 'Fluxo Investidores'!$A$2:$A$86, 0), MATCH(T$2, 'Fluxo Investidores'!$L$1:$X$1, 0)), 0)</f>
        <v>0</v>
      </c>
      <c r="U41" s="390">
        <f>IF($N41&lt;=baseData, -INDEX('Fluxo Investidores'!$L$2:$X$86, MATCH($N41, 'Fluxo Investidores'!$A$2:$A$86, 0), MATCH(U$2, 'Fluxo Investidores'!$L$1:$X$1, 0)), 0)</f>
        <v>0</v>
      </c>
      <c r="V41" s="393">
        <f t="shared" si="37"/>
        <v>0</v>
      </c>
      <c r="X41" s="394">
        <f t="shared" si="27"/>
        <v>0</v>
      </c>
      <c r="Y41" s="395">
        <f t="shared" si="28"/>
        <v>0</v>
      </c>
      <c r="Z41" s="395">
        <f t="shared" si="29"/>
        <v>0</v>
      </c>
      <c r="AA41" s="395">
        <f t="shared" si="30"/>
        <v>0</v>
      </c>
      <c r="AB41" s="395">
        <f t="shared" si="31"/>
        <v>0</v>
      </c>
      <c r="AC41" s="442">
        <f t="shared" si="38"/>
        <v>0</v>
      </c>
      <c r="AD41" s="86"/>
      <c r="AE41" s="394">
        <f t="shared" si="32"/>
        <v>0</v>
      </c>
      <c r="AF41" s="395">
        <f t="shared" si="33"/>
        <v>0</v>
      </c>
      <c r="AG41" s="395">
        <f t="shared" si="34"/>
        <v>0</v>
      </c>
      <c r="AH41" s="395">
        <f t="shared" si="35"/>
        <v>0</v>
      </c>
      <c r="AI41" s="395">
        <f t="shared" si="36"/>
        <v>0</v>
      </c>
      <c r="AJ41" s="442">
        <f t="shared" si="39"/>
        <v>0</v>
      </c>
      <c r="AM41" s="394">
        <f t="shared" si="22"/>
        <v>595506.32183865225</v>
      </c>
      <c r="AN41" s="395">
        <f t="shared" si="23"/>
        <v>606296.23196501774</v>
      </c>
      <c r="AO41" s="395">
        <f t="shared" si="24"/>
        <v>513870.34596238105</v>
      </c>
      <c r="AP41" s="395">
        <f t="shared" si="25"/>
        <v>552123.01894921018</v>
      </c>
      <c r="AQ41" s="396">
        <f t="shared" si="26"/>
        <v>554202.4626396884</v>
      </c>
      <c r="AS41" s="394">
        <f t="shared" si="41"/>
        <v>1818396.0291326758</v>
      </c>
      <c r="AT41" s="395">
        <f t="shared" si="42"/>
        <v>1829413.822869556</v>
      </c>
      <c r="AU41" s="395">
        <f t="shared" si="43"/>
        <v>1849059.3315568487</v>
      </c>
      <c r="AV41" s="395">
        <f t="shared" si="44"/>
        <v>1774096.468036938</v>
      </c>
      <c r="AW41" s="396">
        <f t="shared" si="45"/>
        <v>1994186.3607570766</v>
      </c>
      <c r="AY41" s="394">
        <f>IF($N41&lt;=baseData, IFERROR(INDEX('Fluxo Bandeira Co'!$W:$W, MATCH($N41, 'Fluxo Bandeira Co'!$A:$A, 0))*Permutas!AS41/(SUMIF('Fluxo Investidores'!$A:$A, "&lt;="&amp;$N41, 'Fluxo Investidores'!$Z:$Z)+SUMIF('Fluxo Investidores'!$A:$A, "&lt;="&amp;$N41, 'Fluxo Investidores'!$AA:$AA)), 0), IF($N41&lt;=terminoProjeto, -((1+txAdmKinea)^(1/12)-1)*AS40, 0))</f>
        <v>-2182.7599815103963</v>
      </c>
      <c r="AZ41" s="395">
        <f>IF($N41&lt;=baseData, IFERROR(INDEX('Fluxo Bandeira Co'!$W:$W, MATCH($N41, 'Fluxo Bandeira Co'!$A:$A, 0))*Permutas!AT41/(SUMIF('Fluxo Investidores'!$A:$A, "&lt;="&amp;$N41, 'Fluxo Investidores'!$Z:$Z)+SUMIF('Fluxo Investidores'!$A:$A, "&lt;="&amp;$N41, 'Fluxo Investidores'!$AA:$AA)), 0), IF($N41&lt;=terminoProjeto, -((1+txAdmKinea)^(1/12)-1)*AT40, 0))</f>
        <v>-2195.9854829237865</v>
      </c>
      <c r="BA41" s="395">
        <f>IF($N41&lt;=baseData, IFERROR(INDEX('Fluxo Bandeira Co'!$W:$W, MATCH($N41, 'Fluxo Bandeira Co'!$A:$A, 0))*Permutas!AU41/(SUMIF('Fluxo Investidores'!$A:$A, "&lt;="&amp;$N41, 'Fluxo Investidores'!$Z:$Z)+SUMIF('Fluxo Investidores'!$A:$A, "&lt;="&amp;$N41, 'Fluxo Investidores'!$AA:$AA)), 0), IF($N41&lt;=terminoProjeto, -((1+txAdmKinea)^(1/12)-1)*AU40, 0))</f>
        <v>-2219.5674911838305</v>
      </c>
      <c r="BB41" s="395">
        <f>IF($N41&lt;=baseData, IFERROR(INDEX('Fluxo Bandeira Co'!$W:$W, MATCH($N41, 'Fluxo Bandeira Co'!$A:$A, 0))*Permutas!AV41/(SUMIF('Fluxo Investidores'!$A:$A, "&lt;="&amp;$N41, 'Fluxo Investidores'!$Z:$Z)+SUMIF('Fluxo Investidores'!$A:$A, "&lt;="&amp;$N41, 'Fluxo Investidores'!$AA:$AA)), 0), IF($N41&lt;=terminoProjeto, -((1+txAdmKinea)^(1/12)-1)*AV40, 0))</f>
        <v>-2129.5838264764611</v>
      </c>
      <c r="BC41" s="396">
        <f>IF($N41&lt;=baseData, IFERROR(INDEX('Fluxo Bandeira Co'!$W:$W, MATCH($N41, 'Fluxo Bandeira Co'!$A:$A, 0))*Permutas!AW41/(SUMIF('Fluxo Investidores'!$A:$A, "&lt;="&amp;$N41, 'Fluxo Investidores'!$Z:$Z)+SUMIF('Fluxo Investidores'!$A:$A, "&lt;="&amp;$N41, 'Fluxo Investidores'!$AA:$AA)), 0), IF($N41&lt;=terminoProjeto, -((1+txAdmKinea)^(1/12)-1)*AW40, 0))</f>
        <v>-2393.774576163466</v>
      </c>
    </row>
    <row r="42" spans="2:55" x14ac:dyDescent="0.25">
      <c r="N42" s="315">
        <f t="shared" si="40"/>
        <v>44440</v>
      </c>
      <c r="O42" s="389">
        <f>IF($N42&lt;=baseData, INDEX(Indicadores!B:B, MATCH($N42,Indicadores!A:A, 0)), INDEX(Indicadores!B:B, MATCH(baseData,Indicadores!A:A, 0)))</f>
        <v>839.38199999999995</v>
      </c>
      <c r="Q42" s="397">
        <f>IF($N42&lt;=baseData, -INDEX('Fluxo Investidores'!$L$2:$X$86, MATCH($N42, 'Fluxo Investidores'!$A$2:$A$86, 0), MATCH(Q$2, 'Fluxo Investidores'!$L$1:$X$1, 0)), 0)</f>
        <v>0</v>
      </c>
      <c r="R42" s="390">
        <f>IF($N42&lt;=baseData, -INDEX('Fluxo Investidores'!$L$2:$X$86, MATCH($N42, 'Fluxo Investidores'!$A$2:$A$86, 0), MATCH(R$2, 'Fluxo Investidores'!$L$1:$X$1, 0)), 0)</f>
        <v>0</v>
      </c>
      <c r="S42" s="390">
        <f>IF($N42&lt;=baseData, -INDEX('Fluxo Investidores'!$L$2:$X$86, MATCH($N42, 'Fluxo Investidores'!$A$2:$A$86, 0), MATCH(S$2, 'Fluxo Investidores'!$L$1:$X$1, 0)), 0)</f>
        <v>0</v>
      </c>
      <c r="T42" s="390">
        <f>IF($N42&lt;=baseData, -INDEX('Fluxo Investidores'!$L$2:$X$86, MATCH($N42, 'Fluxo Investidores'!$A$2:$A$86, 0), MATCH(T$2, 'Fluxo Investidores'!$L$1:$X$1, 0)), 0)</f>
        <v>0</v>
      </c>
      <c r="U42" s="390">
        <f>IF($N42&lt;=baseData, -INDEX('Fluxo Investidores'!$L$2:$X$86, MATCH($N42, 'Fluxo Investidores'!$A$2:$A$86, 0), MATCH(U$2, 'Fluxo Investidores'!$L$1:$X$1, 0)), 0)</f>
        <v>0</v>
      </c>
      <c r="V42" s="393">
        <f t="shared" si="37"/>
        <v>0</v>
      </c>
      <c r="X42" s="394">
        <f t="shared" si="27"/>
        <v>0</v>
      </c>
      <c r="Y42" s="395">
        <f t="shared" si="28"/>
        <v>0</v>
      </c>
      <c r="Z42" s="395">
        <f t="shared" si="29"/>
        <v>0</v>
      </c>
      <c r="AA42" s="395">
        <f t="shared" si="30"/>
        <v>0</v>
      </c>
      <c r="AB42" s="395">
        <f t="shared" si="31"/>
        <v>0</v>
      </c>
      <c r="AC42" s="442">
        <f t="shared" si="38"/>
        <v>0</v>
      </c>
      <c r="AD42" s="86"/>
      <c r="AE42" s="394">
        <f t="shared" si="32"/>
        <v>0</v>
      </c>
      <c r="AF42" s="395">
        <f t="shared" si="33"/>
        <v>0</v>
      </c>
      <c r="AG42" s="395">
        <f t="shared" si="34"/>
        <v>0</v>
      </c>
      <c r="AH42" s="395">
        <f t="shared" si="35"/>
        <v>0</v>
      </c>
      <c r="AI42" s="395">
        <f t="shared" si="36"/>
        <v>0</v>
      </c>
      <c r="AJ42" s="442">
        <f t="shared" si="39"/>
        <v>0</v>
      </c>
      <c r="AM42" s="394">
        <f t="shared" si="22"/>
        <v>595506.32183865225</v>
      </c>
      <c r="AN42" s="395">
        <f t="shared" si="23"/>
        <v>606296.23196501774</v>
      </c>
      <c r="AO42" s="395">
        <f t="shared" si="24"/>
        <v>513870.34596238105</v>
      </c>
      <c r="AP42" s="395">
        <f t="shared" si="25"/>
        <v>552123.01894921018</v>
      </c>
      <c r="AQ42" s="396">
        <f t="shared" si="26"/>
        <v>554202.4626396884</v>
      </c>
      <c r="AS42" s="394">
        <f t="shared" si="41"/>
        <v>1818396.0291326758</v>
      </c>
      <c r="AT42" s="395">
        <f t="shared" si="42"/>
        <v>1829413.822869556</v>
      </c>
      <c r="AU42" s="395">
        <f t="shared" si="43"/>
        <v>1849059.3315568487</v>
      </c>
      <c r="AV42" s="395">
        <f t="shared" si="44"/>
        <v>1774096.468036938</v>
      </c>
      <c r="AW42" s="396">
        <f t="shared" si="45"/>
        <v>1994186.3607570766</v>
      </c>
      <c r="AY42" s="394">
        <f>IF($N42&lt;=baseData, IFERROR(INDEX('Fluxo Bandeira Co'!$W:$W, MATCH($N42, 'Fluxo Bandeira Co'!$A:$A, 0))*Permutas!AS42/(SUMIF('Fluxo Investidores'!$A:$A, "&lt;="&amp;$N42, 'Fluxo Investidores'!$Z:$Z)+SUMIF('Fluxo Investidores'!$A:$A, "&lt;="&amp;$N42, 'Fluxo Investidores'!$AA:$AA)), 0), IF($N42&lt;=terminoProjeto, -((1+txAdmKinea)^(1/12)-1)*AS41, 0))</f>
        <v>-2182.7599815103963</v>
      </c>
      <c r="AZ42" s="395">
        <f>IF($N42&lt;=baseData, IFERROR(INDEX('Fluxo Bandeira Co'!$W:$W, MATCH($N42, 'Fluxo Bandeira Co'!$A:$A, 0))*Permutas!AT42/(SUMIF('Fluxo Investidores'!$A:$A, "&lt;="&amp;$N42, 'Fluxo Investidores'!$Z:$Z)+SUMIF('Fluxo Investidores'!$A:$A, "&lt;="&amp;$N42, 'Fluxo Investidores'!$AA:$AA)), 0), IF($N42&lt;=terminoProjeto, -((1+txAdmKinea)^(1/12)-1)*AT41, 0))</f>
        <v>-2195.9854829237865</v>
      </c>
      <c r="BA42" s="395">
        <f>IF($N42&lt;=baseData, IFERROR(INDEX('Fluxo Bandeira Co'!$W:$W, MATCH($N42, 'Fluxo Bandeira Co'!$A:$A, 0))*Permutas!AU42/(SUMIF('Fluxo Investidores'!$A:$A, "&lt;="&amp;$N42, 'Fluxo Investidores'!$Z:$Z)+SUMIF('Fluxo Investidores'!$A:$A, "&lt;="&amp;$N42, 'Fluxo Investidores'!$AA:$AA)), 0), IF($N42&lt;=terminoProjeto, -((1+txAdmKinea)^(1/12)-1)*AU41, 0))</f>
        <v>-2219.5674911838305</v>
      </c>
      <c r="BB42" s="395">
        <f>IF($N42&lt;=baseData, IFERROR(INDEX('Fluxo Bandeira Co'!$W:$W, MATCH($N42, 'Fluxo Bandeira Co'!$A:$A, 0))*Permutas!AV42/(SUMIF('Fluxo Investidores'!$A:$A, "&lt;="&amp;$N42, 'Fluxo Investidores'!$Z:$Z)+SUMIF('Fluxo Investidores'!$A:$A, "&lt;="&amp;$N42, 'Fluxo Investidores'!$AA:$AA)), 0), IF($N42&lt;=terminoProjeto, -((1+txAdmKinea)^(1/12)-1)*AV41, 0))</f>
        <v>-2129.5838264764611</v>
      </c>
      <c r="BC42" s="396">
        <f>IF($N42&lt;=baseData, IFERROR(INDEX('Fluxo Bandeira Co'!$W:$W, MATCH($N42, 'Fluxo Bandeira Co'!$A:$A, 0))*Permutas!AW42/(SUMIF('Fluxo Investidores'!$A:$A, "&lt;="&amp;$N42, 'Fluxo Investidores'!$Z:$Z)+SUMIF('Fluxo Investidores'!$A:$A, "&lt;="&amp;$N42, 'Fluxo Investidores'!$AA:$AA)), 0), IF($N42&lt;=terminoProjeto, -((1+txAdmKinea)^(1/12)-1)*AW41, 0))</f>
        <v>-2393.774576163466</v>
      </c>
    </row>
    <row r="43" spans="2:55" x14ac:dyDescent="0.25">
      <c r="N43" s="315">
        <f t="shared" si="40"/>
        <v>44470</v>
      </c>
      <c r="O43" s="389">
        <f>IF($N43&lt;=baseData, INDEX(Indicadores!B:B, MATCH($N43,Indicadores!A:A, 0)), INDEX(Indicadores!B:B, MATCH(baseData,Indicadores!A:A, 0)))</f>
        <v>839.38199999999995</v>
      </c>
      <c r="Q43" s="397">
        <f>IF($N43&lt;=baseData, -INDEX('Fluxo Investidores'!$L$2:$X$86, MATCH($N43, 'Fluxo Investidores'!$A$2:$A$86, 0), MATCH(Q$2, 'Fluxo Investidores'!$L$1:$X$1, 0)), 0)</f>
        <v>0</v>
      </c>
      <c r="R43" s="390">
        <f>IF($N43&lt;=baseData, -INDEX('Fluxo Investidores'!$L$2:$X$86, MATCH($N43, 'Fluxo Investidores'!$A$2:$A$86, 0), MATCH(R$2, 'Fluxo Investidores'!$L$1:$X$1, 0)), 0)</f>
        <v>0</v>
      </c>
      <c r="S43" s="390">
        <f>IF($N43&lt;=baseData, -INDEX('Fluxo Investidores'!$L$2:$X$86, MATCH($N43, 'Fluxo Investidores'!$A$2:$A$86, 0), MATCH(S$2, 'Fluxo Investidores'!$L$1:$X$1, 0)), 0)</f>
        <v>0</v>
      </c>
      <c r="T43" s="390">
        <f>IF($N43&lt;=baseData, -INDEX('Fluxo Investidores'!$L$2:$X$86, MATCH($N43, 'Fluxo Investidores'!$A$2:$A$86, 0), MATCH(T$2, 'Fluxo Investidores'!$L$1:$X$1, 0)), 0)</f>
        <v>0</v>
      </c>
      <c r="U43" s="390">
        <f>IF($N43&lt;=baseData, -INDEX('Fluxo Investidores'!$L$2:$X$86, MATCH($N43, 'Fluxo Investidores'!$A$2:$A$86, 0), MATCH(U$2, 'Fluxo Investidores'!$L$1:$X$1, 0)), 0)</f>
        <v>0</v>
      </c>
      <c r="V43" s="393">
        <f t="shared" si="37"/>
        <v>0</v>
      </c>
      <c r="X43" s="394">
        <f t="shared" si="27"/>
        <v>0</v>
      </c>
      <c r="Y43" s="395">
        <f t="shared" si="28"/>
        <v>0</v>
      </c>
      <c r="Z43" s="395">
        <f t="shared" si="29"/>
        <v>0</v>
      </c>
      <c r="AA43" s="395">
        <f t="shared" si="30"/>
        <v>0</v>
      </c>
      <c r="AB43" s="395">
        <f t="shared" si="31"/>
        <v>0</v>
      </c>
      <c r="AC43" s="442">
        <f t="shared" si="38"/>
        <v>0</v>
      </c>
      <c r="AD43" s="86"/>
      <c r="AE43" s="394">
        <f t="shared" si="32"/>
        <v>0</v>
      </c>
      <c r="AF43" s="395">
        <f t="shared" si="33"/>
        <v>0</v>
      </c>
      <c r="AG43" s="395">
        <f t="shared" si="34"/>
        <v>0</v>
      </c>
      <c r="AH43" s="395">
        <f t="shared" si="35"/>
        <v>0</v>
      </c>
      <c r="AI43" s="395">
        <f t="shared" si="36"/>
        <v>0</v>
      </c>
      <c r="AJ43" s="442">
        <f t="shared" si="39"/>
        <v>0</v>
      </c>
      <c r="AM43" s="394">
        <f t="shared" si="22"/>
        <v>595506.32183865225</v>
      </c>
      <c r="AN43" s="395">
        <f t="shared" si="23"/>
        <v>606296.23196501774</v>
      </c>
      <c r="AO43" s="395">
        <f t="shared" si="24"/>
        <v>513870.34596238105</v>
      </c>
      <c r="AP43" s="395">
        <f t="shared" si="25"/>
        <v>552123.01894921018</v>
      </c>
      <c r="AQ43" s="396">
        <f t="shared" si="26"/>
        <v>554202.4626396884</v>
      </c>
      <c r="AS43" s="394">
        <f t="shared" si="41"/>
        <v>1818396.0291326758</v>
      </c>
      <c r="AT43" s="395">
        <f t="shared" si="42"/>
        <v>1829413.822869556</v>
      </c>
      <c r="AU43" s="395">
        <f t="shared" si="43"/>
        <v>1849059.3315568487</v>
      </c>
      <c r="AV43" s="395">
        <f t="shared" si="44"/>
        <v>1774096.468036938</v>
      </c>
      <c r="AW43" s="396">
        <f t="shared" si="45"/>
        <v>1994186.3607570766</v>
      </c>
      <c r="AY43" s="394">
        <f>IF($N43&lt;=baseData, IFERROR(INDEX('Fluxo Bandeira Co'!$W:$W, MATCH($N43, 'Fluxo Bandeira Co'!$A:$A, 0))*Permutas!AS43/(SUMIF('Fluxo Investidores'!$A:$A, "&lt;="&amp;$N43, 'Fluxo Investidores'!$Z:$Z)+SUMIF('Fluxo Investidores'!$A:$A, "&lt;="&amp;$N43, 'Fluxo Investidores'!$AA:$AA)), 0), IF($N43&lt;=terminoProjeto, -((1+txAdmKinea)^(1/12)-1)*AS42, 0))</f>
        <v>-2182.7599815103963</v>
      </c>
      <c r="AZ43" s="395">
        <f>IF($N43&lt;=baseData, IFERROR(INDEX('Fluxo Bandeira Co'!$W:$W, MATCH($N43, 'Fluxo Bandeira Co'!$A:$A, 0))*Permutas!AT43/(SUMIF('Fluxo Investidores'!$A:$A, "&lt;="&amp;$N43, 'Fluxo Investidores'!$Z:$Z)+SUMIF('Fluxo Investidores'!$A:$A, "&lt;="&amp;$N43, 'Fluxo Investidores'!$AA:$AA)), 0), IF($N43&lt;=terminoProjeto, -((1+txAdmKinea)^(1/12)-1)*AT42, 0))</f>
        <v>-2195.9854829237865</v>
      </c>
      <c r="BA43" s="395">
        <f>IF($N43&lt;=baseData, IFERROR(INDEX('Fluxo Bandeira Co'!$W:$W, MATCH($N43, 'Fluxo Bandeira Co'!$A:$A, 0))*Permutas!AU43/(SUMIF('Fluxo Investidores'!$A:$A, "&lt;="&amp;$N43, 'Fluxo Investidores'!$Z:$Z)+SUMIF('Fluxo Investidores'!$A:$A, "&lt;="&amp;$N43, 'Fluxo Investidores'!$AA:$AA)), 0), IF($N43&lt;=terminoProjeto, -((1+txAdmKinea)^(1/12)-1)*AU42, 0))</f>
        <v>-2219.5674911838305</v>
      </c>
      <c r="BB43" s="395">
        <f>IF($N43&lt;=baseData, IFERROR(INDEX('Fluxo Bandeira Co'!$W:$W, MATCH($N43, 'Fluxo Bandeira Co'!$A:$A, 0))*Permutas!AV43/(SUMIF('Fluxo Investidores'!$A:$A, "&lt;="&amp;$N43, 'Fluxo Investidores'!$Z:$Z)+SUMIF('Fluxo Investidores'!$A:$A, "&lt;="&amp;$N43, 'Fluxo Investidores'!$AA:$AA)), 0), IF($N43&lt;=terminoProjeto, -((1+txAdmKinea)^(1/12)-1)*AV42, 0))</f>
        <v>-2129.5838264764611</v>
      </c>
      <c r="BC43" s="396">
        <f>IF($N43&lt;=baseData, IFERROR(INDEX('Fluxo Bandeira Co'!$W:$W, MATCH($N43, 'Fluxo Bandeira Co'!$A:$A, 0))*Permutas!AW43/(SUMIF('Fluxo Investidores'!$A:$A, "&lt;="&amp;$N43, 'Fluxo Investidores'!$Z:$Z)+SUMIF('Fluxo Investidores'!$A:$A, "&lt;="&amp;$N43, 'Fluxo Investidores'!$AA:$AA)), 0), IF($N43&lt;=terminoProjeto, -((1+txAdmKinea)^(1/12)-1)*AW42, 0))</f>
        <v>-2393.774576163466</v>
      </c>
    </row>
    <row r="44" spans="2:55" x14ac:dyDescent="0.25">
      <c r="N44" s="315">
        <f t="shared" si="40"/>
        <v>44501</v>
      </c>
      <c r="O44" s="389">
        <f>IF($N44&lt;=baseData, INDEX(Indicadores!B:B, MATCH($N44,Indicadores!A:A, 0)), INDEX(Indicadores!B:B, MATCH(baseData,Indicadores!A:A, 0)))</f>
        <v>839.38199999999995</v>
      </c>
      <c r="Q44" s="397">
        <f>IF($N44&lt;=baseData, -INDEX('Fluxo Investidores'!$L$2:$X$86, MATCH($N44, 'Fluxo Investidores'!$A$2:$A$86, 0), MATCH(Q$2, 'Fluxo Investidores'!$L$1:$X$1, 0)), 0)</f>
        <v>0</v>
      </c>
      <c r="R44" s="390">
        <f>IF($N44&lt;=baseData, -INDEX('Fluxo Investidores'!$L$2:$X$86, MATCH($N44, 'Fluxo Investidores'!$A$2:$A$86, 0), MATCH(R$2, 'Fluxo Investidores'!$L$1:$X$1, 0)), 0)</f>
        <v>0</v>
      </c>
      <c r="S44" s="390">
        <f>IF($N44&lt;=baseData, -INDEX('Fluxo Investidores'!$L$2:$X$86, MATCH($N44, 'Fluxo Investidores'!$A$2:$A$86, 0), MATCH(S$2, 'Fluxo Investidores'!$L$1:$X$1, 0)), 0)</f>
        <v>0</v>
      </c>
      <c r="T44" s="390">
        <f>IF($N44&lt;=baseData, -INDEX('Fluxo Investidores'!$L$2:$X$86, MATCH($N44, 'Fluxo Investidores'!$A$2:$A$86, 0), MATCH(T$2, 'Fluxo Investidores'!$L$1:$X$1, 0)), 0)</f>
        <v>0</v>
      </c>
      <c r="U44" s="390">
        <f>IF($N44&lt;=baseData, -INDEX('Fluxo Investidores'!$L$2:$X$86, MATCH($N44, 'Fluxo Investidores'!$A$2:$A$86, 0), MATCH(U$2, 'Fluxo Investidores'!$L$1:$X$1, 0)), 0)</f>
        <v>0</v>
      </c>
      <c r="V44" s="393">
        <f t="shared" si="37"/>
        <v>0</v>
      </c>
      <c r="X44" s="394">
        <f t="shared" si="27"/>
        <v>0</v>
      </c>
      <c r="Y44" s="395">
        <f t="shared" si="28"/>
        <v>0</v>
      </c>
      <c r="Z44" s="395">
        <f t="shared" si="29"/>
        <v>0</v>
      </c>
      <c r="AA44" s="395">
        <f t="shared" si="30"/>
        <v>0</v>
      </c>
      <c r="AB44" s="395">
        <f t="shared" si="31"/>
        <v>0</v>
      </c>
      <c r="AC44" s="442">
        <f t="shared" si="38"/>
        <v>0</v>
      </c>
      <c r="AD44" s="86"/>
      <c r="AE44" s="394">
        <f t="shared" si="32"/>
        <v>0</v>
      </c>
      <c r="AF44" s="395">
        <f t="shared" si="33"/>
        <v>0</v>
      </c>
      <c r="AG44" s="395">
        <f t="shared" si="34"/>
        <v>0</v>
      </c>
      <c r="AH44" s="395">
        <f t="shared" si="35"/>
        <v>0</v>
      </c>
      <c r="AI44" s="395">
        <f t="shared" si="36"/>
        <v>0</v>
      </c>
      <c r="AJ44" s="442">
        <f t="shared" si="39"/>
        <v>0</v>
      </c>
      <c r="AM44" s="394">
        <f t="shared" si="22"/>
        <v>595506.32183865225</v>
      </c>
      <c r="AN44" s="395">
        <f t="shared" si="23"/>
        <v>606296.23196501774</v>
      </c>
      <c r="AO44" s="395">
        <f t="shared" si="24"/>
        <v>513870.34596238105</v>
      </c>
      <c r="AP44" s="395">
        <f t="shared" si="25"/>
        <v>552123.01894921018</v>
      </c>
      <c r="AQ44" s="396">
        <f t="shared" si="26"/>
        <v>554202.4626396884</v>
      </c>
      <c r="AS44" s="394">
        <f t="shared" si="41"/>
        <v>1818396.0291326758</v>
      </c>
      <c r="AT44" s="395">
        <f t="shared" si="42"/>
        <v>1829413.822869556</v>
      </c>
      <c r="AU44" s="395">
        <f t="shared" si="43"/>
        <v>1849059.3315568487</v>
      </c>
      <c r="AV44" s="395">
        <f t="shared" si="44"/>
        <v>1774096.468036938</v>
      </c>
      <c r="AW44" s="396">
        <f t="shared" si="45"/>
        <v>1994186.3607570766</v>
      </c>
      <c r="AY44" s="394">
        <f>IF($N44&lt;=baseData, IFERROR(INDEX('Fluxo Bandeira Co'!$W:$W, MATCH($N44, 'Fluxo Bandeira Co'!$A:$A, 0))*Permutas!AS44/(SUMIF('Fluxo Investidores'!$A:$A, "&lt;="&amp;$N44, 'Fluxo Investidores'!$Z:$Z)+SUMIF('Fluxo Investidores'!$A:$A, "&lt;="&amp;$N44, 'Fluxo Investidores'!$AA:$AA)), 0), IF($N44&lt;=terminoProjeto, -((1+txAdmKinea)^(1/12)-1)*AS43, 0))</f>
        <v>-2182.7599815103963</v>
      </c>
      <c r="AZ44" s="395">
        <f>IF($N44&lt;=baseData, IFERROR(INDEX('Fluxo Bandeira Co'!$W:$W, MATCH($N44, 'Fluxo Bandeira Co'!$A:$A, 0))*Permutas!AT44/(SUMIF('Fluxo Investidores'!$A:$A, "&lt;="&amp;$N44, 'Fluxo Investidores'!$Z:$Z)+SUMIF('Fluxo Investidores'!$A:$A, "&lt;="&amp;$N44, 'Fluxo Investidores'!$AA:$AA)), 0), IF($N44&lt;=terminoProjeto, -((1+txAdmKinea)^(1/12)-1)*AT43, 0))</f>
        <v>-2195.9854829237865</v>
      </c>
      <c r="BA44" s="395">
        <f>IF($N44&lt;=baseData, IFERROR(INDEX('Fluxo Bandeira Co'!$W:$W, MATCH($N44, 'Fluxo Bandeira Co'!$A:$A, 0))*Permutas!AU44/(SUMIF('Fluxo Investidores'!$A:$A, "&lt;="&amp;$N44, 'Fluxo Investidores'!$Z:$Z)+SUMIF('Fluxo Investidores'!$A:$A, "&lt;="&amp;$N44, 'Fluxo Investidores'!$AA:$AA)), 0), IF($N44&lt;=terminoProjeto, -((1+txAdmKinea)^(1/12)-1)*AU43, 0))</f>
        <v>-2219.5674911838305</v>
      </c>
      <c r="BB44" s="395">
        <f>IF($N44&lt;=baseData, IFERROR(INDEX('Fluxo Bandeira Co'!$W:$W, MATCH($N44, 'Fluxo Bandeira Co'!$A:$A, 0))*Permutas!AV44/(SUMIF('Fluxo Investidores'!$A:$A, "&lt;="&amp;$N44, 'Fluxo Investidores'!$Z:$Z)+SUMIF('Fluxo Investidores'!$A:$A, "&lt;="&amp;$N44, 'Fluxo Investidores'!$AA:$AA)), 0), IF($N44&lt;=terminoProjeto, -((1+txAdmKinea)^(1/12)-1)*AV43, 0))</f>
        <v>-2129.5838264764611</v>
      </c>
      <c r="BC44" s="396">
        <f>IF($N44&lt;=baseData, IFERROR(INDEX('Fluxo Bandeira Co'!$W:$W, MATCH($N44, 'Fluxo Bandeira Co'!$A:$A, 0))*Permutas!AW44/(SUMIF('Fluxo Investidores'!$A:$A, "&lt;="&amp;$N44, 'Fluxo Investidores'!$Z:$Z)+SUMIF('Fluxo Investidores'!$A:$A, "&lt;="&amp;$N44, 'Fluxo Investidores'!$AA:$AA)), 0), IF($N44&lt;=terminoProjeto, -((1+txAdmKinea)^(1/12)-1)*AW43, 0))</f>
        <v>-2393.774576163466</v>
      </c>
    </row>
    <row r="45" spans="2:55" x14ac:dyDescent="0.25">
      <c r="N45" s="315">
        <f t="shared" si="40"/>
        <v>44531</v>
      </c>
      <c r="O45" s="389">
        <f>IF($N45&lt;=baseData, INDEX(Indicadores!B:B, MATCH($N45,Indicadores!A:A, 0)), INDEX(Indicadores!B:B, MATCH(baseData,Indicadores!A:A, 0)))</f>
        <v>839.38199999999995</v>
      </c>
      <c r="Q45" s="397">
        <f>IF($N45&lt;=baseData, -INDEX('Fluxo Investidores'!$L$2:$X$86, MATCH($N45, 'Fluxo Investidores'!$A$2:$A$86, 0), MATCH(Q$2, 'Fluxo Investidores'!$L$1:$X$1, 0)), 0)</f>
        <v>0</v>
      </c>
      <c r="R45" s="390">
        <f>IF($N45&lt;=baseData, -INDEX('Fluxo Investidores'!$L$2:$X$86, MATCH($N45, 'Fluxo Investidores'!$A$2:$A$86, 0), MATCH(R$2, 'Fluxo Investidores'!$L$1:$X$1, 0)), 0)</f>
        <v>0</v>
      </c>
      <c r="S45" s="390">
        <f>IF($N45&lt;=baseData, -INDEX('Fluxo Investidores'!$L$2:$X$86, MATCH($N45, 'Fluxo Investidores'!$A$2:$A$86, 0), MATCH(S$2, 'Fluxo Investidores'!$L$1:$X$1, 0)), 0)</f>
        <v>0</v>
      </c>
      <c r="T45" s="390">
        <f>IF($N45&lt;=baseData, -INDEX('Fluxo Investidores'!$L$2:$X$86, MATCH($N45, 'Fluxo Investidores'!$A$2:$A$86, 0), MATCH(T$2, 'Fluxo Investidores'!$L$1:$X$1, 0)), 0)</f>
        <v>0</v>
      </c>
      <c r="U45" s="390">
        <f>IF($N45&lt;=baseData, -INDEX('Fluxo Investidores'!$L$2:$X$86, MATCH($N45, 'Fluxo Investidores'!$A$2:$A$86, 0), MATCH(U$2, 'Fluxo Investidores'!$L$1:$X$1, 0)), 0)</f>
        <v>0</v>
      </c>
      <c r="V45" s="393">
        <f t="shared" si="37"/>
        <v>0</v>
      </c>
      <c r="X45" s="394">
        <f t="shared" si="27"/>
        <v>0</v>
      </c>
      <c r="Y45" s="395">
        <f t="shared" si="28"/>
        <v>0</v>
      </c>
      <c r="Z45" s="395">
        <f t="shared" si="29"/>
        <v>0</v>
      </c>
      <c r="AA45" s="395">
        <f t="shared" si="30"/>
        <v>0</v>
      </c>
      <c r="AB45" s="395">
        <f t="shared" si="31"/>
        <v>0</v>
      </c>
      <c r="AC45" s="442">
        <f t="shared" si="38"/>
        <v>0</v>
      </c>
      <c r="AD45" s="86"/>
      <c r="AE45" s="394">
        <f t="shared" si="32"/>
        <v>0</v>
      </c>
      <c r="AF45" s="395">
        <f t="shared" si="33"/>
        <v>0</v>
      </c>
      <c r="AG45" s="395">
        <f t="shared" si="34"/>
        <v>0</v>
      </c>
      <c r="AH45" s="395">
        <f t="shared" si="35"/>
        <v>0</v>
      </c>
      <c r="AI45" s="395">
        <f t="shared" si="36"/>
        <v>0</v>
      </c>
      <c r="AJ45" s="442">
        <f t="shared" si="39"/>
        <v>0</v>
      </c>
      <c r="AM45" s="394">
        <f t="shared" si="22"/>
        <v>595506.32183865225</v>
      </c>
      <c r="AN45" s="395">
        <f t="shared" si="23"/>
        <v>606296.23196501774</v>
      </c>
      <c r="AO45" s="395">
        <f t="shared" si="24"/>
        <v>513870.34596238105</v>
      </c>
      <c r="AP45" s="395">
        <f t="shared" si="25"/>
        <v>552123.01894921018</v>
      </c>
      <c r="AQ45" s="396">
        <f t="shared" si="26"/>
        <v>554202.4626396884</v>
      </c>
      <c r="AS45" s="394">
        <f t="shared" si="41"/>
        <v>1818396.0291326758</v>
      </c>
      <c r="AT45" s="395">
        <f t="shared" si="42"/>
        <v>1829413.822869556</v>
      </c>
      <c r="AU45" s="395">
        <f t="shared" si="43"/>
        <v>1849059.3315568487</v>
      </c>
      <c r="AV45" s="395">
        <f t="shared" si="44"/>
        <v>1774096.468036938</v>
      </c>
      <c r="AW45" s="396">
        <f t="shared" si="45"/>
        <v>1994186.3607570766</v>
      </c>
      <c r="AY45" s="394">
        <f>IF($N45&lt;=baseData, IFERROR(INDEX('Fluxo Bandeira Co'!$W:$W, MATCH($N45, 'Fluxo Bandeira Co'!$A:$A, 0))*Permutas!AS45/(SUMIF('Fluxo Investidores'!$A:$A, "&lt;="&amp;$N45, 'Fluxo Investidores'!$Z:$Z)+SUMIF('Fluxo Investidores'!$A:$A, "&lt;="&amp;$N45, 'Fluxo Investidores'!$AA:$AA)), 0), IF($N45&lt;=terminoProjeto, -((1+txAdmKinea)^(1/12)-1)*AS44, 0))</f>
        <v>-2182.7599815103963</v>
      </c>
      <c r="AZ45" s="395">
        <f>IF($N45&lt;=baseData, IFERROR(INDEX('Fluxo Bandeira Co'!$W:$W, MATCH($N45, 'Fluxo Bandeira Co'!$A:$A, 0))*Permutas!AT45/(SUMIF('Fluxo Investidores'!$A:$A, "&lt;="&amp;$N45, 'Fluxo Investidores'!$Z:$Z)+SUMIF('Fluxo Investidores'!$A:$A, "&lt;="&amp;$N45, 'Fluxo Investidores'!$AA:$AA)), 0), IF($N45&lt;=terminoProjeto, -((1+txAdmKinea)^(1/12)-1)*AT44, 0))</f>
        <v>-2195.9854829237865</v>
      </c>
      <c r="BA45" s="395">
        <f>IF($N45&lt;=baseData, IFERROR(INDEX('Fluxo Bandeira Co'!$W:$W, MATCH($N45, 'Fluxo Bandeira Co'!$A:$A, 0))*Permutas!AU45/(SUMIF('Fluxo Investidores'!$A:$A, "&lt;="&amp;$N45, 'Fluxo Investidores'!$Z:$Z)+SUMIF('Fluxo Investidores'!$A:$A, "&lt;="&amp;$N45, 'Fluxo Investidores'!$AA:$AA)), 0), IF($N45&lt;=terminoProjeto, -((1+txAdmKinea)^(1/12)-1)*AU44, 0))</f>
        <v>-2219.5674911838305</v>
      </c>
      <c r="BB45" s="395">
        <f>IF($N45&lt;=baseData, IFERROR(INDEX('Fluxo Bandeira Co'!$W:$W, MATCH($N45, 'Fluxo Bandeira Co'!$A:$A, 0))*Permutas!AV45/(SUMIF('Fluxo Investidores'!$A:$A, "&lt;="&amp;$N45, 'Fluxo Investidores'!$Z:$Z)+SUMIF('Fluxo Investidores'!$A:$A, "&lt;="&amp;$N45, 'Fluxo Investidores'!$AA:$AA)), 0), IF($N45&lt;=terminoProjeto, -((1+txAdmKinea)^(1/12)-1)*AV44, 0))</f>
        <v>-2129.5838264764611</v>
      </c>
      <c r="BC45" s="396">
        <f>IF($N45&lt;=baseData, IFERROR(INDEX('Fluxo Bandeira Co'!$W:$W, MATCH($N45, 'Fluxo Bandeira Co'!$A:$A, 0))*Permutas!AW45/(SUMIF('Fluxo Investidores'!$A:$A, "&lt;="&amp;$N45, 'Fluxo Investidores'!$Z:$Z)+SUMIF('Fluxo Investidores'!$A:$A, "&lt;="&amp;$N45, 'Fluxo Investidores'!$AA:$AA)), 0), IF($N45&lt;=terminoProjeto, -((1+txAdmKinea)^(1/12)-1)*AW44, 0))</f>
        <v>-2393.774576163466</v>
      </c>
    </row>
    <row r="46" spans="2:55" x14ac:dyDescent="0.25">
      <c r="N46" s="315">
        <f t="shared" si="40"/>
        <v>44562</v>
      </c>
      <c r="O46" s="389">
        <f>IF($N46&lt;=baseData, INDEX(Indicadores!B:B, MATCH($N46,Indicadores!A:A, 0)), INDEX(Indicadores!B:B, MATCH(baseData,Indicadores!A:A, 0)))</f>
        <v>839.38199999999995</v>
      </c>
      <c r="Q46" s="397">
        <f>IF($N46&lt;=baseData, -INDEX('Fluxo Investidores'!$L$2:$X$86, MATCH($N46, 'Fluxo Investidores'!$A$2:$A$86, 0), MATCH(Q$2, 'Fluxo Investidores'!$L$1:$X$1, 0)), 0)</f>
        <v>0</v>
      </c>
      <c r="R46" s="390">
        <f>IF($N46&lt;=baseData, -INDEX('Fluxo Investidores'!$L$2:$X$86, MATCH($N46, 'Fluxo Investidores'!$A$2:$A$86, 0), MATCH(R$2, 'Fluxo Investidores'!$L$1:$X$1, 0)), 0)</f>
        <v>0</v>
      </c>
      <c r="S46" s="390">
        <f>IF($N46&lt;=baseData, -INDEX('Fluxo Investidores'!$L$2:$X$86, MATCH($N46, 'Fluxo Investidores'!$A$2:$A$86, 0), MATCH(S$2, 'Fluxo Investidores'!$L$1:$X$1, 0)), 0)</f>
        <v>0</v>
      </c>
      <c r="T46" s="390">
        <f>IF($N46&lt;=baseData, -INDEX('Fluxo Investidores'!$L$2:$X$86, MATCH($N46, 'Fluxo Investidores'!$A$2:$A$86, 0), MATCH(T$2, 'Fluxo Investidores'!$L$1:$X$1, 0)), 0)</f>
        <v>0</v>
      </c>
      <c r="U46" s="390">
        <f>IF($N46&lt;=baseData, -INDEX('Fluxo Investidores'!$L$2:$X$86, MATCH($N46, 'Fluxo Investidores'!$A$2:$A$86, 0), MATCH(U$2, 'Fluxo Investidores'!$L$1:$X$1, 0)), 0)</f>
        <v>0</v>
      </c>
      <c r="V46" s="393">
        <f t="shared" si="37"/>
        <v>0</v>
      </c>
      <c r="X46" s="394">
        <f t="shared" si="27"/>
        <v>616480.45011867792</v>
      </c>
      <c r="Y46" s="395">
        <f t="shared" si="28"/>
        <v>627293.30262120452</v>
      </c>
      <c r="Z46" s="395">
        <f t="shared" si="29"/>
        <v>536527.64404594596</v>
      </c>
      <c r="AA46" s="395">
        <f t="shared" si="30"/>
        <v>573004.9021556119</v>
      </c>
      <c r="AB46" s="395">
        <f t="shared" si="31"/>
        <v>578638.06296832149</v>
      </c>
      <c r="AC46" s="442">
        <f t="shared" si="38"/>
        <v>2931944.361909762</v>
      </c>
      <c r="AD46" s="86"/>
      <c r="AE46" s="394">
        <f t="shared" si="32"/>
        <v>630176.25251640868</v>
      </c>
      <c r="AF46" s="395">
        <f t="shared" si="33"/>
        <v>641382.06494167785</v>
      </c>
      <c r="AG46" s="395">
        <f t="shared" si="34"/>
        <v>550406.93187391968</v>
      </c>
      <c r="AH46" s="395">
        <f t="shared" si="35"/>
        <v>585120.7140741765</v>
      </c>
      <c r="AI46" s="395">
        <f t="shared" si="36"/>
        <v>596860.77333730133</v>
      </c>
      <c r="AJ46" s="442">
        <f t="shared" si="39"/>
        <v>3003946.7367434842</v>
      </c>
      <c r="AM46" s="394">
        <f t="shared" si="22"/>
        <v>-20974.128280025674</v>
      </c>
      <c r="AN46" s="395">
        <f t="shared" si="23"/>
        <v>-20997.070656186785</v>
      </c>
      <c r="AO46" s="395">
        <f t="shared" si="24"/>
        <v>-22657.298083564907</v>
      </c>
      <c r="AP46" s="395">
        <f t="shared" si="25"/>
        <v>-20881.883206401719</v>
      </c>
      <c r="AQ46" s="396">
        <f t="shared" si="26"/>
        <v>-24435.600328633096</v>
      </c>
      <c r="AS46" s="394">
        <f t="shared" si="41"/>
        <v>2434876.479251354</v>
      </c>
      <c r="AT46" s="395">
        <f t="shared" si="42"/>
        <v>2456707.1254907604</v>
      </c>
      <c r="AU46" s="395">
        <f t="shared" si="43"/>
        <v>2385586.9756027944</v>
      </c>
      <c r="AV46" s="395">
        <f t="shared" si="44"/>
        <v>2347101.3701925501</v>
      </c>
      <c r="AW46" s="396">
        <f t="shared" si="45"/>
        <v>2572824.4237253983</v>
      </c>
      <c r="AY46" s="394">
        <f>IF($N46&lt;=baseData, IFERROR(INDEX('Fluxo Bandeira Co'!$W:$W, MATCH($N46, 'Fluxo Bandeira Co'!$A:$A, 0))*Permutas!AS46/(SUMIF('Fluxo Investidores'!$A:$A, "&lt;="&amp;$N46, 'Fluxo Investidores'!$Z:$Z)+SUMIF('Fluxo Investidores'!$A:$A, "&lt;="&amp;$N46, 'Fluxo Investidores'!$AA:$AA)), 0), IF($N46&lt;=terminoProjeto, -((1+txAdmKinea)^(1/12)-1)*AS45, 0))</f>
        <v>-2182.7599815103963</v>
      </c>
      <c r="AZ46" s="395">
        <f>IF($N46&lt;=baseData, IFERROR(INDEX('Fluxo Bandeira Co'!$W:$W, MATCH($N46, 'Fluxo Bandeira Co'!$A:$A, 0))*Permutas!AT46/(SUMIF('Fluxo Investidores'!$A:$A, "&lt;="&amp;$N46, 'Fluxo Investidores'!$Z:$Z)+SUMIF('Fluxo Investidores'!$A:$A, "&lt;="&amp;$N46, 'Fluxo Investidores'!$AA:$AA)), 0), IF($N46&lt;=terminoProjeto, -((1+txAdmKinea)^(1/12)-1)*AT45, 0))</f>
        <v>-2195.9854829237865</v>
      </c>
      <c r="BA46" s="395">
        <f>IF($N46&lt;=baseData, IFERROR(INDEX('Fluxo Bandeira Co'!$W:$W, MATCH($N46, 'Fluxo Bandeira Co'!$A:$A, 0))*Permutas!AU46/(SUMIF('Fluxo Investidores'!$A:$A, "&lt;="&amp;$N46, 'Fluxo Investidores'!$Z:$Z)+SUMIF('Fluxo Investidores'!$A:$A, "&lt;="&amp;$N46, 'Fluxo Investidores'!$AA:$AA)), 0), IF($N46&lt;=terminoProjeto, -((1+txAdmKinea)^(1/12)-1)*AU45, 0))</f>
        <v>-2219.5674911838305</v>
      </c>
      <c r="BB46" s="395">
        <f>IF($N46&lt;=baseData, IFERROR(INDEX('Fluxo Bandeira Co'!$W:$W, MATCH($N46, 'Fluxo Bandeira Co'!$A:$A, 0))*Permutas!AV46/(SUMIF('Fluxo Investidores'!$A:$A, "&lt;="&amp;$N46, 'Fluxo Investidores'!$Z:$Z)+SUMIF('Fluxo Investidores'!$A:$A, "&lt;="&amp;$N46, 'Fluxo Investidores'!$AA:$AA)), 0), IF($N46&lt;=terminoProjeto, -((1+txAdmKinea)^(1/12)-1)*AV45, 0))</f>
        <v>-2129.5838264764611</v>
      </c>
      <c r="BC46" s="396">
        <f>IF($N46&lt;=baseData, IFERROR(INDEX('Fluxo Bandeira Co'!$W:$W, MATCH($N46, 'Fluxo Bandeira Co'!$A:$A, 0))*Permutas!AW46/(SUMIF('Fluxo Investidores'!$A:$A, "&lt;="&amp;$N46, 'Fluxo Investidores'!$Z:$Z)+SUMIF('Fluxo Investidores'!$A:$A, "&lt;="&amp;$N46, 'Fluxo Investidores'!$AA:$AA)), 0), IF($N46&lt;=terminoProjeto, -((1+txAdmKinea)^(1/12)-1)*AW45, 0))</f>
        <v>-2393.774576163466</v>
      </c>
    </row>
    <row r="47" spans="2:55" x14ac:dyDescent="0.25">
      <c r="N47" s="315">
        <f t="shared" si="40"/>
        <v>44593</v>
      </c>
      <c r="O47" s="389">
        <f>IF($N47&lt;=baseData, INDEX(Indicadores!B:B, MATCH($N47,Indicadores!A:A, 0)), INDEX(Indicadores!B:B, MATCH(baseData,Indicadores!A:A, 0)))</f>
        <v>839.38199999999995</v>
      </c>
      <c r="Q47" s="397">
        <f>IF($N47&lt;=baseData, -INDEX('Fluxo Investidores'!$L$2:$X$86, MATCH($N47, 'Fluxo Investidores'!$A$2:$A$86, 0), MATCH(Q$2, 'Fluxo Investidores'!$L$1:$X$1, 0)), 0)</f>
        <v>0</v>
      </c>
      <c r="R47" s="390">
        <f>IF($N47&lt;=baseData, -INDEX('Fluxo Investidores'!$L$2:$X$86, MATCH($N47, 'Fluxo Investidores'!$A$2:$A$86, 0), MATCH(R$2, 'Fluxo Investidores'!$L$1:$X$1, 0)), 0)</f>
        <v>0</v>
      </c>
      <c r="S47" s="390">
        <f>IF($N47&lt;=baseData, -INDEX('Fluxo Investidores'!$L$2:$X$86, MATCH($N47, 'Fluxo Investidores'!$A$2:$A$86, 0), MATCH(S$2, 'Fluxo Investidores'!$L$1:$X$1, 0)), 0)</f>
        <v>0</v>
      </c>
      <c r="T47" s="390">
        <f>IF($N47&lt;=baseData, -INDEX('Fluxo Investidores'!$L$2:$X$86, MATCH($N47, 'Fluxo Investidores'!$A$2:$A$86, 0), MATCH(T$2, 'Fluxo Investidores'!$L$1:$X$1, 0)), 0)</f>
        <v>0</v>
      </c>
      <c r="U47" s="390">
        <f>IF($N47&lt;=baseData, -INDEX('Fluxo Investidores'!$L$2:$X$86, MATCH($N47, 'Fluxo Investidores'!$A$2:$A$86, 0), MATCH(U$2, 'Fluxo Investidores'!$L$1:$X$1, 0)), 0)</f>
        <v>0</v>
      </c>
      <c r="V47" s="393">
        <f t="shared" si="37"/>
        <v>0</v>
      </c>
      <c r="X47" s="394">
        <f t="shared" si="27"/>
        <v>0</v>
      </c>
      <c r="Y47" s="395">
        <f t="shared" si="28"/>
        <v>0</v>
      </c>
      <c r="Z47" s="395">
        <f t="shared" si="29"/>
        <v>0</v>
      </c>
      <c r="AA47" s="395">
        <f t="shared" si="30"/>
        <v>0</v>
      </c>
      <c r="AB47" s="395">
        <f t="shared" si="31"/>
        <v>0</v>
      </c>
      <c r="AC47" s="442">
        <f t="shared" si="38"/>
        <v>0</v>
      </c>
      <c r="AD47" s="86"/>
      <c r="AE47" s="394">
        <f t="shared" si="32"/>
        <v>0</v>
      </c>
      <c r="AF47" s="395">
        <f t="shared" si="33"/>
        <v>0</v>
      </c>
      <c r="AG47" s="395">
        <f t="shared" si="34"/>
        <v>0</v>
      </c>
      <c r="AH47" s="395">
        <f t="shared" si="35"/>
        <v>0</v>
      </c>
      <c r="AI47" s="395">
        <f t="shared" si="36"/>
        <v>0</v>
      </c>
      <c r="AJ47" s="442">
        <f t="shared" si="39"/>
        <v>0</v>
      </c>
      <c r="AM47" s="394">
        <f t="shared" si="22"/>
        <v>-20974.128280025674</v>
      </c>
      <c r="AN47" s="395">
        <f t="shared" si="23"/>
        <v>-20997.070656186785</v>
      </c>
      <c r="AO47" s="395">
        <f t="shared" si="24"/>
        <v>-22657.298083564907</v>
      </c>
      <c r="AP47" s="395">
        <f t="shared" si="25"/>
        <v>-20881.883206401719</v>
      </c>
      <c r="AQ47" s="396">
        <f t="shared" si="26"/>
        <v>-24435.600328633096</v>
      </c>
      <c r="AS47" s="394">
        <f t="shared" si="41"/>
        <v>2434876.479251354</v>
      </c>
      <c r="AT47" s="395">
        <f t="shared" si="42"/>
        <v>2456707.1254907604</v>
      </c>
      <c r="AU47" s="395">
        <f t="shared" si="43"/>
        <v>2385586.9756027944</v>
      </c>
      <c r="AV47" s="395">
        <f t="shared" si="44"/>
        <v>2347101.3701925501</v>
      </c>
      <c r="AW47" s="396">
        <f t="shared" si="45"/>
        <v>2572824.4237253983</v>
      </c>
      <c r="AY47" s="394">
        <f>IF($N47&lt;=baseData, IFERROR(INDEX('Fluxo Bandeira Co'!$W:$W, MATCH($N47, 'Fluxo Bandeira Co'!$A:$A, 0))*Permutas!AS47/(SUMIF('Fluxo Investidores'!$A:$A, "&lt;="&amp;$N47, 'Fluxo Investidores'!$Z:$Z)+SUMIF('Fluxo Investidores'!$A:$A, "&lt;="&amp;$N47, 'Fluxo Investidores'!$AA:$AA)), 0), IF($N47&lt;=terminoProjeto, -((1+txAdmKinea)^(1/12)-1)*AS46, 0))</f>
        <v>-2922.7686673764747</v>
      </c>
      <c r="AZ47" s="395">
        <f>IF($N47&lt;=baseData, IFERROR(INDEX('Fluxo Bandeira Co'!$W:$W, MATCH($N47, 'Fluxo Bandeira Co'!$A:$A, 0))*Permutas!AT47/(SUMIF('Fluxo Investidores'!$A:$A, "&lt;="&amp;$N47, 'Fluxo Investidores'!$Z:$Z)+SUMIF('Fluxo Investidores'!$A:$A, "&lt;="&amp;$N47, 'Fluxo Investidores'!$AA:$AA)), 0), IF($N47&lt;=terminoProjeto, -((1+txAdmKinea)^(1/12)-1)*AT46, 0))</f>
        <v>-2948.9736635480813</v>
      </c>
      <c r="BA47" s="395">
        <f>IF($N47&lt;=baseData, IFERROR(INDEX('Fluxo Bandeira Co'!$W:$W, MATCH($N47, 'Fluxo Bandeira Co'!$A:$A, 0))*Permutas!AU47/(SUMIF('Fluxo Investidores'!$A:$A, "&lt;="&amp;$N47, 'Fluxo Investidores'!$Z:$Z)+SUMIF('Fluxo Investidores'!$A:$A, "&lt;="&amp;$N47, 'Fluxo Investidores'!$AA:$AA)), 0), IF($N47&lt;=terminoProjeto, -((1+txAdmKinea)^(1/12)-1)*AU46, 0))</f>
        <v>-2863.60270223526</v>
      </c>
      <c r="BB47" s="395">
        <f>IF($N47&lt;=baseData, IFERROR(INDEX('Fluxo Bandeira Co'!$W:$W, MATCH($N47, 'Fluxo Bandeira Co'!$A:$A, 0))*Permutas!AV47/(SUMIF('Fluxo Investidores'!$A:$A, "&lt;="&amp;$N47, 'Fluxo Investidores'!$Z:$Z)+SUMIF('Fluxo Investidores'!$A:$A, "&lt;="&amp;$N47, 'Fluxo Investidores'!$AA:$AA)), 0), IF($N47&lt;=terminoProjeto, -((1+txAdmKinea)^(1/12)-1)*AV46, 0))</f>
        <v>-2817.4054833633354</v>
      </c>
      <c r="BC47" s="396">
        <f>IF($N47&lt;=baseData, IFERROR(INDEX('Fluxo Bandeira Co'!$W:$W, MATCH($N47, 'Fluxo Bandeira Co'!$A:$A, 0))*Permutas!AW47/(SUMIF('Fluxo Investidores'!$A:$A, "&lt;="&amp;$N47, 'Fluxo Investidores'!$Z:$Z)+SUMIF('Fluxo Investidores'!$A:$A, "&lt;="&amp;$N47, 'Fluxo Investidores'!$AA:$AA)), 0), IF($N47&lt;=terminoProjeto, -((1+txAdmKinea)^(1/12)-1)*AW46, 0))</f>
        <v>-3088.358147283765</v>
      </c>
    </row>
    <row r="48" spans="2:55" x14ac:dyDescent="0.25">
      <c r="N48" s="315">
        <f t="shared" si="40"/>
        <v>44621</v>
      </c>
      <c r="O48" s="389">
        <f>IF($N48&lt;=baseData, INDEX(Indicadores!B:B, MATCH($N48,Indicadores!A:A, 0)), INDEX(Indicadores!B:B, MATCH(baseData,Indicadores!A:A, 0)))</f>
        <v>839.38199999999995</v>
      </c>
      <c r="Q48" s="397">
        <f>IF($N48&lt;=baseData, -INDEX('Fluxo Investidores'!$L$2:$X$86, MATCH($N48, 'Fluxo Investidores'!$A$2:$A$86, 0), MATCH(Q$2, 'Fluxo Investidores'!$L$1:$X$1, 0)), 0)</f>
        <v>0</v>
      </c>
      <c r="R48" s="390">
        <f>IF($N48&lt;=baseData, -INDEX('Fluxo Investidores'!$L$2:$X$86, MATCH($N48, 'Fluxo Investidores'!$A$2:$A$86, 0), MATCH(R$2, 'Fluxo Investidores'!$L$1:$X$1, 0)), 0)</f>
        <v>0</v>
      </c>
      <c r="S48" s="390">
        <f>IF($N48&lt;=baseData, -INDEX('Fluxo Investidores'!$L$2:$X$86, MATCH($N48, 'Fluxo Investidores'!$A$2:$A$86, 0), MATCH(S$2, 'Fluxo Investidores'!$L$1:$X$1, 0)), 0)</f>
        <v>0</v>
      </c>
      <c r="T48" s="390">
        <f>IF($N48&lt;=baseData, -INDEX('Fluxo Investidores'!$L$2:$X$86, MATCH($N48, 'Fluxo Investidores'!$A$2:$A$86, 0), MATCH(T$2, 'Fluxo Investidores'!$L$1:$X$1, 0)), 0)</f>
        <v>0</v>
      </c>
      <c r="U48" s="390">
        <f>IF($N48&lt;=baseData, -INDEX('Fluxo Investidores'!$L$2:$X$86, MATCH($N48, 'Fluxo Investidores'!$A$2:$A$86, 0), MATCH(U$2, 'Fluxo Investidores'!$L$1:$X$1, 0)), 0)</f>
        <v>0</v>
      </c>
      <c r="V48" s="393">
        <f t="shared" si="37"/>
        <v>0</v>
      </c>
      <c r="X48" s="394">
        <f t="shared" si="27"/>
        <v>0</v>
      </c>
      <c r="Y48" s="395">
        <f t="shared" si="28"/>
        <v>0</v>
      </c>
      <c r="Z48" s="395">
        <f t="shared" si="29"/>
        <v>0</v>
      </c>
      <c r="AA48" s="395">
        <f t="shared" si="30"/>
        <v>0</v>
      </c>
      <c r="AB48" s="395">
        <f t="shared" si="31"/>
        <v>0</v>
      </c>
      <c r="AC48" s="442">
        <f t="shared" si="38"/>
        <v>0</v>
      </c>
      <c r="AD48" s="86"/>
      <c r="AE48" s="394">
        <f t="shared" si="32"/>
        <v>0</v>
      </c>
      <c r="AF48" s="395">
        <f t="shared" si="33"/>
        <v>0</v>
      </c>
      <c r="AG48" s="395">
        <f t="shared" si="34"/>
        <v>0</v>
      </c>
      <c r="AH48" s="395">
        <f t="shared" si="35"/>
        <v>0</v>
      </c>
      <c r="AI48" s="395">
        <f t="shared" si="36"/>
        <v>0</v>
      </c>
      <c r="AJ48" s="442">
        <f t="shared" si="39"/>
        <v>0</v>
      </c>
      <c r="AM48" s="394">
        <f t="shared" si="22"/>
        <v>-20974.128280025674</v>
      </c>
      <c r="AN48" s="395">
        <f t="shared" si="23"/>
        <v>-20997.070656186785</v>
      </c>
      <c r="AO48" s="395">
        <f t="shared" si="24"/>
        <v>-22657.298083564907</v>
      </c>
      <c r="AP48" s="395">
        <f t="shared" si="25"/>
        <v>-20881.883206401719</v>
      </c>
      <c r="AQ48" s="396">
        <f t="shared" si="26"/>
        <v>-24435.600328633096</v>
      </c>
      <c r="AS48" s="394">
        <f t="shared" si="41"/>
        <v>2434876.479251354</v>
      </c>
      <c r="AT48" s="395">
        <f t="shared" si="42"/>
        <v>2456707.1254907604</v>
      </c>
      <c r="AU48" s="395">
        <f t="shared" si="43"/>
        <v>2385586.9756027944</v>
      </c>
      <c r="AV48" s="395">
        <f t="shared" si="44"/>
        <v>2347101.3701925501</v>
      </c>
      <c r="AW48" s="396">
        <f t="shared" si="45"/>
        <v>2572824.4237253983</v>
      </c>
      <c r="AY48" s="394">
        <f>IF($N48&lt;=baseData, IFERROR(INDEX('Fluxo Bandeira Co'!$W:$W, MATCH($N48, 'Fluxo Bandeira Co'!$A:$A, 0))*Permutas!AS48/(SUMIF('Fluxo Investidores'!$A:$A, "&lt;="&amp;$N48, 'Fluxo Investidores'!$Z:$Z)+SUMIF('Fluxo Investidores'!$A:$A, "&lt;="&amp;$N48, 'Fluxo Investidores'!$AA:$AA)), 0), IF($N48&lt;=terminoProjeto, -((1+txAdmKinea)^(1/12)-1)*AS47, 0))</f>
        <v>-2922.7686673764747</v>
      </c>
      <c r="AZ48" s="395">
        <f>IF($N48&lt;=baseData, IFERROR(INDEX('Fluxo Bandeira Co'!$W:$W, MATCH($N48, 'Fluxo Bandeira Co'!$A:$A, 0))*Permutas!AT48/(SUMIF('Fluxo Investidores'!$A:$A, "&lt;="&amp;$N48, 'Fluxo Investidores'!$Z:$Z)+SUMIF('Fluxo Investidores'!$A:$A, "&lt;="&amp;$N48, 'Fluxo Investidores'!$AA:$AA)), 0), IF($N48&lt;=terminoProjeto, -((1+txAdmKinea)^(1/12)-1)*AT47, 0))</f>
        <v>-2948.9736635480813</v>
      </c>
      <c r="BA48" s="395">
        <f>IF($N48&lt;=baseData, IFERROR(INDEX('Fluxo Bandeira Co'!$W:$W, MATCH($N48, 'Fluxo Bandeira Co'!$A:$A, 0))*Permutas!AU48/(SUMIF('Fluxo Investidores'!$A:$A, "&lt;="&amp;$N48, 'Fluxo Investidores'!$Z:$Z)+SUMIF('Fluxo Investidores'!$A:$A, "&lt;="&amp;$N48, 'Fluxo Investidores'!$AA:$AA)), 0), IF($N48&lt;=terminoProjeto, -((1+txAdmKinea)^(1/12)-1)*AU47, 0))</f>
        <v>-2863.60270223526</v>
      </c>
      <c r="BB48" s="395">
        <f>IF($N48&lt;=baseData, IFERROR(INDEX('Fluxo Bandeira Co'!$W:$W, MATCH($N48, 'Fluxo Bandeira Co'!$A:$A, 0))*Permutas!AV48/(SUMIF('Fluxo Investidores'!$A:$A, "&lt;="&amp;$N48, 'Fluxo Investidores'!$Z:$Z)+SUMIF('Fluxo Investidores'!$A:$A, "&lt;="&amp;$N48, 'Fluxo Investidores'!$AA:$AA)), 0), IF($N48&lt;=terminoProjeto, -((1+txAdmKinea)^(1/12)-1)*AV47, 0))</f>
        <v>-2817.4054833633354</v>
      </c>
      <c r="BC48" s="396">
        <f>IF($N48&lt;=baseData, IFERROR(INDEX('Fluxo Bandeira Co'!$W:$W, MATCH($N48, 'Fluxo Bandeira Co'!$A:$A, 0))*Permutas!AW48/(SUMIF('Fluxo Investidores'!$A:$A, "&lt;="&amp;$N48, 'Fluxo Investidores'!$Z:$Z)+SUMIF('Fluxo Investidores'!$A:$A, "&lt;="&amp;$N48, 'Fluxo Investidores'!$AA:$AA)), 0), IF($N48&lt;=terminoProjeto, -((1+txAdmKinea)^(1/12)-1)*AW47, 0))</f>
        <v>-3088.358147283765</v>
      </c>
    </row>
    <row r="49" spans="14:55" x14ac:dyDescent="0.25">
      <c r="N49" s="315">
        <f t="shared" si="40"/>
        <v>44652</v>
      </c>
      <c r="O49" s="389">
        <f>IF($N49&lt;=baseData, INDEX(Indicadores!B:B, MATCH($N49,Indicadores!A:A, 0)), INDEX(Indicadores!B:B, MATCH(baseData,Indicadores!A:A, 0)))</f>
        <v>839.38199999999995</v>
      </c>
      <c r="Q49" s="397">
        <f>IF($N49&lt;=baseData, -INDEX('Fluxo Investidores'!$L$2:$X$86, MATCH($N49, 'Fluxo Investidores'!$A$2:$A$86, 0), MATCH(Q$2, 'Fluxo Investidores'!$L$1:$X$1, 0)), 0)</f>
        <v>0</v>
      </c>
      <c r="R49" s="390">
        <f>IF($N49&lt;=baseData, -INDEX('Fluxo Investidores'!$L$2:$X$86, MATCH($N49, 'Fluxo Investidores'!$A$2:$A$86, 0), MATCH(R$2, 'Fluxo Investidores'!$L$1:$X$1, 0)), 0)</f>
        <v>0</v>
      </c>
      <c r="S49" s="390">
        <f>IF($N49&lt;=baseData, -INDEX('Fluxo Investidores'!$L$2:$X$86, MATCH($N49, 'Fluxo Investidores'!$A$2:$A$86, 0), MATCH(S$2, 'Fluxo Investidores'!$L$1:$X$1, 0)), 0)</f>
        <v>0</v>
      </c>
      <c r="T49" s="390">
        <f>IF($N49&lt;=baseData, -INDEX('Fluxo Investidores'!$L$2:$X$86, MATCH($N49, 'Fluxo Investidores'!$A$2:$A$86, 0), MATCH(T$2, 'Fluxo Investidores'!$L$1:$X$1, 0)), 0)</f>
        <v>0</v>
      </c>
      <c r="U49" s="390">
        <f>IF($N49&lt;=baseData, -INDEX('Fluxo Investidores'!$L$2:$X$86, MATCH($N49, 'Fluxo Investidores'!$A$2:$A$86, 0), MATCH(U$2, 'Fluxo Investidores'!$L$1:$X$1, 0)), 0)</f>
        <v>0</v>
      </c>
      <c r="V49" s="393">
        <f t="shared" si="37"/>
        <v>0</v>
      </c>
      <c r="X49" s="394">
        <f t="shared" si="27"/>
        <v>0</v>
      </c>
      <c r="Y49" s="395">
        <f t="shared" si="28"/>
        <v>0</v>
      </c>
      <c r="Z49" s="395">
        <f t="shared" si="29"/>
        <v>0</v>
      </c>
      <c r="AA49" s="395">
        <f t="shared" si="30"/>
        <v>0</v>
      </c>
      <c r="AB49" s="395">
        <f t="shared" si="31"/>
        <v>0</v>
      </c>
      <c r="AC49" s="442">
        <f t="shared" si="38"/>
        <v>0</v>
      </c>
      <c r="AD49" s="86"/>
      <c r="AE49" s="394">
        <f t="shared" si="32"/>
        <v>0</v>
      </c>
      <c r="AF49" s="395">
        <f t="shared" si="33"/>
        <v>0</v>
      </c>
      <c r="AG49" s="395">
        <f t="shared" si="34"/>
        <v>0</v>
      </c>
      <c r="AH49" s="395">
        <f t="shared" si="35"/>
        <v>0</v>
      </c>
      <c r="AI49" s="395">
        <f t="shared" si="36"/>
        <v>0</v>
      </c>
      <c r="AJ49" s="442">
        <f t="shared" si="39"/>
        <v>0</v>
      </c>
      <c r="AM49" s="394">
        <f t="shared" si="22"/>
        <v>-20974.128280025674</v>
      </c>
      <c r="AN49" s="395">
        <f t="shared" si="23"/>
        <v>-20997.070656186785</v>
      </c>
      <c r="AO49" s="395">
        <f t="shared" si="24"/>
        <v>-22657.298083564907</v>
      </c>
      <c r="AP49" s="395">
        <f t="shared" si="25"/>
        <v>-20881.883206401719</v>
      </c>
      <c r="AQ49" s="396">
        <f t="shared" si="26"/>
        <v>-24435.600328633096</v>
      </c>
      <c r="AS49" s="394">
        <f t="shared" si="41"/>
        <v>2434876.479251354</v>
      </c>
      <c r="AT49" s="395">
        <f t="shared" si="42"/>
        <v>2456707.1254907604</v>
      </c>
      <c r="AU49" s="395">
        <f t="shared" si="43"/>
        <v>2385586.9756027944</v>
      </c>
      <c r="AV49" s="395">
        <f t="shared" si="44"/>
        <v>2347101.3701925501</v>
      </c>
      <c r="AW49" s="396">
        <f t="shared" si="45"/>
        <v>2572824.4237253983</v>
      </c>
      <c r="AY49" s="394">
        <f>IF($N49&lt;=baseData, IFERROR(INDEX('Fluxo Bandeira Co'!$W:$W, MATCH($N49, 'Fluxo Bandeira Co'!$A:$A, 0))*Permutas!AS49/(SUMIF('Fluxo Investidores'!$A:$A, "&lt;="&amp;$N49, 'Fluxo Investidores'!$Z:$Z)+SUMIF('Fluxo Investidores'!$A:$A, "&lt;="&amp;$N49, 'Fluxo Investidores'!$AA:$AA)), 0), IF($N49&lt;=terminoProjeto, -((1+txAdmKinea)^(1/12)-1)*AS48, 0))</f>
        <v>-2922.7686673764747</v>
      </c>
      <c r="AZ49" s="395">
        <f>IF($N49&lt;=baseData, IFERROR(INDEX('Fluxo Bandeira Co'!$W:$W, MATCH($N49, 'Fluxo Bandeira Co'!$A:$A, 0))*Permutas!AT49/(SUMIF('Fluxo Investidores'!$A:$A, "&lt;="&amp;$N49, 'Fluxo Investidores'!$Z:$Z)+SUMIF('Fluxo Investidores'!$A:$A, "&lt;="&amp;$N49, 'Fluxo Investidores'!$AA:$AA)), 0), IF($N49&lt;=terminoProjeto, -((1+txAdmKinea)^(1/12)-1)*AT48, 0))</f>
        <v>-2948.9736635480813</v>
      </c>
      <c r="BA49" s="395">
        <f>IF($N49&lt;=baseData, IFERROR(INDEX('Fluxo Bandeira Co'!$W:$W, MATCH($N49, 'Fluxo Bandeira Co'!$A:$A, 0))*Permutas!AU49/(SUMIF('Fluxo Investidores'!$A:$A, "&lt;="&amp;$N49, 'Fluxo Investidores'!$Z:$Z)+SUMIF('Fluxo Investidores'!$A:$A, "&lt;="&amp;$N49, 'Fluxo Investidores'!$AA:$AA)), 0), IF($N49&lt;=terminoProjeto, -((1+txAdmKinea)^(1/12)-1)*AU48, 0))</f>
        <v>-2863.60270223526</v>
      </c>
      <c r="BB49" s="395">
        <f>IF($N49&lt;=baseData, IFERROR(INDEX('Fluxo Bandeira Co'!$W:$W, MATCH($N49, 'Fluxo Bandeira Co'!$A:$A, 0))*Permutas!AV49/(SUMIF('Fluxo Investidores'!$A:$A, "&lt;="&amp;$N49, 'Fluxo Investidores'!$Z:$Z)+SUMIF('Fluxo Investidores'!$A:$A, "&lt;="&amp;$N49, 'Fluxo Investidores'!$AA:$AA)), 0), IF($N49&lt;=terminoProjeto, -((1+txAdmKinea)^(1/12)-1)*AV48, 0))</f>
        <v>-2817.4054833633354</v>
      </c>
      <c r="BC49" s="396">
        <f>IF($N49&lt;=baseData, IFERROR(INDEX('Fluxo Bandeira Co'!$W:$W, MATCH($N49, 'Fluxo Bandeira Co'!$A:$A, 0))*Permutas!AW49/(SUMIF('Fluxo Investidores'!$A:$A, "&lt;="&amp;$N49, 'Fluxo Investidores'!$Z:$Z)+SUMIF('Fluxo Investidores'!$A:$A, "&lt;="&amp;$N49, 'Fluxo Investidores'!$AA:$AA)), 0), IF($N49&lt;=terminoProjeto, -((1+txAdmKinea)^(1/12)-1)*AW48, 0))</f>
        <v>-3088.358147283765</v>
      </c>
    </row>
    <row r="50" spans="14:55" x14ac:dyDescent="0.25">
      <c r="N50" s="315">
        <f t="shared" si="40"/>
        <v>44682</v>
      </c>
      <c r="O50" s="389">
        <f>IF($N50&lt;=baseData, INDEX(Indicadores!B:B, MATCH($N50,Indicadores!A:A, 0)), INDEX(Indicadores!B:B, MATCH(baseData,Indicadores!A:A, 0)))</f>
        <v>839.38199999999995</v>
      </c>
      <c r="Q50" s="397">
        <f>IF($N50&lt;=baseData, -INDEX('Fluxo Investidores'!$L$2:$X$86, MATCH($N50, 'Fluxo Investidores'!$A$2:$A$86, 0), MATCH(Q$2, 'Fluxo Investidores'!$L$1:$X$1, 0)), 0)</f>
        <v>0</v>
      </c>
      <c r="R50" s="390">
        <f>IF($N50&lt;=baseData, -INDEX('Fluxo Investidores'!$L$2:$X$86, MATCH($N50, 'Fluxo Investidores'!$A$2:$A$86, 0), MATCH(R$2, 'Fluxo Investidores'!$L$1:$X$1, 0)), 0)</f>
        <v>0</v>
      </c>
      <c r="S50" s="390">
        <f>IF($N50&lt;=baseData, -INDEX('Fluxo Investidores'!$L$2:$X$86, MATCH($N50, 'Fluxo Investidores'!$A$2:$A$86, 0), MATCH(S$2, 'Fluxo Investidores'!$L$1:$X$1, 0)), 0)</f>
        <v>0</v>
      </c>
      <c r="T50" s="390">
        <f>IF($N50&lt;=baseData, -INDEX('Fluxo Investidores'!$L$2:$X$86, MATCH($N50, 'Fluxo Investidores'!$A$2:$A$86, 0), MATCH(T$2, 'Fluxo Investidores'!$L$1:$X$1, 0)), 0)</f>
        <v>0</v>
      </c>
      <c r="U50" s="390">
        <f>IF($N50&lt;=baseData, -INDEX('Fluxo Investidores'!$L$2:$X$86, MATCH($N50, 'Fluxo Investidores'!$A$2:$A$86, 0), MATCH(U$2, 'Fluxo Investidores'!$L$1:$X$1, 0)), 0)</f>
        <v>0</v>
      </c>
      <c r="V50" s="393">
        <f t="shared" si="37"/>
        <v>0</v>
      </c>
      <c r="X50" s="394">
        <f t="shared" si="27"/>
        <v>0</v>
      </c>
      <c r="Y50" s="395">
        <f t="shared" si="28"/>
        <v>0</v>
      </c>
      <c r="Z50" s="395">
        <f t="shared" si="29"/>
        <v>0</v>
      </c>
      <c r="AA50" s="395">
        <f t="shared" si="30"/>
        <v>0</v>
      </c>
      <c r="AB50" s="395">
        <f t="shared" si="31"/>
        <v>0</v>
      </c>
      <c r="AC50" s="442">
        <f t="shared" si="38"/>
        <v>0</v>
      </c>
      <c r="AD50" s="86"/>
      <c r="AE50" s="394">
        <f t="shared" si="32"/>
        <v>0</v>
      </c>
      <c r="AF50" s="395">
        <f t="shared" si="33"/>
        <v>0</v>
      </c>
      <c r="AG50" s="395">
        <f t="shared" si="34"/>
        <v>0</v>
      </c>
      <c r="AH50" s="395">
        <f t="shared" si="35"/>
        <v>0</v>
      </c>
      <c r="AI50" s="395">
        <f t="shared" si="36"/>
        <v>0</v>
      </c>
      <c r="AJ50" s="442">
        <f t="shared" si="39"/>
        <v>0</v>
      </c>
      <c r="AM50" s="394">
        <f t="shared" si="22"/>
        <v>-20974.128280025674</v>
      </c>
      <c r="AN50" s="395">
        <f t="shared" si="23"/>
        <v>-20997.070656186785</v>
      </c>
      <c r="AO50" s="395">
        <f t="shared" si="24"/>
        <v>-22657.298083564907</v>
      </c>
      <c r="AP50" s="395">
        <f t="shared" si="25"/>
        <v>-20881.883206401719</v>
      </c>
      <c r="AQ50" s="396">
        <f t="shared" si="26"/>
        <v>-24435.600328633096</v>
      </c>
      <c r="AS50" s="394">
        <f t="shared" si="41"/>
        <v>2434876.479251354</v>
      </c>
      <c r="AT50" s="395">
        <f t="shared" si="42"/>
        <v>2456707.1254907604</v>
      </c>
      <c r="AU50" s="395">
        <f t="shared" si="43"/>
        <v>2385586.9756027944</v>
      </c>
      <c r="AV50" s="395">
        <f t="shared" si="44"/>
        <v>2347101.3701925501</v>
      </c>
      <c r="AW50" s="396">
        <f t="shared" si="45"/>
        <v>2572824.4237253983</v>
      </c>
      <c r="AY50" s="394">
        <f>IF($N50&lt;=baseData, IFERROR(INDEX('Fluxo Bandeira Co'!$W:$W, MATCH($N50, 'Fluxo Bandeira Co'!$A:$A, 0))*Permutas!AS50/(SUMIF('Fluxo Investidores'!$A:$A, "&lt;="&amp;$N50, 'Fluxo Investidores'!$Z:$Z)+SUMIF('Fluxo Investidores'!$A:$A, "&lt;="&amp;$N50, 'Fluxo Investidores'!$AA:$AA)), 0), IF($N50&lt;=terminoProjeto, -((1+txAdmKinea)^(1/12)-1)*AS49, 0))</f>
        <v>-2922.7686673764747</v>
      </c>
      <c r="AZ50" s="395">
        <f>IF($N50&lt;=baseData, IFERROR(INDEX('Fluxo Bandeira Co'!$W:$W, MATCH($N50, 'Fluxo Bandeira Co'!$A:$A, 0))*Permutas!AT50/(SUMIF('Fluxo Investidores'!$A:$A, "&lt;="&amp;$N50, 'Fluxo Investidores'!$Z:$Z)+SUMIF('Fluxo Investidores'!$A:$A, "&lt;="&amp;$N50, 'Fluxo Investidores'!$AA:$AA)), 0), IF($N50&lt;=terminoProjeto, -((1+txAdmKinea)^(1/12)-1)*AT49, 0))</f>
        <v>-2948.9736635480813</v>
      </c>
      <c r="BA50" s="395">
        <f>IF($N50&lt;=baseData, IFERROR(INDEX('Fluxo Bandeira Co'!$W:$W, MATCH($N50, 'Fluxo Bandeira Co'!$A:$A, 0))*Permutas!AU50/(SUMIF('Fluxo Investidores'!$A:$A, "&lt;="&amp;$N50, 'Fluxo Investidores'!$Z:$Z)+SUMIF('Fluxo Investidores'!$A:$A, "&lt;="&amp;$N50, 'Fluxo Investidores'!$AA:$AA)), 0), IF($N50&lt;=terminoProjeto, -((1+txAdmKinea)^(1/12)-1)*AU49, 0))</f>
        <v>-2863.60270223526</v>
      </c>
      <c r="BB50" s="395">
        <f>IF($N50&lt;=baseData, IFERROR(INDEX('Fluxo Bandeira Co'!$W:$W, MATCH($N50, 'Fluxo Bandeira Co'!$A:$A, 0))*Permutas!AV50/(SUMIF('Fluxo Investidores'!$A:$A, "&lt;="&amp;$N50, 'Fluxo Investidores'!$Z:$Z)+SUMIF('Fluxo Investidores'!$A:$A, "&lt;="&amp;$N50, 'Fluxo Investidores'!$AA:$AA)), 0), IF($N50&lt;=terminoProjeto, -((1+txAdmKinea)^(1/12)-1)*AV49, 0))</f>
        <v>-2817.4054833633354</v>
      </c>
      <c r="BC50" s="396">
        <f>IF($N50&lt;=baseData, IFERROR(INDEX('Fluxo Bandeira Co'!$W:$W, MATCH($N50, 'Fluxo Bandeira Co'!$A:$A, 0))*Permutas!AW50/(SUMIF('Fluxo Investidores'!$A:$A, "&lt;="&amp;$N50, 'Fluxo Investidores'!$Z:$Z)+SUMIF('Fluxo Investidores'!$A:$A, "&lt;="&amp;$N50, 'Fluxo Investidores'!$AA:$AA)), 0), IF($N50&lt;=terminoProjeto, -((1+txAdmKinea)^(1/12)-1)*AW49, 0))</f>
        <v>-3088.358147283765</v>
      </c>
    </row>
    <row r="51" spans="14:55" x14ac:dyDescent="0.25">
      <c r="N51" s="315">
        <f t="shared" si="40"/>
        <v>44713</v>
      </c>
      <c r="O51" s="389">
        <f>IF($N51&lt;=baseData, INDEX(Indicadores!B:B, MATCH($N51,Indicadores!A:A, 0)), INDEX(Indicadores!B:B, MATCH(baseData,Indicadores!A:A, 0)))</f>
        <v>839.38199999999995</v>
      </c>
      <c r="Q51" s="397">
        <f>IF($N51&lt;=baseData, -INDEX('Fluxo Investidores'!$L$2:$X$86, MATCH($N51, 'Fluxo Investidores'!$A$2:$A$86, 0), MATCH(Q$2, 'Fluxo Investidores'!$L$1:$X$1, 0)), 0)</f>
        <v>0</v>
      </c>
      <c r="R51" s="390">
        <f>IF($N51&lt;=baseData, -INDEX('Fluxo Investidores'!$L$2:$X$86, MATCH($N51, 'Fluxo Investidores'!$A$2:$A$86, 0), MATCH(R$2, 'Fluxo Investidores'!$L$1:$X$1, 0)), 0)</f>
        <v>0</v>
      </c>
      <c r="S51" s="390">
        <f>IF($N51&lt;=baseData, -INDEX('Fluxo Investidores'!$L$2:$X$86, MATCH($N51, 'Fluxo Investidores'!$A$2:$A$86, 0), MATCH(S$2, 'Fluxo Investidores'!$L$1:$X$1, 0)), 0)</f>
        <v>0</v>
      </c>
      <c r="T51" s="390">
        <f>IF($N51&lt;=baseData, -INDEX('Fluxo Investidores'!$L$2:$X$86, MATCH($N51, 'Fluxo Investidores'!$A$2:$A$86, 0), MATCH(T$2, 'Fluxo Investidores'!$L$1:$X$1, 0)), 0)</f>
        <v>0</v>
      </c>
      <c r="U51" s="390">
        <f>IF($N51&lt;=baseData, -INDEX('Fluxo Investidores'!$L$2:$X$86, MATCH($N51, 'Fluxo Investidores'!$A$2:$A$86, 0), MATCH(U$2, 'Fluxo Investidores'!$L$1:$X$1, 0)), 0)</f>
        <v>0</v>
      </c>
      <c r="V51" s="393">
        <f t="shared" si="37"/>
        <v>0</v>
      </c>
      <c r="X51" s="394">
        <f t="shared" si="27"/>
        <v>0</v>
      </c>
      <c r="Y51" s="395">
        <f t="shared" si="28"/>
        <v>0</v>
      </c>
      <c r="Z51" s="395">
        <f t="shared" si="29"/>
        <v>0</v>
      </c>
      <c r="AA51" s="395">
        <f t="shared" si="30"/>
        <v>0</v>
      </c>
      <c r="AB51" s="395">
        <f t="shared" si="31"/>
        <v>0</v>
      </c>
      <c r="AC51" s="442">
        <f t="shared" si="38"/>
        <v>0</v>
      </c>
      <c r="AD51" s="86"/>
      <c r="AE51" s="394">
        <f t="shared" si="32"/>
        <v>0</v>
      </c>
      <c r="AF51" s="395">
        <f t="shared" si="33"/>
        <v>0</v>
      </c>
      <c r="AG51" s="395">
        <f t="shared" si="34"/>
        <v>0</v>
      </c>
      <c r="AH51" s="395">
        <f t="shared" si="35"/>
        <v>0</v>
      </c>
      <c r="AI51" s="395">
        <f t="shared" si="36"/>
        <v>0</v>
      </c>
      <c r="AJ51" s="442">
        <f t="shared" si="39"/>
        <v>0</v>
      </c>
      <c r="AM51" s="394">
        <f t="shared" si="22"/>
        <v>-20974.128280025674</v>
      </c>
      <c r="AN51" s="395">
        <f t="shared" si="23"/>
        <v>-20997.070656186785</v>
      </c>
      <c r="AO51" s="395">
        <f t="shared" si="24"/>
        <v>-22657.298083564907</v>
      </c>
      <c r="AP51" s="395">
        <f t="shared" si="25"/>
        <v>-20881.883206401719</v>
      </c>
      <c r="AQ51" s="396">
        <f t="shared" si="26"/>
        <v>-24435.600328633096</v>
      </c>
      <c r="AS51" s="394">
        <f t="shared" si="41"/>
        <v>2434876.479251354</v>
      </c>
      <c r="AT51" s="395">
        <f t="shared" si="42"/>
        <v>2456707.1254907604</v>
      </c>
      <c r="AU51" s="395">
        <f t="shared" si="43"/>
        <v>2385586.9756027944</v>
      </c>
      <c r="AV51" s="395">
        <f t="shared" si="44"/>
        <v>2347101.3701925501</v>
      </c>
      <c r="AW51" s="396">
        <f t="shared" si="45"/>
        <v>2572824.4237253983</v>
      </c>
      <c r="AY51" s="394">
        <f>IF($N51&lt;=baseData, IFERROR(INDEX('Fluxo Bandeira Co'!$W:$W, MATCH($N51, 'Fluxo Bandeira Co'!$A:$A, 0))*Permutas!AS51/(SUMIF('Fluxo Investidores'!$A:$A, "&lt;="&amp;$N51, 'Fluxo Investidores'!$Z:$Z)+SUMIF('Fluxo Investidores'!$A:$A, "&lt;="&amp;$N51, 'Fluxo Investidores'!$AA:$AA)), 0), IF($N51&lt;=terminoProjeto, -((1+txAdmKinea)^(1/12)-1)*AS50, 0))</f>
        <v>-2922.7686673764747</v>
      </c>
      <c r="AZ51" s="395">
        <f>IF($N51&lt;=baseData, IFERROR(INDEX('Fluxo Bandeira Co'!$W:$W, MATCH($N51, 'Fluxo Bandeira Co'!$A:$A, 0))*Permutas!AT51/(SUMIF('Fluxo Investidores'!$A:$A, "&lt;="&amp;$N51, 'Fluxo Investidores'!$Z:$Z)+SUMIF('Fluxo Investidores'!$A:$A, "&lt;="&amp;$N51, 'Fluxo Investidores'!$AA:$AA)), 0), IF($N51&lt;=terminoProjeto, -((1+txAdmKinea)^(1/12)-1)*AT50, 0))</f>
        <v>-2948.9736635480813</v>
      </c>
      <c r="BA51" s="395">
        <f>IF($N51&lt;=baseData, IFERROR(INDEX('Fluxo Bandeira Co'!$W:$W, MATCH($N51, 'Fluxo Bandeira Co'!$A:$A, 0))*Permutas!AU51/(SUMIF('Fluxo Investidores'!$A:$A, "&lt;="&amp;$N51, 'Fluxo Investidores'!$Z:$Z)+SUMIF('Fluxo Investidores'!$A:$A, "&lt;="&amp;$N51, 'Fluxo Investidores'!$AA:$AA)), 0), IF($N51&lt;=terminoProjeto, -((1+txAdmKinea)^(1/12)-1)*AU50, 0))</f>
        <v>-2863.60270223526</v>
      </c>
      <c r="BB51" s="395">
        <f>IF($N51&lt;=baseData, IFERROR(INDEX('Fluxo Bandeira Co'!$W:$W, MATCH($N51, 'Fluxo Bandeira Co'!$A:$A, 0))*Permutas!AV51/(SUMIF('Fluxo Investidores'!$A:$A, "&lt;="&amp;$N51, 'Fluxo Investidores'!$Z:$Z)+SUMIF('Fluxo Investidores'!$A:$A, "&lt;="&amp;$N51, 'Fluxo Investidores'!$AA:$AA)), 0), IF($N51&lt;=terminoProjeto, -((1+txAdmKinea)^(1/12)-1)*AV50, 0))</f>
        <v>-2817.4054833633354</v>
      </c>
      <c r="BC51" s="396">
        <f>IF($N51&lt;=baseData, IFERROR(INDEX('Fluxo Bandeira Co'!$W:$W, MATCH($N51, 'Fluxo Bandeira Co'!$A:$A, 0))*Permutas!AW51/(SUMIF('Fluxo Investidores'!$A:$A, "&lt;="&amp;$N51, 'Fluxo Investidores'!$Z:$Z)+SUMIF('Fluxo Investidores'!$A:$A, "&lt;="&amp;$N51, 'Fluxo Investidores'!$AA:$AA)), 0), IF($N51&lt;=terminoProjeto, -((1+txAdmKinea)^(1/12)-1)*AW50, 0))</f>
        <v>-3088.358147283765</v>
      </c>
    </row>
    <row r="52" spans="14:55" x14ac:dyDescent="0.25">
      <c r="N52" s="315">
        <f t="shared" si="40"/>
        <v>44743</v>
      </c>
      <c r="O52" s="389">
        <f>IF($N52&lt;=baseData, INDEX(Indicadores!B:B, MATCH($N52,Indicadores!A:A, 0)), INDEX(Indicadores!B:B, MATCH(baseData,Indicadores!A:A, 0)))</f>
        <v>839.38199999999995</v>
      </c>
      <c r="Q52" s="397">
        <f>IF($N52&lt;=baseData, -INDEX('Fluxo Investidores'!$L$2:$X$86, MATCH($N52, 'Fluxo Investidores'!$A$2:$A$86, 0), MATCH(Q$2, 'Fluxo Investidores'!$L$1:$X$1, 0)), 0)</f>
        <v>0</v>
      </c>
      <c r="R52" s="390">
        <f>IF($N52&lt;=baseData, -INDEX('Fluxo Investidores'!$L$2:$X$86, MATCH($N52, 'Fluxo Investidores'!$A$2:$A$86, 0), MATCH(R$2, 'Fluxo Investidores'!$L$1:$X$1, 0)), 0)</f>
        <v>0</v>
      </c>
      <c r="S52" s="390">
        <f>IF($N52&lt;=baseData, -INDEX('Fluxo Investidores'!$L$2:$X$86, MATCH($N52, 'Fluxo Investidores'!$A$2:$A$86, 0), MATCH(S$2, 'Fluxo Investidores'!$L$1:$X$1, 0)), 0)</f>
        <v>0</v>
      </c>
      <c r="T52" s="390">
        <f>IF($N52&lt;=baseData, -INDEX('Fluxo Investidores'!$L$2:$X$86, MATCH($N52, 'Fluxo Investidores'!$A$2:$A$86, 0), MATCH(T$2, 'Fluxo Investidores'!$L$1:$X$1, 0)), 0)</f>
        <v>0</v>
      </c>
      <c r="U52" s="390">
        <f>IF($N52&lt;=baseData, -INDEX('Fluxo Investidores'!$L$2:$X$86, MATCH($N52, 'Fluxo Investidores'!$A$2:$A$86, 0), MATCH(U$2, 'Fluxo Investidores'!$L$1:$X$1, 0)), 0)</f>
        <v>0</v>
      </c>
      <c r="V52" s="393">
        <f t="shared" si="37"/>
        <v>0</v>
      </c>
      <c r="X52" s="394">
        <f t="shared" si="27"/>
        <v>0</v>
      </c>
      <c r="Y52" s="395">
        <f t="shared" si="28"/>
        <v>0</v>
      </c>
      <c r="Z52" s="395">
        <f t="shared" si="29"/>
        <v>0</v>
      </c>
      <c r="AA52" s="395">
        <f t="shared" si="30"/>
        <v>0</v>
      </c>
      <c r="AB52" s="395">
        <f t="shared" si="31"/>
        <v>0</v>
      </c>
      <c r="AC52" s="442">
        <f t="shared" si="38"/>
        <v>0</v>
      </c>
      <c r="AD52" s="86"/>
      <c r="AE52" s="394">
        <f t="shared" si="32"/>
        <v>0</v>
      </c>
      <c r="AF52" s="395">
        <f t="shared" si="33"/>
        <v>0</v>
      </c>
      <c r="AG52" s="395">
        <f t="shared" si="34"/>
        <v>0</v>
      </c>
      <c r="AH52" s="395">
        <f t="shared" si="35"/>
        <v>0</v>
      </c>
      <c r="AI52" s="395">
        <f t="shared" si="36"/>
        <v>0</v>
      </c>
      <c r="AJ52" s="442">
        <f t="shared" si="39"/>
        <v>0</v>
      </c>
      <c r="AM52" s="394">
        <f t="shared" si="22"/>
        <v>-20974.128280025674</v>
      </c>
      <c r="AN52" s="395">
        <f t="shared" si="23"/>
        <v>-20997.070656186785</v>
      </c>
      <c r="AO52" s="395">
        <f t="shared" si="24"/>
        <v>-22657.298083564907</v>
      </c>
      <c r="AP52" s="395">
        <f t="shared" si="25"/>
        <v>-20881.883206401719</v>
      </c>
      <c r="AQ52" s="396">
        <f t="shared" si="26"/>
        <v>-24435.600328633096</v>
      </c>
      <c r="AS52" s="394">
        <f t="shared" si="41"/>
        <v>2434876.479251354</v>
      </c>
      <c r="AT52" s="395">
        <f t="shared" si="42"/>
        <v>2456707.1254907604</v>
      </c>
      <c r="AU52" s="395">
        <f t="shared" si="43"/>
        <v>2385586.9756027944</v>
      </c>
      <c r="AV52" s="395">
        <f t="shared" si="44"/>
        <v>2347101.3701925501</v>
      </c>
      <c r="AW52" s="396">
        <f t="shared" si="45"/>
        <v>2572824.4237253983</v>
      </c>
      <c r="AY52" s="394">
        <f>IF($N52&lt;=baseData, IFERROR(INDEX('Fluxo Bandeira Co'!$W:$W, MATCH($N52, 'Fluxo Bandeira Co'!$A:$A, 0))*Permutas!AS52/(SUMIF('Fluxo Investidores'!$A:$A, "&lt;="&amp;$N52, 'Fluxo Investidores'!$Z:$Z)+SUMIF('Fluxo Investidores'!$A:$A, "&lt;="&amp;$N52, 'Fluxo Investidores'!$AA:$AA)), 0), IF($N52&lt;=terminoProjeto, -((1+txAdmKinea)^(1/12)-1)*AS51, 0))</f>
        <v>-2922.7686673764747</v>
      </c>
      <c r="AZ52" s="395">
        <f>IF($N52&lt;=baseData, IFERROR(INDEX('Fluxo Bandeira Co'!$W:$W, MATCH($N52, 'Fluxo Bandeira Co'!$A:$A, 0))*Permutas!AT52/(SUMIF('Fluxo Investidores'!$A:$A, "&lt;="&amp;$N52, 'Fluxo Investidores'!$Z:$Z)+SUMIF('Fluxo Investidores'!$A:$A, "&lt;="&amp;$N52, 'Fluxo Investidores'!$AA:$AA)), 0), IF($N52&lt;=terminoProjeto, -((1+txAdmKinea)^(1/12)-1)*AT51, 0))</f>
        <v>-2948.9736635480813</v>
      </c>
      <c r="BA52" s="395">
        <f>IF($N52&lt;=baseData, IFERROR(INDEX('Fluxo Bandeira Co'!$W:$W, MATCH($N52, 'Fluxo Bandeira Co'!$A:$A, 0))*Permutas!AU52/(SUMIF('Fluxo Investidores'!$A:$A, "&lt;="&amp;$N52, 'Fluxo Investidores'!$Z:$Z)+SUMIF('Fluxo Investidores'!$A:$A, "&lt;="&amp;$N52, 'Fluxo Investidores'!$AA:$AA)), 0), IF($N52&lt;=terminoProjeto, -((1+txAdmKinea)^(1/12)-1)*AU51, 0))</f>
        <v>-2863.60270223526</v>
      </c>
      <c r="BB52" s="395">
        <f>IF($N52&lt;=baseData, IFERROR(INDEX('Fluxo Bandeira Co'!$W:$W, MATCH($N52, 'Fluxo Bandeira Co'!$A:$A, 0))*Permutas!AV52/(SUMIF('Fluxo Investidores'!$A:$A, "&lt;="&amp;$N52, 'Fluxo Investidores'!$Z:$Z)+SUMIF('Fluxo Investidores'!$A:$A, "&lt;="&amp;$N52, 'Fluxo Investidores'!$AA:$AA)), 0), IF($N52&lt;=terminoProjeto, -((1+txAdmKinea)^(1/12)-1)*AV51, 0))</f>
        <v>-2817.4054833633354</v>
      </c>
      <c r="BC52" s="396">
        <f>IF($N52&lt;=baseData, IFERROR(INDEX('Fluxo Bandeira Co'!$W:$W, MATCH($N52, 'Fluxo Bandeira Co'!$A:$A, 0))*Permutas!AW52/(SUMIF('Fluxo Investidores'!$A:$A, "&lt;="&amp;$N52, 'Fluxo Investidores'!$Z:$Z)+SUMIF('Fluxo Investidores'!$A:$A, "&lt;="&amp;$N52, 'Fluxo Investidores'!$AA:$AA)), 0), IF($N52&lt;=terminoProjeto, -((1+txAdmKinea)^(1/12)-1)*AW51, 0))</f>
        <v>-3088.358147283765</v>
      </c>
    </row>
    <row r="53" spans="14:55" x14ac:dyDescent="0.25">
      <c r="N53" s="315">
        <f t="shared" si="40"/>
        <v>44774</v>
      </c>
      <c r="O53" s="389">
        <f>IF($N53&lt;=baseData, INDEX(Indicadores!B:B, MATCH($N53,Indicadores!A:A, 0)), INDEX(Indicadores!B:B, MATCH(baseData,Indicadores!A:A, 0)))</f>
        <v>839.38199999999995</v>
      </c>
      <c r="Q53" s="397">
        <f>IF($N53&lt;=baseData, -INDEX('Fluxo Investidores'!$L$2:$X$86, MATCH($N53, 'Fluxo Investidores'!$A$2:$A$86, 0), MATCH(Q$2, 'Fluxo Investidores'!$L$1:$X$1, 0)), 0)</f>
        <v>0</v>
      </c>
      <c r="R53" s="390">
        <f>IF($N53&lt;=baseData, -INDEX('Fluxo Investidores'!$L$2:$X$86, MATCH($N53, 'Fluxo Investidores'!$A$2:$A$86, 0), MATCH(R$2, 'Fluxo Investidores'!$L$1:$X$1, 0)), 0)</f>
        <v>0</v>
      </c>
      <c r="S53" s="390">
        <f>IF($N53&lt;=baseData, -INDEX('Fluxo Investidores'!$L$2:$X$86, MATCH($N53, 'Fluxo Investidores'!$A$2:$A$86, 0), MATCH(S$2, 'Fluxo Investidores'!$L$1:$X$1, 0)), 0)</f>
        <v>0</v>
      </c>
      <c r="T53" s="390">
        <f>IF($N53&lt;=baseData, -INDEX('Fluxo Investidores'!$L$2:$X$86, MATCH($N53, 'Fluxo Investidores'!$A$2:$A$86, 0), MATCH(T$2, 'Fluxo Investidores'!$L$1:$X$1, 0)), 0)</f>
        <v>0</v>
      </c>
      <c r="U53" s="390">
        <f>IF($N53&lt;=baseData, -INDEX('Fluxo Investidores'!$L$2:$X$86, MATCH($N53, 'Fluxo Investidores'!$A$2:$A$86, 0), MATCH(U$2, 'Fluxo Investidores'!$L$1:$X$1, 0)), 0)</f>
        <v>0</v>
      </c>
      <c r="V53" s="393">
        <f t="shared" si="37"/>
        <v>0</v>
      </c>
      <c r="X53" s="394">
        <f t="shared" si="27"/>
        <v>0</v>
      </c>
      <c r="Y53" s="395">
        <f t="shared" si="28"/>
        <v>0</v>
      </c>
      <c r="Z53" s="395">
        <f t="shared" si="29"/>
        <v>0</v>
      </c>
      <c r="AA53" s="395">
        <f t="shared" si="30"/>
        <v>0</v>
      </c>
      <c r="AB53" s="395">
        <f t="shared" si="31"/>
        <v>0</v>
      </c>
      <c r="AC53" s="442">
        <f t="shared" si="38"/>
        <v>0</v>
      </c>
      <c r="AD53" s="86"/>
      <c r="AE53" s="394">
        <f t="shared" si="32"/>
        <v>0</v>
      </c>
      <c r="AF53" s="395">
        <f t="shared" si="33"/>
        <v>0</v>
      </c>
      <c r="AG53" s="395">
        <f t="shared" si="34"/>
        <v>0</v>
      </c>
      <c r="AH53" s="395">
        <f t="shared" si="35"/>
        <v>0</v>
      </c>
      <c r="AI53" s="395">
        <f t="shared" si="36"/>
        <v>0</v>
      </c>
      <c r="AJ53" s="442">
        <f t="shared" si="39"/>
        <v>0</v>
      </c>
      <c r="AM53" s="394">
        <f t="shared" si="22"/>
        <v>-20974.128280025674</v>
      </c>
      <c r="AN53" s="395">
        <f t="shared" si="23"/>
        <v>-20997.070656186785</v>
      </c>
      <c r="AO53" s="395">
        <f t="shared" si="24"/>
        <v>-22657.298083564907</v>
      </c>
      <c r="AP53" s="395">
        <f t="shared" si="25"/>
        <v>-20881.883206401719</v>
      </c>
      <c r="AQ53" s="396">
        <f t="shared" si="26"/>
        <v>-24435.600328633096</v>
      </c>
      <c r="AS53" s="394">
        <f t="shared" si="41"/>
        <v>2434876.479251354</v>
      </c>
      <c r="AT53" s="395">
        <f t="shared" si="42"/>
        <v>2456707.1254907604</v>
      </c>
      <c r="AU53" s="395">
        <f t="shared" si="43"/>
        <v>2385586.9756027944</v>
      </c>
      <c r="AV53" s="395">
        <f t="shared" si="44"/>
        <v>2347101.3701925501</v>
      </c>
      <c r="AW53" s="396">
        <f t="shared" si="45"/>
        <v>2572824.4237253983</v>
      </c>
      <c r="AY53" s="394">
        <f>IF($N53&lt;=baseData, IFERROR(INDEX('Fluxo Bandeira Co'!$W:$W, MATCH($N53, 'Fluxo Bandeira Co'!$A:$A, 0))*Permutas!AS53/(SUMIF('Fluxo Investidores'!$A:$A, "&lt;="&amp;$N53, 'Fluxo Investidores'!$Z:$Z)+SUMIF('Fluxo Investidores'!$A:$A, "&lt;="&amp;$N53, 'Fluxo Investidores'!$AA:$AA)), 0), IF($N53&lt;=terminoProjeto, -((1+txAdmKinea)^(1/12)-1)*AS52, 0))</f>
        <v>-2922.7686673764747</v>
      </c>
      <c r="AZ53" s="395">
        <f>IF($N53&lt;=baseData, IFERROR(INDEX('Fluxo Bandeira Co'!$W:$W, MATCH($N53, 'Fluxo Bandeira Co'!$A:$A, 0))*Permutas!AT53/(SUMIF('Fluxo Investidores'!$A:$A, "&lt;="&amp;$N53, 'Fluxo Investidores'!$Z:$Z)+SUMIF('Fluxo Investidores'!$A:$A, "&lt;="&amp;$N53, 'Fluxo Investidores'!$AA:$AA)), 0), IF($N53&lt;=terminoProjeto, -((1+txAdmKinea)^(1/12)-1)*AT52, 0))</f>
        <v>-2948.9736635480813</v>
      </c>
      <c r="BA53" s="395">
        <f>IF($N53&lt;=baseData, IFERROR(INDEX('Fluxo Bandeira Co'!$W:$W, MATCH($N53, 'Fluxo Bandeira Co'!$A:$A, 0))*Permutas!AU53/(SUMIF('Fluxo Investidores'!$A:$A, "&lt;="&amp;$N53, 'Fluxo Investidores'!$Z:$Z)+SUMIF('Fluxo Investidores'!$A:$A, "&lt;="&amp;$N53, 'Fluxo Investidores'!$AA:$AA)), 0), IF($N53&lt;=terminoProjeto, -((1+txAdmKinea)^(1/12)-1)*AU52, 0))</f>
        <v>-2863.60270223526</v>
      </c>
      <c r="BB53" s="395">
        <f>IF($N53&lt;=baseData, IFERROR(INDEX('Fluxo Bandeira Co'!$W:$W, MATCH($N53, 'Fluxo Bandeira Co'!$A:$A, 0))*Permutas!AV53/(SUMIF('Fluxo Investidores'!$A:$A, "&lt;="&amp;$N53, 'Fluxo Investidores'!$Z:$Z)+SUMIF('Fluxo Investidores'!$A:$A, "&lt;="&amp;$N53, 'Fluxo Investidores'!$AA:$AA)), 0), IF($N53&lt;=terminoProjeto, -((1+txAdmKinea)^(1/12)-1)*AV52, 0))</f>
        <v>-2817.4054833633354</v>
      </c>
      <c r="BC53" s="396">
        <f>IF($N53&lt;=baseData, IFERROR(INDEX('Fluxo Bandeira Co'!$W:$W, MATCH($N53, 'Fluxo Bandeira Co'!$A:$A, 0))*Permutas!AW53/(SUMIF('Fluxo Investidores'!$A:$A, "&lt;="&amp;$N53, 'Fluxo Investidores'!$Z:$Z)+SUMIF('Fluxo Investidores'!$A:$A, "&lt;="&amp;$N53, 'Fluxo Investidores'!$AA:$AA)), 0), IF($N53&lt;=terminoProjeto, -((1+txAdmKinea)^(1/12)-1)*AW52, 0))</f>
        <v>-3088.358147283765</v>
      </c>
    </row>
    <row r="54" spans="14:55" x14ac:dyDescent="0.25">
      <c r="N54" s="315">
        <f t="shared" si="40"/>
        <v>44805</v>
      </c>
      <c r="O54" s="389">
        <f>IF($N54&lt;=baseData, INDEX(Indicadores!B:B, MATCH($N54,Indicadores!A:A, 0)), INDEX(Indicadores!B:B, MATCH(baseData,Indicadores!A:A, 0)))</f>
        <v>839.38199999999995</v>
      </c>
      <c r="Q54" s="397">
        <f>IF($N54&lt;=baseData, -INDEX('Fluxo Investidores'!$L$2:$X$86, MATCH($N54, 'Fluxo Investidores'!$A$2:$A$86, 0), MATCH(Q$2, 'Fluxo Investidores'!$L$1:$X$1, 0)), 0)</f>
        <v>0</v>
      </c>
      <c r="R54" s="390">
        <f>IF($N54&lt;=baseData, -INDEX('Fluxo Investidores'!$L$2:$X$86, MATCH($N54, 'Fluxo Investidores'!$A$2:$A$86, 0), MATCH(R$2, 'Fluxo Investidores'!$L$1:$X$1, 0)), 0)</f>
        <v>0</v>
      </c>
      <c r="S54" s="390">
        <f>IF($N54&lt;=baseData, -INDEX('Fluxo Investidores'!$L$2:$X$86, MATCH($N54, 'Fluxo Investidores'!$A$2:$A$86, 0), MATCH(S$2, 'Fluxo Investidores'!$L$1:$X$1, 0)), 0)</f>
        <v>0</v>
      </c>
      <c r="T54" s="390">
        <f>IF($N54&lt;=baseData, -INDEX('Fluxo Investidores'!$L$2:$X$86, MATCH($N54, 'Fluxo Investidores'!$A$2:$A$86, 0), MATCH(T$2, 'Fluxo Investidores'!$L$1:$X$1, 0)), 0)</f>
        <v>0</v>
      </c>
      <c r="U54" s="390">
        <f>IF($N54&lt;=baseData, -INDEX('Fluxo Investidores'!$L$2:$X$86, MATCH($N54, 'Fluxo Investidores'!$A$2:$A$86, 0), MATCH(U$2, 'Fluxo Investidores'!$L$1:$X$1, 0)), 0)</f>
        <v>0</v>
      </c>
      <c r="V54" s="393">
        <f t="shared" si="37"/>
        <v>0</v>
      </c>
      <c r="X54" s="394">
        <f t="shared" si="27"/>
        <v>0</v>
      </c>
      <c r="Y54" s="395">
        <f t="shared" si="28"/>
        <v>0</v>
      </c>
      <c r="Z54" s="395">
        <f t="shared" si="29"/>
        <v>0</v>
      </c>
      <c r="AA54" s="395">
        <f t="shared" si="30"/>
        <v>0</v>
      </c>
      <c r="AB54" s="395">
        <f t="shared" si="31"/>
        <v>0</v>
      </c>
      <c r="AC54" s="442">
        <f t="shared" si="38"/>
        <v>0</v>
      </c>
      <c r="AD54" s="86"/>
      <c r="AE54" s="394">
        <f t="shared" si="32"/>
        <v>0</v>
      </c>
      <c r="AF54" s="395">
        <f t="shared" si="33"/>
        <v>0</v>
      </c>
      <c r="AG54" s="395">
        <f t="shared" si="34"/>
        <v>0</v>
      </c>
      <c r="AH54" s="395">
        <f t="shared" si="35"/>
        <v>0</v>
      </c>
      <c r="AI54" s="395">
        <f t="shared" si="36"/>
        <v>0</v>
      </c>
      <c r="AJ54" s="442">
        <f t="shared" si="39"/>
        <v>0</v>
      </c>
      <c r="AM54" s="394">
        <f t="shared" si="22"/>
        <v>-20974.128280025674</v>
      </c>
      <c r="AN54" s="395">
        <f t="shared" si="23"/>
        <v>-20997.070656186785</v>
      </c>
      <c r="AO54" s="395">
        <f t="shared" si="24"/>
        <v>-22657.298083564907</v>
      </c>
      <c r="AP54" s="395">
        <f t="shared" si="25"/>
        <v>-20881.883206401719</v>
      </c>
      <c r="AQ54" s="396">
        <f t="shared" si="26"/>
        <v>-24435.600328633096</v>
      </c>
      <c r="AS54" s="394">
        <f t="shared" si="41"/>
        <v>2434876.479251354</v>
      </c>
      <c r="AT54" s="395">
        <f t="shared" si="42"/>
        <v>2456707.1254907604</v>
      </c>
      <c r="AU54" s="395">
        <f t="shared" si="43"/>
        <v>2385586.9756027944</v>
      </c>
      <c r="AV54" s="395">
        <f t="shared" si="44"/>
        <v>2347101.3701925501</v>
      </c>
      <c r="AW54" s="396">
        <f t="shared" si="45"/>
        <v>2572824.4237253983</v>
      </c>
      <c r="AY54" s="394">
        <f>IF($N54&lt;=baseData, IFERROR(INDEX('Fluxo Bandeira Co'!$W:$W, MATCH($N54, 'Fluxo Bandeira Co'!$A:$A, 0))*Permutas!AS54/(SUMIF('Fluxo Investidores'!$A:$A, "&lt;="&amp;$N54, 'Fluxo Investidores'!$Z:$Z)+SUMIF('Fluxo Investidores'!$A:$A, "&lt;="&amp;$N54, 'Fluxo Investidores'!$AA:$AA)), 0), IF($N54&lt;=terminoProjeto, -((1+txAdmKinea)^(1/12)-1)*AS53, 0))</f>
        <v>-2922.7686673764747</v>
      </c>
      <c r="AZ54" s="395">
        <f>IF($N54&lt;=baseData, IFERROR(INDEX('Fluxo Bandeira Co'!$W:$W, MATCH($N54, 'Fluxo Bandeira Co'!$A:$A, 0))*Permutas!AT54/(SUMIF('Fluxo Investidores'!$A:$A, "&lt;="&amp;$N54, 'Fluxo Investidores'!$Z:$Z)+SUMIF('Fluxo Investidores'!$A:$A, "&lt;="&amp;$N54, 'Fluxo Investidores'!$AA:$AA)), 0), IF($N54&lt;=terminoProjeto, -((1+txAdmKinea)^(1/12)-1)*AT53, 0))</f>
        <v>-2948.9736635480813</v>
      </c>
      <c r="BA54" s="395">
        <f>IF($N54&lt;=baseData, IFERROR(INDEX('Fluxo Bandeira Co'!$W:$W, MATCH($N54, 'Fluxo Bandeira Co'!$A:$A, 0))*Permutas!AU54/(SUMIF('Fluxo Investidores'!$A:$A, "&lt;="&amp;$N54, 'Fluxo Investidores'!$Z:$Z)+SUMIF('Fluxo Investidores'!$A:$A, "&lt;="&amp;$N54, 'Fluxo Investidores'!$AA:$AA)), 0), IF($N54&lt;=terminoProjeto, -((1+txAdmKinea)^(1/12)-1)*AU53, 0))</f>
        <v>-2863.60270223526</v>
      </c>
      <c r="BB54" s="395">
        <f>IF($N54&lt;=baseData, IFERROR(INDEX('Fluxo Bandeira Co'!$W:$W, MATCH($N54, 'Fluxo Bandeira Co'!$A:$A, 0))*Permutas!AV54/(SUMIF('Fluxo Investidores'!$A:$A, "&lt;="&amp;$N54, 'Fluxo Investidores'!$Z:$Z)+SUMIF('Fluxo Investidores'!$A:$A, "&lt;="&amp;$N54, 'Fluxo Investidores'!$AA:$AA)), 0), IF($N54&lt;=terminoProjeto, -((1+txAdmKinea)^(1/12)-1)*AV53, 0))</f>
        <v>-2817.4054833633354</v>
      </c>
      <c r="BC54" s="396">
        <f>IF($N54&lt;=baseData, IFERROR(INDEX('Fluxo Bandeira Co'!$W:$W, MATCH($N54, 'Fluxo Bandeira Co'!$A:$A, 0))*Permutas!AW54/(SUMIF('Fluxo Investidores'!$A:$A, "&lt;="&amp;$N54, 'Fluxo Investidores'!$Z:$Z)+SUMIF('Fluxo Investidores'!$A:$A, "&lt;="&amp;$N54, 'Fluxo Investidores'!$AA:$AA)), 0), IF($N54&lt;=terminoProjeto, -((1+txAdmKinea)^(1/12)-1)*AW53, 0))</f>
        <v>-3088.358147283765</v>
      </c>
    </row>
    <row r="55" spans="14:55" x14ac:dyDescent="0.25">
      <c r="N55" s="315">
        <f t="shared" si="40"/>
        <v>44835</v>
      </c>
      <c r="O55" s="389">
        <f>IF($N55&lt;=baseData, INDEX(Indicadores!B:B, MATCH($N55,Indicadores!A:A, 0)), INDEX(Indicadores!B:B, MATCH(baseData,Indicadores!A:A, 0)))</f>
        <v>839.38199999999995</v>
      </c>
      <c r="Q55" s="397">
        <f>IF($N55&lt;=baseData, -INDEX('Fluxo Investidores'!$L$2:$X$86, MATCH($N55, 'Fluxo Investidores'!$A$2:$A$86, 0), MATCH(Q$2, 'Fluxo Investidores'!$L$1:$X$1, 0)), 0)</f>
        <v>0</v>
      </c>
      <c r="R55" s="390">
        <f>IF($N55&lt;=baseData, -INDEX('Fluxo Investidores'!$L$2:$X$86, MATCH($N55, 'Fluxo Investidores'!$A$2:$A$86, 0), MATCH(R$2, 'Fluxo Investidores'!$L$1:$X$1, 0)), 0)</f>
        <v>0</v>
      </c>
      <c r="S55" s="390">
        <f>IF($N55&lt;=baseData, -INDEX('Fluxo Investidores'!$L$2:$X$86, MATCH($N55, 'Fluxo Investidores'!$A$2:$A$86, 0), MATCH(S$2, 'Fluxo Investidores'!$L$1:$X$1, 0)), 0)</f>
        <v>0</v>
      </c>
      <c r="T55" s="390">
        <f>IF($N55&lt;=baseData, -INDEX('Fluxo Investidores'!$L$2:$X$86, MATCH($N55, 'Fluxo Investidores'!$A$2:$A$86, 0), MATCH(T$2, 'Fluxo Investidores'!$L$1:$X$1, 0)), 0)</f>
        <v>0</v>
      </c>
      <c r="U55" s="390">
        <f>IF($N55&lt;=baseData, -INDEX('Fluxo Investidores'!$L$2:$X$86, MATCH($N55, 'Fluxo Investidores'!$A$2:$A$86, 0), MATCH(U$2, 'Fluxo Investidores'!$L$1:$X$1, 0)), 0)</f>
        <v>0</v>
      </c>
      <c r="V55" s="393">
        <f t="shared" si="37"/>
        <v>0</v>
      </c>
      <c r="X55" s="394">
        <f t="shared" si="27"/>
        <v>0</v>
      </c>
      <c r="Y55" s="395">
        <f t="shared" si="28"/>
        <v>0</v>
      </c>
      <c r="Z55" s="395">
        <f t="shared" si="29"/>
        <v>0</v>
      </c>
      <c r="AA55" s="395">
        <f t="shared" si="30"/>
        <v>0</v>
      </c>
      <c r="AB55" s="395">
        <f t="shared" si="31"/>
        <v>0</v>
      </c>
      <c r="AC55" s="442">
        <f t="shared" si="38"/>
        <v>0</v>
      </c>
      <c r="AD55" s="86"/>
      <c r="AE55" s="394">
        <f t="shared" si="32"/>
        <v>0</v>
      </c>
      <c r="AF55" s="395">
        <f t="shared" si="33"/>
        <v>0</v>
      </c>
      <c r="AG55" s="395">
        <f t="shared" si="34"/>
        <v>0</v>
      </c>
      <c r="AH55" s="395">
        <f t="shared" si="35"/>
        <v>0</v>
      </c>
      <c r="AI55" s="395">
        <f t="shared" si="36"/>
        <v>0</v>
      </c>
      <c r="AJ55" s="442">
        <f t="shared" si="39"/>
        <v>0</v>
      </c>
      <c r="AM55" s="394">
        <f t="shared" si="22"/>
        <v>-20974.128280025674</v>
      </c>
      <c r="AN55" s="395">
        <f t="shared" si="23"/>
        <v>-20997.070656186785</v>
      </c>
      <c r="AO55" s="395">
        <f t="shared" si="24"/>
        <v>-22657.298083564907</v>
      </c>
      <c r="AP55" s="395">
        <f t="shared" si="25"/>
        <v>-20881.883206401719</v>
      </c>
      <c r="AQ55" s="396">
        <f t="shared" si="26"/>
        <v>-24435.600328633096</v>
      </c>
      <c r="AS55" s="394">
        <f t="shared" si="41"/>
        <v>2434876.479251354</v>
      </c>
      <c r="AT55" s="395">
        <f t="shared" si="42"/>
        <v>2456707.1254907604</v>
      </c>
      <c r="AU55" s="395">
        <f t="shared" si="43"/>
        <v>2385586.9756027944</v>
      </c>
      <c r="AV55" s="395">
        <f t="shared" si="44"/>
        <v>2347101.3701925501</v>
      </c>
      <c r="AW55" s="396">
        <f t="shared" si="45"/>
        <v>2572824.4237253983</v>
      </c>
      <c r="AY55" s="394">
        <f>IF($N55&lt;=baseData, IFERROR(INDEX('Fluxo Bandeira Co'!$W:$W, MATCH($N55, 'Fluxo Bandeira Co'!$A:$A, 0))*Permutas!AS55/(SUMIF('Fluxo Investidores'!$A:$A, "&lt;="&amp;$N55, 'Fluxo Investidores'!$Z:$Z)+SUMIF('Fluxo Investidores'!$A:$A, "&lt;="&amp;$N55, 'Fluxo Investidores'!$AA:$AA)), 0), IF($N55&lt;=terminoProjeto, -((1+txAdmKinea)^(1/12)-1)*AS54, 0))</f>
        <v>-2922.7686673764747</v>
      </c>
      <c r="AZ55" s="395">
        <f>IF($N55&lt;=baseData, IFERROR(INDEX('Fluxo Bandeira Co'!$W:$W, MATCH($N55, 'Fluxo Bandeira Co'!$A:$A, 0))*Permutas!AT55/(SUMIF('Fluxo Investidores'!$A:$A, "&lt;="&amp;$N55, 'Fluxo Investidores'!$Z:$Z)+SUMIF('Fluxo Investidores'!$A:$A, "&lt;="&amp;$N55, 'Fluxo Investidores'!$AA:$AA)), 0), IF($N55&lt;=terminoProjeto, -((1+txAdmKinea)^(1/12)-1)*AT54, 0))</f>
        <v>-2948.9736635480813</v>
      </c>
      <c r="BA55" s="395">
        <f>IF($N55&lt;=baseData, IFERROR(INDEX('Fluxo Bandeira Co'!$W:$W, MATCH($N55, 'Fluxo Bandeira Co'!$A:$A, 0))*Permutas!AU55/(SUMIF('Fluxo Investidores'!$A:$A, "&lt;="&amp;$N55, 'Fluxo Investidores'!$Z:$Z)+SUMIF('Fluxo Investidores'!$A:$A, "&lt;="&amp;$N55, 'Fluxo Investidores'!$AA:$AA)), 0), IF($N55&lt;=terminoProjeto, -((1+txAdmKinea)^(1/12)-1)*AU54, 0))</f>
        <v>-2863.60270223526</v>
      </c>
      <c r="BB55" s="395">
        <f>IF($N55&lt;=baseData, IFERROR(INDEX('Fluxo Bandeira Co'!$W:$W, MATCH($N55, 'Fluxo Bandeira Co'!$A:$A, 0))*Permutas!AV55/(SUMIF('Fluxo Investidores'!$A:$A, "&lt;="&amp;$N55, 'Fluxo Investidores'!$Z:$Z)+SUMIF('Fluxo Investidores'!$A:$A, "&lt;="&amp;$N55, 'Fluxo Investidores'!$AA:$AA)), 0), IF($N55&lt;=terminoProjeto, -((1+txAdmKinea)^(1/12)-1)*AV54, 0))</f>
        <v>-2817.4054833633354</v>
      </c>
      <c r="BC55" s="396">
        <f>IF($N55&lt;=baseData, IFERROR(INDEX('Fluxo Bandeira Co'!$W:$W, MATCH($N55, 'Fluxo Bandeira Co'!$A:$A, 0))*Permutas!AW55/(SUMIF('Fluxo Investidores'!$A:$A, "&lt;="&amp;$N55, 'Fluxo Investidores'!$Z:$Z)+SUMIF('Fluxo Investidores'!$A:$A, "&lt;="&amp;$N55, 'Fluxo Investidores'!$AA:$AA)), 0), IF($N55&lt;=terminoProjeto, -((1+txAdmKinea)^(1/12)-1)*AW54, 0))</f>
        <v>-3088.358147283765</v>
      </c>
    </row>
    <row r="56" spans="14:55" x14ac:dyDescent="0.25">
      <c r="N56" s="315">
        <f t="shared" si="40"/>
        <v>44866</v>
      </c>
      <c r="O56" s="389">
        <f>IF($N56&lt;=baseData, INDEX(Indicadores!B:B, MATCH($N56,Indicadores!A:A, 0)), INDEX(Indicadores!B:B, MATCH(baseData,Indicadores!A:A, 0)))</f>
        <v>839.38199999999995</v>
      </c>
      <c r="Q56" s="397">
        <f>IF($N56&lt;=baseData, -INDEX('Fluxo Investidores'!$L$2:$X$86, MATCH($N56, 'Fluxo Investidores'!$A$2:$A$86, 0), MATCH(Q$2, 'Fluxo Investidores'!$L$1:$X$1, 0)), 0)</f>
        <v>0</v>
      </c>
      <c r="R56" s="390">
        <f>IF($N56&lt;=baseData, -INDEX('Fluxo Investidores'!$L$2:$X$86, MATCH($N56, 'Fluxo Investidores'!$A$2:$A$86, 0), MATCH(R$2, 'Fluxo Investidores'!$L$1:$X$1, 0)), 0)</f>
        <v>0</v>
      </c>
      <c r="S56" s="390">
        <f>IF($N56&lt;=baseData, -INDEX('Fluxo Investidores'!$L$2:$X$86, MATCH($N56, 'Fluxo Investidores'!$A$2:$A$86, 0), MATCH(S$2, 'Fluxo Investidores'!$L$1:$X$1, 0)), 0)</f>
        <v>0</v>
      </c>
      <c r="T56" s="390">
        <f>IF($N56&lt;=baseData, -INDEX('Fluxo Investidores'!$L$2:$X$86, MATCH($N56, 'Fluxo Investidores'!$A$2:$A$86, 0), MATCH(T$2, 'Fluxo Investidores'!$L$1:$X$1, 0)), 0)</f>
        <v>0</v>
      </c>
      <c r="U56" s="390">
        <f>IF($N56&lt;=baseData, -INDEX('Fluxo Investidores'!$L$2:$X$86, MATCH($N56, 'Fluxo Investidores'!$A$2:$A$86, 0), MATCH(U$2, 'Fluxo Investidores'!$L$1:$X$1, 0)), 0)</f>
        <v>0</v>
      </c>
      <c r="V56" s="393">
        <f t="shared" si="37"/>
        <v>0</v>
      </c>
      <c r="X56" s="394">
        <f t="shared" si="27"/>
        <v>0</v>
      </c>
      <c r="Y56" s="395">
        <f t="shared" si="28"/>
        <v>0</v>
      </c>
      <c r="Z56" s="395">
        <f t="shared" si="29"/>
        <v>0</v>
      </c>
      <c r="AA56" s="395">
        <f t="shared" si="30"/>
        <v>0</v>
      </c>
      <c r="AB56" s="395">
        <f t="shared" si="31"/>
        <v>0</v>
      </c>
      <c r="AC56" s="442">
        <f t="shared" si="38"/>
        <v>0</v>
      </c>
      <c r="AD56" s="86"/>
      <c r="AE56" s="394">
        <f t="shared" si="32"/>
        <v>0</v>
      </c>
      <c r="AF56" s="395">
        <f t="shared" si="33"/>
        <v>0</v>
      </c>
      <c r="AG56" s="395">
        <f t="shared" si="34"/>
        <v>0</v>
      </c>
      <c r="AH56" s="395">
        <f t="shared" si="35"/>
        <v>0</v>
      </c>
      <c r="AI56" s="395">
        <f t="shared" si="36"/>
        <v>0</v>
      </c>
      <c r="AJ56" s="442">
        <f t="shared" si="39"/>
        <v>0</v>
      </c>
      <c r="AM56" s="394">
        <f t="shared" ref="AM56:AM81" si="46">(AM55-X56)/$O55*$O56</f>
        <v>-20974.128280025674</v>
      </c>
      <c r="AN56" s="395">
        <f t="shared" ref="AN56:AN81" si="47">(AN55-Y56)/$O55*$O56</f>
        <v>-20997.070656186785</v>
      </c>
      <c r="AO56" s="395">
        <f t="shared" ref="AO56:AO81" si="48">(AO55-Z56)/$O55*$O56</f>
        <v>-22657.298083564907</v>
      </c>
      <c r="AP56" s="395">
        <f t="shared" ref="AP56:AP81" si="49">(AP55-AA56)/$O55*$O56</f>
        <v>-20881.883206401719</v>
      </c>
      <c r="AQ56" s="396">
        <f t="shared" ref="AQ56:AQ81" si="50">(AQ55-AB56)/$O55*$O56</f>
        <v>-24435.600328633096</v>
      </c>
      <c r="AS56" s="394">
        <f t="shared" si="41"/>
        <v>2434876.479251354</v>
      </c>
      <c r="AT56" s="395">
        <f t="shared" si="42"/>
        <v>2456707.1254907604</v>
      </c>
      <c r="AU56" s="395">
        <f t="shared" si="43"/>
        <v>2385586.9756027944</v>
      </c>
      <c r="AV56" s="395">
        <f t="shared" si="44"/>
        <v>2347101.3701925501</v>
      </c>
      <c r="AW56" s="396">
        <f t="shared" si="45"/>
        <v>2572824.4237253983</v>
      </c>
      <c r="AY56" s="394">
        <f>IF($N56&lt;=baseData, IFERROR(INDEX('Fluxo Bandeira Co'!$W:$W, MATCH($N56, 'Fluxo Bandeira Co'!$A:$A, 0))*Permutas!AS56/(SUMIF('Fluxo Investidores'!$A:$A, "&lt;="&amp;$N56, 'Fluxo Investidores'!$Z:$Z)+SUMIF('Fluxo Investidores'!$A:$A, "&lt;="&amp;$N56, 'Fluxo Investidores'!$AA:$AA)), 0), IF($N56&lt;=terminoProjeto, -((1+txAdmKinea)^(1/12)-1)*AS55, 0))</f>
        <v>-2922.7686673764747</v>
      </c>
      <c r="AZ56" s="395">
        <f>IF($N56&lt;=baseData, IFERROR(INDEX('Fluxo Bandeira Co'!$W:$W, MATCH($N56, 'Fluxo Bandeira Co'!$A:$A, 0))*Permutas!AT56/(SUMIF('Fluxo Investidores'!$A:$A, "&lt;="&amp;$N56, 'Fluxo Investidores'!$Z:$Z)+SUMIF('Fluxo Investidores'!$A:$A, "&lt;="&amp;$N56, 'Fluxo Investidores'!$AA:$AA)), 0), IF($N56&lt;=terminoProjeto, -((1+txAdmKinea)^(1/12)-1)*AT55, 0))</f>
        <v>-2948.9736635480813</v>
      </c>
      <c r="BA56" s="395">
        <f>IF($N56&lt;=baseData, IFERROR(INDEX('Fluxo Bandeira Co'!$W:$W, MATCH($N56, 'Fluxo Bandeira Co'!$A:$A, 0))*Permutas!AU56/(SUMIF('Fluxo Investidores'!$A:$A, "&lt;="&amp;$N56, 'Fluxo Investidores'!$Z:$Z)+SUMIF('Fluxo Investidores'!$A:$A, "&lt;="&amp;$N56, 'Fluxo Investidores'!$AA:$AA)), 0), IF($N56&lt;=terminoProjeto, -((1+txAdmKinea)^(1/12)-1)*AU55, 0))</f>
        <v>-2863.60270223526</v>
      </c>
      <c r="BB56" s="395">
        <f>IF($N56&lt;=baseData, IFERROR(INDEX('Fluxo Bandeira Co'!$W:$W, MATCH($N56, 'Fluxo Bandeira Co'!$A:$A, 0))*Permutas!AV56/(SUMIF('Fluxo Investidores'!$A:$A, "&lt;="&amp;$N56, 'Fluxo Investidores'!$Z:$Z)+SUMIF('Fluxo Investidores'!$A:$A, "&lt;="&amp;$N56, 'Fluxo Investidores'!$AA:$AA)), 0), IF($N56&lt;=terminoProjeto, -((1+txAdmKinea)^(1/12)-1)*AV55, 0))</f>
        <v>-2817.4054833633354</v>
      </c>
      <c r="BC56" s="396">
        <f>IF($N56&lt;=baseData, IFERROR(INDEX('Fluxo Bandeira Co'!$W:$W, MATCH($N56, 'Fluxo Bandeira Co'!$A:$A, 0))*Permutas!AW56/(SUMIF('Fluxo Investidores'!$A:$A, "&lt;="&amp;$N56, 'Fluxo Investidores'!$Z:$Z)+SUMIF('Fluxo Investidores'!$A:$A, "&lt;="&amp;$N56, 'Fluxo Investidores'!$AA:$AA)), 0), IF($N56&lt;=terminoProjeto, -((1+txAdmKinea)^(1/12)-1)*AW55, 0))</f>
        <v>-3088.358147283765</v>
      </c>
    </row>
    <row r="57" spans="14:55" x14ac:dyDescent="0.25">
      <c r="N57" s="315">
        <f t="shared" si="40"/>
        <v>44896</v>
      </c>
      <c r="O57" s="389">
        <f>IF($N57&lt;=baseData, INDEX(Indicadores!B:B, MATCH($N57,Indicadores!A:A, 0)), INDEX(Indicadores!B:B, MATCH(baseData,Indicadores!A:A, 0)))</f>
        <v>839.38199999999995</v>
      </c>
      <c r="Q57" s="397">
        <f>IF($N57&lt;=baseData, -INDEX('Fluxo Investidores'!$L$2:$X$86, MATCH($N57, 'Fluxo Investidores'!$A$2:$A$86, 0), MATCH(Q$2, 'Fluxo Investidores'!$L$1:$X$1, 0)), 0)</f>
        <v>0</v>
      </c>
      <c r="R57" s="390">
        <f>IF($N57&lt;=baseData, -INDEX('Fluxo Investidores'!$L$2:$X$86, MATCH($N57, 'Fluxo Investidores'!$A$2:$A$86, 0), MATCH(R$2, 'Fluxo Investidores'!$L$1:$X$1, 0)), 0)</f>
        <v>0</v>
      </c>
      <c r="S57" s="390">
        <f>IF($N57&lt;=baseData, -INDEX('Fluxo Investidores'!$L$2:$X$86, MATCH($N57, 'Fluxo Investidores'!$A$2:$A$86, 0), MATCH(S$2, 'Fluxo Investidores'!$L$1:$X$1, 0)), 0)</f>
        <v>0</v>
      </c>
      <c r="T57" s="390">
        <f>IF($N57&lt;=baseData, -INDEX('Fluxo Investidores'!$L$2:$X$86, MATCH($N57, 'Fluxo Investidores'!$A$2:$A$86, 0), MATCH(T$2, 'Fluxo Investidores'!$L$1:$X$1, 0)), 0)</f>
        <v>0</v>
      </c>
      <c r="U57" s="390">
        <f>IF($N57&lt;=baseData, -INDEX('Fluxo Investidores'!$L$2:$X$86, MATCH($N57, 'Fluxo Investidores'!$A$2:$A$86, 0), MATCH(U$2, 'Fluxo Investidores'!$L$1:$X$1, 0)), 0)</f>
        <v>0</v>
      </c>
      <c r="V57" s="393">
        <f t="shared" si="37"/>
        <v>0</v>
      </c>
      <c r="X57" s="394">
        <f t="shared" si="27"/>
        <v>0</v>
      </c>
      <c r="Y57" s="395">
        <f t="shared" si="28"/>
        <v>0</v>
      </c>
      <c r="Z57" s="395">
        <f t="shared" si="29"/>
        <v>0</v>
      </c>
      <c r="AA57" s="395">
        <f t="shared" si="30"/>
        <v>0</v>
      </c>
      <c r="AB57" s="395">
        <f t="shared" si="31"/>
        <v>0</v>
      </c>
      <c r="AC57" s="442">
        <f t="shared" si="38"/>
        <v>0</v>
      </c>
      <c r="AD57" s="86"/>
      <c r="AE57" s="394">
        <f t="shared" si="32"/>
        <v>0</v>
      </c>
      <c r="AF57" s="395">
        <f t="shared" si="33"/>
        <v>0</v>
      </c>
      <c r="AG57" s="395">
        <f t="shared" si="34"/>
        <v>0</v>
      </c>
      <c r="AH57" s="395">
        <f t="shared" si="35"/>
        <v>0</v>
      </c>
      <c r="AI57" s="395">
        <f t="shared" si="36"/>
        <v>0</v>
      </c>
      <c r="AJ57" s="442">
        <f t="shared" si="39"/>
        <v>0</v>
      </c>
      <c r="AM57" s="394">
        <f t="shared" si="46"/>
        <v>-20974.128280025674</v>
      </c>
      <c r="AN57" s="395">
        <f t="shared" si="47"/>
        <v>-20997.070656186785</v>
      </c>
      <c r="AO57" s="395">
        <f t="shared" si="48"/>
        <v>-22657.298083564907</v>
      </c>
      <c r="AP57" s="395">
        <f t="shared" si="49"/>
        <v>-20881.883206401719</v>
      </c>
      <c r="AQ57" s="396">
        <f t="shared" si="50"/>
        <v>-24435.600328633096</v>
      </c>
      <c r="AS57" s="394">
        <f t="shared" si="41"/>
        <v>2434876.479251354</v>
      </c>
      <c r="AT57" s="395">
        <f t="shared" si="42"/>
        <v>2456707.1254907604</v>
      </c>
      <c r="AU57" s="395">
        <f t="shared" si="43"/>
        <v>2385586.9756027944</v>
      </c>
      <c r="AV57" s="395">
        <f t="shared" si="44"/>
        <v>2347101.3701925501</v>
      </c>
      <c r="AW57" s="396">
        <f t="shared" si="45"/>
        <v>2572824.4237253983</v>
      </c>
      <c r="AY57" s="394">
        <f>IF($N57&lt;=baseData, IFERROR(INDEX('Fluxo Bandeira Co'!$W:$W, MATCH($N57, 'Fluxo Bandeira Co'!$A:$A, 0))*Permutas!AS57/(SUMIF('Fluxo Investidores'!$A:$A, "&lt;="&amp;$N57, 'Fluxo Investidores'!$Z:$Z)+SUMIF('Fluxo Investidores'!$A:$A, "&lt;="&amp;$N57, 'Fluxo Investidores'!$AA:$AA)), 0), IF($N57&lt;=terminoProjeto, -((1+txAdmKinea)^(1/12)-1)*AS56, 0))</f>
        <v>-2922.7686673764747</v>
      </c>
      <c r="AZ57" s="395">
        <f>IF($N57&lt;=baseData, IFERROR(INDEX('Fluxo Bandeira Co'!$W:$W, MATCH($N57, 'Fluxo Bandeira Co'!$A:$A, 0))*Permutas!AT57/(SUMIF('Fluxo Investidores'!$A:$A, "&lt;="&amp;$N57, 'Fluxo Investidores'!$Z:$Z)+SUMIF('Fluxo Investidores'!$A:$A, "&lt;="&amp;$N57, 'Fluxo Investidores'!$AA:$AA)), 0), IF($N57&lt;=terminoProjeto, -((1+txAdmKinea)^(1/12)-1)*AT56, 0))</f>
        <v>-2948.9736635480813</v>
      </c>
      <c r="BA57" s="395">
        <f>IF($N57&lt;=baseData, IFERROR(INDEX('Fluxo Bandeira Co'!$W:$W, MATCH($N57, 'Fluxo Bandeira Co'!$A:$A, 0))*Permutas!AU57/(SUMIF('Fluxo Investidores'!$A:$A, "&lt;="&amp;$N57, 'Fluxo Investidores'!$Z:$Z)+SUMIF('Fluxo Investidores'!$A:$A, "&lt;="&amp;$N57, 'Fluxo Investidores'!$AA:$AA)), 0), IF($N57&lt;=terminoProjeto, -((1+txAdmKinea)^(1/12)-1)*AU56, 0))</f>
        <v>-2863.60270223526</v>
      </c>
      <c r="BB57" s="395">
        <f>IF($N57&lt;=baseData, IFERROR(INDEX('Fluxo Bandeira Co'!$W:$W, MATCH($N57, 'Fluxo Bandeira Co'!$A:$A, 0))*Permutas!AV57/(SUMIF('Fluxo Investidores'!$A:$A, "&lt;="&amp;$N57, 'Fluxo Investidores'!$Z:$Z)+SUMIF('Fluxo Investidores'!$A:$A, "&lt;="&amp;$N57, 'Fluxo Investidores'!$AA:$AA)), 0), IF($N57&lt;=terminoProjeto, -((1+txAdmKinea)^(1/12)-1)*AV56, 0))</f>
        <v>-2817.4054833633354</v>
      </c>
      <c r="BC57" s="396">
        <f>IF($N57&lt;=baseData, IFERROR(INDEX('Fluxo Bandeira Co'!$W:$W, MATCH($N57, 'Fluxo Bandeira Co'!$A:$A, 0))*Permutas!AW57/(SUMIF('Fluxo Investidores'!$A:$A, "&lt;="&amp;$N57, 'Fluxo Investidores'!$Z:$Z)+SUMIF('Fluxo Investidores'!$A:$A, "&lt;="&amp;$N57, 'Fluxo Investidores'!$AA:$AA)), 0), IF($N57&lt;=terminoProjeto, -((1+txAdmKinea)^(1/12)-1)*AW56, 0))</f>
        <v>-3088.358147283765</v>
      </c>
    </row>
    <row r="58" spans="14:55" x14ac:dyDescent="0.25">
      <c r="N58" s="315">
        <f t="shared" si="40"/>
        <v>44927</v>
      </c>
      <c r="O58" s="389">
        <f>IF($N58&lt;=baseData, INDEX(Indicadores!B:B, MATCH($N58,Indicadores!A:A, 0)), INDEX(Indicadores!B:B, MATCH(baseData,Indicadores!A:A, 0)))</f>
        <v>839.38199999999995</v>
      </c>
      <c r="Q58" s="397">
        <f>IF($N58&lt;=baseData, -INDEX('Fluxo Investidores'!$L$2:$X$86, MATCH($N58, 'Fluxo Investidores'!$A$2:$A$86, 0), MATCH(Q$2, 'Fluxo Investidores'!$L$1:$X$1, 0)), 0)</f>
        <v>0</v>
      </c>
      <c r="R58" s="390">
        <f>IF($N58&lt;=baseData, -INDEX('Fluxo Investidores'!$L$2:$X$86, MATCH($N58, 'Fluxo Investidores'!$A$2:$A$86, 0), MATCH(R$2, 'Fluxo Investidores'!$L$1:$X$1, 0)), 0)</f>
        <v>0</v>
      </c>
      <c r="S58" s="390">
        <f>IF($N58&lt;=baseData, -INDEX('Fluxo Investidores'!$L$2:$X$86, MATCH($N58, 'Fluxo Investidores'!$A$2:$A$86, 0), MATCH(S$2, 'Fluxo Investidores'!$L$1:$X$1, 0)), 0)</f>
        <v>0</v>
      </c>
      <c r="T58" s="390">
        <f>IF($N58&lt;=baseData, -INDEX('Fluxo Investidores'!$L$2:$X$86, MATCH($N58, 'Fluxo Investidores'!$A$2:$A$86, 0), MATCH(T$2, 'Fluxo Investidores'!$L$1:$X$1, 0)), 0)</f>
        <v>0</v>
      </c>
      <c r="U58" s="390">
        <f>IF($N58&lt;=baseData, -INDEX('Fluxo Investidores'!$L$2:$X$86, MATCH($N58, 'Fluxo Investidores'!$A$2:$A$86, 0), MATCH(U$2, 'Fluxo Investidores'!$L$1:$X$1, 0)), 0)</f>
        <v>0</v>
      </c>
      <c r="V58" s="393">
        <f t="shared" si="37"/>
        <v>0</v>
      </c>
      <c r="X58" s="394">
        <f t="shared" si="27"/>
        <v>0</v>
      </c>
      <c r="Y58" s="395">
        <f t="shared" si="28"/>
        <v>0</v>
      </c>
      <c r="Z58" s="395">
        <f t="shared" si="29"/>
        <v>0</v>
      </c>
      <c r="AA58" s="395">
        <f t="shared" si="30"/>
        <v>0</v>
      </c>
      <c r="AB58" s="395">
        <f t="shared" si="31"/>
        <v>0</v>
      </c>
      <c r="AC58" s="442">
        <f t="shared" si="38"/>
        <v>0</v>
      </c>
      <c r="AD58" s="86"/>
      <c r="AE58" s="394">
        <f t="shared" si="32"/>
        <v>0</v>
      </c>
      <c r="AF58" s="395">
        <f t="shared" si="33"/>
        <v>0</v>
      </c>
      <c r="AG58" s="395">
        <f t="shared" si="34"/>
        <v>0</v>
      </c>
      <c r="AH58" s="395">
        <f t="shared" si="35"/>
        <v>0</v>
      </c>
      <c r="AI58" s="395">
        <f t="shared" si="36"/>
        <v>0</v>
      </c>
      <c r="AJ58" s="442">
        <f t="shared" si="39"/>
        <v>0</v>
      </c>
      <c r="AM58" s="394">
        <f t="shared" si="46"/>
        <v>-20974.128280025674</v>
      </c>
      <c r="AN58" s="395">
        <f t="shared" si="47"/>
        <v>-20997.070656186785</v>
      </c>
      <c r="AO58" s="395">
        <f t="shared" si="48"/>
        <v>-22657.298083564907</v>
      </c>
      <c r="AP58" s="395">
        <f t="shared" si="49"/>
        <v>-20881.883206401719</v>
      </c>
      <c r="AQ58" s="396">
        <f t="shared" si="50"/>
        <v>-24435.600328633096</v>
      </c>
      <c r="AS58" s="394">
        <f t="shared" si="41"/>
        <v>2434876.479251354</v>
      </c>
      <c r="AT58" s="395">
        <f t="shared" si="42"/>
        <v>2456707.1254907604</v>
      </c>
      <c r="AU58" s="395">
        <f t="shared" si="43"/>
        <v>2385586.9756027944</v>
      </c>
      <c r="AV58" s="395">
        <f t="shared" si="44"/>
        <v>2347101.3701925501</v>
      </c>
      <c r="AW58" s="396">
        <f t="shared" si="45"/>
        <v>2572824.4237253983</v>
      </c>
      <c r="AY58" s="394">
        <f>IF($N58&lt;=baseData, IFERROR(INDEX('Fluxo Bandeira Co'!$W:$W, MATCH($N58, 'Fluxo Bandeira Co'!$A:$A, 0))*Permutas!AS58/(SUMIF('Fluxo Investidores'!$A:$A, "&lt;="&amp;$N58, 'Fluxo Investidores'!$Z:$Z)+SUMIF('Fluxo Investidores'!$A:$A, "&lt;="&amp;$N58, 'Fluxo Investidores'!$AA:$AA)), 0), IF($N58&lt;=terminoProjeto, -((1+txAdmKinea)^(1/12)-1)*AS57, 0))</f>
        <v>-2922.7686673764747</v>
      </c>
      <c r="AZ58" s="395">
        <f>IF($N58&lt;=baseData, IFERROR(INDEX('Fluxo Bandeira Co'!$W:$W, MATCH($N58, 'Fluxo Bandeira Co'!$A:$A, 0))*Permutas!AT58/(SUMIF('Fluxo Investidores'!$A:$A, "&lt;="&amp;$N58, 'Fluxo Investidores'!$Z:$Z)+SUMIF('Fluxo Investidores'!$A:$A, "&lt;="&amp;$N58, 'Fluxo Investidores'!$AA:$AA)), 0), IF($N58&lt;=terminoProjeto, -((1+txAdmKinea)^(1/12)-1)*AT57, 0))</f>
        <v>-2948.9736635480813</v>
      </c>
      <c r="BA58" s="395">
        <f>IF($N58&lt;=baseData, IFERROR(INDEX('Fluxo Bandeira Co'!$W:$W, MATCH($N58, 'Fluxo Bandeira Co'!$A:$A, 0))*Permutas!AU58/(SUMIF('Fluxo Investidores'!$A:$A, "&lt;="&amp;$N58, 'Fluxo Investidores'!$Z:$Z)+SUMIF('Fluxo Investidores'!$A:$A, "&lt;="&amp;$N58, 'Fluxo Investidores'!$AA:$AA)), 0), IF($N58&lt;=terminoProjeto, -((1+txAdmKinea)^(1/12)-1)*AU57, 0))</f>
        <v>-2863.60270223526</v>
      </c>
      <c r="BB58" s="395">
        <f>IF($N58&lt;=baseData, IFERROR(INDEX('Fluxo Bandeira Co'!$W:$W, MATCH($N58, 'Fluxo Bandeira Co'!$A:$A, 0))*Permutas!AV58/(SUMIF('Fluxo Investidores'!$A:$A, "&lt;="&amp;$N58, 'Fluxo Investidores'!$Z:$Z)+SUMIF('Fluxo Investidores'!$A:$A, "&lt;="&amp;$N58, 'Fluxo Investidores'!$AA:$AA)), 0), IF($N58&lt;=terminoProjeto, -((1+txAdmKinea)^(1/12)-1)*AV57, 0))</f>
        <v>-2817.4054833633354</v>
      </c>
      <c r="BC58" s="396">
        <f>IF($N58&lt;=baseData, IFERROR(INDEX('Fluxo Bandeira Co'!$W:$W, MATCH($N58, 'Fluxo Bandeira Co'!$A:$A, 0))*Permutas!AW58/(SUMIF('Fluxo Investidores'!$A:$A, "&lt;="&amp;$N58, 'Fluxo Investidores'!$Z:$Z)+SUMIF('Fluxo Investidores'!$A:$A, "&lt;="&amp;$N58, 'Fluxo Investidores'!$AA:$AA)), 0), IF($N58&lt;=terminoProjeto, -((1+txAdmKinea)^(1/12)-1)*AW57, 0))</f>
        <v>-3088.358147283765</v>
      </c>
    </row>
    <row r="59" spans="14:55" x14ac:dyDescent="0.25">
      <c r="N59" s="315">
        <f t="shared" si="40"/>
        <v>44958</v>
      </c>
      <c r="O59" s="389">
        <f>IF($N59&lt;=baseData, INDEX(Indicadores!B:B, MATCH($N59,Indicadores!A:A, 0)), INDEX(Indicadores!B:B, MATCH(baseData,Indicadores!A:A, 0)))</f>
        <v>839.38199999999995</v>
      </c>
      <c r="Q59" s="397">
        <f>IF($N59&lt;=baseData, -INDEX('Fluxo Investidores'!$L$2:$X$86, MATCH($N59, 'Fluxo Investidores'!$A$2:$A$86, 0), MATCH(Q$2, 'Fluxo Investidores'!$L$1:$X$1, 0)), 0)</f>
        <v>0</v>
      </c>
      <c r="R59" s="390">
        <f>IF($N59&lt;=baseData, -INDEX('Fluxo Investidores'!$L$2:$X$86, MATCH($N59, 'Fluxo Investidores'!$A$2:$A$86, 0), MATCH(R$2, 'Fluxo Investidores'!$L$1:$X$1, 0)), 0)</f>
        <v>0</v>
      </c>
      <c r="S59" s="390">
        <f>IF($N59&lt;=baseData, -INDEX('Fluxo Investidores'!$L$2:$X$86, MATCH($N59, 'Fluxo Investidores'!$A$2:$A$86, 0), MATCH(S$2, 'Fluxo Investidores'!$L$1:$X$1, 0)), 0)</f>
        <v>0</v>
      </c>
      <c r="T59" s="390">
        <f>IF($N59&lt;=baseData, -INDEX('Fluxo Investidores'!$L$2:$X$86, MATCH($N59, 'Fluxo Investidores'!$A$2:$A$86, 0), MATCH(T$2, 'Fluxo Investidores'!$L$1:$X$1, 0)), 0)</f>
        <v>0</v>
      </c>
      <c r="U59" s="390">
        <f>IF($N59&lt;=baseData, -INDEX('Fluxo Investidores'!$L$2:$X$86, MATCH($N59, 'Fluxo Investidores'!$A$2:$A$86, 0), MATCH(U$2, 'Fluxo Investidores'!$L$1:$X$1, 0)), 0)</f>
        <v>0</v>
      </c>
      <c r="V59" s="393">
        <f t="shared" si="37"/>
        <v>0</v>
      </c>
      <c r="X59" s="394">
        <f t="shared" si="27"/>
        <v>0</v>
      </c>
      <c r="Y59" s="395">
        <f t="shared" si="28"/>
        <v>0</v>
      </c>
      <c r="Z59" s="395">
        <f t="shared" si="29"/>
        <v>0</v>
      </c>
      <c r="AA59" s="395">
        <f t="shared" si="30"/>
        <v>0</v>
      </c>
      <c r="AB59" s="395">
        <f t="shared" si="31"/>
        <v>0</v>
      </c>
      <c r="AC59" s="442">
        <f t="shared" si="38"/>
        <v>0</v>
      </c>
      <c r="AD59" s="86"/>
      <c r="AE59" s="394">
        <f t="shared" si="32"/>
        <v>0</v>
      </c>
      <c r="AF59" s="395">
        <f t="shared" si="33"/>
        <v>0</v>
      </c>
      <c r="AG59" s="395">
        <f t="shared" si="34"/>
        <v>0</v>
      </c>
      <c r="AH59" s="395">
        <f t="shared" si="35"/>
        <v>0</v>
      </c>
      <c r="AI59" s="395">
        <f t="shared" si="36"/>
        <v>0</v>
      </c>
      <c r="AJ59" s="442">
        <f t="shared" si="39"/>
        <v>0</v>
      </c>
      <c r="AM59" s="394">
        <f t="shared" si="46"/>
        <v>-20974.128280025674</v>
      </c>
      <c r="AN59" s="395">
        <f t="shared" si="47"/>
        <v>-20997.070656186785</v>
      </c>
      <c r="AO59" s="395">
        <f t="shared" si="48"/>
        <v>-22657.298083564907</v>
      </c>
      <c r="AP59" s="395">
        <f t="shared" si="49"/>
        <v>-20881.883206401719</v>
      </c>
      <c r="AQ59" s="396">
        <f t="shared" si="50"/>
        <v>-24435.600328633096</v>
      </c>
      <c r="AS59" s="394">
        <f t="shared" si="41"/>
        <v>2434876.479251354</v>
      </c>
      <c r="AT59" s="395">
        <f t="shared" si="42"/>
        <v>2456707.1254907604</v>
      </c>
      <c r="AU59" s="395">
        <f t="shared" si="43"/>
        <v>2385586.9756027944</v>
      </c>
      <c r="AV59" s="395">
        <f t="shared" si="44"/>
        <v>2347101.3701925501</v>
      </c>
      <c r="AW59" s="396">
        <f t="shared" si="45"/>
        <v>2572824.4237253983</v>
      </c>
      <c r="AY59" s="394">
        <f>IF($N59&lt;=baseData, IFERROR(INDEX('Fluxo Bandeira Co'!$W:$W, MATCH($N59, 'Fluxo Bandeira Co'!$A:$A, 0))*Permutas!AS59/(SUMIF('Fluxo Investidores'!$A:$A, "&lt;="&amp;$N59, 'Fluxo Investidores'!$Z:$Z)+SUMIF('Fluxo Investidores'!$A:$A, "&lt;="&amp;$N59, 'Fluxo Investidores'!$AA:$AA)), 0), IF($N59&lt;=terminoProjeto, -((1+txAdmKinea)^(1/12)-1)*AS58, 0))</f>
        <v>-2922.7686673764747</v>
      </c>
      <c r="AZ59" s="395">
        <f>IF($N59&lt;=baseData, IFERROR(INDEX('Fluxo Bandeira Co'!$W:$W, MATCH($N59, 'Fluxo Bandeira Co'!$A:$A, 0))*Permutas!AT59/(SUMIF('Fluxo Investidores'!$A:$A, "&lt;="&amp;$N59, 'Fluxo Investidores'!$Z:$Z)+SUMIF('Fluxo Investidores'!$A:$A, "&lt;="&amp;$N59, 'Fluxo Investidores'!$AA:$AA)), 0), IF($N59&lt;=terminoProjeto, -((1+txAdmKinea)^(1/12)-1)*AT58, 0))</f>
        <v>-2948.9736635480813</v>
      </c>
      <c r="BA59" s="395">
        <f>IF($N59&lt;=baseData, IFERROR(INDEX('Fluxo Bandeira Co'!$W:$W, MATCH($N59, 'Fluxo Bandeira Co'!$A:$A, 0))*Permutas!AU59/(SUMIF('Fluxo Investidores'!$A:$A, "&lt;="&amp;$N59, 'Fluxo Investidores'!$Z:$Z)+SUMIF('Fluxo Investidores'!$A:$A, "&lt;="&amp;$N59, 'Fluxo Investidores'!$AA:$AA)), 0), IF($N59&lt;=terminoProjeto, -((1+txAdmKinea)^(1/12)-1)*AU58, 0))</f>
        <v>-2863.60270223526</v>
      </c>
      <c r="BB59" s="395">
        <f>IF($N59&lt;=baseData, IFERROR(INDEX('Fluxo Bandeira Co'!$W:$W, MATCH($N59, 'Fluxo Bandeira Co'!$A:$A, 0))*Permutas!AV59/(SUMIF('Fluxo Investidores'!$A:$A, "&lt;="&amp;$N59, 'Fluxo Investidores'!$Z:$Z)+SUMIF('Fluxo Investidores'!$A:$A, "&lt;="&amp;$N59, 'Fluxo Investidores'!$AA:$AA)), 0), IF($N59&lt;=terminoProjeto, -((1+txAdmKinea)^(1/12)-1)*AV58, 0))</f>
        <v>-2817.4054833633354</v>
      </c>
      <c r="BC59" s="396">
        <f>IF($N59&lt;=baseData, IFERROR(INDEX('Fluxo Bandeira Co'!$W:$W, MATCH($N59, 'Fluxo Bandeira Co'!$A:$A, 0))*Permutas!AW59/(SUMIF('Fluxo Investidores'!$A:$A, "&lt;="&amp;$N59, 'Fluxo Investidores'!$Z:$Z)+SUMIF('Fluxo Investidores'!$A:$A, "&lt;="&amp;$N59, 'Fluxo Investidores'!$AA:$AA)), 0), IF($N59&lt;=terminoProjeto, -((1+txAdmKinea)^(1/12)-1)*AW58, 0))</f>
        <v>-3088.358147283765</v>
      </c>
    </row>
    <row r="60" spans="14:55" x14ac:dyDescent="0.25">
      <c r="N60" s="315">
        <f t="shared" si="40"/>
        <v>44986</v>
      </c>
      <c r="O60" s="389">
        <f>IF($N60&lt;=baseData, INDEX(Indicadores!B:B, MATCH($N60,Indicadores!A:A, 0)), INDEX(Indicadores!B:B, MATCH(baseData,Indicadores!A:A, 0)))</f>
        <v>839.38199999999995</v>
      </c>
      <c r="Q60" s="397">
        <f>IF($N60&lt;=baseData, -INDEX('Fluxo Investidores'!$L$2:$X$86, MATCH($N60, 'Fluxo Investidores'!$A$2:$A$86, 0), MATCH(Q$2, 'Fluxo Investidores'!$L$1:$X$1, 0)), 0)</f>
        <v>0</v>
      </c>
      <c r="R60" s="390">
        <f>IF($N60&lt;=baseData, -INDEX('Fluxo Investidores'!$L$2:$X$86, MATCH($N60, 'Fluxo Investidores'!$A$2:$A$86, 0), MATCH(R$2, 'Fluxo Investidores'!$L$1:$X$1, 0)), 0)</f>
        <v>0</v>
      </c>
      <c r="S60" s="390">
        <f>IF($N60&lt;=baseData, -INDEX('Fluxo Investidores'!$L$2:$X$86, MATCH($N60, 'Fluxo Investidores'!$A$2:$A$86, 0), MATCH(S$2, 'Fluxo Investidores'!$L$1:$X$1, 0)), 0)</f>
        <v>0</v>
      </c>
      <c r="T60" s="390">
        <f>IF($N60&lt;=baseData, -INDEX('Fluxo Investidores'!$L$2:$X$86, MATCH($N60, 'Fluxo Investidores'!$A$2:$A$86, 0), MATCH(T$2, 'Fluxo Investidores'!$L$1:$X$1, 0)), 0)</f>
        <v>0</v>
      </c>
      <c r="U60" s="390">
        <f>IF($N60&lt;=baseData, -INDEX('Fluxo Investidores'!$L$2:$X$86, MATCH($N60, 'Fluxo Investidores'!$A$2:$A$86, 0), MATCH(U$2, 'Fluxo Investidores'!$L$1:$X$1, 0)), 0)</f>
        <v>0</v>
      </c>
      <c r="V60" s="393">
        <f t="shared" si="37"/>
        <v>0</v>
      </c>
      <c r="X60" s="394">
        <f t="shared" si="27"/>
        <v>0</v>
      </c>
      <c r="Y60" s="395">
        <f t="shared" si="28"/>
        <v>0</v>
      </c>
      <c r="Z60" s="395">
        <f t="shared" si="29"/>
        <v>0</v>
      </c>
      <c r="AA60" s="395">
        <f t="shared" si="30"/>
        <v>0</v>
      </c>
      <c r="AB60" s="395">
        <f t="shared" si="31"/>
        <v>0</v>
      </c>
      <c r="AC60" s="442">
        <f t="shared" si="38"/>
        <v>0</v>
      </c>
      <c r="AD60" s="86"/>
      <c r="AE60" s="394">
        <f t="shared" si="32"/>
        <v>0</v>
      </c>
      <c r="AF60" s="395">
        <f t="shared" si="33"/>
        <v>0</v>
      </c>
      <c r="AG60" s="395">
        <f t="shared" si="34"/>
        <v>0</v>
      </c>
      <c r="AH60" s="395">
        <f t="shared" si="35"/>
        <v>0</v>
      </c>
      <c r="AI60" s="395">
        <f t="shared" si="36"/>
        <v>0</v>
      </c>
      <c r="AJ60" s="442">
        <f t="shared" si="39"/>
        <v>0</v>
      </c>
      <c r="AM60" s="394">
        <f t="shared" si="46"/>
        <v>-20974.128280025674</v>
      </c>
      <c r="AN60" s="395">
        <f t="shared" si="47"/>
        <v>-20997.070656186785</v>
      </c>
      <c r="AO60" s="395">
        <f t="shared" si="48"/>
        <v>-22657.298083564907</v>
      </c>
      <c r="AP60" s="395">
        <f t="shared" si="49"/>
        <v>-20881.883206401719</v>
      </c>
      <c r="AQ60" s="396">
        <f t="shared" si="50"/>
        <v>-24435.600328633096</v>
      </c>
      <c r="AS60" s="394">
        <f t="shared" si="41"/>
        <v>2434876.479251354</v>
      </c>
      <c r="AT60" s="395">
        <f t="shared" si="42"/>
        <v>2456707.1254907604</v>
      </c>
      <c r="AU60" s="395">
        <f t="shared" si="43"/>
        <v>2385586.9756027944</v>
      </c>
      <c r="AV60" s="395">
        <f t="shared" si="44"/>
        <v>2347101.3701925501</v>
      </c>
      <c r="AW60" s="396">
        <f t="shared" si="45"/>
        <v>2572824.4237253983</v>
      </c>
      <c r="AY60" s="394">
        <f>IF($N60&lt;=baseData, IFERROR(INDEX('Fluxo Bandeira Co'!$W:$W, MATCH($N60, 'Fluxo Bandeira Co'!$A:$A, 0))*Permutas!AS60/(SUMIF('Fluxo Investidores'!$A:$A, "&lt;="&amp;$N60, 'Fluxo Investidores'!$Z:$Z)+SUMIF('Fluxo Investidores'!$A:$A, "&lt;="&amp;$N60, 'Fluxo Investidores'!$AA:$AA)), 0), IF($N60&lt;=terminoProjeto, -((1+txAdmKinea)^(1/12)-1)*AS59, 0))</f>
        <v>-2922.7686673764747</v>
      </c>
      <c r="AZ60" s="395">
        <f>IF($N60&lt;=baseData, IFERROR(INDEX('Fluxo Bandeira Co'!$W:$W, MATCH($N60, 'Fluxo Bandeira Co'!$A:$A, 0))*Permutas!AT60/(SUMIF('Fluxo Investidores'!$A:$A, "&lt;="&amp;$N60, 'Fluxo Investidores'!$Z:$Z)+SUMIF('Fluxo Investidores'!$A:$A, "&lt;="&amp;$N60, 'Fluxo Investidores'!$AA:$AA)), 0), IF($N60&lt;=terminoProjeto, -((1+txAdmKinea)^(1/12)-1)*AT59, 0))</f>
        <v>-2948.9736635480813</v>
      </c>
      <c r="BA60" s="395">
        <f>IF($N60&lt;=baseData, IFERROR(INDEX('Fluxo Bandeira Co'!$W:$W, MATCH($N60, 'Fluxo Bandeira Co'!$A:$A, 0))*Permutas!AU60/(SUMIF('Fluxo Investidores'!$A:$A, "&lt;="&amp;$N60, 'Fluxo Investidores'!$Z:$Z)+SUMIF('Fluxo Investidores'!$A:$A, "&lt;="&amp;$N60, 'Fluxo Investidores'!$AA:$AA)), 0), IF($N60&lt;=terminoProjeto, -((1+txAdmKinea)^(1/12)-1)*AU59, 0))</f>
        <v>-2863.60270223526</v>
      </c>
      <c r="BB60" s="395">
        <f>IF($N60&lt;=baseData, IFERROR(INDEX('Fluxo Bandeira Co'!$W:$W, MATCH($N60, 'Fluxo Bandeira Co'!$A:$A, 0))*Permutas!AV60/(SUMIF('Fluxo Investidores'!$A:$A, "&lt;="&amp;$N60, 'Fluxo Investidores'!$Z:$Z)+SUMIF('Fluxo Investidores'!$A:$A, "&lt;="&amp;$N60, 'Fluxo Investidores'!$AA:$AA)), 0), IF($N60&lt;=terminoProjeto, -((1+txAdmKinea)^(1/12)-1)*AV59, 0))</f>
        <v>-2817.4054833633354</v>
      </c>
      <c r="BC60" s="396">
        <f>IF($N60&lt;=baseData, IFERROR(INDEX('Fluxo Bandeira Co'!$W:$W, MATCH($N60, 'Fluxo Bandeira Co'!$A:$A, 0))*Permutas!AW60/(SUMIF('Fluxo Investidores'!$A:$A, "&lt;="&amp;$N60, 'Fluxo Investidores'!$Z:$Z)+SUMIF('Fluxo Investidores'!$A:$A, "&lt;="&amp;$N60, 'Fluxo Investidores'!$AA:$AA)), 0), IF($N60&lt;=terminoProjeto, -((1+txAdmKinea)^(1/12)-1)*AW59, 0))</f>
        <v>-3088.358147283765</v>
      </c>
    </row>
    <row r="61" spans="14:55" x14ac:dyDescent="0.25">
      <c r="N61" s="315">
        <f t="shared" si="40"/>
        <v>45017</v>
      </c>
      <c r="O61" s="389">
        <f>IF($N61&lt;=baseData, INDEX(Indicadores!B:B, MATCH($N61,Indicadores!A:A, 0)), INDEX(Indicadores!B:B, MATCH(baseData,Indicadores!A:A, 0)))</f>
        <v>839.38199999999995</v>
      </c>
      <c r="Q61" s="397">
        <f>IF($N61&lt;=baseData, -INDEX('Fluxo Investidores'!$L$2:$X$86, MATCH($N61, 'Fluxo Investidores'!$A$2:$A$86, 0), MATCH(Q$2, 'Fluxo Investidores'!$L$1:$X$1, 0)), 0)</f>
        <v>0</v>
      </c>
      <c r="R61" s="390">
        <f>IF($N61&lt;=baseData, -INDEX('Fluxo Investidores'!$L$2:$X$86, MATCH($N61, 'Fluxo Investidores'!$A$2:$A$86, 0), MATCH(R$2, 'Fluxo Investidores'!$L$1:$X$1, 0)), 0)</f>
        <v>0</v>
      </c>
      <c r="S61" s="390">
        <f>IF($N61&lt;=baseData, -INDEX('Fluxo Investidores'!$L$2:$X$86, MATCH($N61, 'Fluxo Investidores'!$A$2:$A$86, 0), MATCH(S$2, 'Fluxo Investidores'!$L$1:$X$1, 0)), 0)</f>
        <v>0</v>
      </c>
      <c r="T61" s="390">
        <f>IF($N61&lt;=baseData, -INDEX('Fluxo Investidores'!$L$2:$X$86, MATCH($N61, 'Fluxo Investidores'!$A$2:$A$86, 0), MATCH(T$2, 'Fluxo Investidores'!$L$1:$X$1, 0)), 0)</f>
        <v>0</v>
      </c>
      <c r="U61" s="390">
        <f>IF($N61&lt;=baseData, -INDEX('Fluxo Investidores'!$L$2:$X$86, MATCH($N61, 'Fluxo Investidores'!$A$2:$A$86, 0), MATCH(U$2, 'Fluxo Investidores'!$L$1:$X$1, 0)), 0)</f>
        <v>0</v>
      </c>
      <c r="V61" s="393">
        <f t="shared" si="37"/>
        <v>0</v>
      </c>
      <c r="X61" s="394">
        <f t="shared" si="27"/>
        <v>0</v>
      </c>
      <c r="Y61" s="395">
        <f t="shared" si="28"/>
        <v>0</v>
      </c>
      <c r="Z61" s="395">
        <f t="shared" si="29"/>
        <v>0</v>
      </c>
      <c r="AA61" s="395">
        <f t="shared" si="30"/>
        <v>0</v>
      </c>
      <c r="AB61" s="395">
        <f t="shared" si="31"/>
        <v>0</v>
      </c>
      <c r="AC61" s="442">
        <f t="shared" si="38"/>
        <v>0</v>
      </c>
      <c r="AD61" s="86"/>
      <c r="AE61" s="394">
        <f t="shared" si="32"/>
        <v>0</v>
      </c>
      <c r="AF61" s="395">
        <f t="shared" si="33"/>
        <v>0</v>
      </c>
      <c r="AG61" s="395">
        <f t="shared" si="34"/>
        <v>0</v>
      </c>
      <c r="AH61" s="395">
        <f t="shared" si="35"/>
        <v>0</v>
      </c>
      <c r="AI61" s="395">
        <f t="shared" si="36"/>
        <v>0</v>
      </c>
      <c r="AJ61" s="442">
        <f t="shared" si="39"/>
        <v>0</v>
      </c>
      <c r="AM61" s="394">
        <f t="shared" si="46"/>
        <v>-20974.128280025674</v>
      </c>
      <c r="AN61" s="395">
        <f t="shared" si="47"/>
        <v>-20997.070656186785</v>
      </c>
      <c r="AO61" s="395">
        <f t="shared" si="48"/>
        <v>-22657.298083564907</v>
      </c>
      <c r="AP61" s="395">
        <f t="shared" si="49"/>
        <v>-20881.883206401719</v>
      </c>
      <c r="AQ61" s="396">
        <f t="shared" si="50"/>
        <v>-24435.600328633096</v>
      </c>
      <c r="AS61" s="394">
        <f t="shared" si="41"/>
        <v>2434876.479251354</v>
      </c>
      <c r="AT61" s="395">
        <f t="shared" si="42"/>
        <v>2456707.1254907604</v>
      </c>
      <c r="AU61" s="395">
        <f t="shared" si="43"/>
        <v>2385586.9756027944</v>
      </c>
      <c r="AV61" s="395">
        <f t="shared" si="44"/>
        <v>2347101.3701925501</v>
      </c>
      <c r="AW61" s="396">
        <f t="shared" si="45"/>
        <v>2572824.4237253983</v>
      </c>
      <c r="AY61" s="394">
        <f>IF($N61&lt;=baseData, IFERROR(INDEX('Fluxo Bandeira Co'!$W:$W, MATCH($N61, 'Fluxo Bandeira Co'!$A:$A, 0))*Permutas!AS61/(SUMIF('Fluxo Investidores'!$A:$A, "&lt;="&amp;$N61, 'Fluxo Investidores'!$Z:$Z)+SUMIF('Fluxo Investidores'!$A:$A, "&lt;="&amp;$N61, 'Fluxo Investidores'!$AA:$AA)), 0), IF($N61&lt;=terminoProjeto, -((1+txAdmKinea)^(1/12)-1)*AS60, 0))</f>
        <v>-2922.7686673764747</v>
      </c>
      <c r="AZ61" s="395">
        <f>IF($N61&lt;=baseData, IFERROR(INDEX('Fluxo Bandeira Co'!$W:$W, MATCH($N61, 'Fluxo Bandeira Co'!$A:$A, 0))*Permutas!AT61/(SUMIF('Fluxo Investidores'!$A:$A, "&lt;="&amp;$N61, 'Fluxo Investidores'!$Z:$Z)+SUMIF('Fluxo Investidores'!$A:$A, "&lt;="&amp;$N61, 'Fluxo Investidores'!$AA:$AA)), 0), IF($N61&lt;=terminoProjeto, -((1+txAdmKinea)^(1/12)-1)*AT60, 0))</f>
        <v>-2948.9736635480813</v>
      </c>
      <c r="BA61" s="395">
        <f>IF($N61&lt;=baseData, IFERROR(INDEX('Fluxo Bandeira Co'!$W:$W, MATCH($N61, 'Fluxo Bandeira Co'!$A:$A, 0))*Permutas!AU61/(SUMIF('Fluxo Investidores'!$A:$A, "&lt;="&amp;$N61, 'Fluxo Investidores'!$Z:$Z)+SUMIF('Fluxo Investidores'!$A:$A, "&lt;="&amp;$N61, 'Fluxo Investidores'!$AA:$AA)), 0), IF($N61&lt;=terminoProjeto, -((1+txAdmKinea)^(1/12)-1)*AU60, 0))</f>
        <v>-2863.60270223526</v>
      </c>
      <c r="BB61" s="395">
        <f>IF($N61&lt;=baseData, IFERROR(INDEX('Fluxo Bandeira Co'!$W:$W, MATCH($N61, 'Fluxo Bandeira Co'!$A:$A, 0))*Permutas!AV61/(SUMIF('Fluxo Investidores'!$A:$A, "&lt;="&amp;$N61, 'Fluxo Investidores'!$Z:$Z)+SUMIF('Fluxo Investidores'!$A:$A, "&lt;="&amp;$N61, 'Fluxo Investidores'!$AA:$AA)), 0), IF($N61&lt;=terminoProjeto, -((1+txAdmKinea)^(1/12)-1)*AV60, 0))</f>
        <v>-2817.4054833633354</v>
      </c>
      <c r="BC61" s="396">
        <f>IF($N61&lt;=baseData, IFERROR(INDEX('Fluxo Bandeira Co'!$W:$W, MATCH($N61, 'Fluxo Bandeira Co'!$A:$A, 0))*Permutas!AW61/(SUMIF('Fluxo Investidores'!$A:$A, "&lt;="&amp;$N61, 'Fluxo Investidores'!$Z:$Z)+SUMIF('Fluxo Investidores'!$A:$A, "&lt;="&amp;$N61, 'Fluxo Investidores'!$AA:$AA)), 0), IF($N61&lt;=terminoProjeto, -((1+txAdmKinea)^(1/12)-1)*AW60, 0))</f>
        <v>-3088.358147283765</v>
      </c>
    </row>
    <row r="62" spans="14:55" x14ac:dyDescent="0.25">
      <c r="N62" s="315">
        <f t="shared" si="40"/>
        <v>45047</v>
      </c>
      <c r="O62" s="389">
        <f>IF($N62&lt;=baseData, INDEX(Indicadores!B:B, MATCH($N62,Indicadores!A:A, 0)), INDEX(Indicadores!B:B, MATCH(baseData,Indicadores!A:A, 0)))</f>
        <v>839.38199999999995</v>
      </c>
      <c r="Q62" s="397">
        <f>IF($N62&lt;=baseData, -INDEX('Fluxo Investidores'!$L$2:$X$86, MATCH($N62, 'Fluxo Investidores'!$A$2:$A$86, 0), MATCH(Q$2, 'Fluxo Investidores'!$L$1:$X$1, 0)), 0)</f>
        <v>0</v>
      </c>
      <c r="R62" s="390">
        <f>IF($N62&lt;=baseData, -INDEX('Fluxo Investidores'!$L$2:$X$86, MATCH($N62, 'Fluxo Investidores'!$A$2:$A$86, 0), MATCH(R$2, 'Fluxo Investidores'!$L$1:$X$1, 0)), 0)</f>
        <v>0</v>
      </c>
      <c r="S62" s="390">
        <f>IF($N62&lt;=baseData, -INDEX('Fluxo Investidores'!$L$2:$X$86, MATCH($N62, 'Fluxo Investidores'!$A$2:$A$86, 0), MATCH(S$2, 'Fluxo Investidores'!$L$1:$X$1, 0)), 0)</f>
        <v>0</v>
      </c>
      <c r="T62" s="390">
        <f>IF($N62&lt;=baseData, -INDEX('Fluxo Investidores'!$L$2:$X$86, MATCH($N62, 'Fluxo Investidores'!$A$2:$A$86, 0), MATCH(T$2, 'Fluxo Investidores'!$L$1:$X$1, 0)), 0)</f>
        <v>0</v>
      </c>
      <c r="U62" s="390">
        <f>IF($N62&lt;=baseData, -INDEX('Fluxo Investidores'!$L$2:$X$86, MATCH($N62, 'Fluxo Investidores'!$A$2:$A$86, 0), MATCH(U$2, 'Fluxo Investidores'!$L$1:$X$1, 0)), 0)</f>
        <v>0</v>
      </c>
      <c r="V62" s="393">
        <f t="shared" si="37"/>
        <v>0</v>
      </c>
      <c r="X62" s="394">
        <f t="shared" si="27"/>
        <v>0</v>
      </c>
      <c r="Y62" s="395">
        <f t="shared" si="28"/>
        <v>0</v>
      </c>
      <c r="Z62" s="395">
        <f t="shared" si="29"/>
        <v>0</v>
      </c>
      <c r="AA62" s="395">
        <f t="shared" si="30"/>
        <v>0</v>
      </c>
      <c r="AB62" s="395">
        <f t="shared" si="31"/>
        <v>0</v>
      </c>
      <c r="AC62" s="442">
        <f t="shared" si="38"/>
        <v>0</v>
      </c>
      <c r="AD62" s="86"/>
      <c r="AE62" s="394">
        <f t="shared" si="32"/>
        <v>0</v>
      </c>
      <c r="AF62" s="395">
        <f t="shared" si="33"/>
        <v>0</v>
      </c>
      <c r="AG62" s="395">
        <f t="shared" si="34"/>
        <v>0</v>
      </c>
      <c r="AH62" s="395">
        <f t="shared" si="35"/>
        <v>0</v>
      </c>
      <c r="AI62" s="395">
        <f t="shared" si="36"/>
        <v>0</v>
      </c>
      <c r="AJ62" s="442">
        <f t="shared" si="39"/>
        <v>0</v>
      </c>
      <c r="AM62" s="394">
        <f t="shared" si="46"/>
        <v>-20974.128280025674</v>
      </c>
      <c r="AN62" s="395">
        <f t="shared" si="47"/>
        <v>-20997.070656186785</v>
      </c>
      <c r="AO62" s="395">
        <f t="shared" si="48"/>
        <v>-22657.298083564907</v>
      </c>
      <c r="AP62" s="395">
        <f t="shared" si="49"/>
        <v>-20881.883206401719</v>
      </c>
      <c r="AQ62" s="396">
        <f t="shared" si="50"/>
        <v>-24435.600328633096</v>
      </c>
      <c r="AS62" s="394">
        <f t="shared" si="41"/>
        <v>2434876.479251354</v>
      </c>
      <c r="AT62" s="395">
        <f t="shared" si="42"/>
        <v>2456707.1254907604</v>
      </c>
      <c r="AU62" s="395">
        <f t="shared" si="43"/>
        <v>2385586.9756027944</v>
      </c>
      <c r="AV62" s="395">
        <f t="shared" si="44"/>
        <v>2347101.3701925501</v>
      </c>
      <c r="AW62" s="396">
        <f t="shared" si="45"/>
        <v>2572824.4237253983</v>
      </c>
      <c r="AY62" s="394">
        <f>IF($N62&lt;=baseData, IFERROR(INDEX('Fluxo Bandeira Co'!$W:$W, MATCH($N62, 'Fluxo Bandeira Co'!$A:$A, 0))*Permutas!AS62/(SUMIF('Fluxo Investidores'!$A:$A, "&lt;="&amp;$N62, 'Fluxo Investidores'!$Z:$Z)+SUMIF('Fluxo Investidores'!$A:$A, "&lt;="&amp;$N62, 'Fluxo Investidores'!$AA:$AA)), 0), IF($N62&lt;=terminoProjeto, -((1+txAdmKinea)^(1/12)-1)*AS61, 0))</f>
        <v>-2922.7686673764747</v>
      </c>
      <c r="AZ62" s="395">
        <f>IF($N62&lt;=baseData, IFERROR(INDEX('Fluxo Bandeira Co'!$W:$W, MATCH($N62, 'Fluxo Bandeira Co'!$A:$A, 0))*Permutas!AT62/(SUMIF('Fluxo Investidores'!$A:$A, "&lt;="&amp;$N62, 'Fluxo Investidores'!$Z:$Z)+SUMIF('Fluxo Investidores'!$A:$A, "&lt;="&amp;$N62, 'Fluxo Investidores'!$AA:$AA)), 0), IF($N62&lt;=terminoProjeto, -((1+txAdmKinea)^(1/12)-1)*AT61, 0))</f>
        <v>-2948.9736635480813</v>
      </c>
      <c r="BA62" s="395">
        <f>IF($N62&lt;=baseData, IFERROR(INDEX('Fluxo Bandeira Co'!$W:$W, MATCH($N62, 'Fluxo Bandeira Co'!$A:$A, 0))*Permutas!AU62/(SUMIF('Fluxo Investidores'!$A:$A, "&lt;="&amp;$N62, 'Fluxo Investidores'!$Z:$Z)+SUMIF('Fluxo Investidores'!$A:$A, "&lt;="&amp;$N62, 'Fluxo Investidores'!$AA:$AA)), 0), IF($N62&lt;=terminoProjeto, -((1+txAdmKinea)^(1/12)-1)*AU61, 0))</f>
        <v>-2863.60270223526</v>
      </c>
      <c r="BB62" s="395">
        <f>IF($N62&lt;=baseData, IFERROR(INDEX('Fluxo Bandeira Co'!$W:$W, MATCH($N62, 'Fluxo Bandeira Co'!$A:$A, 0))*Permutas!AV62/(SUMIF('Fluxo Investidores'!$A:$A, "&lt;="&amp;$N62, 'Fluxo Investidores'!$Z:$Z)+SUMIF('Fluxo Investidores'!$A:$A, "&lt;="&amp;$N62, 'Fluxo Investidores'!$AA:$AA)), 0), IF($N62&lt;=terminoProjeto, -((1+txAdmKinea)^(1/12)-1)*AV61, 0))</f>
        <v>-2817.4054833633354</v>
      </c>
      <c r="BC62" s="396">
        <f>IF($N62&lt;=baseData, IFERROR(INDEX('Fluxo Bandeira Co'!$W:$W, MATCH($N62, 'Fluxo Bandeira Co'!$A:$A, 0))*Permutas!AW62/(SUMIF('Fluxo Investidores'!$A:$A, "&lt;="&amp;$N62, 'Fluxo Investidores'!$Z:$Z)+SUMIF('Fluxo Investidores'!$A:$A, "&lt;="&amp;$N62, 'Fluxo Investidores'!$AA:$AA)), 0), IF($N62&lt;=terminoProjeto, -((1+txAdmKinea)^(1/12)-1)*AW61, 0))</f>
        <v>-3088.358147283765</v>
      </c>
    </row>
    <row r="63" spans="14:55" x14ac:dyDescent="0.25">
      <c r="N63" s="315">
        <f t="shared" si="40"/>
        <v>45078</v>
      </c>
      <c r="O63" s="389">
        <f>IF($N63&lt;=baseData, INDEX(Indicadores!B:B, MATCH($N63,Indicadores!A:A, 0)), INDEX(Indicadores!B:B, MATCH(baseData,Indicadores!A:A, 0)))</f>
        <v>839.38199999999995</v>
      </c>
      <c r="Q63" s="397">
        <f>IF($N63&lt;=baseData, -INDEX('Fluxo Investidores'!$L$2:$X$86, MATCH($N63, 'Fluxo Investidores'!$A$2:$A$86, 0), MATCH(Q$2, 'Fluxo Investidores'!$L$1:$X$1, 0)), 0)</f>
        <v>0</v>
      </c>
      <c r="R63" s="390">
        <f>IF($N63&lt;=baseData, -INDEX('Fluxo Investidores'!$L$2:$X$86, MATCH($N63, 'Fluxo Investidores'!$A$2:$A$86, 0), MATCH(R$2, 'Fluxo Investidores'!$L$1:$X$1, 0)), 0)</f>
        <v>0</v>
      </c>
      <c r="S63" s="390">
        <f>IF($N63&lt;=baseData, -INDEX('Fluxo Investidores'!$L$2:$X$86, MATCH($N63, 'Fluxo Investidores'!$A$2:$A$86, 0), MATCH(S$2, 'Fluxo Investidores'!$L$1:$X$1, 0)), 0)</f>
        <v>0</v>
      </c>
      <c r="T63" s="390">
        <f>IF($N63&lt;=baseData, -INDEX('Fluxo Investidores'!$L$2:$X$86, MATCH($N63, 'Fluxo Investidores'!$A$2:$A$86, 0), MATCH(T$2, 'Fluxo Investidores'!$L$1:$X$1, 0)), 0)</f>
        <v>0</v>
      </c>
      <c r="U63" s="390">
        <f>IF($N63&lt;=baseData, -INDEX('Fluxo Investidores'!$L$2:$X$86, MATCH($N63, 'Fluxo Investidores'!$A$2:$A$86, 0), MATCH(U$2, 'Fluxo Investidores'!$L$1:$X$1, 0)), 0)</f>
        <v>0</v>
      </c>
      <c r="V63" s="393">
        <f t="shared" si="37"/>
        <v>0</v>
      </c>
      <c r="X63" s="394">
        <f t="shared" si="27"/>
        <v>0</v>
      </c>
      <c r="Y63" s="395">
        <f t="shared" si="28"/>
        <v>0</v>
      </c>
      <c r="Z63" s="395">
        <f t="shared" si="29"/>
        <v>0</v>
      </c>
      <c r="AA63" s="395">
        <f t="shared" si="30"/>
        <v>0</v>
      </c>
      <c r="AB63" s="395">
        <f t="shared" si="31"/>
        <v>0</v>
      </c>
      <c r="AC63" s="442">
        <f t="shared" si="38"/>
        <v>0</v>
      </c>
      <c r="AD63" s="86"/>
      <c r="AE63" s="394">
        <f t="shared" si="32"/>
        <v>0</v>
      </c>
      <c r="AF63" s="395">
        <f t="shared" si="33"/>
        <v>0</v>
      </c>
      <c r="AG63" s="395">
        <f t="shared" si="34"/>
        <v>0</v>
      </c>
      <c r="AH63" s="395">
        <f t="shared" si="35"/>
        <v>0</v>
      </c>
      <c r="AI63" s="395">
        <f t="shared" si="36"/>
        <v>0</v>
      </c>
      <c r="AJ63" s="442">
        <f t="shared" si="39"/>
        <v>0</v>
      </c>
      <c r="AM63" s="394">
        <f t="shared" si="46"/>
        <v>-20974.128280025674</v>
      </c>
      <c r="AN63" s="395">
        <f t="shared" si="47"/>
        <v>-20997.070656186785</v>
      </c>
      <c r="AO63" s="395">
        <f t="shared" si="48"/>
        <v>-22657.298083564907</v>
      </c>
      <c r="AP63" s="395">
        <f t="shared" si="49"/>
        <v>-20881.883206401719</v>
      </c>
      <c r="AQ63" s="396">
        <f t="shared" si="50"/>
        <v>-24435.600328633096</v>
      </c>
      <c r="AS63" s="394">
        <f t="shared" si="41"/>
        <v>2434876.479251354</v>
      </c>
      <c r="AT63" s="395">
        <f t="shared" si="42"/>
        <v>2456707.1254907604</v>
      </c>
      <c r="AU63" s="395">
        <f t="shared" si="43"/>
        <v>2385586.9756027944</v>
      </c>
      <c r="AV63" s="395">
        <f t="shared" si="44"/>
        <v>2347101.3701925501</v>
      </c>
      <c r="AW63" s="396">
        <f t="shared" si="45"/>
        <v>2572824.4237253983</v>
      </c>
      <c r="AY63" s="394">
        <f>IF($N63&lt;=baseData, IFERROR(INDEX('Fluxo Bandeira Co'!$W:$W, MATCH($N63, 'Fluxo Bandeira Co'!$A:$A, 0))*Permutas!AS63/(SUMIF('Fluxo Investidores'!$A:$A, "&lt;="&amp;$N63, 'Fluxo Investidores'!$Z:$Z)+SUMIF('Fluxo Investidores'!$A:$A, "&lt;="&amp;$N63, 'Fluxo Investidores'!$AA:$AA)), 0), IF($N63&lt;=terminoProjeto, -((1+txAdmKinea)^(1/12)-1)*AS62, 0))</f>
        <v>-2922.7686673764747</v>
      </c>
      <c r="AZ63" s="395">
        <f>IF($N63&lt;=baseData, IFERROR(INDEX('Fluxo Bandeira Co'!$W:$W, MATCH($N63, 'Fluxo Bandeira Co'!$A:$A, 0))*Permutas!AT63/(SUMIF('Fluxo Investidores'!$A:$A, "&lt;="&amp;$N63, 'Fluxo Investidores'!$Z:$Z)+SUMIF('Fluxo Investidores'!$A:$A, "&lt;="&amp;$N63, 'Fluxo Investidores'!$AA:$AA)), 0), IF($N63&lt;=terminoProjeto, -((1+txAdmKinea)^(1/12)-1)*AT62, 0))</f>
        <v>-2948.9736635480813</v>
      </c>
      <c r="BA63" s="395">
        <f>IF($N63&lt;=baseData, IFERROR(INDEX('Fluxo Bandeira Co'!$W:$W, MATCH($N63, 'Fluxo Bandeira Co'!$A:$A, 0))*Permutas!AU63/(SUMIF('Fluxo Investidores'!$A:$A, "&lt;="&amp;$N63, 'Fluxo Investidores'!$Z:$Z)+SUMIF('Fluxo Investidores'!$A:$A, "&lt;="&amp;$N63, 'Fluxo Investidores'!$AA:$AA)), 0), IF($N63&lt;=terminoProjeto, -((1+txAdmKinea)^(1/12)-1)*AU62, 0))</f>
        <v>-2863.60270223526</v>
      </c>
      <c r="BB63" s="395">
        <f>IF($N63&lt;=baseData, IFERROR(INDEX('Fluxo Bandeira Co'!$W:$W, MATCH($N63, 'Fluxo Bandeira Co'!$A:$A, 0))*Permutas!AV63/(SUMIF('Fluxo Investidores'!$A:$A, "&lt;="&amp;$N63, 'Fluxo Investidores'!$Z:$Z)+SUMIF('Fluxo Investidores'!$A:$A, "&lt;="&amp;$N63, 'Fluxo Investidores'!$AA:$AA)), 0), IF($N63&lt;=terminoProjeto, -((1+txAdmKinea)^(1/12)-1)*AV62, 0))</f>
        <v>-2817.4054833633354</v>
      </c>
      <c r="BC63" s="396">
        <f>IF($N63&lt;=baseData, IFERROR(INDEX('Fluxo Bandeira Co'!$W:$W, MATCH($N63, 'Fluxo Bandeira Co'!$A:$A, 0))*Permutas!AW63/(SUMIF('Fluxo Investidores'!$A:$A, "&lt;="&amp;$N63, 'Fluxo Investidores'!$Z:$Z)+SUMIF('Fluxo Investidores'!$A:$A, "&lt;="&amp;$N63, 'Fluxo Investidores'!$AA:$AA)), 0), IF($N63&lt;=terminoProjeto, -((1+txAdmKinea)^(1/12)-1)*AW62, 0))</f>
        <v>-3088.358147283765</v>
      </c>
    </row>
    <row r="64" spans="14:55" x14ac:dyDescent="0.25">
      <c r="N64" s="315">
        <f t="shared" si="40"/>
        <v>45108</v>
      </c>
      <c r="O64" s="389">
        <f>IF($N64&lt;=baseData, INDEX(Indicadores!B:B, MATCH($N64,Indicadores!A:A, 0)), INDEX(Indicadores!B:B, MATCH(baseData,Indicadores!A:A, 0)))</f>
        <v>839.38199999999995</v>
      </c>
      <c r="Q64" s="397">
        <f>IF($N64&lt;=baseData, -INDEX('Fluxo Investidores'!$L$2:$X$86, MATCH($N64, 'Fluxo Investidores'!$A$2:$A$86, 0), MATCH(Q$2, 'Fluxo Investidores'!$L$1:$X$1, 0)), 0)</f>
        <v>0</v>
      </c>
      <c r="R64" s="390">
        <f>IF($N64&lt;=baseData, -INDEX('Fluxo Investidores'!$L$2:$X$86, MATCH($N64, 'Fluxo Investidores'!$A$2:$A$86, 0), MATCH(R$2, 'Fluxo Investidores'!$L$1:$X$1, 0)), 0)</f>
        <v>0</v>
      </c>
      <c r="S64" s="390">
        <f>IF($N64&lt;=baseData, -INDEX('Fluxo Investidores'!$L$2:$X$86, MATCH($N64, 'Fluxo Investidores'!$A$2:$A$86, 0), MATCH(S$2, 'Fluxo Investidores'!$L$1:$X$1, 0)), 0)</f>
        <v>0</v>
      </c>
      <c r="T64" s="390">
        <f>IF($N64&lt;=baseData, -INDEX('Fluxo Investidores'!$L$2:$X$86, MATCH($N64, 'Fluxo Investidores'!$A$2:$A$86, 0), MATCH(T$2, 'Fluxo Investidores'!$L$1:$X$1, 0)), 0)</f>
        <v>0</v>
      </c>
      <c r="U64" s="390">
        <f>IF($N64&lt;=baseData, -INDEX('Fluxo Investidores'!$L$2:$X$86, MATCH($N64, 'Fluxo Investidores'!$A$2:$A$86, 0), MATCH(U$2, 'Fluxo Investidores'!$L$1:$X$1, 0)), 0)</f>
        <v>0</v>
      </c>
      <c r="V64" s="393">
        <f t="shared" si="37"/>
        <v>0</v>
      </c>
      <c r="X64" s="394">
        <f t="shared" si="27"/>
        <v>0</v>
      </c>
      <c r="Y64" s="395">
        <f t="shared" si="28"/>
        <v>0</v>
      </c>
      <c r="Z64" s="395">
        <f t="shared" si="29"/>
        <v>0</v>
      </c>
      <c r="AA64" s="395">
        <f t="shared" si="30"/>
        <v>0</v>
      </c>
      <c r="AB64" s="395">
        <f t="shared" si="31"/>
        <v>0</v>
      </c>
      <c r="AC64" s="442">
        <f t="shared" si="38"/>
        <v>0</v>
      </c>
      <c r="AD64" s="86"/>
      <c r="AE64" s="394">
        <f t="shared" si="32"/>
        <v>0</v>
      </c>
      <c r="AF64" s="395">
        <f t="shared" si="33"/>
        <v>0</v>
      </c>
      <c r="AG64" s="395">
        <f t="shared" si="34"/>
        <v>0</v>
      </c>
      <c r="AH64" s="395">
        <f t="shared" si="35"/>
        <v>0</v>
      </c>
      <c r="AI64" s="395">
        <f t="shared" si="36"/>
        <v>0</v>
      </c>
      <c r="AJ64" s="442">
        <f t="shared" si="39"/>
        <v>0</v>
      </c>
      <c r="AM64" s="394">
        <f t="shared" si="46"/>
        <v>-20974.128280025674</v>
      </c>
      <c r="AN64" s="395">
        <f t="shared" si="47"/>
        <v>-20997.070656186785</v>
      </c>
      <c r="AO64" s="395">
        <f t="shared" si="48"/>
        <v>-22657.298083564907</v>
      </c>
      <c r="AP64" s="395">
        <f t="shared" si="49"/>
        <v>-20881.883206401719</v>
      </c>
      <c r="AQ64" s="396">
        <f t="shared" si="50"/>
        <v>-24435.600328633096</v>
      </c>
      <c r="AS64" s="394">
        <f t="shared" si="41"/>
        <v>2434876.479251354</v>
      </c>
      <c r="AT64" s="395">
        <f t="shared" si="42"/>
        <v>2456707.1254907604</v>
      </c>
      <c r="AU64" s="395">
        <f t="shared" si="43"/>
        <v>2385586.9756027944</v>
      </c>
      <c r="AV64" s="395">
        <f t="shared" si="44"/>
        <v>2347101.3701925501</v>
      </c>
      <c r="AW64" s="396">
        <f t="shared" si="45"/>
        <v>2572824.4237253983</v>
      </c>
      <c r="AY64" s="394">
        <f>IF($N64&lt;=baseData, IFERROR(INDEX('Fluxo Bandeira Co'!$W:$W, MATCH($N64, 'Fluxo Bandeira Co'!$A:$A, 0))*Permutas!AS64/(SUMIF('Fluxo Investidores'!$A:$A, "&lt;="&amp;$N64, 'Fluxo Investidores'!$Z:$Z)+SUMIF('Fluxo Investidores'!$A:$A, "&lt;="&amp;$N64, 'Fluxo Investidores'!$AA:$AA)), 0), IF($N64&lt;=terminoProjeto, -((1+txAdmKinea)^(1/12)-1)*AS63, 0))</f>
        <v>-2922.7686673764747</v>
      </c>
      <c r="AZ64" s="395">
        <f>IF($N64&lt;=baseData, IFERROR(INDEX('Fluxo Bandeira Co'!$W:$W, MATCH($N64, 'Fluxo Bandeira Co'!$A:$A, 0))*Permutas!AT64/(SUMIF('Fluxo Investidores'!$A:$A, "&lt;="&amp;$N64, 'Fluxo Investidores'!$Z:$Z)+SUMIF('Fluxo Investidores'!$A:$A, "&lt;="&amp;$N64, 'Fluxo Investidores'!$AA:$AA)), 0), IF($N64&lt;=terminoProjeto, -((1+txAdmKinea)^(1/12)-1)*AT63, 0))</f>
        <v>-2948.9736635480813</v>
      </c>
      <c r="BA64" s="395">
        <f>IF($N64&lt;=baseData, IFERROR(INDEX('Fluxo Bandeira Co'!$W:$W, MATCH($N64, 'Fluxo Bandeira Co'!$A:$A, 0))*Permutas!AU64/(SUMIF('Fluxo Investidores'!$A:$A, "&lt;="&amp;$N64, 'Fluxo Investidores'!$Z:$Z)+SUMIF('Fluxo Investidores'!$A:$A, "&lt;="&amp;$N64, 'Fluxo Investidores'!$AA:$AA)), 0), IF($N64&lt;=terminoProjeto, -((1+txAdmKinea)^(1/12)-1)*AU63, 0))</f>
        <v>-2863.60270223526</v>
      </c>
      <c r="BB64" s="395">
        <f>IF($N64&lt;=baseData, IFERROR(INDEX('Fluxo Bandeira Co'!$W:$W, MATCH($N64, 'Fluxo Bandeira Co'!$A:$A, 0))*Permutas!AV64/(SUMIF('Fluxo Investidores'!$A:$A, "&lt;="&amp;$N64, 'Fluxo Investidores'!$Z:$Z)+SUMIF('Fluxo Investidores'!$A:$A, "&lt;="&amp;$N64, 'Fluxo Investidores'!$AA:$AA)), 0), IF($N64&lt;=terminoProjeto, -((1+txAdmKinea)^(1/12)-1)*AV63, 0))</f>
        <v>-2817.4054833633354</v>
      </c>
      <c r="BC64" s="396">
        <f>IF($N64&lt;=baseData, IFERROR(INDEX('Fluxo Bandeira Co'!$W:$W, MATCH($N64, 'Fluxo Bandeira Co'!$A:$A, 0))*Permutas!AW64/(SUMIF('Fluxo Investidores'!$A:$A, "&lt;="&amp;$N64, 'Fluxo Investidores'!$Z:$Z)+SUMIF('Fluxo Investidores'!$A:$A, "&lt;="&amp;$N64, 'Fluxo Investidores'!$AA:$AA)), 0), IF($N64&lt;=terminoProjeto, -((1+txAdmKinea)^(1/12)-1)*AW63, 0))</f>
        <v>-3088.358147283765</v>
      </c>
    </row>
    <row r="65" spans="14:55" x14ac:dyDescent="0.25">
      <c r="N65" s="315">
        <f t="shared" si="40"/>
        <v>45139</v>
      </c>
      <c r="O65" s="389">
        <f>IF($N65&lt;=baseData, INDEX(Indicadores!B:B, MATCH($N65,Indicadores!A:A, 0)), INDEX(Indicadores!B:B, MATCH(baseData,Indicadores!A:A, 0)))</f>
        <v>839.38199999999995</v>
      </c>
      <c r="Q65" s="397">
        <f>IF($N65&lt;=baseData, -INDEX('Fluxo Investidores'!$L$2:$X$86, MATCH($N65, 'Fluxo Investidores'!$A$2:$A$86, 0), MATCH(Q$2, 'Fluxo Investidores'!$L$1:$X$1, 0)), 0)</f>
        <v>0</v>
      </c>
      <c r="R65" s="390">
        <f>IF($N65&lt;=baseData, -INDEX('Fluxo Investidores'!$L$2:$X$86, MATCH($N65, 'Fluxo Investidores'!$A$2:$A$86, 0), MATCH(R$2, 'Fluxo Investidores'!$L$1:$X$1, 0)), 0)</f>
        <v>0</v>
      </c>
      <c r="S65" s="390">
        <f>IF($N65&lt;=baseData, -INDEX('Fluxo Investidores'!$L$2:$X$86, MATCH($N65, 'Fluxo Investidores'!$A$2:$A$86, 0), MATCH(S$2, 'Fluxo Investidores'!$L$1:$X$1, 0)), 0)</f>
        <v>0</v>
      </c>
      <c r="T65" s="390">
        <f>IF($N65&lt;=baseData, -INDEX('Fluxo Investidores'!$L$2:$X$86, MATCH($N65, 'Fluxo Investidores'!$A$2:$A$86, 0), MATCH(T$2, 'Fluxo Investidores'!$L$1:$X$1, 0)), 0)</f>
        <v>0</v>
      </c>
      <c r="U65" s="390">
        <f>IF($N65&lt;=baseData, -INDEX('Fluxo Investidores'!$L$2:$X$86, MATCH($N65, 'Fluxo Investidores'!$A$2:$A$86, 0), MATCH(U$2, 'Fluxo Investidores'!$L$1:$X$1, 0)), 0)</f>
        <v>0</v>
      </c>
      <c r="V65" s="393">
        <f t="shared" si="37"/>
        <v>0</v>
      </c>
      <c r="X65" s="394">
        <f t="shared" ref="X65:X81" si="51">IF($N65&lt;=baseData, INDEX($I$21:$I$25, MATCH(X$2, $B$21:$B$25, 0))*Q65, IF(OR($N65=EDATE(inicioObra, -1), $N65=EDATE(inicioObra, 13)), INDEX($L$4:$L$10, MATCH(X$2, $J$4:$J$10, 0)), 0))</f>
        <v>0</v>
      </c>
      <c r="Y65" s="395">
        <f t="shared" ref="Y65:Y81" si="52">IF($N65&lt;=baseData, INDEX($I$21:$I$25, MATCH(Y$2, $B$21:$B$25, 0))*R65, IF(OR($N65=EDATE(inicioObra, -1), $N65=EDATE(inicioObra, 13)), INDEX($L$4:$L$10, MATCH(Y$2, $J$4:$J$10, 0)), 0))</f>
        <v>0</v>
      </c>
      <c r="Z65" s="395">
        <f t="shared" ref="Z65:Z81" si="53">IF($N65&lt;=baseData, INDEX($I$21:$I$25, MATCH(Z$2, $B$21:$B$25, 0))*S65, IF(OR($N65=EDATE(inicioObra, -1), $N65=EDATE(inicioObra, 13)), INDEX($L$4:$L$10, MATCH(Z$2, $J$4:$J$10, 0)), 0))</f>
        <v>0</v>
      </c>
      <c r="AA65" s="395">
        <f t="shared" ref="AA65:AA81" si="54">IF($N65&lt;=baseData, INDEX($I$21:$I$25, MATCH(AA$2, $B$21:$B$25, 0))*T65, IF(OR($N65=EDATE(inicioObra, -1), $N65=EDATE(inicioObra, 13)), INDEX($L$4:$L$10, MATCH(AA$2, $J$4:$J$10, 0)), 0))</f>
        <v>0</v>
      </c>
      <c r="AB65" s="395">
        <f t="shared" ref="AB65:AB81" si="55">IF($N65&lt;=baseData, INDEX($I$21:$I$25, MATCH(AB$2, $B$21:$B$25, 0))*U65, IF(OR($N65=EDATE(inicioObra, -1), $N65=EDATE(inicioObra, 13)), INDEX($L$4:$L$10, MATCH(AB$2, $J$4:$J$10, 0)), 0))</f>
        <v>0</v>
      </c>
      <c r="AC65" s="442">
        <f t="shared" si="38"/>
        <v>0</v>
      </c>
      <c r="AD65" s="86"/>
      <c r="AE65" s="394">
        <f t="shared" ref="AE65:AE81" si="56">IF($N65&lt;=baseData, X65*IFERROR(INDEX($F$30:$F$34, MATCH($N65, $C$30:$C$34, 0)), 0), IF(OR($N65=EDATE(inicioObra, -1), $N65=EDATE(inicioObra, 13)), INDEX($J$21:$J$25, MATCH(AE$2, $B$21:$B$25, 0)), 0))</f>
        <v>0</v>
      </c>
      <c r="AF65" s="395">
        <f t="shared" ref="AF65:AF81" si="57">IF($N65&lt;=baseData, Y65*IFERROR(INDEX($F$30:$F$34, MATCH($N65, $C$30:$C$34, 0)), 0), IF(OR($N65=EDATE(inicioObra, -1), $N65=EDATE(inicioObra, 13)), INDEX($J$21:$J$25, MATCH(AF$2, $B$21:$B$25, 0)), 0))</f>
        <v>0</v>
      </c>
      <c r="AG65" s="395">
        <f t="shared" ref="AG65:AG81" si="58">IF($N65&lt;=baseData, Z65*IFERROR(INDEX($F$30:$F$34, MATCH($N65, $C$30:$C$34, 0)), 0), IF(OR($N65=EDATE(inicioObra, -1), $N65=EDATE(inicioObra, 13)), INDEX($J$21:$J$25, MATCH(AG$2, $B$21:$B$25, 0)), 0))</f>
        <v>0</v>
      </c>
      <c r="AH65" s="395">
        <f t="shared" ref="AH65:AH81" si="59">IF($N65&lt;=baseData, AA65*IFERROR(INDEX($F$30:$F$34, MATCH($N65, $C$30:$C$34, 0)), 0), IF(OR($N65=EDATE(inicioObra, -1), $N65=EDATE(inicioObra, 13)), INDEX($J$21:$J$25, MATCH(AH$2, $B$21:$B$25, 0)), 0))</f>
        <v>0</v>
      </c>
      <c r="AI65" s="395">
        <f t="shared" ref="AI65:AI81" si="60">IF($N65&lt;=baseData, AB65*IFERROR(INDEX($F$30:$F$34, MATCH($N65, $C$30:$C$34, 0)), 0), IF(OR($N65=EDATE(inicioObra, -1), $N65=EDATE(inicioObra, 13)), INDEX($J$21:$J$25, MATCH(AI$2, $B$21:$B$25, 0)), 0))</f>
        <v>0</v>
      </c>
      <c r="AJ65" s="442">
        <f t="shared" si="39"/>
        <v>0</v>
      </c>
      <c r="AM65" s="394">
        <f t="shared" si="46"/>
        <v>-20974.128280025674</v>
      </c>
      <c r="AN65" s="395">
        <f t="shared" si="47"/>
        <v>-20997.070656186785</v>
      </c>
      <c r="AO65" s="395">
        <f t="shared" si="48"/>
        <v>-22657.298083564907</v>
      </c>
      <c r="AP65" s="395">
        <f t="shared" si="49"/>
        <v>-20881.883206401719</v>
      </c>
      <c r="AQ65" s="396">
        <f t="shared" si="50"/>
        <v>-24435.600328633096</v>
      </c>
      <c r="AS65" s="394">
        <f t="shared" si="41"/>
        <v>2434876.479251354</v>
      </c>
      <c r="AT65" s="395">
        <f t="shared" si="42"/>
        <v>2456707.1254907604</v>
      </c>
      <c r="AU65" s="395">
        <f t="shared" si="43"/>
        <v>2385586.9756027944</v>
      </c>
      <c r="AV65" s="395">
        <f t="shared" si="44"/>
        <v>2347101.3701925501</v>
      </c>
      <c r="AW65" s="396">
        <f t="shared" si="45"/>
        <v>2572824.4237253983</v>
      </c>
      <c r="AY65" s="394">
        <f>IF($N65&lt;=baseData, IFERROR(INDEX('Fluxo Bandeira Co'!$W:$W, MATCH($N65, 'Fluxo Bandeira Co'!$A:$A, 0))*Permutas!AS65/(SUMIF('Fluxo Investidores'!$A:$A, "&lt;="&amp;$N65, 'Fluxo Investidores'!$Z:$Z)+SUMIF('Fluxo Investidores'!$A:$A, "&lt;="&amp;$N65, 'Fluxo Investidores'!$AA:$AA)), 0), IF($N65&lt;=terminoProjeto, -((1+txAdmKinea)^(1/12)-1)*AS64, 0))</f>
        <v>-2922.7686673764747</v>
      </c>
      <c r="AZ65" s="395">
        <f>IF($N65&lt;=baseData, IFERROR(INDEX('Fluxo Bandeira Co'!$W:$W, MATCH($N65, 'Fluxo Bandeira Co'!$A:$A, 0))*Permutas!AT65/(SUMIF('Fluxo Investidores'!$A:$A, "&lt;="&amp;$N65, 'Fluxo Investidores'!$Z:$Z)+SUMIF('Fluxo Investidores'!$A:$A, "&lt;="&amp;$N65, 'Fluxo Investidores'!$AA:$AA)), 0), IF($N65&lt;=terminoProjeto, -((1+txAdmKinea)^(1/12)-1)*AT64, 0))</f>
        <v>-2948.9736635480813</v>
      </c>
      <c r="BA65" s="395">
        <f>IF($N65&lt;=baseData, IFERROR(INDEX('Fluxo Bandeira Co'!$W:$W, MATCH($N65, 'Fluxo Bandeira Co'!$A:$A, 0))*Permutas!AU65/(SUMIF('Fluxo Investidores'!$A:$A, "&lt;="&amp;$N65, 'Fluxo Investidores'!$Z:$Z)+SUMIF('Fluxo Investidores'!$A:$A, "&lt;="&amp;$N65, 'Fluxo Investidores'!$AA:$AA)), 0), IF($N65&lt;=terminoProjeto, -((1+txAdmKinea)^(1/12)-1)*AU64, 0))</f>
        <v>-2863.60270223526</v>
      </c>
      <c r="BB65" s="395">
        <f>IF($N65&lt;=baseData, IFERROR(INDEX('Fluxo Bandeira Co'!$W:$W, MATCH($N65, 'Fluxo Bandeira Co'!$A:$A, 0))*Permutas!AV65/(SUMIF('Fluxo Investidores'!$A:$A, "&lt;="&amp;$N65, 'Fluxo Investidores'!$Z:$Z)+SUMIF('Fluxo Investidores'!$A:$A, "&lt;="&amp;$N65, 'Fluxo Investidores'!$AA:$AA)), 0), IF($N65&lt;=terminoProjeto, -((1+txAdmKinea)^(1/12)-1)*AV64, 0))</f>
        <v>-2817.4054833633354</v>
      </c>
      <c r="BC65" s="396">
        <f>IF($N65&lt;=baseData, IFERROR(INDEX('Fluxo Bandeira Co'!$W:$W, MATCH($N65, 'Fluxo Bandeira Co'!$A:$A, 0))*Permutas!AW65/(SUMIF('Fluxo Investidores'!$A:$A, "&lt;="&amp;$N65, 'Fluxo Investidores'!$Z:$Z)+SUMIF('Fluxo Investidores'!$A:$A, "&lt;="&amp;$N65, 'Fluxo Investidores'!$AA:$AA)), 0), IF($N65&lt;=terminoProjeto, -((1+txAdmKinea)^(1/12)-1)*AW64, 0))</f>
        <v>-3088.358147283765</v>
      </c>
    </row>
    <row r="66" spans="14:55" x14ac:dyDescent="0.25">
      <c r="N66" s="315">
        <f t="shared" si="40"/>
        <v>45170</v>
      </c>
      <c r="O66" s="389">
        <f>IF($N66&lt;=baseData, INDEX(Indicadores!B:B, MATCH($N66,Indicadores!A:A, 0)), INDEX(Indicadores!B:B, MATCH(baseData,Indicadores!A:A, 0)))</f>
        <v>839.38199999999995</v>
      </c>
      <c r="Q66" s="397">
        <f>IF($N66&lt;=baseData, -INDEX('Fluxo Investidores'!$L$2:$X$86, MATCH($N66, 'Fluxo Investidores'!$A$2:$A$86, 0), MATCH(Q$2, 'Fluxo Investidores'!$L$1:$X$1, 0)), 0)</f>
        <v>0</v>
      </c>
      <c r="R66" s="390">
        <f>IF($N66&lt;=baseData, -INDEX('Fluxo Investidores'!$L$2:$X$86, MATCH($N66, 'Fluxo Investidores'!$A$2:$A$86, 0), MATCH(R$2, 'Fluxo Investidores'!$L$1:$X$1, 0)), 0)</f>
        <v>0</v>
      </c>
      <c r="S66" s="390">
        <f>IF($N66&lt;=baseData, -INDEX('Fluxo Investidores'!$L$2:$X$86, MATCH($N66, 'Fluxo Investidores'!$A$2:$A$86, 0), MATCH(S$2, 'Fluxo Investidores'!$L$1:$X$1, 0)), 0)</f>
        <v>0</v>
      </c>
      <c r="T66" s="390">
        <f>IF($N66&lt;=baseData, -INDEX('Fluxo Investidores'!$L$2:$X$86, MATCH($N66, 'Fluxo Investidores'!$A$2:$A$86, 0), MATCH(T$2, 'Fluxo Investidores'!$L$1:$X$1, 0)), 0)</f>
        <v>0</v>
      </c>
      <c r="U66" s="390">
        <f>IF($N66&lt;=baseData, -INDEX('Fluxo Investidores'!$L$2:$X$86, MATCH($N66, 'Fluxo Investidores'!$A$2:$A$86, 0), MATCH(U$2, 'Fluxo Investidores'!$L$1:$X$1, 0)), 0)</f>
        <v>0</v>
      </c>
      <c r="V66" s="393">
        <f t="shared" si="37"/>
        <v>0</v>
      </c>
      <c r="X66" s="394">
        <f t="shared" si="51"/>
        <v>0</v>
      </c>
      <c r="Y66" s="395">
        <f t="shared" si="52"/>
        <v>0</v>
      </c>
      <c r="Z66" s="395">
        <f t="shared" si="53"/>
        <v>0</v>
      </c>
      <c r="AA66" s="395">
        <f t="shared" si="54"/>
        <v>0</v>
      </c>
      <c r="AB66" s="395">
        <f t="shared" si="55"/>
        <v>0</v>
      </c>
      <c r="AC66" s="442">
        <f t="shared" si="38"/>
        <v>0</v>
      </c>
      <c r="AD66" s="86"/>
      <c r="AE66" s="394">
        <f t="shared" si="56"/>
        <v>0</v>
      </c>
      <c r="AF66" s="395">
        <f t="shared" si="57"/>
        <v>0</v>
      </c>
      <c r="AG66" s="395">
        <f t="shared" si="58"/>
        <v>0</v>
      </c>
      <c r="AH66" s="395">
        <f t="shared" si="59"/>
        <v>0</v>
      </c>
      <c r="AI66" s="395">
        <f t="shared" si="60"/>
        <v>0</v>
      </c>
      <c r="AJ66" s="442">
        <f t="shared" si="39"/>
        <v>0</v>
      </c>
      <c r="AM66" s="394">
        <f t="shared" si="46"/>
        <v>-20974.128280025674</v>
      </c>
      <c r="AN66" s="395">
        <f t="shared" si="47"/>
        <v>-20997.070656186785</v>
      </c>
      <c r="AO66" s="395">
        <f t="shared" si="48"/>
        <v>-22657.298083564907</v>
      </c>
      <c r="AP66" s="395">
        <f t="shared" si="49"/>
        <v>-20881.883206401719</v>
      </c>
      <c r="AQ66" s="396">
        <f t="shared" si="50"/>
        <v>-24435.600328633096</v>
      </c>
      <c r="AS66" s="394">
        <f t="shared" si="41"/>
        <v>2434876.479251354</v>
      </c>
      <c r="AT66" s="395">
        <f t="shared" si="42"/>
        <v>2456707.1254907604</v>
      </c>
      <c r="AU66" s="395">
        <f t="shared" si="43"/>
        <v>2385586.9756027944</v>
      </c>
      <c r="AV66" s="395">
        <f t="shared" si="44"/>
        <v>2347101.3701925501</v>
      </c>
      <c r="AW66" s="396">
        <f t="shared" si="45"/>
        <v>2572824.4237253983</v>
      </c>
      <c r="AY66" s="394">
        <f>IF($N66&lt;=baseData, IFERROR(INDEX('Fluxo Bandeira Co'!$W:$W, MATCH($N66, 'Fluxo Bandeira Co'!$A:$A, 0))*Permutas!AS66/(SUMIF('Fluxo Investidores'!$A:$A, "&lt;="&amp;$N66, 'Fluxo Investidores'!$Z:$Z)+SUMIF('Fluxo Investidores'!$A:$A, "&lt;="&amp;$N66, 'Fluxo Investidores'!$AA:$AA)), 0), IF($N66&lt;=terminoProjeto, -((1+txAdmKinea)^(1/12)-1)*AS65, 0))</f>
        <v>-2922.7686673764747</v>
      </c>
      <c r="AZ66" s="395">
        <f>IF($N66&lt;=baseData, IFERROR(INDEX('Fluxo Bandeira Co'!$W:$W, MATCH($N66, 'Fluxo Bandeira Co'!$A:$A, 0))*Permutas!AT66/(SUMIF('Fluxo Investidores'!$A:$A, "&lt;="&amp;$N66, 'Fluxo Investidores'!$Z:$Z)+SUMIF('Fluxo Investidores'!$A:$A, "&lt;="&amp;$N66, 'Fluxo Investidores'!$AA:$AA)), 0), IF($N66&lt;=terminoProjeto, -((1+txAdmKinea)^(1/12)-1)*AT65, 0))</f>
        <v>-2948.9736635480813</v>
      </c>
      <c r="BA66" s="395">
        <f>IF($N66&lt;=baseData, IFERROR(INDEX('Fluxo Bandeira Co'!$W:$W, MATCH($N66, 'Fluxo Bandeira Co'!$A:$A, 0))*Permutas!AU66/(SUMIF('Fluxo Investidores'!$A:$A, "&lt;="&amp;$N66, 'Fluxo Investidores'!$Z:$Z)+SUMIF('Fluxo Investidores'!$A:$A, "&lt;="&amp;$N66, 'Fluxo Investidores'!$AA:$AA)), 0), IF($N66&lt;=terminoProjeto, -((1+txAdmKinea)^(1/12)-1)*AU65, 0))</f>
        <v>-2863.60270223526</v>
      </c>
      <c r="BB66" s="395">
        <f>IF($N66&lt;=baseData, IFERROR(INDEX('Fluxo Bandeira Co'!$W:$W, MATCH($N66, 'Fluxo Bandeira Co'!$A:$A, 0))*Permutas!AV66/(SUMIF('Fluxo Investidores'!$A:$A, "&lt;="&amp;$N66, 'Fluxo Investidores'!$Z:$Z)+SUMIF('Fluxo Investidores'!$A:$A, "&lt;="&amp;$N66, 'Fluxo Investidores'!$AA:$AA)), 0), IF($N66&lt;=terminoProjeto, -((1+txAdmKinea)^(1/12)-1)*AV65, 0))</f>
        <v>-2817.4054833633354</v>
      </c>
      <c r="BC66" s="396">
        <f>IF($N66&lt;=baseData, IFERROR(INDEX('Fluxo Bandeira Co'!$W:$W, MATCH($N66, 'Fluxo Bandeira Co'!$A:$A, 0))*Permutas!AW66/(SUMIF('Fluxo Investidores'!$A:$A, "&lt;="&amp;$N66, 'Fluxo Investidores'!$Z:$Z)+SUMIF('Fluxo Investidores'!$A:$A, "&lt;="&amp;$N66, 'Fluxo Investidores'!$AA:$AA)), 0), IF($N66&lt;=terminoProjeto, -((1+txAdmKinea)^(1/12)-1)*AW65, 0))</f>
        <v>-3088.358147283765</v>
      </c>
    </row>
    <row r="67" spans="14:55" x14ac:dyDescent="0.25">
      <c r="N67" s="315">
        <f t="shared" si="40"/>
        <v>45200</v>
      </c>
      <c r="O67" s="389">
        <f>IF($N67&lt;=baseData, INDEX(Indicadores!B:B, MATCH($N67,Indicadores!A:A, 0)), INDEX(Indicadores!B:B, MATCH(baseData,Indicadores!A:A, 0)))</f>
        <v>839.38199999999995</v>
      </c>
      <c r="Q67" s="397">
        <f>IF($N67&lt;=baseData, -INDEX('Fluxo Investidores'!$L$2:$X$86, MATCH($N67, 'Fluxo Investidores'!$A$2:$A$86, 0), MATCH(Q$2, 'Fluxo Investidores'!$L$1:$X$1, 0)), 0)</f>
        <v>0</v>
      </c>
      <c r="R67" s="390">
        <f>IF($N67&lt;=baseData, -INDEX('Fluxo Investidores'!$L$2:$X$86, MATCH($N67, 'Fluxo Investidores'!$A$2:$A$86, 0), MATCH(R$2, 'Fluxo Investidores'!$L$1:$X$1, 0)), 0)</f>
        <v>0</v>
      </c>
      <c r="S67" s="390">
        <f>IF($N67&lt;=baseData, -INDEX('Fluxo Investidores'!$L$2:$X$86, MATCH($N67, 'Fluxo Investidores'!$A$2:$A$86, 0), MATCH(S$2, 'Fluxo Investidores'!$L$1:$X$1, 0)), 0)</f>
        <v>0</v>
      </c>
      <c r="T67" s="390">
        <f>IF($N67&lt;=baseData, -INDEX('Fluxo Investidores'!$L$2:$X$86, MATCH($N67, 'Fluxo Investidores'!$A$2:$A$86, 0), MATCH(T$2, 'Fluxo Investidores'!$L$1:$X$1, 0)), 0)</f>
        <v>0</v>
      </c>
      <c r="U67" s="390">
        <f>IF($N67&lt;=baseData, -INDEX('Fluxo Investidores'!$L$2:$X$86, MATCH($N67, 'Fluxo Investidores'!$A$2:$A$86, 0), MATCH(U$2, 'Fluxo Investidores'!$L$1:$X$1, 0)), 0)</f>
        <v>0</v>
      </c>
      <c r="V67" s="393">
        <f t="shared" ref="V67:V98" si="61">SUM(Q67:U67)</f>
        <v>0</v>
      </c>
      <c r="X67" s="394">
        <f t="shared" si="51"/>
        <v>0</v>
      </c>
      <c r="Y67" s="395">
        <f t="shared" si="52"/>
        <v>0</v>
      </c>
      <c r="Z67" s="395">
        <f t="shared" si="53"/>
        <v>0</v>
      </c>
      <c r="AA67" s="395">
        <f t="shared" si="54"/>
        <v>0</v>
      </c>
      <c r="AB67" s="395">
        <f t="shared" si="55"/>
        <v>0</v>
      </c>
      <c r="AC67" s="442">
        <f t="shared" ref="AC67:AC98" si="62">SUM(X67:AB67)</f>
        <v>0</v>
      </c>
      <c r="AD67" s="86"/>
      <c r="AE67" s="394">
        <f t="shared" si="56"/>
        <v>0</v>
      </c>
      <c r="AF67" s="395">
        <f t="shared" si="57"/>
        <v>0</v>
      </c>
      <c r="AG67" s="395">
        <f t="shared" si="58"/>
        <v>0</v>
      </c>
      <c r="AH67" s="395">
        <f t="shared" si="59"/>
        <v>0</v>
      </c>
      <c r="AI67" s="395">
        <f t="shared" si="60"/>
        <v>0</v>
      </c>
      <c r="AJ67" s="442">
        <f t="shared" ref="AJ67:AJ98" si="63">SUM(AE67:AI67)</f>
        <v>0</v>
      </c>
      <c r="AM67" s="394">
        <f t="shared" si="46"/>
        <v>-20974.128280025674</v>
      </c>
      <c r="AN67" s="395">
        <f t="shared" si="47"/>
        <v>-20997.070656186785</v>
      </c>
      <c r="AO67" s="395">
        <f t="shared" si="48"/>
        <v>-22657.298083564907</v>
      </c>
      <c r="AP67" s="395">
        <f t="shared" si="49"/>
        <v>-20881.883206401719</v>
      </c>
      <c r="AQ67" s="396">
        <f t="shared" si="50"/>
        <v>-24435.600328633096</v>
      </c>
      <c r="AS67" s="394">
        <f t="shared" si="41"/>
        <v>2434876.479251354</v>
      </c>
      <c r="AT67" s="395">
        <f t="shared" si="42"/>
        <v>2456707.1254907604</v>
      </c>
      <c r="AU67" s="395">
        <f t="shared" si="43"/>
        <v>2385586.9756027944</v>
      </c>
      <c r="AV67" s="395">
        <f t="shared" si="44"/>
        <v>2347101.3701925501</v>
      </c>
      <c r="AW67" s="396">
        <f t="shared" si="45"/>
        <v>2572824.4237253983</v>
      </c>
      <c r="AY67" s="394">
        <f>IF($N67&lt;=baseData, IFERROR(INDEX('Fluxo Bandeira Co'!$W:$W, MATCH($N67, 'Fluxo Bandeira Co'!$A:$A, 0))*Permutas!AS67/(SUMIF('Fluxo Investidores'!$A:$A, "&lt;="&amp;$N67, 'Fluxo Investidores'!$Z:$Z)+SUMIF('Fluxo Investidores'!$A:$A, "&lt;="&amp;$N67, 'Fluxo Investidores'!$AA:$AA)), 0), IF($N67&lt;=terminoProjeto, -((1+txAdmKinea)^(1/12)-1)*AS66, 0))</f>
        <v>-2922.7686673764747</v>
      </c>
      <c r="AZ67" s="395">
        <f>IF($N67&lt;=baseData, IFERROR(INDEX('Fluxo Bandeira Co'!$W:$W, MATCH($N67, 'Fluxo Bandeira Co'!$A:$A, 0))*Permutas!AT67/(SUMIF('Fluxo Investidores'!$A:$A, "&lt;="&amp;$N67, 'Fluxo Investidores'!$Z:$Z)+SUMIF('Fluxo Investidores'!$A:$A, "&lt;="&amp;$N67, 'Fluxo Investidores'!$AA:$AA)), 0), IF($N67&lt;=terminoProjeto, -((1+txAdmKinea)^(1/12)-1)*AT66, 0))</f>
        <v>-2948.9736635480813</v>
      </c>
      <c r="BA67" s="395">
        <f>IF($N67&lt;=baseData, IFERROR(INDEX('Fluxo Bandeira Co'!$W:$W, MATCH($N67, 'Fluxo Bandeira Co'!$A:$A, 0))*Permutas!AU67/(SUMIF('Fluxo Investidores'!$A:$A, "&lt;="&amp;$N67, 'Fluxo Investidores'!$Z:$Z)+SUMIF('Fluxo Investidores'!$A:$A, "&lt;="&amp;$N67, 'Fluxo Investidores'!$AA:$AA)), 0), IF($N67&lt;=terminoProjeto, -((1+txAdmKinea)^(1/12)-1)*AU66, 0))</f>
        <v>-2863.60270223526</v>
      </c>
      <c r="BB67" s="395">
        <f>IF($N67&lt;=baseData, IFERROR(INDEX('Fluxo Bandeira Co'!$W:$W, MATCH($N67, 'Fluxo Bandeira Co'!$A:$A, 0))*Permutas!AV67/(SUMIF('Fluxo Investidores'!$A:$A, "&lt;="&amp;$N67, 'Fluxo Investidores'!$Z:$Z)+SUMIF('Fluxo Investidores'!$A:$A, "&lt;="&amp;$N67, 'Fluxo Investidores'!$AA:$AA)), 0), IF($N67&lt;=terminoProjeto, -((1+txAdmKinea)^(1/12)-1)*AV66, 0))</f>
        <v>-2817.4054833633354</v>
      </c>
      <c r="BC67" s="396">
        <f>IF($N67&lt;=baseData, IFERROR(INDEX('Fluxo Bandeira Co'!$W:$W, MATCH($N67, 'Fluxo Bandeira Co'!$A:$A, 0))*Permutas!AW67/(SUMIF('Fluxo Investidores'!$A:$A, "&lt;="&amp;$N67, 'Fluxo Investidores'!$Z:$Z)+SUMIF('Fluxo Investidores'!$A:$A, "&lt;="&amp;$N67, 'Fluxo Investidores'!$AA:$AA)), 0), IF($N67&lt;=terminoProjeto, -((1+txAdmKinea)^(1/12)-1)*AW66, 0))</f>
        <v>-3088.358147283765</v>
      </c>
    </row>
    <row r="68" spans="14:55" x14ac:dyDescent="0.25">
      <c r="N68" s="315">
        <f t="shared" ref="N68:N81" si="64">EDATE(N67, 1)</f>
        <v>45231</v>
      </c>
      <c r="O68" s="389">
        <f>IF($N68&lt;=baseData, INDEX(Indicadores!B:B, MATCH($N68,Indicadores!A:A, 0)), INDEX(Indicadores!B:B, MATCH(baseData,Indicadores!A:A, 0)))</f>
        <v>839.38199999999995</v>
      </c>
      <c r="Q68" s="397">
        <f>IF($N68&lt;=baseData, -INDEX('Fluxo Investidores'!$L$2:$X$86, MATCH($N68, 'Fluxo Investidores'!$A$2:$A$86, 0), MATCH(Q$2, 'Fluxo Investidores'!$L$1:$X$1, 0)), 0)</f>
        <v>0</v>
      </c>
      <c r="R68" s="390">
        <f>IF($N68&lt;=baseData, -INDEX('Fluxo Investidores'!$L$2:$X$86, MATCH($N68, 'Fluxo Investidores'!$A$2:$A$86, 0), MATCH(R$2, 'Fluxo Investidores'!$L$1:$X$1, 0)), 0)</f>
        <v>0</v>
      </c>
      <c r="S68" s="390">
        <f>IF($N68&lt;=baseData, -INDEX('Fluxo Investidores'!$L$2:$X$86, MATCH($N68, 'Fluxo Investidores'!$A$2:$A$86, 0), MATCH(S$2, 'Fluxo Investidores'!$L$1:$X$1, 0)), 0)</f>
        <v>0</v>
      </c>
      <c r="T68" s="390">
        <f>IF($N68&lt;=baseData, -INDEX('Fluxo Investidores'!$L$2:$X$86, MATCH($N68, 'Fluxo Investidores'!$A$2:$A$86, 0), MATCH(T$2, 'Fluxo Investidores'!$L$1:$X$1, 0)), 0)</f>
        <v>0</v>
      </c>
      <c r="U68" s="390">
        <f>IF($N68&lt;=baseData, -INDEX('Fluxo Investidores'!$L$2:$X$86, MATCH($N68, 'Fluxo Investidores'!$A$2:$A$86, 0), MATCH(U$2, 'Fluxo Investidores'!$L$1:$X$1, 0)), 0)</f>
        <v>0</v>
      </c>
      <c r="V68" s="393">
        <f t="shared" si="61"/>
        <v>0</v>
      </c>
      <c r="X68" s="394">
        <f t="shared" si="51"/>
        <v>0</v>
      </c>
      <c r="Y68" s="395">
        <f t="shared" si="52"/>
        <v>0</v>
      </c>
      <c r="Z68" s="395">
        <f t="shared" si="53"/>
        <v>0</v>
      </c>
      <c r="AA68" s="395">
        <f t="shared" si="54"/>
        <v>0</v>
      </c>
      <c r="AB68" s="395">
        <f t="shared" si="55"/>
        <v>0</v>
      </c>
      <c r="AC68" s="442">
        <f t="shared" si="62"/>
        <v>0</v>
      </c>
      <c r="AD68" s="86"/>
      <c r="AE68" s="394">
        <f t="shared" si="56"/>
        <v>0</v>
      </c>
      <c r="AF68" s="395">
        <f t="shared" si="57"/>
        <v>0</v>
      </c>
      <c r="AG68" s="395">
        <f t="shared" si="58"/>
        <v>0</v>
      </c>
      <c r="AH68" s="395">
        <f t="shared" si="59"/>
        <v>0</v>
      </c>
      <c r="AI68" s="395">
        <f t="shared" si="60"/>
        <v>0</v>
      </c>
      <c r="AJ68" s="442">
        <f t="shared" si="63"/>
        <v>0</v>
      </c>
      <c r="AM68" s="394">
        <f t="shared" si="46"/>
        <v>-20974.128280025674</v>
      </c>
      <c r="AN68" s="395">
        <f t="shared" si="47"/>
        <v>-20997.070656186785</v>
      </c>
      <c r="AO68" s="395">
        <f t="shared" si="48"/>
        <v>-22657.298083564907</v>
      </c>
      <c r="AP68" s="395">
        <f t="shared" si="49"/>
        <v>-20881.883206401719</v>
      </c>
      <c r="AQ68" s="396">
        <f t="shared" si="50"/>
        <v>-24435.600328633096</v>
      </c>
      <c r="AS68" s="394">
        <f t="shared" ref="AS68:AS81" si="65">AS67+X68</f>
        <v>2434876.479251354</v>
      </c>
      <c r="AT68" s="395">
        <f t="shared" ref="AT68:AT81" si="66">AT67+Y68</f>
        <v>2456707.1254907604</v>
      </c>
      <c r="AU68" s="395">
        <f t="shared" ref="AU68:AU81" si="67">AU67+Z68</f>
        <v>2385586.9756027944</v>
      </c>
      <c r="AV68" s="395">
        <f t="shared" ref="AV68:AV81" si="68">AV67+AA68</f>
        <v>2347101.3701925501</v>
      </c>
      <c r="AW68" s="396">
        <f t="shared" ref="AW68:AW81" si="69">AW67+AB68</f>
        <v>2572824.4237253983</v>
      </c>
      <c r="AY68" s="394">
        <f>IF($N68&lt;=baseData, IFERROR(INDEX('Fluxo Bandeira Co'!$W:$W, MATCH($N68, 'Fluxo Bandeira Co'!$A:$A, 0))*Permutas!AS68/(SUMIF('Fluxo Investidores'!$A:$A, "&lt;="&amp;$N68, 'Fluxo Investidores'!$Z:$Z)+SUMIF('Fluxo Investidores'!$A:$A, "&lt;="&amp;$N68, 'Fluxo Investidores'!$AA:$AA)), 0), IF($N68&lt;=terminoProjeto, -((1+txAdmKinea)^(1/12)-1)*AS67, 0))</f>
        <v>-2922.7686673764747</v>
      </c>
      <c r="AZ68" s="395">
        <f>IF($N68&lt;=baseData, IFERROR(INDEX('Fluxo Bandeira Co'!$W:$W, MATCH($N68, 'Fluxo Bandeira Co'!$A:$A, 0))*Permutas!AT68/(SUMIF('Fluxo Investidores'!$A:$A, "&lt;="&amp;$N68, 'Fluxo Investidores'!$Z:$Z)+SUMIF('Fluxo Investidores'!$A:$A, "&lt;="&amp;$N68, 'Fluxo Investidores'!$AA:$AA)), 0), IF($N68&lt;=terminoProjeto, -((1+txAdmKinea)^(1/12)-1)*AT67, 0))</f>
        <v>-2948.9736635480813</v>
      </c>
      <c r="BA68" s="395">
        <f>IF($N68&lt;=baseData, IFERROR(INDEX('Fluxo Bandeira Co'!$W:$W, MATCH($N68, 'Fluxo Bandeira Co'!$A:$A, 0))*Permutas!AU68/(SUMIF('Fluxo Investidores'!$A:$A, "&lt;="&amp;$N68, 'Fluxo Investidores'!$Z:$Z)+SUMIF('Fluxo Investidores'!$A:$A, "&lt;="&amp;$N68, 'Fluxo Investidores'!$AA:$AA)), 0), IF($N68&lt;=terminoProjeto, -((1+txAdmKinea)^(1/12)-1)*AU67, 0))</f>
        <v>-2863.60270223526</v>
      </c>
      <c r="BB68" s="395">
        <f>IF($N68&lt;=baseData, IFERROR(INDEX('Fluxo Bandeira Co'!$W:$W, MATCH($N68, 'Fluxo Bandeira Co'!$A:$A, 0))*Permutas!AV68/(SUMIF('Fluxo Investidores'!$A:$A, "&lt;="&amp;$N68, 'Fluxo Investidores'!$Z:$Z)+SUMIF('Fluxo Investidores'!$A:$A, "&lt;="&amp;$N68, 'Fluxo Investidores'!$AA:$AA)), 0), IF($N68&lt;=terminoProjeto, -((1+txAdmKinea)^(1/12)-1)*AV67, 0))</f>
        <v>-2817.4054833633354</v>
      </c>
      <c r="BC68" s="396">
        <f>IF($N68&lt;=baseData, IFERROR(INDEX('Fluxo Bandeira Co'!$W:$W, MATCH($N68, 'Fluxo Bandeira Co'!$A:$A, 0))*Permutas!AW68/(SUMIF('Fluxo Investidores'!$A:$A, "&lt;="&amp;$N68, 'Fluxo Investidores'!$Z:$Z)+SUMIF('Fluxo Investidores'!$A:$A, "&lt;="&amp;$N68, 'Fluxo Investidores'!$AA:$AA)), 0), IF($N68&lt;=terminoProjeto, -((1+txAdmKinea)^(1/12)-1)*AW67, 0))</f>
        <v>-3088.358147283765</v>
      </c>
    </row>
    <row r="69" spans="14:55" x14ac:dyDescent="0.25">
      <c r="N69" s="315">
        <f t="shared" si="64"/>
        <v>45261</v>
      </c>
      <c r="O69" s="389">
        <f>IF($N69&lt;=baseData, INDEX(Indicadores!B:B, MATCH($N69,Indicadores!A:A, 0)), INDEX(Indicadores!B:B, MATCH(baseData,Indicadores!A:A, 0)))</f>
        <v>839.38199999999995</v>
      </c>
      <c r="Q69" s="397">
        <f>IF($N69&lt;=baseData, -INDEX('Fluxo Investidores'!$L$2:$X$86, MATCH($N69, 'Fluxo Investidores'!$A$2:$A$86, 0), MATCH(Q$2, 'Fluxo Investidores'!$L$1:$X$1, 0)), 0)</f>
        <v>0</v>
      </c>
      <c r="R69" s="390">
        <f>IF($N69&lt;=baseData, -INDEX('Fluxo Investidores'!$L$2:$X$86, MATCH($N69, 'Fluxo Investidores'!$A$2:$A$86, 0), MATCH(R$2, 'Fluxo Investidores'!$L$1:$X$1, 0)), 0)</f>
        <v>0</v>
      </c>
      <c r="S69" s="390">
        <f>IF($N69&lt;=baseData, -INDEX('Fluxo Investidores'!$L$2:$X$86, MATCH($N69, 'Fluxo Investidores'!$A$2:$A$86, 0), MATCH(S$2, 'Fluxo Investidores'!$L$1:$X$1, 0)), 0)</f>
        <v>0</v>
      </c>
      <c r="T69" s="390">
        <f>IF($N69&lt;=baseData, -INDEX('Fluxo Investidores'!$L$2:$X$86, MATCH($N69, 'Fluxo Investidores'!$A$2:$A$86, 0), MATCH(T$2, 'Fluxo Investidores'!$L$1:$X$1, 0)), 0)</f>
        <v>0</v>
      </c>
      <c r="U69" s="390">
        <f>IF($N69&lt;=baseData, -INDEX('Fluxo Investidores'!$L$2:$X$86, MATCH($N69, 'Fluxo Investidores'!$A$2:$A$86, 0), MATCH(U$2, 'Fluxo Investidores'!$L$1:$X$1, 0)), 0)</f>
        <v>0</v>
      </c>
      <c r="V69" s="393">
        <f t="shared" si="61"/>
        <v>0</v>
      </c>
      <c r="X69" s="394">
        <f t="shared" si="51"/>
        <v>0</v>
      </c>
      <c r="Y69" s="395">
        <f t="shared" si="52"/>
        <v>0</v>
      </c>
      <c r="Z69" s="395">
        <f t="shared" si="53"/>
        <v>0</v>
      </c>
      <c r="AA69" s="395">
        <f t="shared" si="54"/>
        <v>0</v>
      </c>
      <c r="AB69" s="395">
        <f t="shared" si="55"/>
        <v>0</v>
      </c>
      <c r="AC69" s="442">
        <f t="shared" si="62"/>
        <v>0</v>
      </c>
      <c r="AD69" s="86"/>
      <c r="AE69" s="394">
        <f t="shared" si="56"/>
        <v>0</v>
      </c>
      <c r="AF69" s="395">
        <f t="shared" si="57"/>
        <v>0</v>
      </c>
      <c r="AG69" s="395">
        <f t="shared" si="58"/>
        <v>0</v>
      </c>
      <c r="AH69" s="395">
        <f t="shared" si="59"/>
        <v>0</v>
      </c>
      <c r="AI69" s="395">
        <f t="shared" si="60"/>
        <v>0</v>
      </c>
      <c r="AJ69" s="442">
        <f t="shared" si="63"/>
        <v>0</v>
      </c>
      <c r="AM69" s="394">
        <f t="shared" si="46"/>
        <v>-20974.128280025674</v>
      </c>
      <c r="AN69" s="395">
        <f t="shared" si="47"/>
        <v>-20997.070656186785</v>
      </c>
      <c r="AO69" s="395">
        <f t="shared" si="48"/>
        <v>-22657.298083564907</v>
      </c>
      <c r="AP69" s="395">
        <f t="shared" si="49"/>
        <v>-20881.883206401719</v>
      </c>
      <c r="AQ69" s="396">
        <f t="shared" si="50"/>
        <v>-24435.600328633096</v>
      </c>
      <c r="AS69" s="394">
        <f t="shared" si="65"/>
        <v>2434876.479251354</v>
      </c>
      <c r="AT69" s="395">
        <f t="shared" si="66"/>
        <v>2456707.1254907604</v>
      </c>
      <c r="AU69" s="395">
        <f t="shared" si="67"/>
        <v>2385586.9756027944</v>
      </c>
      <c r="AV69" s="395">
        <f t="shared" si="68"/>
        <v>2347101.3701925501</v>
      </c>
      <c r="AW69" s="396">
        <f t="shared" si="69"/>
        <v>2572824.4237253983</v>
      </c>
      <c r="AY69" s="394">
        <f>IF($N69&lt;=baseData, IFERROR(INDEX('Fluxo Bandeira Co'!$W:$W, MATCH($N69, 'Fluxo Bandeira Co'!$A:$A, 0))*Permutas!AS69/(SUMIF('Fluxo Investidores'!$A:$A, "&lt;="&amp;$N69, 'Fluxo Investidores'!$Z:$Z)+SUMIF('Fluxo Investidores'!$A:$A, "&lt;="&amp;$N69, 'Fluxo Investidores'!$AA:$AA)), 0), IF($N69&lt;=terminoProjeto, -((1+txAdmKinea)^(1/12)-1)*AS68, 0))</f>
        <v>-2922.7686673764747</v>
      </c>
      <c r="AZ69" s="395">
        <f>IF($N69&lt;=baseData, IFERROR(INDEX('Fluxo Bandeira Co'!$W:$W, MATCH($N69, 'Fluxo Bandeira Co'!$A:$A, 0))*Permutas!AT69/(SUMIF('Fluxo Investidores'!$A:$A, "&lt;="&amp;$N69, 'Fluxo Investidores'!$Z:$Z)+SUMIF('Fluxo Investidores'!$A:$A, "&lt;="&amp;$N69, 'Fluxo Investidores'!$AA:$AA)), 0), IF($N69&lt;=terminoProjeto, -((1+txAdmKinea)^(1/12)-1)*AT68, 0))</f>
        <v>-2948.9736635480813</v>
      </c>
      <c r="BA69" s="395">
        <f>IF($N69&lt;=baseData, IFERROR(INDEX('Fluxo Bandeira Co'!$W:$W, MATCH($N69, 'Fluxo Bandeira Co'!$A:$A, 0))*Permutas!AU69/(SUMIF('Fluxo Investidores'!$A:$A, "&lt;="&amp;$N69, 'Fluxo Investidores'!$Z:$Z)+SUMIF('Fluxo Investidores'!$A:$A, "&lt;="&amp;$N69, 'Fluxo Investidores'!$AA:$AA)), 0), IF($N69&lt;=terminoProjeto, -((1+txAdmKinea)^(1/12)-1)*AU68, 0))</f>
        <v>-2863.60270223526</v>
      </c>
      <c r="BB69" s="395">
        <f>IF($N69&lt;=baseData, IFERROR(INDEX('Fluxo Bandeira Co'!$W:$W, MATCH($N69, 'Fluxo Bandeira Co'!$A:$A, 0))*Permutas!AV69/(SUMIF('Fluxo Investidores'!$A:$A, "&lt;="&amp;$N69, 'Fluxo Investidores'!$Z:$Z)+SUMIF('Fluxo Investidores'!$A:$A, "&lt;="&amp;$N69, 'Fluxo Investidores'!$AA:$AA)), 0), IF($N69&lt;=terminoProjeto, -((1+txAdmKinea)^(1/12)-1)*AV68, 0))</f>
        <v>-2817.4054833633354</v>
      </c>
      <c r="BC69" s="396">
        <f>IF($N69&lt;=baseData, IFERROR(INDEX('Fluxo Bandeira Co'!$W:$W, MATCH($N69, 'Fluxo Bandeira Co'!$A:$A, 0))*Permutas!AW69/(SUMIF('Fluxo Investidores'!$A:$A, "&lt;="&amp;$N69, 'Fluxo Investidores'!$Z:$Z)+SUMIF('Fluxo Investidores'!$A:$A, "&lt;="&amp;$N69, 'Fluxo Investidores'!$AA:$AA)), 0), IF($N69&lt;=terminoProjeto, -((1+txAdmKinea)^(1/12)-1)*AW68, 0))</f>
        <v>-3088.358147283765</v>
      </c>
    </row>
    <row r="70" spans="14:55" x14ac:dyDescent="0.25">
      <c r="N70" s="315">
        <f t="shared" si="64"/>
        <v>45292</v>
      </c>
      <c r="O70" s="389">
        <f>IF($N70&lt;=baseData, INDEX(Indicadores!B:B, MATCH($N70,Indicadores!A:A, 0)), INDEX(Indicadores!B:B, MATCH(baseData,Indicadores!A:A, 0)))</f>
        <v>839.38199999999995</v>
      </c>
      <c r="Q70" s="397">
        <f>IF($N70&lt;=baseData, -INDEX('Fluxo Investidores'!$L$2:$X$86, MATCH($N70, 'Fluxo Investidores'!$A$2:$A$86, 0), MATCH(Q$2, 'Fluxo Investidores'!$L$1:$X$1, 0)), 0)</f>
        <v>0</v>
      </c>
      <c r="R70" s="390">
        <f>IF($N70&lt;=baseData, -INDEX('Fluxo Investidores'!$L$2:$X$86, MATCH($N70, 'Fluxo Investidores'!$A$2:$A$86, 0), MATCH(R$2, 'Fluxo Investidores'!$L$1:$X$1, 0)), 0)</f>
        <v>0</v>
      </c>
      <c r="S70" s="390">
        <f>IF($N70&lt;=baseData, -INDEX('Fluxo Investidores'!$L$2:$X$86, MATCH($N70, 'Fluxo Investidores'!$A$2:$A$86, 0), MATCH(S$2, 'Fluxo Investidores'!$L$1:$X$1, 0)), 0)</f>
        <v>0</v>
      </c>
      <c r="T70" s="390">
        <f>IF($N70&lt;=baseData, -INDEX('Fluxo Investidores'!$L$2:$X$86, MATCH($N70, 'Fluxo Investidores'!$A$2:$A$86, 0), MATCH(T$2, 'Fluxo Investidores'!$L$1:$X$1, 0)), 0)</f>
        <v>0</v>
      </c>
      <c r="U70" s="390">
        <f>IF($N70&lt;=baseData, -INDEX('Fluxo Investidores'!$L$2:$X$86, MATCH($N70, 'Fluxo Investidores'!$A$2:$A$86, 0), MATCH(U$2, 'Fluxo Investidores'!$L$1:$X$1, 0)), 0)</f>
        <v>0</v>
      </c>
      <c r="V70" s="393">
        <f t="shared" si="61"/>
        <v>0</v>
      </c>
      <c r="X70" s="394">
        <f t="shared" si="51"/>
        <v>0</v>
      </c>
      <c r="Y70" s="395">
        <f t="shared" si="52"/>
        <v>0</v>
      </c>
      <c r="Z70" s="395">
        <f t="shared" si="53"/>
        <v>0</v>
      </c>
      <c r="AA70" s="395">
        <f t="shared" si="54"/>
        <v>0</v>
      </c>
      <c r="AB70" s="395">
        <f t="shared" si="55"/>
        <v>0</v>
      </c>
      <c r="AC70" s="442">
        <f t="shared" si="62"/>
        <v>0</v>
      </c>
      <c r="AD70" s="86"/>
      <c r="AE70" s="394">
        <f t="shared" si="56"/>
        <v>0</v>
      </c>
      <c r="AF70" s="395">
        <f t="shared" si="57"/>
        <v>0</v>
      </c>
      <c r="AG70" s="395">
        <f t="shared" si="58"/>
        <v>0</v>
      </c>
      <c r="AH70" s="395">
        <f t="shared" si="59"/>
        <v>0</v>
      </c>
      <c r="AI70" s="395">
        <f t="shared" si="60"/>
        <v>0</v>
      </c>
      <c r="AJ70" s="442">
        <f t="shared" si="63"/>
        <v>0</v>
      </c>
      <c r="AM70" s="394">
        <f t="shared" si="46"/>
        <v>-20974.128280025674</v>
      </c>
      <c r="AN70" s="395">
        <f t="shared" si="47"/>
        <v>-20997.070656186785</v>
      </c>
      <c r="AO70" s="395">
        <f t="shared" si="48"/>
        <v>-22657.298083564907</v>
      </c>
      <c r="AP70" s="395">
        <f t="shared" si="49"/>
        <v>-20881.883206401719</v>
      </c>
      <c r="AQ70" s="396">
        <f t="shared" si="50"/>
        <v>-24435.600328633096</v>
      </c>
      <c r="AS70" s="394">
        <f t="shared" si="65"/>
        <v>2434876.479251354</v>
      </c>
      <c r="AT70" s="395">
        <f t="shared" si="66"/>
        <v>2456707.1254907604</v>
      </c>
      <c r="AU70" s="395">
        <f t="shared" si="67"/>
        <v>2385586.9756027944</v>
      </c>
      <c r="AV70" s="395">
        <f t="shared" si="68"/>
        <v>2347101.3701925501</v>
      </c>
      <c r="AW70" s="396">
        <f t="shared" si="69"/>
        <v>2572824.4237253983</v>
      </c>
      <c r="AY70" s="394">
        <f>IF($N70&lt;=baseData, IFERROR(INDEX('Fluxo Bandeira Co'!$W:$W, MATCH($N70, 'Fluxo Bandeira Co'!$A:$A, 0))*Permutas!AS70/(SUMIF('Fluxo Investidores'!$A:$A, "&lt;="&amp;$N70, 'Fluxo Investidores'!$Z:$Z)+SUMIF('Fluxo Investidores'!$A:$A, "&lt;="&amp;$N70, 'Fluxo Investidores'!$AA:$AA)), 0), IF($N70&lt;=terminoProjeto, -((1+txAdmKinea)^(1/12)-1)*AS69, 0))</f>
        <v>-2922.7686673764747</v>
      </c>
      <c r="AZ70" s="395">
        <f>IF($N70&lt;=baseData, IFERROR(INDEX('Fluxo Bandeira Co'!$W:$W, MATCH($N70, 'Fluxo Bandeira Co'!$A:$A, 0))*Permutas!AT70/(SUMIF('Fluxo Investidores'!$A:$A, "&lt;="&amp;$N70, 'Fluxo Investidores'!$Z:$Z)+SUMIF('Fluxo Investidores'!$A:$A, "&lt;="&amp;$N70, 'Fluxo Investidores'!$AA:$AA)), 0), IF($N70&lt;=terminoProjeto, -((1+txAdmKinea)^(1/12)-1)*AT69, 0))</f>
        <v>-2948.9736635480813</v>
      </c>
      <c r="BA70" s="395">
        <f>IF($N70&lt;=baseData, IFERROR(INDEX('Fluxo Bandeira Co'!$W:$W, MATCH($N70, 'Fluxo Bandeira Co'!$A:$A, 0))*Permutas!AU70/(SUMIF('Fluxo Investidores'!$A:$A, "&lt;="&amp;$N70, 'Fluxo Investidores'!$Z:$Z)+SUMIF('Fluxo Investidores'!$A:$A, "&lt;="&amp;$N70, 'Fluxo Investidores'!$AA:$AA)), 0), IF($N70&lt;=terminoProjeto, -((1+txAdmKinea)^(1/12)-1)*AU69, 0))</f>
        <v>-2863.60270223526</v>
      </c>
      <c r="BB70" s="395">
        <f>IF($N70&lt;=baseData, IFERROR(INDEX('Fluxo Bandeira Co'!$W:$W, MATCH($N70, 'Fluxo Bandeira Co'!$A:$A, 0))*Permutas!AV70/(SUMIF('Fluxo Investidores'!$A:$A, "&lt;="&amp;$N70, 'Fluxo Investidores'!$Z:$Z)+SUMIF('Fluxo Investidores'!$A:$A, "&lt;="&amp;$N70, 'Fluxo Investidores'!$AA:$AA)), 0), IF($N70&lt;=terminoProjeto, -((1+txAdmKinea)^(1/12)-1)*AV69, 0))</f>
        <v>-2817.4054833633354</v>
      </c>
      <c r="BC70" s="396">
        <f>IF($N70&lt;=baseData, IFERROR(INDEX('Fluxo Bandeira Co'!$W:$W, MATCH($N70, 'Fluxo Bandeira Co'!$A:$A, 0))*Permutas!AW70/(SUMIF('Fluxo Investidores'!$A:$A, "&lt;="&amp;$N70, 'Fluxo Investidores'!$Z:$Z)+SUMIF('Fluxo Investidores'!$A:$A, "&lt;="&amp;$N70, 'Fluxo Investidores'!$AA:$AA)), 0), IF($N70&lt;=terminoProjeto, -((1+txAdmKinea)^(1/12)-1)*AW69, 0))</f>
        <v>-3088.358147283765</v>
      </c>
    </row>
    <row r="71" spans="14:55" x14ac:dyDescent="0.25">
      <c r="N71" s="315">
        <f t="shared" si="64"/>
        <v>45323</v>
      </c>
      <c r="O71" s="389">
        <f>IF($N71&lt;=baseData, INDEX(Indicadores!B:B, MATCH($N71,Indicadores!A:A, 0)), INDEX(Indicadores!B:B, MATCH(baseData,Indicadores!A:A, 0)))</f>
        <v>839.38199999999995</v>
      </c>
      <c r="Q71" s="397">
        <f>IF($N71&lt;=baseData, -INDEX('Fluxo Investidores'!$L$2:$X$86, MATCH($N71, 'Fluxo Investidores'!$A$2:$A$86, 0), MATCH(Q$2, 'Fluxo Investidores'!$L$1:$X$1, 0)), 0)</f>
        <v>0</v>
      </c>
      <c r="R71" s="390">
        <f>IF($N71&lt;=baseData, -INDEX('Fluxo Investidores'!$L$2:$X$86, MATCH($N71, 'Fluxo Investidores'!$A$2:$A$86, 0), MATCH(R$2, 'Fluxo Investidores'!$L$1:$X$1, 0)), 0)</f>
        <v>0</v>
      </c>
      <c r="S71" s="390">
        <f>IF($N71&lt;=baseData, -INDEX('Fluxo Investidores'!$L$2:$X$86, MATCH($N71, 'Fluxo Investidores'!$A$2:$A$86, 0), MATCH(S$2, 'Fluxo Investidores'!$L$1:$X$1, 0)), 0)</f>
        <v>0</v>
      </c>
      <c r="T71" s="390">
        <f>IF($N71&lt;=baseData, -INDEX('Fluxo Investidores'!$L$2:$X$86, MATCH($N71, 'Fluxo Investidores'!$A$2:$A$86, 0), MATCH(T$2, 'Fluxo Investidores'!$L$1:$X$1, 0)), 0)</f>
        <v>0</v>
      </c>
      <c r="U71" s="390">
        <f>IF($N71&lt;=baseData, -INDEX('Fluxo Investidores'!$L$2:$X$86, MATCH($N71, 'Fluxo Investidores'!$A$2:$A$86, 0), MATCH(U$2, 'Fluxo Investidores'!$L$1:$X$1, 0)), 0)</f>
        <v>0</v>
      </c>
      <c r="V71" s="393">
        <f t="shared" si="61"/>
        <v>0</v>
      </c>
      <c r="X71" s="394">
        <f t="shared" si="51"/>
        <v>0</v>
      </c>
      <c r="Y71" s="395">
        <f t="shared" si="52"/>
        <v>0</v>
      </c>
      <c r="Z71" s="395">
        <f t="shared" si="53"/>
        <v>0</v>
      </c>
      <c r="AA71" s="395">
        <f t="shared" si="54"/>
        <v>0</v>
      </c>
      <c r="AB71" s="395">
        <f t="shared" si="55"/>
        <v>0</v>
      </c>
      <c r="AC71" s="442">
        <f t="shared" si="62"/>
        <v>0</v>
      </c>
      <c r="AD71" s="86"/>
      <c r="AE71" s="394">
        <f t="shared" si="56"/>
        <v>0</v>
      </c>
      <c r="AF71" s="395">
        <f t="shared" si="57"/>
        <v>0</v>
      </c>
      <c r="AG71" s="395">
        <f t="shared" si="58"/>
        <v>0</v>
      </c>
      <c r="AH71" s="395">
        <f t="shared" si="59"/>
        <v>0</v>
      </c>
      <c r="AI71" s="395">
        <f t="shared" si="60"/>
        <v>0</v>
      </c>
      <c r="AJ71" s="442">
        <f t="shared" si="63"/>
        <v>0</v>
      </c>
      <c r="AM71" s="394">
        <f t="shared" si="46"/>
        <v>-20974.128280025674</v>
      </c>
      <c r="AN71" s="395">
        <f t="shared" si="47"/>
        <v>-20997.070656186785</v>
      </c>
      <c r="AO71" s="395">
        <f t="shared" si="48"/>
        <v>-22657.298083564907</v>
      </c>
      <c r="AP71" s="395">
        <f t="shared" si="49"/>
        <v>-20881.883206401719</v>
      </c>
      <c r="AQ71" s="396">
        <f t="shared" si="50"/>
        <v>-24435.600328633096</v>
      </c>
      <c r="AS71" s="394">
        <f t="shared" si="65"/>
        <v>2434876.479251354</v>
      </c>
      <c r="AT71" s="395">
        <f t="shared" si="66"/>
        <v>2456707.1254907604</v>
      </c>
      <c r="AU71" s="395">
        <f t="shared" si="67"/>
        <v>2385586.9756027944</v>
      </c>
      <c r="AV71" s="395">
        <f t="shared" si="68"/>
        <v>2347101.3701925501</v>
      </c>
      <c r="AW71" s="396">
        <f t="shared" si="69"/>
        <v>2572824.4237253983</v>
      </c>
      <c r="AY71" s="394">
        <f>IF($N71&lt;=baseData, IFERROR(INDEX('Fluxo Bandeira Co'!$W:$W, MATCH($N71, 'Fluxo Bandeira Co'!$A:$A, 0))*Permutas!AS71/(SUMIF('Fluxo Investidores'!$A:$A, "&lt;="&amp;$N71, 'Fluxo Investidores'!$Z:$Z)+SUMIF('Fluxo Investidores'!$A:$A, "&lt;="&amp;$N71, 'Fluxo Investidores'!$AA:$AA)), 0), IF($N71&lt;=terminoProjeto, -((1+txAdmKinea)^(1/12)-1)*AS70, 0))</f>
        <v>-2922.7686673764747</v>
      </c>
      <c r="AZ71" s="395">
        <f>IF($N71&lt;=baseData, IFERROR(INDEX('Fluxo Bandeira Co'!$W:$W, MATCH($N71, 'Fluxo Bandeira Co'!$A:$A, 0))*Permutas!AT71/(SUMIF('Fluxo Investidores'!$A:$A, "&lt;="&amp;$N71, 'Fluxo Investidores'!$Z:$Z)+SUMIF('Fluxo Investidores'!$A:$A, "&lt;="&amp;$N71, 'Fluxo Investidores'!$AA:$AA)), 0), IF($N71&lt;=terminoProjeto, -((1+txAdmKinea)^(1/12)-1)*AT70, 0))</f>
        <v>-2948.9736635480813</v>
      </c>
      <c r="BA71" s="395">
        <f>IF($N71&lt;=baseData, IFERROR(INDEX('Fluxo Bandeira Co'!$W:$W, MATCH($N71, 'Fluxo Bandeira Co'!$A:$A, 0))*Permutas!AU71/(SUMIF('Fluxo Investidores'!$A:$A, "&lt;="&amp;$N71, 'Fluxo Investidores'!$Z:$Z)+SUMIF('Fluxo Investidores'!$A:$A, "&lt;="&amp;$N71, 'Fluxo Investidores'!$AA:$AA)), 0), IF($N71&lt;=terminoProjeto, -((1+txAdmKinea)^(1/12)-1)*AU70, 0))</f>
        <v>-2863.60270223526</v>
      </c>
      <c r="BB71" s="395">
        <f>IF($N71&lt;=baseData, IFERROR(INDEX('Fluxo Bandeira Co'!$W:$W, MATCH($N71, 'Fluxo Bandeira Co'!$A:$A, 0))*Permutas!AV71/(SUMIF('Fluxo Investidores'!$A:$A, "&lt;="&amp;$N71, 'Fluxo Investidores'!$Z:$Z)+SUMIF('Fluxo Investidores'!$A:$A, "&lt;="&amp;$N71, 'Fluxo Investidores'!$AA:$AA)), 0), IF($N71&lt;=terminoProjeto, -((1+txAdmKinea)^(1/12)-1)*AV70, 0))</f>
        <v>-2817.4054833633354</v>
      </c>
      <c r="BC71" s="396">
        <f>IF($N71&lt;=baseData, IFERROR(INDEX('Fluxo Bandeira Co'!$W:$W, MATCH($N71, 'Fluxo Bandeira Co'!$A:$A, 0))*Permutas!AW71/(SUMIF('Fluxo Investidores'!$A:$A, "&lt;="&amp;$N71, 'Fluxo Investidores'!$Z:$Z)+SUMIF('Fluxo Investidores'!$A:$A, "&lt;="&amp;$N71, 'Fluxo Investidores'!$AA:$AA)), 0), IF($N71&lt;=terminoProjeto, -((1+txAdmKinea)^(1/12)-1)*AW70, 0))</f>
        <v>-3088.358147283765</v>
      </c>
    </row>
    <row r="72" spans="14:55" x14ac:dyDescent="0.25">
      <c r="N72" s="315">
        <f t="shared" si="64"/>
        <v>45352</v>
      </c>
      <c r="O72" s="389">
        <f>IF($N72&lt;=baseData, INDEX(Indicadores!B:B, MATCH($N72,Indicadores!A:A, 0)), INDEX(Indicadores!B:B, MATCH(baseData,Indicadores!A:A, 0)))</f>
        <v>839.38199999999995</v>
      </c>
      <c r="Q72" s="397">
        <f>IF($N72&lt;=baseData, -INDEX('Fluxo Investidores'!$L$2:$X$86, MATCH($N72, 'Fluxo Investidores'!$A$2:$A$86, 0), MATCH(Q$2, 'Fluxo Investidores'!$L$1:$X$1, 0)), 0)</f>
        <v>0</v>
      </c>
      <c r="R72" s="390">
        <f>IF($N72&lt;=baseData, -INDEX('Fluxo Investidores'!$L$2:$X$86, MATCH($N72, 'Fluxo Investidores'!$A$2:$A$86, 0), MATCH(R$2, 'Fluxo Investidores'!$L$1:$X$1, 0)), 0)</f>
        <v>0</v>
      </c>
      <c r="S72" s="390">
        <f>IF($N72&lt;=baseData, -INDEX('Fluxo Investidores'!$L$2:$X$86, MATCH($N72, 'Fluxo Investidores'!$A$2:$A$86, 0), MATCH(S$2, 'Fluxo Investidores'!$L$1:$X$1, 0)), 0)</f>
        <v>0</v>
      </c>
      <c r="T72" s="390">
        <f>IF($N72&lt;=baseData, -INDEX('Fluxo Investidores'!$L$2:$X$86, MATCH($N72, 'Fluxo Investidores'!$A$2:$A$86, 0), MATCH(T$2, 'Fluxo Investidores'!$L$1:$X$1, 0)), 0)</f>
        <v>0</v>
      </c>
      <c r="U72" s="390">
        <f>IF($N72&lt;=baseData, -INDEX('Fluxo Investidores'!$L$2:$X$86, MATCH($N72, 'Fluxo Investidores'!$A$2:$A$86, 0), MATCH(U$2, 'Fluxo Investidores'!$L$1:$X$1, 0)), 0)</f>
        <v>0</v>
      </c>
      <c r="V72" s="393">
        <f t="shared" si="61"/>
        <v>0</v>
      </c>
      <c r="X72" s="394">
        <f t="shared" si="51"/>
        <v>0</v>
      </c>
      <c r="Y72" s="395">
        <f t="shared" si="52"/>
        <v>0</v>
      </c>
      <c r="Z72" s="395">
        <f t="shared" si="53"/>
        <v>0</v>
      </c>
      <c r="AA72" s="395">
        <f t="shared" si="54"/>
        <v>0</v>
      </c>
      <c r="AB72" s="395">
        <f t="shared" si="55"/>
        <v>0</v>
      </c>
      <c r="AC72" s="442">
        <f t="shared" si="62"/>
        <v>0</v>
      </c>
      <c r="AD72" s="86"/>
      <c r="AE72" s="394">
        <f t="shared" si="56"/>
        <v>0</v>
      </c>
      <c r="AF72" s="395">
        <f t="shared" si="57"/>
        <v>0</v>
      </c>
      <c r="AG72" s="395">
        <f t="shared" si="58"/>
        <v>0</v>
      </c>
      <c r="AH72" s="395">
        <f t="shared" si="59"/>
        <v>0</v>
      </c>
      <c r="AI72" s="395">
        <f t="shared" si="60"/>
        <v>0</v>
      </c>
      <c r="AJ72" s="442">
        <f t="shared" si="63"/>
        <v>0</v>
      </c>
      <c r="AM72" s="394">
        <f t="shared" si="46"/>
        <v>-20974.128280025674</v>
      </c>
      <c r="AN72" s="395">
        <f t="shared" si="47"/>
        <v>-20997.070656186785</v>
      </c>
      <c r="AO72" s="395">
        <f t="shared" si="48"/>
        <v>-22657.298083564907</v>
      </c>
      <c r="AP72" s="395">
        <f t="shared" si="49"/>
        <v>-20881.883206401719</v>
      </c>
      <c r="AQ72" s="396">
        <f t="shared" si="50"/>
        <v>-24435.600328633096</v>
      </c>
      <c r="AS72" s="394">
        <f t="shared" si="65"/>
        <v>2434876.479251354</v>
      </c>
      <c r="AT72" s="395">
        <f t="shared" si="66"/>
        <v>2456707.1254907604</v>
      </c>
      <c r="AU72" s="395">
        <f t="shared" si="67"/>
        <v>2385586.9756027944</v>
      </c>
      <c r="AV72" s="395">
        <f t="shared" si="68"/>
        <v>2347101.3701925501</v>
      </c>
      <c r="AW72" s="396">
        <f t="shared" si="69"/>
        <v>2572824.4237253983</v>
      </c>
      <c r="AY72" s="394">
        <f>IF($N72&lt;=baseData, IFERROR(INDEX('Fluxo Bandeira Co'!$W:$W, MATCH($N72, 'Fluxo Bandeira Co'!$A:$A, 0))*Permutas!AS72/(SUMIF('Fluxo Investidores'!$A:$A, "&lt;="&amp;$N72, 'Fluxo Investidores'!$Z:$Z)+SUMIF('Fluxo Investidores'!$A:$A, "&lt;="&amp;$N72, 'Fluxo Investidores'!$AA:$AA)), 0), IF($N72&lt;=terminoProjeto, -((1+txAdmKinea)^(1/12)-1)*AS71, 0))</f>
        <v>-2922.7686673764747</v>
      </c>
      <c r="AZ72" s="395">
        <f>IF($N72&lt;=baseData, IFERROR(INDEX('Fluxo Bandeira Co'!$W:$W, MATCH($N72, 'Fluxo Bandeira Co'!$A:$A, 0))*Permutas!AT72/(SUMIF('Fluxo Investidores'!$A:$A, "&lt;="&amp;$N72, 'Fluxo Investidores'!$Z:$Z)+SUMIF('Fluxo Investidores'!$A:$A, "&lt;="&amp;$N72, 'Fluxo Investidores'!$AA:$AA)), 0), IF($N72&lt;=terminoProjeto, -((1+txAdmKinea)^(1/12)-1)*AT71, 0))</f>
        <v>-2948.9736635480813</v>
      </c>
      <c r="BA72" s="395">
        <f>IF($N72&lt;=baseData, IFERROR(INDEX('Fluxo Bandeira Co'!$W:$W, MATCH($N72, 'Fluxo Bandeira Co'!$A:$A, 0))*Permutas!AU72/(SUMIF('Fluxo Investidores'!$A:$A, "&lt;="&amp;$N72, 'Fluxo Investidores'!$Z:$Z)+SUMIF('Fluxo Investidores'!$A:$A, "&lt;="&amp;$N72, 'Fluxo Investidores'!$AA:$AA)), 0), IF($N72&lt;=terminoProjeto, -((1+txAdmKinea)^(1/12)-1)*AU71, 0))</f>
        <v>-2863.60270223526</v>
      </c>
      <c r="BB72" s="395">
        <f>IF($N72&lt;=baseData, IFERROR(INDEX('Fluxo Bandeira Co'!$W:$W, MATCH($N72, 'Fluxo Bandeira Co'!$A:$A, 0))*Permutas!AV72/(SUMIF('Fluxo Investidores'!$A:$A, "&lt;="&amp;$N72, 'Fluxo Investidores'!$Z:$Z)+SUMIF('Fluxo Investidores'!$A:$A, "&lt;="&amp;$N72, 'Fluxo Investidores'!$AA:$AA)), 0), IF($N72&lt;=terminoProjeto, -((1+txAdmKinea)^(1/12)-1)*AV71, 0))</f>
        <v>-2817.4054833633354</v>
      </c>
      <c r="BC72" s="396">
        <f>IF($N72&lt;=baseData, IFERROR(INDEX('Fluxo Bandeira Co'!$W:$W, MATCH($N72, 'Fluxo Bandeira Co'!$A:$A, 0))*Permutas!AW72/(SUMIF('Fluxo Investidores'!$A:$A, "&lt;="&amp;$N72, 'Fluxo Investidores'!$Z:$Z)+SUMIF('Fluxo Investidores'!$A:$A, "&lt;="&amp;$N72, 'Fluxo Investidores'!$AA:$AA)), 0), IF($N72&lt;=terminoProjeto, -((1+txAdmKinea)^(1/12)-1)*AW71, 0))</f>
        <v>-3088.358147283765</v>
      </c>
    </row>
    <row r="73" spans="14:55" x14ac:dyDescent="0.25">
      <c r="N73" s="315">
        <f t="shared" si="64"/>
        <v>45383</v>
      </c>
      <c r="O73" s="389">
        <f>IF($N73&lt;=baseData, INDEX(Indicadores!B:B, MATCH($N73,Indicadores!A:A, 0)), INDEX(Indicadores!B:B, MATCH(baseData,Indicadores!A:A, 0)))</f>
        <v>839.38199999999995</v>
      </c>
      <c r="Q73" s="397">
        <f>IF($N73&lt;=baseData, -INDEX('Fluxo Investidores'!$L$2:$X$86, MATCH($N73, 'Fluxo Investidores'!$A$2:$A$86, 0), MATCH(Q$2, 'Fluxo Investidores'!$L$1:$X$1, 0)), 0)</f>
        <v>0</v>
      </c>
      <c r="R73" s="390">
        <f>IF($N73&lt;=baseData, -INDEX('Fluxo Investidores'!$L$2:$X$86, MATCH($N73, 'Fluxo Investidores'!$A$2:$A$86, 0), MATCH(R$2, 'Fluxo Investidores'!$L$1:$X$1, 0)), 0)</f>
        <v>0</v>
      </c>
      <c r="S73" s="390">
        <f>IF($N73&lt;=baseData, -INDEX('Fluxo Investidores'!$L$2:$X$86, MATCH($N73, 'Fluxo Investidores'!$A$2:$A$86, 0), MATCH(S$2, 'Fluxo Investidores'!$L$1:$X$1, 0)), 0)</f>
        <v>0</v>
      </c>
      <c r="T73" s="390">
        <f>IF($N73&lt;=baseData, -INDEX('Fluxo Investidores'!$L$2:$X$86, MATCH($N73, 'Fluxo Investidores'!$A$2:$A$86, 0), MATCH(T$2, 'Fluxo Investidores'!$L$1:$X$1, 0)), 0)</f>
        <v>0</v>
      </c>
      <c r="U73" s="390">
        <f>IF($N73&lt;=baseData, -INDEX('Fluxo Investidores'!$L$2:$X$86, MATCH($N73, 'Fluxo Investidores'!$A$2:$A$86, 0), MATCH(U$2, 'Fluxo Investidores'!$L$1:$X$1, 0)), 0)</f>
        <v>0</v>
      </c>
      <c r="V73" s="393">
        <f t="shared" si="61"/>
        <v>0</v>
      </c>
      <c r="X73" s="394">
        <f t="shared" si="51"/>
        <v>0</v>
      </c>
      <c r="Y73" s="395">
        <f t="shared" si="52"/>
        <v>0</v>
      </c>
      <c r="Z73" s="395">
        <f t="shared" si="53"/>
        <v>0</v>
      </c>
      <c r="AA73" s="395">
        <f t="shared" si="54"/>
        <v>0</v>
      </c>
      <c r="AB73" s="395">
        <f t="shared" si="55"/>
        <v>0</v>
      </c>
      <c r="AC73" s="442">
        <f t="shared" si="62"/>
        <v>0</v>
      </c>
      <c r="AD73" s="86"/>
      <c r="AE73" s="394">
        <f t="shared" si="56"/>
        <v>0</v>
      </c>
      <c r="AF73" s="395">
        <f t="shared" si="57"/>
        <v>0</v>
      </c>
      <c r="AG73" s="395">
        <f t="shared" si="58"/>
        <v>0</v>
      </c>
      <c r="AH73" s="395">
        <f t="shared" si="59"/>
        <v>0</v>
      </c>
      <c r="AI73" s="395">
        <f t="shared" si="60"/>
        <v>0</v>
      </c>
      <c r="AJ73" s="442">
        <f t="shared" si="63"/>
        <v>0</v>
      </c>
      <c r="AM73" s="394">
        <f t="shared" si="46"/>
        <v>-20974.128280025674</v>
      </c>
      <c r="AN73" s="395">
        <f t="shared" si="47"/>
        <v>-20997.070656186785</v>
      </c>
      <c r="AO73" s="395">
        <f t="shared" si="48"/>
        <v>-22657.298083564907</v>
      </c>
      <c r="AP73" s="395">
        <f t="shared" si="49"/>
        <v>-20881.883206401719</v>
      </c>
      <c r="AQ73" s="396">
        <f t="shared" si="50"/>
        <v>-24435.600328633096</v>
      </c>
      <c r="AS73" s="394">
        <f t="shared" si="65"/>
        <v>2434876.479251354</v>
      </c>
      <c r="AT73" s="395">
        <f t="shared" si="66"/>
        <v>2456707.1254907604</v>
      </c>
      <c r="AU73" s="395">
        <f t="shared" si="67"/>
        <v>2385586.9756027944</v>
      </c>
      <c r="AV73" s="395">
        <f t="shared" si="68"/>
        <v>2347101.3701925501</v>
      </c>
      <c r="AW73" s="396">
        <f t="shared" si="69"/>
        <v>2572824.4237253983</v>
      </c>
      <c r="AY73" s="394">
        <f>IF($N73&lt;=baseData, IFERROR(INDEX('Fluxo Bandeira Co'!$W:$W, MATCH($N73, 'Fluxo Bandeira Co'!$A:$A, 0))*Permutas!AS73/(SUMIF('Fluxo Investidores'!$A:$A, "&lt;="&amp;$N73, 'Fluxo Investidores'!$Z:$Z)+SUMIF('Fluxo Investidores'!$A:$A, "&lt;="&amp;$N73, 'Fluxo Investidores'!$AA:$AA)), 0), IF($N73&lt;=terminoProjeto, -((1+txAdmKinea)^(1/12)-1)*AS72, 0))</f>
        <v>-2922.7686673764747</v>
      </c>
      <c r="AZ73" s="395">
        <f>IF($N73&lt;=baseData, IFERROR(INDEX('Fluxo Bandeira Co'!$W:$W, MATCH($N73, 'Fluxo Bandeira Co'!$A:$A, 0))*Permutas!AT73/(SUMIF('Fluxo Investidores'!$A:$A, "&lt;="&amp;$N73, 'Fluxo Investidores'!$Z:$Z)+SUMIF('Fluxo Investidores'!$A:$A, "&lt;="&amp;$N73, 'Fluxo Investidores'!$AA:$AA)), 0), IF($N73&lt;=terminoProjeto, -((1+txAdmKinea)^(1/12)-1)*AT72, 0))</f>
        <v>-2948.9736635480813</v>
      </c>
      <c r="BA73" s="395">
        <f>IF($N73&lt;=baseData, IFERROR(INDEX('Fluxo Bandeira Co'!$W:$W, MATCH($N73, 'Fluxo Bandeira Co'!$A:$A, 0))*Permutas!AU73/(SUMIF('Fluxo Investidores'!$A:$A, "&lt;="&amp;$N73, 'Fluxo Investidores'!$Z:$Z)+SUMIF('Fluxo Investidores'!$A:$A, "&lt;="&amp;$N73, 'Fluxo Investidores'!$AA:$AA)), 0), IF($N73&lt;=terminoProjeto, -((1+txAdmKinea)^(1/12)-1)*AU72, 0))</f>
        <v>-2863.60270223526</v>
      </c>
      <c r="BB73" s="395">
        <f>IF($N73&lt;=baseData, IFERROR(INDEX('Fluxo Bandeira Co'!$W:$W, MATCH($N73, 'Fluxo Bandeira Co'!$A:$A, 0))*Permutas!AV73/(SUMIF('Fluxo Investidores'!$A:$A, "&lt;="&amp;$N73, 'Fluxo Investidores'!$Z:$Z)+SUMIF('Fluxo Investidores'!$A:$A, "&lt;="&amp;$N73, 'Fluxo Investidores'!$AA:$AA)), 0), IF($N73&lt;=terminoProjeto, -((1+txAdmKinea)^(1/12)-1)*AV72, 0))</f>
        <v>-2817.4054833633354</v>
      </c>
      <c r="BC73" s="396">
        <f>IF($N73&lt;=baseData, IFERROR(INDEX('Fluxo Bandeira Co'!$W:$W, MATCH($N73, 'Fluxo Bandeira Co'!$A:$A, 0))*Permutas!AW73/(SUMIF('Fluxo Investidores'!$A:$A, "&lt;="&amp;$N73, 'Fluxo Investidores'!$Z:$Z)+SUMIF('Fluxo Investidores'!$A:$A, "&lt;="&amp;$N73, 'Fluxo Investidores'!$AA:$AA)), 0), IF($N73&lt;=terminoProjeto, -((1+txAdmKinea)^(1/12)-1)*AW72, 0))</f>
        <v>-3088.358147283765</v>
      </c>
    </row>
    <row r="74" spans="14:55" x14ac:dyDescent="0.25">
      <c r="N74" s="315">
        <f t="shared" si="64"/>
        <v>45413</v>
      </c>
      <c r="O74" s="389">
        <f>IF($N74&lt;=baseData, INDEX(Indicadores!B:B, MATCH($N74,Indicadores!A:A, 0)), INDEX(Indicadores!B:B, MATCH(baseData,Indicadores!A:A, 0)))</f>
        <v>839.38199999999995</v>
      </c>
      <c r="Q74" s="397">
        <f>IF($N74&lt;=baseData, -INDEX('Fluxo Investidores'!$L$2:$X$86, MATCH($N74, 'Fluxo Investidores'!$A$2:$A$86, 0), MATCH(Q$2, 'Fluxo Investidores'!$L$1:$X$1, 0)), 0)</f>
        <v>0</v>
      </c>
      <c r="R74" s="390">
        <f>IF($N74&lt;=baseData, -INDEX('Fluxo Investidores'!$L$2:$X$86, MATCH($N74, 'Fluxo Investidores'!$A$2:$A$86, 0), MATCH(R$2, 'Fluxo Investidores'!$L$1:$X$1, 0)), 0)</f>
        <v>0</v>
      </c>
      <c r="S74" s="390">
        <f>IF($N74&lt;=baseData, -INDEX('Fluxo Investidores'!$L$2:$X$86, MATCH($N74, 'Fluxo Investidores'!$A$2:$A$86, 0), MATCH(S$2, 'Fluxo Investidores'!$L$1:$X$1, 0)), 0)</f>
        <v>0</v>
      </c>
      <c r="T74" s="390">
        <f>IF($N74&lt;=baseData, -INDEX('Fluxo Investidores'!$L$2:$X$86, MATCH($N74, 'Fluxo Investidores'!$A$2:$A$86, 0), MATCH(T$2, 'Fluxo Investidores'!$L$1:$X$1, 0)), 0)</f>
        <v>0</v>
      </c>
      <c r="U74" s="390">
        <f>IF($N74&lt;=baseData, -INDEX('Fluxo Investidores'!$L$2:$X$86, MATCH($N74, 'Fluxo Investidores'!$A$2:$A$86, 0), MATCH(U$2, 'Fluxo Investidores'!$L$1:$X$1, 0)), 0)</f>
        <v>0</v>
      </c>
      <c r="V74" s="393">
        <f t="shared" si="61"/>
        <v>0</v>
      </c>
      <c r="X74" s="394">
        <f t="shared" si="51"/>
        <v>0</v>
      </c>
      <c r="Y74" s="395">
        <f t="shared" si="52"/>
        <v>0</v>
      </c>
      <c r="Z74" s="395">
        <f t="shared" si="53"/>
        <v>0</v>
      </c>
      <c r="AA74" s="395">
        <f t="shared" si="54"/>
        <v>0</v>
      </c>
      <c r="AB74" s="395">
        <f t="shared" si="55"/>
        <v>0</v>
      </c>
      <c r="AC74" s="442">
        <f t="shared" si="62"/>
        <v>0</v>
      </c>
      <c r="AD74" s="86"/>
      <c r="AE74" s="394">
        <f t="shared" si="56"/>
        <v>0</v>
      </c>
      <c r="AF74" s="395">
        <f t="shared" si="57"/>
        <v>0</v>
      </c>
      <c r="AG74" s="395">
        <f t="shared" si="58"/>
        <v>0</v>
      </c>
      <c r="AH74" s="395">
        <f t="shared" si="59"/>
        <v>0</v>
      </c>
      <c r="AI74" s="395">
        <f t="shared" si="60"/>
        <v>0</v>
      </c>
      <c r="AJ74" s="442">
        <f t="shared" si="63"/>
        <v>0</v>
      </c>
      <c r="AM74" s="394">
        <f t="shared" si="46"/>
        <v>-20974.128280025674</v>
      </c>
      <c r="AN74" s="395">
        <f t="shared" si="47"/>
        <v>-20997.070656186785</v>
      </c>
      <c r="AO74" s="395">
        <f t="shared" si="48"/>
        <v>-22657.298083564907</v>
      </c>
      <c r="AP74" s="395">
        <f t="shared" si="49"/>
        <v>-20881.883206401719</v>
      </c>
      <c r="AQ74" s="396">
        <f t="shared" si="50"/>
        <v>-24435.600328633096</v>
      </c>
      <c r="AS74" s="394">
        <f t="shared" si="65"/>
        <v>2434876.479251354</v>
      </c>
      <c r="AT74" s="395">
        <f t="shared" si="66"/>
        <v>2456707.1254907604</v>
      </c>
      <c r="AU74" s="395">
        <f t="shared" si="67"/>
        <v>2385586.9756027944</v>
      </c>
      <c r="AV74" s="395">
        <f t="shared" si="68"/>
        <v>2347101.3701925501</v>
      </c>
      <c r="AW74" s="396">
        <f t="shared" si="69"/>
        <v>2572824.4237253983</v>
      </c>
      <c r="AY74" s="394">
        <f>IF($N74&lt;=baseData, IFERROR(INDEX('Fluxo Bandeira Co'!$W:$W, MATCH($N74, 'Fluxo Bandeira Co'!$A:$A, 0))*Permutas!AS74/(SUMIF('Fluxo Investidores'!$A:$A, "&lt;="&amp;$N74, 'Fluxo Investidores'!$Z:$Z)+SUMIF('Fluxo Investidores'!$A:$A, "&lt;="&amp;$N74, 'Fluxo Investidores'!$AA:$AA)), 0), IF($N74&lt;=terminoProjeto, -((1+txAdmKinea)^(1/12)-1)*AS73, 0))</f>
        <v>0</v>
      </c>
      <c r="AZ74" s="395">
        <f>IF($N74&lt;=baseData, IFERROR(INDEX('Fluxo Bandeira Co'!$W:$W, MATCH($N74, 'Fluxo Bandeira Co'!$A:$A, 0))*Permutas!AT74/(SUMIF('Fluxo Investidores'!$A:$A, "&lt;="&amp;$N74, 'Fluxo Investidores'!$Z:$Z)+SUMIF('Fluxo Investidores'!$A:$A, "&lt;="&amp;$N74, 'Fluxo Investidores'!$AA:$AA)), 0), IF($N74&lt;=terminoProjeto, -((1+txAdmKinea)^(1/12)-1)*AT73, 0))</f>
        <v>0</v>
      </c>
      <c r="BA74" s="395">
        <f>IF($N74&lt;=baseData, IFERROR(INDEX('Fluxo Bandeira Co'!$W:$W, MATCH($N74, 'Fluxo Bandeira Co'!$A:$A, 0))*Permutas!AU74/(SUMIF('Fluxo Investidores'!$A:$A, "&lt;="&amp;$N74, 'Fluxo Investidores'!$Z:$Z)+SUMIF('Fluxo Investidores'!$A:$A, "&lt;="&amp;$N74, 'Fluxo Investidores'!$AA:$AA)), 0), IF($N74&lt;=terminoProjeto, -((1+txAdmKinea)^(1/12)-1)*AU73, 0))</f>
        <v>0</v>
      </c>
      <c r="BB74" s="395">
        <f>IF($N74&lt;=baseData, IFERROR(INDEX('Fluxo Bandeira Co'!$W:$W, MATCH($N74, 'Fluxo Bandeira Co'!$A:$A, 0))*Permutas!AV74/(SUMIF('Fluxo Investidores'!$A:$A, "&lt;="&amp;$N74, 'Fluxo Investidores'!$Z:$Z)+SUMIF('Fluxo Investidores'!$A:$A, "&lt;="&amp;$N74, 'Fluxo Investidores'!$AA:$AA)), 0), IF($N74&lt;=terminoProjeto, -((1+txAdmKinea)^(1/12)-1)*AV73, 0))</f>
        <v>0</v>
      </c>
      <c r="BC74" s="396">
        <f>IF($N74&lt;=baseData, IFERROR(INDEX('Fluxo Bandeira Co'!$W:$W, MATCH($N74, 'Fluxo Bandeira Co'!$A:$A, 0))*Permutas!AW74/(SUMIF('Fluxo Investidores'!$A:$A, "&lt;="&amp;$N74, 'Fluxo Investidores'!$Z:$Z)+SUMIF('Fluxo Investidores'!$A:$A, "&lt;="&amp;$N74, 'Fluxo Investidores'!$AA:$AA)), 0), IF($N74&lt;=terminoProjeto, -((1+txAdmKinea)^(1/12)-1)*AW73, 0))</f>
        <v>0</v>
      </c>
    </row>
    <row r="75" spans="14:55" x14ac:dyDescent="0.25">
      <c r="N75" s="315">
        <f t="shared" si="64"/>
        <v>45444</v>
      </c>
      <c r="O75" s="389">
        <f>IF($N75&lt;=baseData, INDEX(Indicadores!B:B, MATCH($N75,Indicadores!A:A, 0)), INDEX(Indicadores!B:B, MATCH(baseData,Indicadores!A:A, 0)))</f>
        <v>839.38199999999995</v>
      </c>
      <c r="Q75" s="397">
        <f>IF($N75&lt;=baseData, -INDEX('Fluxo Investidores'!$L$2:$X$86, MATCH($N75, 'Fluxo Investidores'!$A$2:$A$86, 0), MATCH(Q$2, 'Fluxo Investidores'!$L$1:$X$1, 0)), 0)</f>
        <v>0</v>
      </c>
      <c r="R75" s="390">
        <f>IF($N75&lt;=baseData, -INDEX('Fluxo Investidores'!$L$2:$X$86, MATCH($N75, 'Fluxo Investidores'!$A$2:$A$86, 0), MATCH(R$2, 'Fluxo Investidores'!$L$1:$X$1, 0)), 0)</f>
        <v>0</v>
      </c>
      <c r="S75" s="390">
        <f>IF($N75&lt;=baseData, -INDEX('Fluxo Investidores'!$L$2:$X$86, MATCH($N75, 'Fluxo Investidores'!$A$2:$A$86, 0), MATCH(S$2, 'Fluxo Investidores'!$L$1:$X$1, 0)), 0)</f>
        <v>0</v>
      </c>
      <c r="T75" s="390">
        <f>IF($N75&lt;=baseData, -INDEX('Fluxo Investidores'!$L$2:$X$86, MATCH($N75, 'Fluxo Investidores'!$A$2:$A$86, 0), MATCH(T$2, 'Fluxo Investidores'!$L$1:$X$1, 0)), 0)</f>
        <v>0</v>
      </c>
      <c r="U75" s="390">
        <f>IF($N75&lt;=baseData, -INDEX('Fluxo Investidores'!$L$2:$X$86, MATCH($N75, 'Fluxo Investidores'!$A$2:$A$86, 0), MATCH(U$2, 'Fluxo Investidores'!$L$1:$X$1, 0)), 0)</f>
        <v>0</v>
      </c>
      <c r="V75" s="393">
        <f t="shared" si="61"/>
        <v>0</v>
      </c>
      <c r="X75" s="394">
        <f t="shared" si="51"/>
        <v>0</v>
      </c>
      <c r="Y75" s="395">
        <f t="shared" si="52"/>
        <v>0</v>
      </c>
      <c r="Z75" s="395">
        <f t="shared" si="53"/>
        <v>0</v>
      </c>
      <c r="AA75" s="395">
        <f t="shared" si="54"/>
        <v>0</v>
      </c>
      <c r="AB75" s="395">
        <f t="shared" si="55"/>
        <v>0</v>
      </c>
      <c r="AC75" s="442">
        <f t="shared" si="62"/>
        <v>0</v>
      </c>
      <c r="AD75" s="86"/>
      <c r="AE75" s="394">
        <f t="shared" si="56"/>
        <v>0</v>
      </c>
      <c r="AF75" s="395">
        <f t="shared" si="57"/>
        <v>0</v>
      </c>
      <c r="AG75" s="395">
        <f t="shared" si="58"/>
        <v>0</v>
      </c>
      <c r="AH75" s="395">
        <f t="shared" si="59"/>
        <v>0</v>
      </c>
      <c r="AI75" s="395">
        <f t="shared" si="60"/>
        <v>0</v>
      </c>
      <c r="AJ75" s="442">
        <f t="shared" si="63"/>
        <v>0</v>
      </c>
      <c r="AM75" s="394">
        <f t="shared" si="46"/>
        <v>-20974.128280025674</v>
      </c>
      <c r="AN75" s="395">
        <f t="shared" si="47"/>
        <v>-20997.070656186785</v>
      </c>
      <c r="AO75" s="395">
        <f t="shared" si="48"/>
        <v>-22657.298083564907</v>
      </c>
      <c r="AP75" s="395">
        <f t="shared" si="49"/>
        <v>-20881.883206401719</v>
      </c>
      <c r="AQ75" s="396">
        <f t="shared" si="50"/>
        <v>-24435.600328633096</v>
      </c>
      <c r="AS75" s="394">
        <f t="shared" si="65"/>
        <v>2434876.479251354</v>
      </c>
      <c r="AT75" s="395">
        <f t="shared" si="66"/>
        <v>2456707.1254907604</v>
      </c>
      <c r="AU75" s="395">
        <f t="shared" si="67"/>
        <v>2385586.9756027944</v>
      </c>
      <c r="AV75" s="395">
        <f t="shared" si="68"/>
        <v>2347101.3701925501</v>
      </c>
      <c r="AW75" s="396">
        <f t="shared" si="69"/>
        <v>2572824.4237253983</v>
      </c>
      <c r="AY75" s="394">
        <f>IF($N75&lt;=baseData, IFERROR(INDEX('Fluxo Bandeira Co'!$W:$W, MATCH($N75, 'Fluxo Bandeira Co'!$A:$A, 0))*Permutas!AS75/(SUMIF('Fluxo Investidores'!$A:$A, "&lt;="&amp;$N75, 'Fluxo Investidores'!$Z:$Z)+SUMIF('Fluxo Investidores'!$A:$A, "&lt;="&amp;$N75, 'Fluxo Investidores'!$AA:$AA)), 0), IF($N75&lt;=terminoProjeto, -((1+txAdmKinea)^(1/12)-1)*AS74, 0))</f>
        <v>0</v>
      </c>
      <c r="AZ75" s="395">
        <f>IF($N75&lt;=baseData, IFERROR(INDEX('Fluxo Bandeira Co'!$W:$W, MATCH($N75, 'Fluxo Bandeira Co'!$A:$A, 0))*Permutas!AT75/(SUMIF('Fluxo Investidores'!$A:$A, "&lt;="&amp;$N75, 'Fluxo Investidores'!$Z:$Z)+SUMIF('Fluxo Investidores'!$A:$A, "&lt;="&amp;$N75, 'Fluxo Investidores'!$AA:$AA)), 0), IF($N75&lt;=terminoProjeto, -((1+txAdmKinea)^(1/12)-1)*AT74, 0))</f>
        <v>0</v>
      </c>
      <c r="BA75" s="395">
        <f>IF($N75&lt;=baseData, IFERROR(INDEX('Fluxo Bandeira Co'!$W:$W, MATCH($N75, 'Fluxo Bandeira Co'!$A:$A, 0))*Permutas!AU75/(SUMIF('Fluxo Investidores'!$A:$A, "&lt;="&amp;$N75, 'Fluxo Investidores'!$Z:$Z)+SUMIF('Fluxo Investidores'!$A:$A, "&lt;="&amp;$N75, 'Fluxo Investidores'!$AA:$AA)), 0), IF($N75&lt;=terminoProjeto, -((1+txAdmKinea)^(1/12)-1)*AU74, 0))</f>
        <v>0</v>
      </c>
      <c r="BB75" s="395">
        <f>IF($N75&lt;=baseData, IFERROR(INDEX('Fluxo Bandeira Co'!$W:$W, MATCH($N75, 'Fluxo Bandeira Co'!$A:$A, 0))*Permutas!AV75/(SUMIF('Fluxo Investidores'!$A:$A, "&lt;="&amp;$N75, 'Fluxo Investidores'!$Z:$Z)+SUMIF('Fluxo Investidores'!$A:$A, "&lt;="&amp;$N75, 'Fluxo Investidores'!$AA:$AA)), 0), IF($N75&lt;=terminoProjeto, -((1+txAdmKinea)^(1/12)-1)*AV74, 0))</f>
        <v>0</v>
      </c>
      <c r="BC75" s="396">
        <f>IF($N75&lt;=baseData, IFERROR(INDEX('Fluxo Bandeira Co'!$W:$W, MATCH($N75, 'Fluxo Bandeira Co'!$A:$A, 0))*Permutas!AW75/(SUMIF('Fluxo Investidores'!$A:$A, "&lt;="&amp;$N75, 'Fluxo Investidores'!$Z:$Z)+SUMIF('Fluxo Investidores'!$A:$A, "&lt;="&amp;$N75, 'Fluxo Investidores'!$AA:$AA)), 0), IF($N75&lt;=terminoProjeto, -((1+txAdmKinea)^(1/12)-1)*AW74, 0))</f>
        <v>0</v>
      </c>
    </row>
    <row r="76" spans="14:55" x14ac:dyDescent="0.25">
      <c r="N76" s="315">
        <f t="shared" si="64"/>
        <v>45474</v>
      </c>
      <c r="O76" s="389">
        <f>IF($N76&lt;=baseData, INDEX(Indicadores!B:B, MATCH($N76,Indicadores!A:A, 0)), INDEX(Indicadores!B:B, MATCH(baseData,Indicadores!A:A, 0)))</f>
        <v>839.38199999999995</v>
      </c>
      <c r="Q76" s="397">
        <f>IF($N76&lt;=baseData, -INDEX('Fluxo Investidores'!$L$2:$X$86, MATCH($N76, 'Fluxo Investidores'!$A$2:$A$86, 0), MATCH(Q$2, 'Fluxo Investidores'!$L$1:$X$1, 0)), 0)</f>
        <v>0</v>
      </c>
      <c r="R76" s="390">
        <f>IF($N76&lt;=baseData, -INDEX('Fluxo Investidores'!$L$2:$X$86, MATCH($N76, 'Fluxo Investidores'!$A$2:$A$86, 0), MATCH(R$2, 'Fluxo Investidores'!$L$1:$X$1, 0)), 0)</f>
        <v>0</v>
      </c>
      <c r="S76" s="390">
        <f>IF($N76&lt;=baseData, -INDEX('Fluxo Investidores'!$L$2:$X$86, MATCH($N76, 'Fluxo Investidores'!$A$2:$A$86, 0), MATCH(S$2, 'Fluxo Investidores'!$L$1:$X$1, 0)), 0)</f>
        <v>0</v>
      </c>
      <c r="T76" s="390">
        <f>IF($N76&lt;=baseData, -INDEX('Fluxo Investidores'!$L$2:$X$86, MATCH($N76, 'Fluxo Investidores'!$A$2:$A$86, 0), MATCH(T$2, 'Fluxo Investidores'!$L$1:$X$1, 0)), 0)</f>
        <v>0</v>
      </c>
      <c r="U76" s="390">
        <f>IF($N76&lt;=baseData, -INDEX('Fluxo Investidores'!$L$2:$X$86, MATCH($N76, 'Fluxo Investidores'!$A$2:$A$86, 0), MATCH(U$2, 'Fluxo Investidores'!$L$1:$X$1, 0)), 0)</f>
        <v>0</v>
      </c>
      <c r="V76" s="393">
        <f t="shared" si="61"/>
        <v>0</v>
      </c>
      <c r="X76" s="394">
        <f t="shared" si="51"/>
        <v>0</v>
      </c>
      <c r="Y76" s="395">
        <f t="shared" si="52"/>
        <v>0</v>
      </c>
      <c r="Z76" s="395">
        <f t="shared" si="53"/>
        <v>0</v>
      </c>
      <c r="AA76" s="395">
        <f t="shared" si="54"/>
        <v>0</v>
      </c>
      <c r="AB76" s="395">
        <f t="shared" si="55"/>
        <v>0</v>
      </c>
      <c r="AC76" s="442">
        <f t="shared" si="62"/>
        <v>0</v>
      </c>
      <c r="AD76" s="86"/>
      <c r="AE76" s="394">
        <f t="shared" si="56"/>
        <v>0</v>
      </c>
      <c r="AF76" s="395">
        <f t="shared" si="57"/>
        <v>0</v>
      </c>
      <c r="AG76" s="395">
        <f t="shared" si="58"/>
        <v>0</v>
      </c>
      <c r="AH76" s="395">
        <f t="shared" si="59"/>
        <v>0</v>
      </c>
      <c r="AI76" s="395">
        <f t="shared" si="60"/>
        <v>0</v>
      </c>
      <c r="AJ76" s="442">
        <f t="shared" si="63"/>
        <v>0</v>
      </c>
      <c r="AM76" s="394">
        <f t="shared" si="46"/>
        <v>-20974.128280025674</v>
      </c>
      <c r="AN76" s="395">
        <f t="shared" si="47"/>
        <v>-20997.070656186785</v>
      </c>
      <c r="AO76" s="395">
        <f t="shared" si="48"/>
        <v>-22657.298083564907</v>
      </c>
      <c r="AP76" s="395">
        <f t="shared" si="49"/>
        <v>-20881.883206401719</v>
      </c>
      <c r="AQ76" s="396">
        <f t="shared" si="50"/>
        <v>-24435.600328633096</v>
      </c>
      <c r="AS76" s="394">
        <f t="shared" si="65"/>
        <v>2434876.479251354</v>
      </c>
      <c r="AT76" s="395">
        <f t="shared" si="66"/>
        <v>2456707.1254907604</v>
      </c>
      <c r="AU76" s="395">
        <f t="shared" si="67"/>
        <v>2385586.9756027944</v>
      </c>
      <c r="AV76" s="395">
        <f t="shared" si="68"/>
        <v>2347101.3701925501</v>
      </c>
      <c r="AW76" s="396">
        <f t="shared" si="69"/>
        <v>2572824.4237253983</v>
      </c>
      <c r="AY76" s="394">
        <f>IF($N76&lt;=baseData, IFERROR(INDEX('Fluxo Bandeira Co'!$W:$W, MATCH($N76, 'Fluxo Bandeira Co'!$A:$A, 0))*Permutas!AS76/(SUMIF('Fluxo Investidores'!$A:$A, "&lt;="&amp;$N76, 'Fluxo Investidores'!$Z:$Z)+SUMIF('Fluxo Investidores'!$A:$A, "&lt;="&amp;$N76, 'Fluxo Investidores'!$AA:$AA)), 0), IF($N76&lt;=terminoProjeto, -((1+txAdmKinea)^(1/12)-1)*AS75, 0))</f>
        <v>0</v>
      </c>
      <c r="AZ76" s="395">
        <f>IF($N76&lt;=baseData, IFERROR(INDEX('Fluxo Bandeira Co'!$W:$W, MATCH($N76, 'Fluxo Bandeira Co'!$A:$A, 0))*Permutas!AT76/(SUMIF('Fluxo Investidores'!$A:$A, "&lt;="&amp;$N76, 'Fluxo Investidores'!$Z:$Z)+SUMIF('Fluxo Investidores'!$A:$A, "&lt;="&amp;$N76, 'Fluxo Investidores'!$AA:$AA)), 0), IF($N76&lt;=terminoProjeto, -((1+txAdmKinea)^(1/12)-1)*AT75, 0))</f>
        <v>0</v>
      </c>
      <c r="BA76" s="395">
        <f>IF($N76&lt;=baseData, IFERROR(INDEX('Fluxo Bandeira Co'!$W:$W, MATCH($N76, 'Fluxo Bandeira Co'!$A:$A, 0))*Permutas!AU76/(SUMIF('Fluxo Investidores'!$A:$A, "&lt;="&amp;$N76, 'Fluxo Investidores'!$Z:$Z)+SUMIF('Fluxo Investidores'!$A:$A, "&lt;="&amp;$N76, 'Fluxo Investidores'!$AA:$AA)), 0), IF($N76&lt;=terminoProjeto, -((1+txAdmKinea)^(1/12)-1)*AU75, 0))</f>
        <v>0</v>
      </c>
      <c r="BB76" s="395">
        <f>IF($N76&lt;=baseData, IFERROR(INDEX('Fluxo Bandeira Co'!$W:$W, MATCH($N76, 'Fluxo Bandeira Co'!$A:$A, 0))*Permutas!AV76/(SUMIF('Fluxo Investidores'!$A:$A, "&lt;="&amp;$N76, 'Fluxo Investidores'!$Z:$Z)+SUMIF('Fluxo Investidores'!$A:$A, "&lt;="&amp;$N76, 'Fluxo Investidores'!$AA:$AA)), 0), IF($N76&lt;=terminoProjeto, -((1+txAdmKinea)^(1/12)-1)*AV75, 0))</f>
        <v>0</v>
      </c>
      <c r="BC76" s="396">
        <f>IF($N76&lt;=baseData, IFERROR(INDEX('Fluxo Bandeira Co'!$W:$W, MATCH($N76, 'Fluxo Bandeira Co'!$A:$A, 0))*Permutas!AW76/(SUMIF('Fluxo Investidores'!$A:$A, "&lt;="&amp;$N76, 'Fluxo Investidores'!$Z:$Z)+SUMIF('Fluxo Investidores'!$A:$A, "&lt;="&amp;$N76, 'Fluxo Investidores'!$AA:$AA)), 0), IF($N76&lt;=terminoProjeto, -((1+txAdmKinea)^(1/12)-1)*AW75, 0))</f>
        <v>0</v>
      </c>
    </row>
    <row r="77" spans="14:55" x14ac:dyDescent="0.25">
      <c r="N77" s="315">
        <f t="shared" si="64"/>
        <v>45505</v>
      </c>
      <c r="O77" s="389">
        <f>IF($N77&lt;=baseData, INDEX(Indicadores!B:B, MATCH($N77,Indicadores!A:A, 0)), INDEX(Indicadores!B:B, MATCH(baseData,Indicadores!A:A, 0)))</f>
        <v>839.38199999999995</v>
      </c>
      <c r="Q77" s="397">
        <f>IF($N77&lt;=baseData, -INDEX('Fluxo Investidores'!$L$2:$X$86, MATCH($N77, 'Fluxo Investidores'!$A$2:$A$86, 0), MATCH(Q$2, 'Fluxo Investidores'!$L$1:$X$1, 0)), 0)</f>
        <v>0</v>
      </c>
      <c r="R77" s="390">
        <f>IF($N77&lt;=baseData, -INDEX('Fluxo Investidores'!$L$2:$X$86, MATCH($N77, 'Fluxo Investidores'!$A$2:$A$86, 0), MATCH(R$2, 'Fluxo Investidores'!$L$1:$X$1, 0)), 0)</f>
        <v>0</v>
      </c>
      <c r="S77" s="390">
        <f>IF($N77&lt;=baseData, -INDEX('Fluxo Investidores'!$L$2:$X$86, MATCH($N77, 'Fluxo Investidores'!$A$2:$A$86, 0), MATCH(S$2, 'Fluxo Investidores'!$L$1:$X$1, 0)), 0)</f>
        <v>0</v>
      </c>
      <c r="T77" s="390">
        <f>IF($N77&lt;=baseData, -INDEX('Fluxo Investidores'!$L$2:$X$86, MATCH($N77, 'Fluxo Investidores'!$A$2:$A$86, 0), MATCH(T$2, 'Fluxo Investidores'!$L$1:$X$1, 0)), 0)</f>
        <v>0</v>
      </c>
      <c r="U77" s="390">
        <f>IF($N77&lt;=baseData, -INDEX('Fluxo Investidores'!$L$2:$X$86, MATCH($N77, 'Fluxo Investidores'!$A$2:$A$86, 0), MATCH(U$2, 'Fluxo Investidores'!$L$1:$X$1, 0)), 0)</f>
        <v>0</v>
      </c>
      <c r="V77" s="393">
        <f t="shared" si="61"/>
        <v>0</v>
      </c>
      <c r="X77" s="394">
        <f t="shared" si="51"/>
        <v>0</v>
      </c>
      <c r="Y77" s="395">
        <f t="shared" si="52"/>
        <v>0</v>
      </c>
      <c r="Z77" s="395">
        <f t="shared" si="53"/>
        <v>0</v>
      </c>
      <c r="AA77" s="395">
        <f t="shared" si="54"/>
        <v>0</v>
      </c>
      <c r="AB77" s="395">
        <f t="shared" si="55"/>
        <v>0</v>
      </c>
      <c r="AC77" s="442">
        <f t="shared" si="62"/>
        <v>0</v>
      </c>
      <c r="AD77" s="86"/>
      <c r="AE77" s="394">
        <f t="shared" si="56"/>
        <v>0</v>
      </c>
      <c r="AF77" s="395">
        <f t="shared" si="57"/>
        <v>0</v>
      </c>
      <c r="AG77" s="395">
        <f t="shared" si="58"/>
        <v>0</v>
      </c>
      <c r="AH77" s="395">
        <f t="shared" si="59"/>
        <v>0</v>
      </c>
      <c r="AI77" s="395">
        <f t="shared" si="60"/>
        <v>0</v>
      </c>
      <c r="AJ77" s="442">
        <f t="shared" si="63"/>
        <v>0</v>
      </c>
      <c r="AM77" s="394">
        <f t="shared" si="46"/>
        <v>-20974.128280025674</v>
      </c>
      <c r="AN77" s="395">
        <f t="shared" si="47"/>
        <v>-20997.070656186785</v>
      </c>
      <c r="AO77" s="395">
        <f t="shared" si="48"/>
        <v>-22657.298083564907</v>
      </c>
      <c r="AP77" s="395">
        <f t="shared" si="49"/>
        <v>-20881.883206401719</v>
      </c>
      <c r="AQ77" s="396">
        <f t="shared" si="50"/>
        <v>-24435.600328633096</v>
      </c>
      <c r="AS77" s="394">
        <f t="shared" si="65"/>
        <v>2434876.479251354</v>
      </c>
      <c r="AT77" s="395">
        <f t="shared" si="66"/>
        <v>2456707.1254907604</v>
      </c>
      <c r="AU77" s="395">
        <f t="shared" si="67"/>
        <v>2385586.9756027944</v>
      </c>
      <c r="AV77" s="395">
        <f t="shared" si="68"/>
        <v>2347101.3701925501</v>
      </c>
      <c r="AW77" s="396">
        <f t="shared" si="69"/>
        <v>2572824.4237253983</v>
      </c>
      <c r="AY77" s="394">
        <f>IF($N77&lt;=baseData, IFERROR(INDEX('Fluxo Bandeira Co'!$W:$W, MATCH($N77, 'Fluxo Bandeira Co'!$A:$A, 0))*Permutas!AS77/(SUMIF('Fluxo Investidores'!$A:$A, "&lt;="&amp;$N77, 'Fluxo Investidores'!$Z:$Z)+SUMIF('Fluxo Investidores'!$A:$A, "&lt;="&amp;$N77, 'Fluxo Investidores'!$AA:$AA)), 0), IF($N77&lt;=terminoProjeto, -((1+txAdmKinea)^(1/12)-1)*AS76, 0))</f>
        <v>0</v>
      </c>
      <c r="AZ77" s="395">
        <f>IF($N77&lt;=baseData, IFERROR(INDEX('Fluxo Bandeira Co'!$W:$W, MATCH($N77, 'Fluxo Bandeira Co'!$A:$A, 0))*Permutas!AT77/(SUMIF('Fluxo Investidores'!$A:$A, "&lt;="&amp;$N77, 'Fluxo Investidores'!$Z:$Z)+SUMIF('Fluxo Investidores'!$A:$A, "&lt;="&amp;$N77, 'Fluxo Investidores'!$AA:$AA)), 0), IF($N77&lt;=terminoProjeto, -((1+txAdmKinea)^(1/12)-1)*AT76, 0))</f>
        <v>0</v>
      </c>
      <c r="BA77" s="395">
        <f>IF($N77&lt;=baseData, IFERROR(INDEX('Fluxo Bandeira Co'!$W:$W, MATCH($N77, 'Fluxo Bandeira Co'!$A:$A, 0))*Permutas!AU77/(SUMIF('Fluxo Investidores'!$A:$A, "&lt;="&amp;$N77, 'Fluxo Investidores'!$Z:$Z)+SUMIF('Fluxo Investidores'!$A:$A, "&lt;="&amp;$N77, 'Fluxo Investidores'!$AA:$AA)), 0), IF($N77&lt;=terminoProjeto, -((1+txAdmKinea)^(1/12)-1)*AU76, 0))</f>
        <v>0</v>
      </c>
      <c r="BB77" s="395">
        <f>IF($N77&lt;=baseData, IFERROR(INDEX('Fluxo Bandeira Co'!$W:$W, MATCH($N77, 'Fluxo Bandeira Co'!$A:$A, 0))*Permutas!AV77/(SUMIF('Fluxo Investidores'!$A:$A, "&lt;="&amp;$N77, 'Fluxo Investidores'!$Z:$Z)+SUMIF('Fluxo Investidores'!$A:$A, "&lt;="&amp;$N77, 'Fluxo Investidores'!$AA:$AA)), 0), IF($N77&lt;=terminoProjeto, -((1+txAdmKinea)^(1/12)-1)*AV76, 0))</f>
        <v>0</v>
      </c>
      <c r="BC77" s="396">
        <f>IF($N77&lt;=baseData, IFERROR(INDEX('Fluxo Bandeira Co'!$W:$W, MATCH($N77, 'Fluxo Bandeira Co'!$A:$A, 0))*Permutas!AW77/(SUMIF('Fluxo Investidores'!$A:$A, "&lt;="&amp;$N77, 'Fluxo Investidores'!$Z:$Z)+SUMIF('Fluxo Investidores'!$A:$A, "&lt;="&amp;$N77, 'Fluxo Investidores'!$AA:$AA)), 0), IF($N77&lt;=terminoProjeto, -((1+txAdmKinea)^(1/12)-1)*AW76, 0))</f>
        <v>0</v>
      </c>
    </row>
    <row r="78" spans="14:55" x14ac:dyDescent="0.25">
      <c r="N78" s="315">
        <f t="shared" si="64"/>
        <v>45536</v>
      </c>
      <c r="O78" s="389">
        <f>IF($N78&lt;=baseData, INDEX(Indicadores!B:B, MATCH($N78,Indicadores!A:A, 0)), INDEX(Indicadores!B:B, MATCH(baseData,Indicadores!A:A, 0)))</f>
        <v>839.38199999999995</v>
      </c>
      <c r="Q78" s="397">
        <f>IF($N78&lt;=baseData, -INDEX('Fluxo Investidores'!$L$2:$X$86, MATCH($N78, 'Fluxo Investidores'!$A$2:$A$86, 0), MATCH(Q$2, 'Fluxo Investidores'!$L$1:$X$1, 0)), 0)</f>
        <v>0</v>
      </c>
      <c r="R78" s="390">
        <f>IF($N78&lt;=baseData, -INDEX('Fluxo Investidores'!$L$2:$X$86, MATCH($N78, 'Fluxo Investidores'!$A$2:$A$86, 0), MATCH(R$2, 'Fluxo Investidores'!$L$1:$X$1, 0)), 0)</f>
        <v>0</v>
      </c>
      <c r="S78" s="390">
        <f>IF($N78&lt;=baseData, -INDEX('Fluxo Investidores'!$L$2:$X$86, MATCH($N78, 'Fluxo Investidores'!$A$2:$A$86, 0), MATCH(S$2, 'Fluxo Investidores'!$L$1:$X$1, 0)), 0)</f>
        <v>0</v>
      </c>
      <c r="T78" s="390">
        <f>IF($N78&lt;=baseData, -INDEX('Fluxo Investidores'!$L$2:$X$86, MATCH($N78, 'Fluxo Investidores'!$A$2:$A$86, 0), MATCH(T$2, 'Fluxo Investidores'!$L$1:$X$1, 0)), 0)</f>
        <v>0</v>
      </c>
      <c r="U78" s="390">
        <f>IF($N78&lt;=baseData, -INDEX('Fluxo Investidores'!$L$2:$X$86, MATCH($N78, 'Fluxo Investidores'!$A$2:$A$86, 0), MATCH(U$2, 'Fluxo Investidores'!$L$1:$X$1, 0)), 0)</f>
        <v>0</v>
      </c>
      <c r="V78" s="393">
        <f t="shared" si="61"/>
        <v>0</v>
      </c>
      <c r="X78" s="394">
        <f t="shared" si="51"/>
        <v>0</v>
      </c>
      <c r="Y78" s="395">
        <f t="shared" si="52"/>
        <v>0</v>
      </c>
      <c r="Z78" s="395">
        <f t="shared" si="53"/>
        <v>0</v>
      </c>
      <c r="AA78" s="395">
        <f t="shared" si="54"/>
        <v>0</v>
      </c>
      <c r="AB78" s="395">
        <f t="shared" si="55"/>
        <v>0</v>
      </c>
      <c r="AC78" s="442">
        <f t="shared" si="62"/>
        <v>0</v>
      </c>
      <c r="AD78" s="86"/>
      <c r="AE78" s="394">
        <f t="shared" si="56"/>
        <v>0</v>
      </c>
      <c r="AF78" s="395">
        <f t="shared" si="57"/>
        <v>0</v>
      </c>
      <c r="AG78" s="395">
        <f t="shared" si="58"/>
        <v>0</v>
      </c>
      <c r="AH78" s="395">
        <f t="shared" si="59"/>
        <v>0</v>
      </c>
      <c r="AI78" s="395">
        <f t="shared" si="60"/>
        <v>0</v>
      </c>
      <c r="AJ78" s="442">
        <f t="shared" si="63"/>
        <v>0</v>
      </c>
      <c r="AM78" s="394">
        <f t="shared" si="46"/>
        <v>-20974.128280025674</v>
      </c>
      <c r="AN78" s="395">
        <f t="shared" si="47"/>
        <v>-20997.070656186785</v>
      </c>
      <c r="AO78" s="395">
        <f t="shared" si="48"/>
        <v>-22657.298083564907</v>
      </c>
      <c r="AP78" s="395">
        <f t="shared" si="49"/>
        <v>-20881.883206401719</v>
      </c>
      <c r="AQ78" s="396">
        <f t="shared" si="50"/>
        <v>-24435.600328633096</v>
      </c>
      <c r="AS78" s="394">
        <f t="shared" si="65"/>
        <v>2434876.479251354</v>
      </c>
      <c r="AT78" s="395">
        <f t="shared" si="66"/>
        <v>2456707.1254907604</v>
      </c>
      <c r="AU78" s="395">
        <f t="shared" si="67"/>
        <v>2385586.9756027944</v>
      </c>
      <c r="AV78" s="395">
        <f t="shared" si="68"/>
        <v>2347101.3701925501</v>
      </c>
      <c r="AW78" s="396">
        <f t="shared" si="69"/>
        <v>2572824.4237253983</v>
      </c>
      <c r="AY78" s="394">
        <f>IF($N78&lt;=baseData, IFERROR(INDEX('Fluxo Bandeira Co'!$W:$W, MATCH($N78, 'Fluxo Bandeira Co'!$A:$A, 0))*Permutas!AS78/(SUMIF('Fluxo Investidores'!$A:$A, "&lt;="&amp;$N78, 'Fluxo Investidores'!$Z:$Z)+SUMIF('Fluxo Investidores'!$A:$A, "&lt;="&amp;$N78, 'Fluxo Investidores'!$AA:$AA)), 0), IF($N78&lt;=terminoProjeto, -((1+txAdmKinea)^(1/12)-1)*AS77, 0))</f>
        <v>0</v>
      </c>
      <c r="AZ78" s="395">
        <f>IF($N78&lt;=baseData, IFERROR(INDEX('Fluxo Bandeira Co'!$W:$W, MATCH($N78, 'Fluxo Bandeira Co'!$A:$A, 0))*Permutas!AT78/(SUMIF('Fluxo Investidores'!$A:$A, "&lt;="&amp;$N78, 'Fluxo Investidores'!$Z:$Z)+SUMIF('Fluxo Investidores'!$A:$A, "&lt;="&amp;$N78, 'Fluxo Investidores'!$AA:$AA)), 0), IF($N78&lt;=terminoProjeto, -((1+txAdmKinea)^(1/12)-1)*AT77, 0))</f>
        <v>0</v>
      </c>
      <c r="BA78" s="395">
        <f>IF($N78&lt;=baseData, IFERROR(INDEX('Fluxo Bandeira Co'!$W:$W, MATCH($N78, 'Fluxo Bandeira Co'!$A:$A, 0))*Permutas!AU78/(SUMIF('Fluxo Investidores'!$A:$A, "&lt;="&amp;$N78, 'Fluxo Investidores'!$Z:$Z)+SUMIF('Fluxo Investidores'!$A:$A, "&lt;="&amp;$N78, 'Fluxo Investidores'!$AA:$AA)), 0), IF($N78&lt;=terminoProjeto, -((1+txAdmKinea)^(1/12)-1)*AU77, 0))</f>
        <v>0</v>
      </c>
      <c r="BB78" s="395">
        <f>IF($N78&lt;=baseData, IFERROR(INDEX('Fluxo Bandeira Co'!$W:$W, MATCH($N78, 'Fluxo Bandeira Co'!$A:$A, 0))*Permutas!AV78/(SUMIF('Fluxo Investidores'!$A:$A, "&lt;="&amp;$N78, 'Fluxo Investidores'!$Z:$Z)+SUMIF('Fluxo Investidores'!$A:$A, "&lt;="&amp;$N78, 'Fluxo Investidores'!$AA:$AA)), 0), IF($N78&lt;=terminoProjeto, -((1+txAdmKinea)^(1/12)-1)*AV77, 0))</f>
        <v>0</v>
      </c>
      <c r="BC78" s="396">
        <f>IF($N78&lt;=baseData, IFERROR(INDEX('Fluxo Bandeira Co'!$W:$W, MATCH($N78, 'Fluxo Bandeira Co'!$A:$A, 0))*Permutas!AW78/(SUMIF('Fluxo Investidores'!$A:$A, "&lt;="&amp;$N78, 'Fluxo Investidores'!$Z:$Z)+SUMIF('Fluxo Investidores'!$A:$A, "&lt;="&amp;$N78, 'Fluxo Investidores'!$AA:$AA)), 0), IF($N78&lt;=terminoProjeto, -((1+txAdmKinea)^(1/12)-1)*AW77, 0))</f>
        <v>0</v>
      </c>
    </row>
    <row r="79" spans="14:55" x14ac:dyDescent="0.25">
      <c r="N79" s="315">
        <f t="shared" si="64"/>
        <v>45566</v>
      </c>
      <c r="O79" s="389">
        <f>IF($N79&lt;=baseData, INDEX(Indicadores!B:B, MATCH($N79,Indicadores!A:A, 0)), INDEX(Indicadores!B:B, MATCH(baseData,Indicadores!A:A, 0)))</f>
        <v>839.38199999999995</v>
      </c>
      <c r="Q79" s="397">
        <f>IF($N79&lt;=baseData, -INDEX('Fluxo Investidores'!$L$2:$X$86, MATCH($N79, 'Fluxo Investidores'!$A$2:$A$86, 0), MATCH(Q$2, 'Fluxo Investidores'!$L$1:$X$1, 0)), 0)</f>
        <v>0</v>
      </c>
      <c r="R79" s="390">
        <f>IF($N79&lt;=baseData, -INDEX('Fluxo Investidores'!$L$2:$X$86, MATCH($N79, 'Fluxo Investidores'!$A$2:$A$86, 0), MATCH(R$2, 'Fluxo Investidores'!$L$1:$X$1, 0)), 0)</f>
        <v>0</v>
      </c>
      <c r="S79" s="390">
        <f>IF($N79&lt;=baseData, -INDEX('Fluxo Investidores'!$L$2:$X$86, MATCH($N79, 'Fluxo Investidores'!$A$2:$A$86, 0), MATCH(S$2, 'Fluxo Investidores'!$L$1:$X$1, 0)), 0)</f>
        <v>0</v>
      </c>
      <c r="T79" s="390">
        <f>IF($N79&lt;=baseData, -INDEX('Fluxo Investidores'!$L$2:$X$86, MATCH($N79, 'Fluxo Investidores'!$A$2:$A$86, 0), MATCH(T$2, 'Fluxo Investidores'!$L$1:$X$1, 0)), 0)</f>
        <v>0</v>
      </c>
      <c r="U79" s="390">
        <f>IF($N79&lt;=baseData, -INDEX('Fluxo Investidores'!$L$2:$X$86, MATCH($N79, 'Fluxo Investidores'!$A$2:$A$86, 0), MATCH(U$2, 'Fluxo Investidores'!$L$1:$X$1, 0)), 0)</f>
        <v>0</v>
      </c>
      <c r="V79" s="393">
        <f t="shared" si="61"/>
        <v>0</v>
      </c>
      <c r="X79" s="394">
        <f t="shared" si="51"/>
        <v>0</v>
      </c>
      <c r="Y79" s="395">
        <f t="shared" si="52"/>
        <v>0</v>
      </c>
      <c r="Z79" s="395">
        <f t="shared" si="53"/>
        <v>0</v>
      </c>
      <c r="AA79" s="395">
        <f t="shared" si="54"/>
        <v>0</v>
      </c>
      <c r="AB79" s="395">
        <f t="shared" si="55"/>
        <v>0</v>
      </c>
      <c r="AC79" s="442">
        <f t="shared" si="62"/>
        <v>0</v>
      </c>
      <c r="AD79" s="86"/>
      <c r="AE79" s="394">
        <f t="shared" si="56"/>
        <v>0</v>
      </c>
      <c r="AF79" s="395">
        <f t="shared" si="57"/>
        <v>0</v>
      </c>
      <c r="AG79" s="395">
        <f t="shared" si="58"/>
        <v>0</v>
      </c>
      <c r="AH79" s="395">
        <f t="shared" si="59"/>
        <v>0</v>
      </c>
      <c r="AI79" s="395">
        <f t="shared" si="60"/>
        <v>0</v>
      </c>
      <c r="AJ79" s="442">
        <f t="shared" si="63"/>
        <v>0</v>
      </c>
      <c r="AM79" s="394">
        <f t="shared" si="46"/>
        <v>-20974.128280025674</v>
      </c>
      <c r="AN79" s="395">
        <f t="shared" si="47"/>
        <v>-20997.070656186785</v>
      </c>
      <c r="AO79" s="395">
        <f t="shared" si="48"/>
        <v>-22657.298083564907</v>
      </c>
      <c r="AP79" s="395">
        <f t="shared" si="49"/>
        <v>-20881.883206401719</v>
      </c>
      <c r="AQ79" s="396">
        <f t="shared" si="50"/>
        <v>-24435.600328633096</v>
      </c>
      <c r="AS79" s="394">
        <f t="shared" si="65"/>
        <v>2434876.479251354</v>
      </c>
      <c r="AT79" s="395">
        <f t="shared" si="66"/>
        <v>2456707.1254907604</v>
      </c>
      <c r="AU79" s="395">
        <f t="shared" si="67"/>
        <v>2385586.9756027944</v>
      </c>
      <c r="AV79" s="395">
        <f t="shared" si="68"/>
        <v>2347101.3701925501</v>
      </c>
      <c r="AW79" s="396">
        <f t="shared" si="69"/>
        <v>2572824.4237253983</v>
      </c>
      <c r="AY79" s="394">
        <f>IF($N79&lt;=baseData, IFERROR(INDEX('Fluxo Bandeira Co'!$W:$W, MATCH($N79, 'Fluxo Bandeira Co'!$A:$A, 0))*Permutas!AS79/(SUMIF('Fluxo Investidores'!$A:$A, "&lt;="&amp;$N79, 'Fluxo Investidores'!$Z:$Z)+SUMIF('Fluxo Investidores'!$A:$A, "&lt;="&amp;$N79, 'Fluxo Investidores'!$AA:$AA)), 0), IF($N79&lt;=terminoProjeto, -((1+txAdmKinea)^(1/12)-1)*AS78, 0))</f>
        <v>0</v>
      </c>
      <c r="AZ79" s="395">
        <f>IF($N79&lt;=baseData, IFERROR(INDEX('Fluxo Bandeira Co'!$W:$W, MATCH($N79, 'Fluxo Bandeira Co'!$A:$A, 0))*Permutas!AT79/(SUMIF('Fluxo Investidores'!$A:$A, "&lt;="&amp;$N79, 'Fluxo Investidores'!$Z:$Z)+SUMIF('Fluxo Investidores'!$A:$A, "&lt;="&amp;$N79, 'Fluxo Investidores'!$AA:$AA)), 0), IF($N79&lt;=terminoProjeto, -((1+txAdmKinea)^(1/12)-1)*AT78, 0))</f>
        <v>0</v>
      </c>
      <c r="BA79" s="395">
        <f>IF($N79&lt;=baseData, IFERROR(INDEX('Fluxo Bandeira Co'!$W:$W, MATCH($N79, 'Fluxo Bandeira Co'!$A:$A, 0))*Permutas!AU79/(SUMIF('Fluxo Investidores'!$A:$A, "&lt;="&amp;$N79, 'Fluxo Investidores'!$Z:$Z)+SUMIF('Fluxo Investidores'!$A:$A, "&lt;="&amp;$N79, 'Fluxo Investidores'!$AA:$AA)), 0), IF($N79&lt;=terminoProjeto, -((1+txAdmKinea)^(1/12)-1)*AU78, 0))</f>
        <v>0</v>
      </c>
      <c r="BB79" s="395">
        <f>IF($N79&lt;=baseData, IFERROR(INDEX('Fluxo Bandeira Co'!$W:$W, MATCH($N79, 'Fluxo Bandeira Co'!$A:$A, 0))*Permutas!AV79/(SUMIF('Fluxo Investidores'!$A:$A, "&lt;="&amp;$N79, 'Fluxo Investidores'!$Z:$Z)+SUMIF('Fluxo Investidores'!$A:$A, "&lt;="&amp;$N79, 'Fluxo Investidores'!$AA:$AA)), 0), IF($N79&lt;=terminoProjeto, -((1+txAdmKinea)^(1/12)-1)*AV78, 0))</f>
        <v>0</v>
      </c>
      <c r="BC79" s="396">
        <f>IF($N79&lt;=baseData, IFERROR(INDEX('Fluxo Bandeira Co'!$W:$W, MATCH($N79, 'Fluxo Bandeira Co'!$A:$A, 0))*Permutas!AW79/(SUMIF('Fluxo Investidores'!$A:$A, "&lt;="&amp;$N79, 'Fluxo Investidores'!$Z:$Z)+SUMIF('Fluxo Investidores'!$A:$A, "&lt;="&amp;$N79, 'Fluxo Investidores'!$AA:$AA)), 0), IF($N79&lt;=terminoProjeto, -((1+txAdmKinea)^(1/12)-1)*AW78, 0))</f>
        <v>0</v>
      </c>
    </row>
    <row r="80" spans="14:55" x14ac:dyDescent="0.25">
      <c r="N80" s="315">
        <f t="shared" si="64"/>
        <v>45597</v>
      </c>
      <c r="O80" s="389">
        <f>IF($N80&lt;=baseData, INDEX(Indicadores!B:B, MATCH($N80,Indicadores!A:A, 0)), INDEX(Indicadores!B:B, MATCH(baseData,Indicadores!A:A, 0)))</f>
        <v>839.38199999999995</v>
      </c>
      <c r="Q80" s="397">
        <f>IF($N80&lt;=baseData, -INDEX('Fluxo Investidores'!$L$2:$X$86, MATCH($N80, 'Fluxo Investidores'!$A$2:$A$86, 0), MATCH(Q$2, 'Fluxo Investidores'!$L$1:$X$1, 0)), 0)</f>
        <v>0</v>
      </c>
      <c r="R80" s="390">
        <f>IF($N80&lt;=baseData, -INDEX('Fluxo Investidores'!$L$2:$X$86, MATCH($N80, 'Fluxo Investidores'!$A$2:$A$86, 0), MATCH(R$2, 'Fluxo Investidores'!$L$1:$X$1, 0)), 0)</f>
        <v>0</v>
      </c>
      <c r="S80" s="390">
        <f>IF($N80&lt;=baseData, -INDEX('Fluxo Investidores'!$L$2:$X$86, MATCH($N80, 'Fluxo Investidores'!$A$2:$A$86, 0), MATCH(S$2, 'Fluxo Investidores'!$L$1:$X$1, 0)), 0)</f>
        <v>0</v>
      </c>
      <c r="T80" s="390">
        <f>IF($N80&lt;=baseData, -INDEX('Fluxo Investidores'!$L$2:$X$86, MATCH($N80, 'Fluxo Investidores'!$A$2:$A$86, 0), MATCH(T$2, 'Fluxo Investidores'!$L$1:$X$1, 0)), 0)</f>
        <v>0</v>
      </c>
      <c r="U80" s="390">
        <f>IF($N80&lt;=baseData, -INDEX('Fluxo Investidores'!$L$2:$X$86, MATCH($N80, 'Fluxo Investidores'!$A$2:$A$86, 0), MATCH(U$2, 'Fluxo Investidores'!$L$1:$X$1, 0)), 0)</f>
        <v>0</v>
      </c>
      <c r="V80" s="393">
        <f t="shared" si="61"/>
        <v>0</v>
      </c>
      <c r="X80" s="394">
        <f t="shared" si="51"/>
        <v>0</v>
      </c>
      <c r="Y80" s="395">
        <f t="shared" si="52"/>
        <v>0</v>
      </c>
      <c r="Z80" s="395">
        <f t="shared" si="53"/>
        <v>0</v>
      </c>
      <c r="AA80" s="395">
        <f t="shared" si="54"/>
        <v>0</v>
      </c>
      <c r="AB80" s="395">
        <f t="shared" si="55"/>
        <v>0</v>
      </c>
      <c r="AC80" s="442">
        <f t="shared" si="62"/>
        <v>0</v>
      </c>
      <c r="AD80" s="86"/>
      <c r="AE80" s="394">
        <f t="shared" si="56"/>
        <v>0</v>
      </c>
      <c r="AF80" s="395">
        <f t="shared" si="57"/>
        <v>0</v>
      </c>
      <c r="AG80" s="395">
        <f t="shared" si="58"/>
        <v>0</v>
      </c>
      <c r="AH80" s="395">
        <f t="shared" si="59"/>
        <v>0</v>
      </c>
      <c r="AI80" s="395">
        <f t="shared" si="60"/>
        <v>0</v>
      </c>
      <c r="AJ80" s="442">
        <f t="shared" si="63"/>
        <v>0</v>
      </c>
      <c r="AM80" s="394">
        <f t="shared" si="46"/>
        <v>-20974.128280025674</v>
      </c>
      <c r="AN80" s="395">
        <f t="shared" si="47"/>
        <v>-20997.070656186785</v>
      </c>
      <c r="AO80" s="395">
        <f t="shared" si="48"/>
        <v>-22657.298083564907</v>
      </c>
      <c r="AP80" s="395">
        <f t="shared" si="49"/>
        <v>-20881.883206401719</v>
      </c>
      <c r="AQ80" s="396">
        <f t="shared" si="50"/>
        <v>-24435.600328633096</v>
      </c>
      <c r="AS80" s="394">
        <f t="shared" si="65"/>
        <v>2434876.479251354</v>
      </c>
      <c r="AT80" s="395">
        <f t="shared" si="66"/>
        <v>2456707.1254907604</v>
      </c>
      <c r="AU80" s="395">
        <f t="shared" si="67"/>
        <v>2385586.9756027944</v>
      </c>
      <c r="AV80" s="395">
        <f t="shared" si="68"/>
        <v>2347101.3701925501</v>
      </c>
      <c r="AW80" s="396">
        <f t="shared" si="69"/>
        <v>2572824.4237253983</v>
      </c>
      <c r="AY80" s="394">
        <f>IF($N80&lt;=baseData, IFERROR(INDEX('Fluxo Bandeira Co'!$W:$W, MATCH($N80, 'Fluxo Bandeira Co'!$A:$A, 0))*Permutas!AS80/(SUMIF('Fluxo Investidores'!$A:$A, "&lt;="&amp;$N80, 'Fluxo Investidores'!$Z:$Z)+SUMIF('Fluxo Investidores'!$A:$A, "&lt;="&amp;$N80, 'Fluxo Investidores'!$AA:$AA)), 0), IF($N80&lt;=terminoProjeto, -((1+txAdmKinea)^(1/12)-1)*AS79, 0))</f>
        <v>0</v>
      </c>
      <c r="AZ80" s="395">
        <f>IF($N80&lt;=baseData, IFERROR(INDEX('Fluxo Bandeira Co'!$W:$W, MATCH($N80, 'Fluxo Bandeira Co'!$A:$A, 0))*Permutas!AT80/(SUMIF('Fluxo Investidores'!$A:$A, "&lt;="&amp;$N80, 'Fluxo Investidores'!$Z:$Z)+SUMIF('Fluxo Investidores'!$A:$A, "&lt;="&amp;$N80, 'Fluxo Investidores'!$AA:$AA)), 0), IF($N80&lt;=terminoProjeto, -((1+txAdmKinea)^(1/12)-1)*AT79, 0))</f>
        <v>0</v>
      </c>
      <c r="BA80" s="395">
        <f>IF($N80&lt;=baseData, IFERROR(INDEX('Fluxo Bandeira Co'!$W:$W, MATCH($N80, 'Fluxo Bandeira Co'!$A:$A, 0))*Permutas!AU80/(SUMIF('Fluxo Investidores'!$A:$A, "&lt;="&amp;$N80, 'Fluxo Investidores'!$Z:$Z)+SUMIF('Fluxo Investidores'!$A:$A, "&lt;="&amp;$N80, 'Fluxo Investidores'!$AA:$AA)), 0), IF($N80&lt;=terminoProjeto, -((1+txAdmKinea)^(1/12)-1)*AU79, 0))</f>
        <v>0</v>
      </c>
      <c r="BB80" s="395">
        <f>IF($N80&lt;=baseData, IFERROR(INDEX('Fluxo Bandeira Co'!$W:$W, MATCH($N80, 'Fluxo Bandeira Co'!$A:$A, 0))*Permutas!AV80/(SUMIF('Fluxo Investidores'!$A:$A, "&lt;="&amp;$N80, 'Fluxo Investidores'!$Z:$Z)+SUMIF('Fluxo Investidores'!$A:$A, "&lt;="&amp;$N80, 'Fluxo Investidores'!$AA:$AA)), 0), IF($N80&lt;=terminoProjeto, -((1+txAdmKinea)^(1/12)-1)*AV79, 0))</f>
        <v>0</v>
      </c>
      <c r="BC80" s="396">
        <f>IF($N80&lt;=baseData, IFERROR(INDEX('Fluxo Bandeira Co'!$W:$W, MATCH($N80, 'Fluxo Bandeira Co'!$A:$A, 0))*Permutas!AW80/(SUMIF('Fluxo Investidores'!$A:$A, "&lt;="&amp;$N80, 'Fluxo Investidores'!$Z:$Z)+SUMIF('Fluxo Investidores'!$A:$A, "&lt;="&amp;$N80, 'Fluxo Investidores'!$AA:$AA)), 0), IF($N80&lt;=terminoProjeto, -((1+txAdmKinea)^(1/12)-1)*AW79, 0))</f>
        <v>0</v>
      </c>
    </row>
    <row r="81" spans="14:55" x14ac:dyDescent="0.25">
      <c r="N81" s="315">
        <f t="shared" si="64"/>
        <v>45627</v>
      </c>
      <c r="O81" s="389">
        <f>IF($N81&lt;=baseData, INDEX(Indicadores!B:B, MATCH($N81,Indicadores!A:A, 0)), INDEX(Indicadores!B:B, MATCH(baseData,Indicadores!A:A, 0)))</f>
        <v>839.38199999999995</v>
      </c>
      <c r="Q81" s="397">
        <f>IF($N81&lt;=baseData, -INDEX('Fluxo Investidores'!$L$2:$X$86, MATCH($N81, 'Fluxo Investidores'!$A$2:$A$86, 0), MATCH(Q$2, 'Fluxo Investidores'!$L$1:$X$1, 0)), 0)</f>
        <v>0</v>
      </c>
      <c r="R81" s="390">
        <f>IF($N81&lt;=baseData, -INDEX('Fluxo Investidores'!$L$2:$X$86, MATCH($N81, 'Fluxo Investidores'!$A$2:$A$86, 0), MATCH(R$2, 'Fluxo Investidores'!$L$1:$X$1, 0)), 0)</f>
        <v>0</v>
      </c>
      <c r="S81" s="390">
        <f>IF($N81&lt;=baseData, -INDEX('Fluxo Investidores'!$L$2:$X$86, MATCH($N81, 'Fluxo Investidores'!$A$2:$A$86, 0), MATCH(S$2, 'Fluxo Investidores'!$L$1:$X$1, 0)), 0)</f>
        <v>0</v>
      </c>
      <c r="T81" s="390">
        <f>IF($N81&lt;=baseData, -INDEX('Fluxo Investidores'!$L$2:$X$86, MATCH($N81, 'Fluxo Investidores'!$A$2:$A$86, 0), MATCH(T$2, 'Fluxo Investidores'!$L$1:$X$1, 0)), 0)</f>
        <v>0</v>
      </c>
      <c r="U81" s="390">
        <f>IF($N81&lt;=baseData, -INDEX('Fluxo Investidores'!$L$2:$X$86, MATCH($N81, 'Fluxo Investidores'!$A$2:$A$86, 0), MATCH(U$2, 'Fluxo Investidores'!$L$1:$X$1, 0)), 0)</f>
        <v>0</v>
      </c>
      <c r="V81" s="393">
        <f t="shared" si="61"/>
        <v>0</v>
      </c>
      <c r="X81" s="394">
        <f t="shared" si="51"/>
        <v>0</v>
      </c>
      <c r="Y81" s="395">
        <f t="shared" si="52"/>
        <v>0</v>
      </c>
      <c r="Z81" s="395">
        <f t="shared" si="53"/>
        <v>0</v>
      </c>
      <c r="AA81" s="395">
        <f t="shared" si="54"/>
        <v>0</v>
      </c>
      <c r="AB81" s="395">
        <f t="shared" si="55"/>
        <v>0</v>
      </c>
      <c r="AC81" s="442">
        <f t="shared" si="62"/>
        <v>0</v>
      </c>
      <c r="AD81" s="86"/>
      <c r="AE81" s="394">
        <f t="shared" si="56"/>
        <v>0</v>
      </c>
      <c r="AF81" s="395">
        <f t="shared" si="57"/>
        <v>0</v>
      </c>
      <c r="AG81" s="395">
        <f t="shared" si="58"/>
        <v>0</v>
      </c>
      <c r="AH81" s="395">
        <f t="shared" si="59"/>
        <v>0</v>
      </c>
      <c r="AI81" s="395">
        <f t="shared" si="60"/>
        <v>0</v>
      </c>
      <c r="AJ81" s="442">
        <f t="shared" si="63"/>
        <v>0</v>
      </c>
      <c r="AM81" s="394">
        <f t="shared" si="46"/>
        <v>-20974.128280025674</v>
      </c>
      <c r="AN81" s="395">
        <f t="shared" si="47"/>
        <v>-20997.070656186785</v>
      </c>
      <c r="AO81" s="395">
        <f t="shared" si="48"/>
        <v>-22657.298083564907</v>
      </c>
      <c r="AP81" s="395">
        <f t="shared" si="49"/>
        <v>-20881.883206401719</v>
      </c>
      <c r="AQ81" s="396">
        <f t="shared" si="50"/>
        <v>-24435.600328633096</v>
      </c>
      <c r="AS81" s="394">
        <f t="shared" si="65"/>
        <v>2434876.479251354</v>
      </c>
      <c r="AT81" s="395">
        <f t="shared" si="66"/>
        <v>2456707.1254907604</v>
      </c>
      <c r="AU81" s="395">
        <f t="shared" si="67"/>
        <v>2385586.9756027944</v>
      </c>
      <c r="AV81" s="395">
        <f t="shared" si="68"/>
        <v>2347101.3701925501</v>
      </c>
      <c r="AW81" s="396">
        <f t="shared" si="69"/>
        <v>2572824.4237253983</v>
      </c>
      <c r="AY81" s="394">
        <f>IF($N81&lt;=baseData, IFERROR(INDEX('Fluxo Bandeira Co'!$W:$W, MATCH($N81, 'Fluxo Bandeira Co'!$A:$A, 0))*Permutas!AS81/(SUMIF('Fluxo Investidores'!$A:$A, "&lt;="&amp;$N81, 'Fluxo Investidores'!$Z:$Z)+SUMIF('Fluxo Investidores'!$A:$A, "&lt;="&amp;$N81, 'Fluxo Investidores'!$AA:$AA)), 0), IF($N81&lt;=terminoProjeto, -((1+txAdmKinea)^(1/12)-1)*AS80, 0))</f>
        <v>0</v>
      </c>
      <c r="AZ81" s="395">
        <f>IF($N81&lt;=baseData, IFERROR(INDEX('Fluxo Bandeira Co'!$W:$W, MATCH($N81, 'Fluxo Bandeira Co'!$A:$A, 0))*Permutas!AT81/(SUMIF('Fluxo Investidores'!$A:$A, "&lt;="&amp;$N81, 'Fluxo Investidores'!$Z:$Z)+SUMIF('Fluxo Investidores'!$A:$A, "&lt;="&amp;$N81, 'Fluxo Investidores'!$AA:$AA)), 0), IF($N81&lt;=terminoProjeto, -((1+txAdmKinea)^(1/12)-1)*AT80, 0))</f>
        <v>0</v>
      </c>
      <c r="BA81" s="395">
        <f>IF($N81&lt;=baseData, IFERROR(INDEX('Fluxo Bandeira Co'!$W:$W, MATCH($N81, 'Fluxo Bandeira Co'!$A:$A, 0))*Permutas!AU81/(SUMIF('Fluxo Investidores'!$A:$A, "&lt;="&amp;$N81, 'Fluxo Investidores'!$Z:$Z)+SUMIF('Fluxo Investidores'!$A:$A, "&lt;="&amp;$N81, 'Fluxo Investidores'!$AA:$AA)), 0), IF($N81&lt;=terminoProjeto, -((1+txAdmKinea)^(1/12)-1)*AU80, 0))</f>
        <v>0</v>
      </c>
      <c r="BB81" s="395">
        <f>IF($N81&lt;=baseData, IFERROR(INDEX('Fluxo Bandeira Co'!$W:$W, MATCH($N81, 'Fluxo Bandeira Co'!$A:$A, 0))*Permutas!AV81/(SUMIF('Fluxo Investidores'!$A:$A, "&lt;="&amp;$N81, 'Fluxo Investidores'!$Z:$Z)+SUMIF('Fluxo Investidores'!$A:$A, "&lt;="&amp;$N81, 'Fluxo Investidores'!$AA:$AA)), 0), IF($N81&lt;=terminoProjeto, -((1+txAdmKinea)^(1/12)-1)*AV80, 0))</f>
        <v>0</v>
      </c>
      <c r="BC81" s="396">
        <f>IF($N81&lt;=baseData, IFERROR(INDEX('Fluxo Bandeira Co'!$W:$W, MATCH($N81, 'Fluxo Bandeira Co'!$A:$A, 0))*Permutas!AW81/(SUMIF('Fluxo Investidores'!$A:$A, "&lt;="&amp;$N81, 'Fluxo Investidores'!$Z:$Z)+SUMIF('Fluxo Investidores'!$A:$A, "&lt;="&amp;$N81, 'Fluxo Investidores'!$AA:$AA)), 0), IF($N81&lt;=terminoProjeto, -((1+txAdmKinea)^(1/12)-1)*AW80, 0))</f>
        <v>0</v>
      </c>
    </row>
    <row r="82" spans="14:55" x14ac:dyDescent="0.25">
      <c r="O82" s="388"/>
    </row>
    <row r="83" spans="14:55" x14ac:dyDescent="0.25">
      <c r="O83" s="388"/>
    </row>
    <row r="84" spans="14:55" x14ac:dyDescent="0.25">
      <c r="O84" s="388"/>
    </row>
    <row r="85" spans="14:55" x14ac:dyDescent="0.25">
      <c r="O85" s="388"/>
    </row>
    <row r="86" spans="14:55" x14ac:dyDescent="0.25">
      <c r="O86" s="388"/>
    </row>
    <row r="103" spans="41:43" x14ac:dyDescent="0.25">
      <c r="AO103" t="s">
        <v>270</v>
      </c>
      <c r="AP103">
        <v>100</v>
      </c>
    </row>
    <row r="104" spans="41:43" x14ac:dyDescent="0.25">
      <c r="AO104" t="s">
        <v>271</v>
      </c>
      <c r="AP104">
        <v>100</v>
      </c>
      <c r="AQ104">
        <v>10</v>
      </c>
    </row>
    <row r="105" spans="41:43" x14ac:dyDescent="0.25">
      <c r="AP105">
        <f>SUM(AP103:AQ104)</f>
        <v>210</v>
      </c>
    </row>
  </sheetData>
  <mergeCells count="3">
    <mergeCell ref="B15:B17"/>
    <mergeCell ref="N1:N2"/>
    <mergeCell ref="O1:O2"/>
  </mergeCells>
  <conditionalFormatting sqref="C13">
    <cfRule type="expression" dxfId="4648" priority="1783">
      <formula>#REF!="TO"</formula>
    </cfRule>
    <cfRule type="expression" dxfId="4647" priority="1784">
      <formula>#REF!="IO"</formula>
    </cfRule>
    <cfRule type="expression" dxfId="4646" priority="1785">
      <formula>#REF!="L"</formula>
    </cfRule>
  </conditionalFormatting>
  <conditionalFormatting sqref="E15:E17 P16:P24 Q13:Q24 R22:U24 V15:V24 W16:W24 Z3:Z24 X15:Z24 AA4:AB24 AC15:AC24 AD16:AD24 AG3:AG24 AE15:AG24 AH4:AI24 AJ15:AJ24 R14:T21 AE33:AJ69 X33:AC69 Q33:V69 N33:N69 N15:N26 P25:AJ26">
    <cfRule type="expression" dxfId="4645" priority="1777">
      <formula>#REF!="TO"</formula>
    </cfRule>
    <cfRule type="expression" dxfId="4644" priority="1778">
      <formula>#REF!="IO"</formula>
    </cfRule>
    <cfRule type="expression" dxfId="4643" priority="1779">
      <formula>#REF!="L"</formula>
    </cfRule>
  </conditionalFormatting>
  <conditionalFormatting sqref="E15:E17">
    <cfRule type="expression" dxfId="4642" priority="1780">
      <formula>#REF!="TO"</formula>
    </cfRule>
    <cfRule type="expression" dxfId="4641" priority="1781">
      <formula>#REF!="IO"</formula>
    </cfRule>
    <cfRule type="expression" dxfId="4640" priority="1782">
      <formula>#REF!="L"</formula>
    </cfRule>
  </conditionalFormatting>
  <conditionalFormatting sqref="N3 N5:N14">
    <cfRule type="expression" dxfId="4639" priority="1765">
      <formula>#REF!="TO"</formula>
    </cfRule>
    <cfRule type="expression" dxfId="4638" priority="1766">
      <formula>#REF!="IO"</formula>
    </cfRule>
    <cfRule type="expression" dxfId="4637" priority="1767">
      <formula>#REF!="L"</formula>
    </cfRule>
  </conditionalFormatting>
  <conditionalFormatting sqref="N4:N15">
    <cfRule type="expression" dxfId="4636" priority="1759">
      <formula>#REF!="TO"</formula>
    </cfRule>
    <cfRule type="expression" dxfId="4635" priority="1760">
      <formula>#REF!="IO"</formula>
    </cfRule>
    <cfRule type="expression" dxfId="4634" priority="1761">
      <formula>#REF!="L"</formula>
    </cfRule>
  </conditionalFormatting>
  <conditionalFormatting sqref="P18:P20">
    <cfRule type="expression" dxfId="4633" priority="1753">
      <formula>#REF!="TO"</formula>
    </cfRule>
    <cfRule type="expression" dxfId="4632" priority="1754">
      <formula>#REF!="IO"</formula>
    </cfRule>
    <cfRule type="expression" dxfId="4631" priority="1755">
      <formula>#REF!="L"</formula>
    </cfRule>
  </conditionalFormatting>
  <conditionalFormatting sqref="P13:P15">
    <cfRule type="expression" dxfId="4630" priority="1744">
      <formula>#REF!="TO"</formula>
    </cfRule>
    <cfRule type="expression" dxfId="4629" priority="1745">
      <formula>#REF!="IO"</formula>
    </cfRule>
    <cfRule type="expression" dxfId="4628" priority="1746">
      <formula>#REF!="L"</formula>
    </cfRule>
  </conditionalFormatting>
  <conditionalFormatting sqref="P4:P12">
    <cfRule type="expression" dxfId="4627" priority="1735">
      <formula>#REF!="TO"</formula>
    </cfRule>
    <cfRule type="expression" dxfId="4626" priority="1736">
      <formula>#REF!="IO"</formula>
    </cfRule>
    <cfRule type="expression" dxfId="4625" priority="1737">
      <formula>#REF!="L"</formula>
    </cfRule>
  </conditionalFormatting>
  <conditionalFormatting sqref="P6:P8">
    <cfRule type="expression" dxfId="4624" priority="1738">
      <formula>#REF!="TO"</formula>
    </cfRule>
    <cfRule type="expression" dxfId="4623" priority="1739">
      <formula>#REF!="IO"</formula>
    </cfRule>
    <cfRule type="expression" dxfId="4622" priority="1740">
      <formula>#REF!="L"</formula>
    </cfRule>
  </conditionalFormatting>
  <conditionalFormatting sqref="S3:S12">
    <cfRule type="expression" dxfId="4621" priority="1723">
      <formula>#REF!="TO"</formula>
    </cfRule>
    <cfRule type="expression" dxfId="4620" priority="1724">
      <formula>#REF!="IO"</formula>
    </cfRule>
    <cfRule type="expression" dxfId="4619" priority="1725">
      <formula>#REF!="L"</formula>
    </cfRule>
  </conditionalFormatting>
  <conditionalFormatting sqref="R13">
    <cfRule type="expression" dxfId="4618" priority="1726">
      <formula>#REF!="TO"</formula>
    </cfRule>
    <cfRule type="expression" dxfId="4617" priority="1727">
      <formula>#REF!="IO"</formula>
    </cfRule>
    <cfRule type="expression" dxfId="4616" priority="1728">
      <formula>#REF!="L"</formula>
    </cfRule>
  </conditionalFormatting>
  <conditionalFormatting sqref="Q3:Q14">
    <cfRule type="expression" dxfId="4615" priority="1720">
      <formula>#REF!="TO"</formula>
    </cfRule>
    <cfRule type="expression" dxfId="4614" priority="1721">
      <formula>#REF!="IO"</formula>
    </cfRule>
    <cfRule type="expression" dxfId="4613" priority="1722">
      <formula>#REF!="L"</formula>
    </cfRule>
  </conditionalFormatting>
  <conditionalFormatting sqref="R3:S12 R14:S14 R13">
    <cfRule type="expression" dxfId="4612" priority="1717">
      <formula>#REF!="TO"</formula>
    </cfRule>
    <cfRule type="expression" dxfId="4611" priority="1718">
      <formula>#REF!="IO"</formula>
    </cfRule>
    <cfRule type="expression" dxfId="4610" priority="1719">
      <formula>#REF!="L"</formula>
    </cfRule>
  </conditionalFormatting>
  <conditionalFormatting sqref="T3:U3">
    <cfRule type="expression" dxfId="4609" priority="1708">
      <formula>#REF!="TO"</formula>
    </cfRule>
    <cfRule type="expression" dxfId="4608" priority="1709">
      <formula>#REF!="IO"</formula>
    </cfRule>
    <cfRule type="expression" dxfId="4607" priority="1710">
      <formula>#REF!="L"</formula>
    </cfRule>
  </conditionalFormatting>
  <conditionalFormatting sqref="T4:U12">
    <cfRule type="expression" dxfId="4606" priority="1711">
      <formula>#REF!="TO"</formula>
    </cfRule>
    <cfRule type="expression" dxfId="4605" priority="1712">
      <formula>#REF!="IO"</formula>
    </cfRule>
    <cfRule type="expression" dxfId="4604" priority="1713">
      <formula>#REF!="L"</formula>
    </cfRule>
  </conditionalFormatting>
  <conditionalFormatting sqref="V3:V14">
    <cfRule type="expression" dxfId="4603" priority="1702">
      <formula>#REF!="TO"</formula>
    </cfRule>
    <cfRule type="expression" dxfId="4602" priority="1703">
      <formula>#REF!="IO"</formula>
    </cfRule>
    <cfRule type="expression" dxfId="4601" priority="1704">
      <formula>#REF!="L"</formula>
    </cfRule>
  </conditionalFormatting>
  <conditionalFormatting sqref="W18:W20">
    <cfRule type="expression" dxfId="4600" priority="1696">
      <formula>#REF!="TO"</formula>
    </cfRule>
    <cfRule type="expression" dxfId="4599" priority="1697">
      <formula>#REF!="IO"</formula>
    </cfRule>
    <cfRule type="expression" dxfId="4598" priority="1698">
      <formula>#REF!="L"</formula>
    </cfRule>
  </conditionalFormatting>
  <conditionalFormatting sqref="W13:W15">
    <cfRule type="expression" dxfId="4597" priority="1690">
      <formula>#REF!="TO"</formula>
    </cfRule>
    <cfRule type="expression" dxfId="4596" priority="1691">
      <formula>#REF!="IO"</formula>
    </cfRule>
    <cfRule type="expression" dxfId="4595" priority="1692">
      <formula>#REF!="L"</formula>
    </cfRule>
  </conditionalFormatting>
  <conditionalFormatting sqref="W4:W12">
    <cfRule type="expression" dxfId="4594" priority="1684">
      <formula>#REF!="TO"</formula>
    </cfRule>
    <cfRule type="expression" dxfId="4593" priority="1685">
      <formula>#REF!="IO"</formula>
    </cfRule>
    <cfRule type="expression" dxfId="4592" priority="1686">
      <formula>#REF!="L"</formula>
    </cfRule>
  </conditionalFormatting>
  <conditionalFormatting sqref="P4:P5 P9:P17">
    <cfRule type="expression" dxfId="4591" priority="1699">
      <formula>K4="TO"</formula>
    </cfRule>
    <cfRule type="expression" dxfId="4590" priority="1700">
      <formula>K4="IO"</formula>
    </cfRule>
    <cfRule type="expression" dxfId="4589" priority="1701">
      <formula>K4="L"</formula>
    </cfRule>
  </conditionalFormatting>
  <conditionalFormatting sqref="W6:W8">
    <cfRule type="expression" dxfId="4588" priority="1687">
      <formula>#REF!="TO"</formula>
    </cfRule>
    <cfRule type="expression" dxfId="4587" priority="1688">
      <formula>#REF!="IO"</formula>
    </cfRule>
    <cfRule type="expression" dxfId="4586" priority="1689">
      <formula>#REF!="L"</formula>
    </cfRule>
  </conditionalFormatting>
  <conditionalFormatting sqref="X3:X14">
    <cfRule type="expression" dxfId="4585" priority="1672">
      <formula>#REF!="TO"</formula>
    </cfRule>
    <cfRule type="expression" dxfId="4584" priority="1673">
      <formula>#REF!="IO"</formula>
    </cfRule>
    <cfRule type="expression" dxfId="4583" priority="1674">
      <formula>#REF!="L"</formula>
    </cfRule>
  </conditionalFormatting>
  <conditionalFormatting sqref="Y3:Z14">
    <cfRule type="expression" dxfId="4582" priority="1669">
      <formula>#REF!="TO"</formula>
    </cfRule>
    <cfRule type="expression" dxfId="4581" priority="1670">
      <formula>#REF!="IO"</formula>
    </cfRule>
    <cfRule type="expression" dxfId="4580" priority="1671">
      <formula>#REF!="L"</formula>
    </cfRule>
  </conditionalFormatting>
  <conditionalFormatting sqref="AA3:AB3">
    <cfRule type="expression" dxfId="4579" priority="1663">
      <formula>#REF!="TO"</formula>
    </cfRule>
    <cfRule type="expression" dxfId="4578" priority="1664">
      <formula>#REF!="IO"</formula>
    </cfRule>
    <cfRule type="expression" dxfId="4577" priority="1665">
      <formula>#REF!="L"</formula>
    </cfRule>
  </conditionalFormatting>
  <conditionalFormatting sqref="AC3:AC14">
    <cfRule type="expression" dxfId="4576" priority="1657">
      <formula>#REF!="TO"</formula>
    </cfRule>
    <cfRule type="expression" dxfId="4575" priority="1658">
      <formula>#REF!="IO"</formula>
    </cfRule>
    <cfRule type="expression" dxfId="4574" priority="1659">
      <formula>#REF!="L"</formula>
    </cfRule>
  </conditionalFormatting>
  <conditionalFormatting sqref="AD18:AD20">
    <cfRule type="expression" dxfId="4573" priority="1651">
      <formula>#REF!="TO"</formula>
    </cfRule>
    <cfRule type="expression" dxfId="4572" priority="1652">
      <formula>#REF!="IO"</formula>
    </cfRule>
    <cfRule type="expression" dxfId="4571" priority="1653">
      <formula>#REF!="L"</formula>
    </cfRule>
  </conditionalFormatting>
  <conditionalFormatting sqref="AD13:AD15">
    <cfRule type="expression" dxfId="4570" priority="1645">
      <formula>#REF!="TO"</formula>
    </cfRule>
    <cfRule type="expression" dxfId="4569" priority="1646">
      <formula>#REF!="IO"</formula>
    </cfRule>
    <cfRule type="expression" dxfId="4568" priority="1647">
      <formula>#REF!="L"</formula>
    </cfRule>
  </conditionalFormatting>
  <conditionalFormatting sqref="AD4:AD12">
    <cfRule type="expression" dxfId="4567" priority="1639">
      <formula>#REF!="TO"</formula>
    </cfRule>
    <cfRule type="expression" dxfId="4566" priority="1640">
      <formula>#REF!="IO"</formula>
    </cfRule>
    <cfRule type="expression" dxfId="4565" priority="1641">
      <formula>#REF!="L"</formula>
    </cfRule>
  </conditionalFormatting>
  <conditionalFormatting sqref="AD9:AD17 AD21:AD24 AD4:AD5">
    <cfRule type="expression" dxfId="4564" priority="1654">
      <formula>Y4="TO"</formula>
    </cfRule>
    <cfRule type="expression" dxfId="4563" priority="1655">
      <formula>Y4="IO"</formula>
    </cfRule>
    <cfRule type="expression" dxfId="4562" priority="1656">
      <formula>Y4="L"</formula>
    </cfRule>
  </conditionalFormatting>
  <conditionalFormatting sqref="AD6:AD8">
    <cfRule type="expression" dxfId="4561" priority="1642">
      <formula>#REF!="TO"</formula>
    </cfRule>
    <cfRule type="expression" dxfId="4560" priority="1643">
      <formula>#REF!="IO"</formula>
    </cfRule>
    <cfRule type="expression" dxfId="4559" priority="1644">
      <formula>#REF!="L"</formula>
    </cfRule>
  </conditionalFormatting>
  <conditionalFormatting sqref="AE3:AE14">
    <cfRule type="expression" dxfId="4558" priority="1627">
      <formula>#REF!="TO"</formula>
    </cfRule>
    <cfRule type="expression" dxfId="4557" priority="1628">
      <formula>#REF!="IO"</formula>
    </cfRule>
    <cfRule type="expression" dxfId="4556" priority="1629">
      <formula>#REF!="L"</formula>
    </cfRule>
  </conditionalFormatting>
  <conditionalFormatting sqref="AF3:AG14">
    <cfRule type="expression" dxfId="4555" priority="1624">
      <formula>#REF!="TO"</formula>
    </cfRule>
    <cfRule type="expression" dxfId="4554" priority="1625">
      <formula>#REF!="IO"</formula>
    </cfRule>
    <cfRule type="expression" dxfId="4553" priority="1626">
      <formula>#REF!="L"</formula>
    </cfRule>
  </conditionalFormatting>
  <conditionalFormatting sqref="AH3:AI3">
    <cfRule type="expression" dxfId="4552" priority="1618">
      <formula>#REF!="TO"</formula>
    </cfRule>
    <cfRule type="expression" dxfId="4551" priority="1619">
      <formula>#REF!="IO"</formula>
    </cfRule>
    <cfRule type="expression" dxfId="4550" priority="1620">
      <formula>#REF!="L"</formula>
    </cfRule>
  </conditionalFormatting>
  <conditionalFormatting sqref="AJ3:AJ14">
    <cfRule type="expression" dxfId="4549" priority="1612">
      <formula>#REF!="TO"</formula>
    </cfRule>
    <cfRule type="expression" dxfId="4548" priority="1613">
      <formula>#REF!="IO"</formula>
    </cfRule>
    <cfRule type="expression" dxfId="4547" priority="1614">
      <formula>#REF!="L"</formula>
    </cfRule>
  </conditionalFormatting>
  <conditionalFormatting sqref="S13">
    <cfRule type="expression" dxfId="4546" priority="1609">
      <formula>#REF!="TO"</formula>
    </cfRule>
    <cfRule type="expression" dxfId="4545" priority="1610">
      <formula>#REF!="IO"</formula>
    </cfRule>
    <cfRule type="expression" dxfId="4544" priority="1611">
      <formula>#REF!="L"</formula>
    </cfRule>
    <cfRule type="expression" dxfId="4543" priority="1606">
      <formula>#REF!="TO"</formula>
    </cfRule>
    <cfRule type="expression" dxfId="4542" priority="1607">
      <formula>#REF!="IO"</formula>
    </cfRule>
    <cfRule type="expression" dxfId="4541" priority="1608">
      <formula>#REF!="L"</formula>
    </cfRule>
  </conditionalFormatting>
  <conditionalFormatting sqref="T13">
    <cfRule type="expression" dxfId="4540" priority="1603">
      <formula>#REF!="TO"</formula>
    </cfRule>
    <cfRule type="expression" dxfId="4539" priority="1604">
      <formula>#REF!="IO"</formula>
    </cfRule>
    <cfRule type="expression" dxfId="4538" priority="1605">
      <formula>#REF!="L"</formula>
    </cfRule>
  </conditionalFormatting>
  <conditionalFormatting sqref="N70">
    <cfRule type="expression" dxfId="4537" priority="1600">
      <formula>#REF!="TO"</formula>
    </cfRule>
    <cfRule type="expression" dxfId="4536" priority="1601">
      <formula>#REF!="IO"</formula>
    </cfRule>
    <cfRule type="expression" dxfId="4535" priority="1602">
      <formula>#REF!="L"</formula>
    </cfRule>
  </conditionalFormatting>
  <conditionalFormatting sqref="V70 S70">
    <cfRule type="expression" dxfId="4534" priority="1585">
      <formula>#REF!="TO"</formula>
    </cfRule>
    <cfRule type="expression" dxfId="4533" priority="1586">
      <formula>#REF!="IO"</formula>
    </cfRule>
    <cfRule type="expression" dxfId="4532" priority="1587">
      <formula>#REF!="L"</formula>
    </cfRule>
  </conditionalFormatting>
  <conditionalFormatting sqref="Q70">
    <cfRule type="expression" dxfId="4531" priority="1591">
      <formula>#REF!="TO"</formula>
    </cfRule>
    <cfRule type="expression" dxfId="4530" priority="1592">
      <formula>#REF!="IO"</formula>
    </cfRule>
    <cfRule type="expression" dxfId="4529" priority="1593">
      <formula>#REF!="L"</formula>
    </cfRule>
  </conditionalFormatting>
  <conditionalFormatting sqref="R70:S70">
    <cfRule type="expression" dxfId="4528" priority="1588">
      <formula>#REF!="TO"</formula>
    </cfRule>
    <cfRule type="expression" dxfId="4527" priority="1589">
      <formula>#REF!="IO"</formula>
    </cfRule>
    <cfRule type="expression" dxfId="4526" priority="1590">
      <formula>#REF!="L"</formula>
    </cfRule>
  </conditionalFormatting>
  <conditionalFormatting sqref="T70:U70">
    <cfRule type="expression" dxfId="4525" priority="1582">
      <formula>#REF!="TO"</formula>
    </cfRule>
    <cfRule type="expression" dxfId="4524" priority="1583">
      <formula>#REF!="IO"</formula>
    </cfRule>
    <cfRule type="expression" dxfId="4523" priority="1584">
      <formula>#REF!="L"</formula>
    </cfRule>
  </conditionalFormatting>
  <conditionalFormatting sqref="V70">
    <cfRule type="expression" dxfId="4522" priority="1579">
      <formula>#REF!="TO"</formula>
    </cfRule>
    <cfRule type="expression" dxfId="4521" priority="1580">
      <formula>#REF!="IO"</formula>
    </cfRule>
    <cfRule type="expression" dxfId="4520" priority="1581">
      <formula>#REF!="L"</formula>
    </cfRule>
  </conditionalFormatting>
  <conditionalFormatting sqref="AC70 Z70">
    <cfRule type="expression" dxfId="4519" priority="1570">
      <formula>#REF!="TO"</formula>
    </cfRule>
    <cfRule type="expression" dxfId="4518" priority="1571">
      <formula>#REF!="IO"</formula>
    </cfRule>
    <cfRule type="expression" dxfId="4517" priority="1572">
      <formula>#REF!="L"</formula>
    </cfRule>
  </conditionalFormatting>
  <conditionalFormatting sqref="X70">
    <cfRule type="expression" dxfId="4516" priority="1576">
      <formula>#REF!="TO"</formula>
    </cfRule>
    <cfRule type="expression" dxfId="4515" priority="1577">
      <formula>#REF!="IO"</formula>
    </cfRule>
    <cfRule type="expression" dxfId="4514" priority="1578">
      <formula>#REF!="L"</formula>
    </cfRule>
  </conditionalFormatting>
  <conditionalFormatting sqref="Y70:Z70">
    <cfRule type="expression" dxfId="4513" priority="1573">
      <formula>#REF!="TO"</formula>
    </cfRule>
    <cfRule type="expression" dxfId="4512" priority="1574">
      <formula>#REF!="IO"</formula>
    </cfRule>
    <cfRule type="expression" dxfId="4511" priority="1575">
      <formula>#REF!="L"</formula>
    </cfRule>
  </conditionalFormatting>
  <conditionalFormatting sqref="AA70:AB70">
    <cfRule type="expression" dxfId="4510" priority="1567">
      <formula>#REF!="TO"</formula>
    </cfRule>
    <cfRule type="expression" dxfId="4509" priority="1568">
      <formula>#REF!="IO"</formula>
    </cfRule>
    <cfRule type="expression" dxfId="4508" priority="1569">
      <formula>#REF!="L"</formula>
    </cfRule>
  </conditionalFormatting>
  <conditionalFormatting sqref="AC70">
    <cfRule type="expression" dxfId="4507" priority="1564">
      <formula>#REF!="TO"</formula>
    </cfRule>
    <cfRule type="expression" dxfId="4506" priority="1565">
      <formula>#REF!="IO"</formula>
    </cfRule>
    <cfRule type="expression" dxfId="4505" priority="1566">
      <formula>#REF!="L"</formula>
    </cfRule>
  </conditionalFormatting>
  <conditionalFormatting sqref="AJ70 AG70">
    <cfRule type="expression" dxfId="4504" priority="1555">
      <formula>#REF!="TO"</formula>
    </cfRule>
    <cfRule type="expression" dxfId="4503" priority="1556">
      <formula>#REF!="IO"</formula>
    </cfRule>
    <cfRule type="expression" dxfId="4502" priority="1557">
      <formula>#REF!="L"</formula>
    </cfRule>
  </conditionalFormatting>
  <conditionalFormatting sqref="AE70">
    <cfRule type="expression" dxfId="4501" priority="1561">
      <formula>#REF!="TO"</formula>
    </cfRule>
    <cfRule type="expression" dxfId="4500" priority="1562">
      <formula>#REF!="IO"</formula>
    </cfRule>
    <cfRule type="expression" dxfId="4499" priority="1563">
      <formula>#REF!="L"</formula>
    </cfRule>
  </conditionalFormatting>
  <conditionalFormatting sqref="AF70:AG70">
    <cfRule type="expression" dxfId="4498" priority="1558">
      <formula>#REF!="TO"</formula>
    </cfRule>
    <cfRule type="expression" dxfId="4497" priority="1559">
      <formula>#REF!="IO"</formula>
    </cfRule>
    <cfRule type="expression" dxfId="4496" priority="1560">
      <formula>#REF!="L"</formula>
    </cfRule>
  </conditionalFormatting>
  <conditionalFormatting sqref="AH70:AI70">
    <cfRule type="expression" dxfId="4495" priority="1552">
      <formula>#REF!="TO"</formula>
    </cfRule>
    <cfRule type="expression" dxfId="4494" priority="1553">
      <formula>#REF!="IO"</formula>
    </cfRule>
    <cfRule type="expression" dxfId="4493" priority="1554">
      <formula>#REF!="L"</formula>
    </cfRule>
  </conditionalFormatting>
  <conditionalFormatting sqref="AJ70">
    <cfRule type="expression" dxfId="4492" priority="1549">
      <formula>#REF!="TO"</formula>
    </cfRule>
    <cfRule type="expression" dxfId="4491" priority="1550">
      <formula>#REF!="IO"</formula>
    </cfRule>
    <cfRule type="expression" dxfId="4490" priority="1551">
      <formula>#REF!="L"</formula>
    </cfRule>
  </conditionalFormatting>
  <conditionalFormatting sqref="N71">
    <cfRule type="expression" dxfId="4489" priority="1546">
      <formula>#REF!="TO"</formula>
    </cfRule>
    <cfRule type="expression" dxfId="4488" priority="1547">
      <formula>#REF!="IO"</formula>
    </cfRule>
    <cfRule type="expression" dxfId="4487" priority="1548">
      <formula>#REF!="L"</formula>
    </cfRule>
  </conditionalFormatting>
  <conditionalFormatting sqref="V71 S71">
    <cfRule type="expression" dxfId="4486" priority="1531">
      <formula>#REF!="TO"</formula>
    </cfRule>
    <cfRule type="expression" dxfId="4485" priority="1532">
      <formula>#REF!="IO"</formula>
    </cfRule>
    <cfRule type="expression" dxfId="4484" priority="1533">
      <formula>#REF!="L"</formula>
    </cfRule>
  </conditionalFormatting>
  <conditionalFormatting sqref="Q71">
    <cfRule type="expression" dxfId="4483" priority="1537">
      <formula>#REF!="TO"</formula>
    </cfRule>
    <cfRule type="expression" dxfId="4482" priority="1538">
      <formula>#REF!="IO"</formula>
    </cfRule>
    <cfRule type="expression" dxfId="4481" priority="1539">
      <formula>#REF!="L"</formula>
    </cfRule>
  </conditionalFormatting>
  <conditionalFormatting sqref="R71:S71">
    <cfRule type="expression" dxfId="4480" priority="1534">
      <formula>#REF!="TO"</formula>
    </cfRule>
    <cfRule type="expression" dxfId="4479" priority="1535">
      <formula>#REF!="IO"</formula>
    </cfRule>
    <cfRule type="expression" dxfId="4478" priority="1536">
      <formula>#REF!="L"</formula>
    </cfRule>
  </conditionalFormatting>
  <conditionalFormatting sqref="T71:U71">
    <cfRule type="expression" dxfId="4477" priority="1528">
      <formula>#REF!="TO"</formula>
    </cfRule>
    <cfRule type="expression" dxfId="4476" priority="1529">
      <formula>#REF!="IO"</formula>
    </cfRule>
    <cfRule type="expression" dxfId="4475" priority="1530">
      <formula>#REF!="L"</formula>
    </cfRule>
  </conditionalFormatting>
  <conditionalFormatting sqref="V71">
    <cfRule type="expression" dxfId="4474" priority="1525">
      <formula>#REF!="TO"</formula>
    </cfRule>
    <cfRule type="expression" dxfId="4473" priority="1526">
      <formula>#REF!="IO"</formula>
    </cfRule>
    <cfRule type="expression" dxfId="4472" priority="1527">
      <formula>#REF!="L"</formula>
    </cfRule>
  </conditionalFormatting>
  <conditionalFormatting sqref="AC71 Z71">
    <cfRule type="expression" dxfId="4471" priority="1516">
      <formula>#REF!="TO"</formula>
    </cfRule>
    <cfRule type="expression" dxfId="4470" priority="1517">
      <formula>#REF!="IO"</formula>
    </cfRule>
    <cfRule type="expression" dxfId="4469" priority="1518">
      <formula>#REF!="L"</formula>
    </cfRule>
  </conditionalFormatting>
  <conditionalFormatting sqref="X71">
    <cfRule type="expression" dxfId="4468" priority="1522">
      <formula>#REF!="TO"</formula>
    </cfRule>
    <cfRule type="expression" dxfId="4467" priority="1523">
      <formula>#REF!="IO"</formula>
    </cfRule>
    <cfRule type="expression" dxfId="4466" priority="1524">
      <formula>#REF!="L"</formula>
    </cfRule>
  </conditionalFormatting>
  <conditionalFormatting sqref="Y71:Z71">
    <cfRule type="expression" dxfId="4465" priority="1519">
      <formula>#REF!="TO"</formula>
    </cfRule>
    <cfRule type="expression" dxfId="4464" priority="1520">
      <formula>#REF!="IO"</formula>
    </cfRule>
    <cfRule type="expression" dxfId="4463" priority="1521">
      <formula>#REF!="L"</formula>
    </cfRule>
  </conditionalFormatting>
  <conditionalFormatting sqref="AA71:AB71">
    <cfRule type="expression" dxfId="4462" priority="1513">
      <formula>#REF!="TO"</formula>
    </cfRule>
    <cfRule type="expression" dxfId="4461" priority="1514">
      <formula>#REF!="IO"</formula>
    </cfRule>
    <cfRule type="expression" dxfId="4460" priority="1515">
      <formula>#REF!="L"</formula>
    </cfRule>
  </conditionalFormatting>
  <conditionalFormatting sqref="AC71">
    <cfRule type="expression" dxfId="4459" priority="1510">
      <formula>#REF!="TO"</formula>
    </cfRule>
    <cfRule type="expression" dxfId="4458" priority="1511">
      <formula>#REF!="IO"</formula>
    </cfRule>
    <cfRule type="expression" dxfId="4457" priority="1512">
      <formula>#REF!="L"</formula>
    </cfRule>
  </conditionalFormatting>
  <conditionalFormatting sqref="AJ71 AG71">
    <cfRule type="expression" dxfId="4456" priority="1501">
      <formula>#REF!="TO"</formula>
    </cfRule>
    <cfRule type="expression" dxfId="4455" priority="1502">
      <formula>#REF!="IO"</formula>
    </cfRule>
    <cfRule type="expression" dxfId="4454" priority="1503">
      <formula>#REF!="L"</formula>
    </cfRule>
  </conditionalFormatting>
  <conditionalFormatting sqref="AE71">
    <cfRule type="expression" dxfId="4453" priority="1507">
      <formula>#REF!="TO"</formula>
    </cfRule>
    <cfRule type="expression" dxfId="4452" priority="1508">
      <formula>#REF!="IO"</formula>
    </cfRule>
    <cfRule type="expression" dxfId="4451" priority="1509">
      <formula>#REF!="L"</formula>
    </cfRule>
  </conditionalFormatting>
  <conditionalFormatting sqref="AF71:AG71">
    <cfRule type="expression" dxfId="4450" priority="1504">
      <formula>#REF!="TO"</formula>
    </cfRule>
    <cfRule type="expression" dxfId="4449" priority="1505">
      <formula>#REF!="IO"</formula>
    </cfRule>
    <cfRule type="expression" dxfId="4448" priority="1506">
      <formula>#REF!="L"</formula>
    </cfRule>
  </conditionalFormatting>
  <conditionalFormatting sqref="AH71:AI71">
    <cfRule type="expression" dxfId="4447" priority="1498">
      <formula>#REF!="TO"</formula>
    </cfRule>
    <cfRule type="expression" dxfId="4446" priority="1499">
      <formula>#REF!="IO"</formula>
    </cfRule>
    <cfRule type="expression" dxfId="4445" priority="1500">
      <formula>#REF!="L"</formula>
    </cfRule>
  </conditionalFormatting>
  <conditionalFormatting sqref="AJ71">
    <cfRule type="expression" dxfId="4444" priority="1495">
      <formula>#REF!="TO"</formula>
    </cfRule>
    <cfRule type="expression" dxfId="4443" priority="1496">
      <formula>#REF!="IO"</formula>
    </cfRule>
    <cfRule type="expression" dxfId="4442" priority="1497">
      <formula>#REF!="L"</formula>
    </cfRule>
  </conditionalFormatting>
  <conditionalFormatting sqref="N72">
    <cfRule type="expression" dxfId="4441" priority="1492">
      <formula>#REF!="TO"</formula>
    </cfRule>
    <cfRule type="expression" dxfId="4440" priority="1493">
      <formula>#REF!="IO"</formula>
    </cfRule>
    <cfRule type="expression" dxfId="4439" priority="1494">
      <formula>#REF!="L"</formula>
    </cfRule>
  </conditionalFormatting>
  <conditionalFormatting sqref="V72 S72">
    <cfRule type="expression" dxfId="4438" priority="1477">
      <formula>#REF!="TO"</formula>
    </cfRule>
    <cfRule type="expression" dxfId="4437" priority="1478">
      <formula>#REF!="IO"</formula>
    </cfRule>
    <cfRule type="expression" dxfId="4436" priority="1479">
      <formula>#REF!="L"</formula>
    </cfRule>
  </conditionalFormatting>
  <conditionalFormatting sqref="Q72">
    <cfRule type="expression" dxfId="4435" priority="1483">
      <formula>#REF!="TO"</formula>
    </cfRule>
    <cfRule type="expression" dxfId="4434" priority="1484">
      <formula>#REF!="IO"</formula>
    </cfRule>
    <cfRule type="expression" dxfId="4433" priority="1485">
      <formula>#REF!="L"</formula>
    </cfRule>
  </conditionalFormatting>
  <conditionalFormatting sqref="R72:S72">
    <cfRule type="expression" dxfId="4432" priority="1480">
      <formula>#REF!="TO"</formula>
    </cfRule>
    <cfRule type="expression" dxfId="4431" priority="1481">
      <formula>#REF!="IO"</formula>
    </cfRule>
    <cfRule type="expression" dxfId="4430" priority="1482">
      <formula>#REF!="L"</formula>
    </cfRule>
  </conditionalFormatting>
  <conditionalFormatting sqref="T72:U72">
    <cfRule type="expression" dxfId="4429" priority="1474">
      <formula>#REF!="TO"</formula>
    </cfRule>
    <cfRule type="expression" dxfId="4428" priority="1475">
      <formula>#REF!="IO"</formula>
    </cfRule>
    <cfRule type="expression" dxfId="4427" priority="1476">
      <formula>#REF!="L"</formula>
    </cfRule>
  </conditionalFormatting>
  <conditionalFormatting sqref="V72">
    <cfRule type="expression" dxfId="4426" priority="1471">
      <formula>#REF!="TO"</formula>
    </cfRule>
    <cfRule type="expression" dxfId="4425" priority="1472">
      <formula>#REF!="IO"</formula>
    </cfRule>
    <cfRule type="expression" dxfId="4424" priority="1473">
      <formula>#REF!="L"</formula>
    </cfRule>
  </conditionalFormatting>
  <conditionalFormatting sqref="AC72 Z72">
    <cfRule type="expression" dxfId="4423" priority="1462">
      <formula>#REF!="TO"</formula>
    </cfRule>
    <cfRule type="expression" dxfId="4422" priority="1463">
      <formula>#REF!="IO"</formula>
    </cfRule>
    <cfRule type="expression" dxfId="4421" priority="1464">
      <formula>#REF!="L"</formula>
    </cfRule>
  </conditionalFormatting>
  <conditionalFormatting sqref="X72">
    <cfRule type="expression" dxfId="4420" priority="1468">
      <formula>#REF!="TO"</formula>
    </cfRule>
    <cfRule type="expression" dxfId="4419" priority="1469">
      <formula>#REF!="IO"</formula>
    </cfRule>
    <cfRule type="expression" dxfId="4418" priority="1470">
      <formula>#REF!="L"</formula>
    </cfRule>
  </conditionalFormatting>
  <conditionalFormatting sqref="Y72:Z72">
    <cfRule type="expression" dxfId="4417" priority="1465">
      <formula>#REF!="TO"</formula>
    </cfRule>
    <cfRule type="expression" dxfId="4416" priority="1466">
      <formula>#REF!="IO"</formula>
    </cfRule>
    <cfRule type="expression" dxfId="4415" priority="1467">
      <formula>#REF!="L"</formula>
    </cfRule>
  </conditionalFormatting>
  <conditionalFormatting sqref="AA72:AB72">
    <cfRule type="expression" dxfId="4414" priority="1459">
      <formula>#REF!="TO"</formula>
    </cfRule>
    <cfRule type="expression" dxfId="4413" priority="1460">
      <formula>#REF!="IO"</formula>
    </cfRule>
    <cfRule type="expression" dxfId="4412" priority="1461">
      <formula>#REF!="L"</formula>
    </cfRule>
  </conditionalFormatting>
  <conditionalFormatting sqref="AC72">
    <cfRule type="expression" dxfId="4411" priority="1456">
      <formula>#REF!="TO"</formula>
    </cfRule>
    <cfRule type="expression" dxfId="4410" priority="1457">
      <formula>#REF!="IO"</formula>
    </cfRule>
    <cfRule type="expression" dxfId="4409" priority="1458">
      <formula>#REF!="L"</formula>
    </cfRule>
  </conditionalFormatting>
  <conditionalFormatting sqref="AJ72 AG72">
    <cfRule type="expression" dxfId="4408" priority="1447">
      <formula>#REF!="TO"</formula>
    </cfRule>
    <cfRule type="expression" dxfId="4407" priority="1448">
      <formula>#REF!="IO"</formula>
    </cfRule>
    <cfRule type="expression" dxfId="4406" priority="1449">
      <formula>#REF!="L"</formula>
    </cfRule>
  </conditionalFormatting>
  <conditionalFormatting sqref="AE72">
    <cfRule type="expression" dxfId="4405" priority="1453">
      <formula>#REF!="TO"</formula>
    </cfRule>
    <cfRule type="expression" dxfId="4404" priority="1454">
      <formula>#REF!="IO"</formula>
    </cfRule>
    <cfRule type="expression" dxfId="4403" priority="1455">
      <formula>#REF!="L"</formula>
    </cfRule>
  </conditionalFormatting>
  <conditionalFormatting sqref="AF72:AG72">
    <cfRule type="expression" dxfId="4402" priority="1450">
      <formula>#REF!="TO"</formula>
    </cfRule>
    <cfRule type="expression" dxfId="4401" priority="1451">
      <formula>#REF!="IO"</formula>
    </cfRule>
    <cfRule type="expression" dxfId="4400" priority="1452">
      <formula>#REF!="L"</formula>
    </cfRule>
  </conditionalFormatting>
  <conditionalFormatting sqref="AH72:AI72">
    <cfRule type="expression" dxfId="4399" priority="1444">
      <formula>#REF!="TO"</formula>
    </cfRule>
    <cfRule type="expression" dxfId="4398" priority="1445">
      <formula>#REF!="IO"</formula>
    </cfRule>
    <cfRule type="expression" dxfId="4397" priority="1446">
      <formula>#REF!="L"</formula>
    </cfRule>
  </conditionalFormatting>
  <conditionalFormatting sqref="AJ72">
    <cfRule type="expression" dxfId="4396" priority="1441">
      <formula>#REF!="TO"</formula>
    </cfRule>
    <cfRule type="expression" dxfId="4395" priority="1442">
      <formula>#REF!="IO"</formula>
    </cfRule>
    <cfRule type="expression" dxfId="4394" priority="1443">
      <formula>#REF!="L"</formula>
    </cfRule>
  </conditionalFormatting>
  <conditionalFormatting sqref="N73">
    <cfRule type="expression" dxfId="4393" priority="1438">
      <formula>#REF!="TO"</formula>
    </cfRule>
    <cfRule type="expression" dxfId="4392" priority="1439">
      <formula>#REF!="IO"</formula>
    </cfRule>
    <cfRule type="expression" dxfId="4391" priority="1440">
      <formula>#REF!="L"</formula>
    </cfRule>
  </conditionalFormatting>
  <conditionalFormatting sqref="V73 S73">
    <cfRule type="expression" dxfId="4390" priority="1423">
      <formula>#REF!="TO"</formula>
    </cfRule>
    <cfRule type="expression" dxfId="4389" priority="1424">
      <formula>#REF!="IO"</formula>
    </cfRule>
    <cfRule type="expression" dxfId="4388" priority="1425">
      <formula>#REF!="L"</formula>
    </cfRule>
  </conditionalFormatting>
  <conditionalFormatting sqref="Q73">
    <cfRule type="expression" dxfId="4387" priority="1429">
      <formula>#REF!="TO"</formula>
    </cfRule>
    <cfRule type="expression" dxfId="4386" priority="1430">
      <formula>#REF!="IO"</formula>
    </cfRule>
    <cfRule type="expression" dxfId="4385" priority="1431">
      <formula>#REF!="L"</formula>
    </cfRule>
  </conditionalFormatting>
  <conditionalFormatting sqref="R73:S73">
    <cfRule type="expression" dxfId="4384" priority="1426">
      <formula>#REF!="TO"</formula>
    </cfRule>
    <cfRule type="expression" dxfId="4383" priority="1427">
      <formula>#REF!="IO"</formula>
    </cfRule>
    <cfRule type="expression" dxfId="4382" priority="1428">
      <formula>#REF!="L"</formula>
    </cfRule>
  </conditionalFormatting>
  <conditionalFormatting sqref="T73:U73">
    <cfRule type="expression" dxfId="4381" priority="1420">
      <formula>#REF!="TO"</formula>
    </cfRule>
    <cfRule type="expression" dxfId="4380" priority="1421">
      <formula>#REF!="IO"</formula>
    </cfRule>
    <cfRule type="expression" dxfId="4379" priority="1422">
      <formula>#REF!="L"</formula>
    </cfRule>
  </conditionalFormatting>
  <conditionalFormatting sqref="V73">
    <cfRule type="expression" dxfId="4378" priority="1417">
      <formula>#REF!="TO"</formula>
    </cfRule>
    <cfRule type="expression" dxfId="4377" priority="1418">
      <formula>#REF!="IO"</formula>
    </cfRule>
    <cfRule type="expression" dxfId="4376" priority="1419">
      <formula>#REF!="L"</formula>
    </cfRule>
  </conditionalFormatting>
  <conditionalFormatting sqref="AC73 Z73">
    <cfRule type="expression" dxfId="4375" priority="1408">
      <formula>#REF!="TO"</formula>
    </cfRule>
    <cfRule type="expression" dxfId="4374" priority="1409">
      <formula>#REF!="IO"</formula>
    </cfRule>
    <cfRule type="expression" dxfId="4373" priority="1410">
      <formula>#REF!="L"</formula>
    </cfRule>
  </conditionalFormatting>
  <conditionalFormatting sqref="X73">
    <cfRule type="expression" dxfId="4372" priority="1414">
      <formula>#REF!="TO"</formula>
    </cfRule>
    <cfRule type="expression" dxfId="4371" priority="1415">
      <formula>#REF!="IO"</formula>
    </cfRule>
    <cfRule type="expression" dxfId="4370" priority="1416">
      <formula>#REF!="L"</formula>
    </cfRule>
  </conditionalFormatting>
  <conditionalFormatting sqref="Y73:Z73">
    <cfRule type="expression" dxfId="4369" priority="1411">
      <formula>#REF!="TO"</formula>
    </cfRule>
    <cfRule type="expression" dxfId="4368" priority="1412">
      <formula>#REF!="IO"</formula>
    </cfRule>
    <cfRule type="expression" dxfId="4367" priority="1413">
      <formula>#REF!="L"</formula>
    </cfRule>
  </conditionalFormatting>
  <conditionalFormatting sqref="AA73:AB73">
    <cfRule type="expression" dxfId="4366" priority="1405">
      <formula>#REF!="TO"</formula>
    </cfRule>
    <cfRule type="expression" dxfId="4365" priority="1406">
      <formula>#REF!="IO"</formula>
    </cfRule>
    <cfRule type="expression" dxfId="4364" priority="1407">
      <formula>#REF!="L"</formula>
    </cfRule>
  </conditionalFormatting>
  <conditionalFormatting sqref="AC73">
    <cfRule type="expression" dxfId="4363" priority="1402">
      <formula>#REF!="TO"</formula>
    </cfRule>
    <cfRule type="expression" dxfId="4362" priority="1403">
      <formula>#REF!="IO"</formula>
    </cfRule>
    <cfRule type="expression" dxfId="4361" priority="1404">
      <formula>#REF!="L"</formula>
    </cfRule>
  </conditionalFormatting>
  <conditionalFormatting sqref="AJ73 AG73">
    <cfRule type="expression" dxfId="4360" priority="1393">
      <formula>#REF!="TO"</formula>
    </cfRule>
    <cfRule type="expression" dxfId="4359" priority="1394">
      <formula>#REF!="IO"</formula>
    </cfRule>
    <cfRule type="expression" dxfId="4358" priority="1395">
      <formula>#REF!="L"</formula>
    </cfRule>
  </conditionalFormatting>
  <conditionalFormatting sqref="AE73">
    <cfRule type="expression" dxfId="4357" priority="1399">
      <formula>#REF!="TO"</formula>
    </cfRule>
    <cfRule type="expression" dxfId="4356" priority="1400">
      <formula>#REF!="IO"</formula>
    </cfRule>
    <cfRule type="expression" dxfId="4355" priority="1401">
      <formula>#REF!="L"</formula>
    </cfRule>
  </conditionalFormatting>
  <conditionalFormatting sqref="AF73:AG73">
    <cfRule type="expression" dxfId="4354" priority="1396">
      <formula>#REF!="TO"</formula>
    </cfRule>
    <cfRule type="expression" dxfId="4353" priority="1397">
      <formula>#REF!="IO"</formula>
    </cfRule>
    <cfRule type="expression" dxfId="4352" priority="1398">
      <formula>#REF!="L"</formula>
    </cfRule>
  </conditionalFormatting>
  <conditionalFormatting sqref="AH73:AI73">
    <cfRule type="expression" dxfId="4351" priority="1390">
      <formula>#REF!="TO"</formula>
    </cfRule>
    <cfRule type="expression" dxfId="4350" priority="1391">
      <formula>#REF!="IO"</formula>
    </cfRule>
    <cfRule type="expression" dxfId="4349" priority="1392">
      <formula>#REF!="L"</formula>
    </cfRule>
  </conditionalFormatting>
  <conditionalFormatting sqref="AJ73">
    <cfRule type="expression" dxfId="4348" priority="1387">
      <formula>#REF!="TO"</formula>
    </cfRule>
    <cfRule type="expression" dxfId="4347" priority="1388">
      <formula>#REF!="IO"</formula>
    </cfRule>
    <cfRule type="expression" dxfId="4346" priority="1389">
      <formula>#REF!="L"</formula>
    </cfRule>
  </conditionalFormatting>
  <conditionalFormatting sqref="N74">
    <cfRule type="expression" dxfId="4345" priority="1384">
      <formula>#REF!="TO"</formula>
    </cfRule>
    <cfRule type="expression" dxfId="4344" priority="1385">
      <formula>#REF!="IO"</formula>
    </cfRule>
    <cfRule type="expression" dxfId="4343" priority="1386">
      <formula>#REF!="L"</formula>
    </cfRule>
  </conditionalFormatting>
  <conditionalFormatting sqref="V74 S74">
    <cfRule type="expression" dxfId="4342" priority="1369">
      <formula>#REF!="TO"</formula>
    </cfRule>
    <cfRule type="expression" dxfId="4341" priority="1370">
      <formula>#REF!="IO"</formula>
    </cfRule>
    <cfRule type="expression" dxfId="4340" priority="1371">
      <formula>#REF!="L"</formula>
    </cfRule>
  </conditionalFormatting>
  <conditionalFormatting sqref="Q74">
    <cfRule type="expression" dxfId="4339" priority="1375">
      <formula>#REF!="TO"</formula>
    </cfRule>
    <cfRule type="expression" dxfId="4338" priority="1376">
      <formula>#REF!="IO"</formula>
    </cfRule>
    <cfRule type="expression" dxfId="4337" priority="1377">
      <formula>#REF!="L"</formula>
    </cfRule>
  </conditionalFormatting>
  <conditionalFormatting sqref="R74:S74">
    <cfRule type="expression" dxfId="4336" priority="1372">
      <formula>#REF!="TO"</formula>
    </cfRule>
    <cfRule type="expression" dxfId="4335" priority="1373">
      <formula>#REF!="IO"</formula>
    </cfRule>
    <cfRule type="expression" dxfId="4334" priority="1374">
      <formula>#REF!="L"</formula>
    </cfRule>
  </conditionalFormatting>
  <conditionalFormatting sqref="T74:U74">
    <cfRule type="expression" dxfId="4333" priority="1366">
      <formula>#REF!="TO"</formula>
    </cfRule>
    <cfRule type="expression" dxfId="4332" priority="1367">
      <formula>#REF!="IO"</formula>
    </cfRule>
    <cfRule type="expression" dxfId="4331" priority="1368">
      <formula>#REF!="L"</formula>
    </cfRule>
  </conditionalFormatting>
  <conditionalFormatting sqref="V74">
    <cfRule type="expression" dxfId="4330" priority="1363">
      <formula>#REF!="TO"</formula>
    </cfRule>
    <cfRule type="expression" dxfId="4329" priority="1364">
      <formula>#REF!="IO"</formula>
    </cfRule>
    <cfRule type="expression" dxfId="4328" priority="1365">
      <formula>#REF!="L"</formula>
    </cfRule>
  </conditionalFormatting>
  <conditionalFormatting sqref="AC74 Z74">
    <cfRule type="expression" dxfId="4327" priority="1354">
      <formula>#REF!="TO"</formula>
    </cfRule>
    <cfRule type="expression" dxfId="4326" priority="1355">
      <formula>#REF!="IO"</formula>
    </cfRule>
    <cfRule type="expression" dxfId="4325" priority="1356">
      <formula>#REF!="L"</formula>
    </cfRule>
  </conditionalFormatting>
  <conditionalFormatting sqref="X74">
    <cfRule type="expression" dxfId="4324" priority="1360">
      <formula>#REF!="TO"</formula>
    </cfRule>
    <cfRule type="expression" dxfId="4323" priority="1361">
      <formula>#REF!="IO"</formula>
    </cfRule>
    <cfRule type="expression" dxfId="4322" priority="1362">
      <formula>#REF!="L"</formula>
    </cfRule>
  </conditionalFormatting>
  <conditionalFormatting sqref="Y74:Z74">
    <cfRule type="expression" dxfId="4321" priority="1357">
      <formula>#REF!="TO"</formula>
    </cfRule>
    <cfRule type="expression" dxfId="4320" priority="1358">
      <formula>#REF!="IO"</formula>
    </cfRule>
    <cfRule type="expression" dxfId="4319" priority="1359">
      <formula>#REF!="L"</formula>
    </cfRule>
  </conditionalFormatting>
  <conditionalFormatting sqref="AA74:AB74">
    <cfRule type="expression" dxfId="4318" priority="1351">
      <formula>#REF!="TO"</formula>
    </cfRule>
    <cfRule type="expression" dxfId="4317" priority="1352">
      <formula>#REF!="IO"</formula>
    </cfRule>
    <cfRule type="expression" dxfId="4316" priority="1353">
      <formula>#REF!="L"</formula>
    </cfRule>
  </conditionalFormatting>
  <conditionalFormatting sqref="AC74">
    <cfRule type="expression" dxfId="4315" priority="1348">
      <formula>#REF!="TO"</formula>
    </cfRule>
    <cfRule type="expression" dxfId="4314" priority="1349">
      <formula>#REF!="IO"</formula>
    </cfRule>
    <cfRule type="expression" dxfId="4313" priority="1350">
      <formula>#REF!="L"</formula>
    </cfRule>
  </conditionalFormatting>
  <conditionalFormatting sqref="AJ74 AG74">
    <cfRule type="expression" dxfId="4312" priority="1339">
      <formula>#REF!="TO"</formula>
    </cfRule>
    <cfRule type="expression" dxfId="4311" priority="1340">
      <formula>#REF!="IO"</formula>
    </cfRule>
    <cfRule type="expression" dxfId="4310" priority="1341">
      <formula>#REF!="L"</formula>
    </cfRule>
  </conditionalFormatting>
  <conditionalFormatting sqref="AE74">
    <cfRule type="expression" dxfId="4309" priority="1345">
      <formula>#REF!="TO"</formula>
    </cfRule>
    <cfRule type="expression" dxfId="4308" priority="1346">
      <formula>#REF!="IO"</formula>
    </cfRule>
    <cfRule type="expression" dxfId="4307" priority="1347">
      <formula>#REF!="L"</formula>
    </cfRule>
  </conditionalFormatting>
  <conditionalFormatting sqref="AF74:AG74">
    <cfRule type="expression" dxfId="4306" priority="1342">
      <formula>#REF!="TO"</formula>
    </cfRule>
    <cfRule type="expression" dxfId="4305" priority="1343">
      <formula>#REF!="IO"</formula>
    </cfRule>
    <cfRule type="expression" dxfId="4304" priority="1344">
      <formula>#REF!="L"</formula>
    </cfRule>
  </conditionalFormatting>
  <conditionalFormatting sqref="AH74:AI74">
    <cfRule type="expression" dxfId="4303" priority="1336">
      <formula>#REF!="TO"</formula>
    </cfRule>
    <cfRule type="expression" dxfId="4302" priority="1337">
      <formula>#REF!="IO"</formula>
    </cfRule>
    <cfRule type="expression" dxfId="4301" priority="1338">
      <formula>#REF!="L"</formula>
    </cfRule>
  </conditionalFormatting>
  <conditionalFormatting sqref="AJ74">
    <cfRule type="expression" dxfId="4300" priority="1333">
      <formula>#REF!="TO"</formula>
    </cfRule>
    <cfRule type="expression" dxfId="4299" priority="1334">
      <formula>#REF!="IO"</formula>
    </cfRule>
    <cfRule type="expression" dxfId="4298" priority="1335">
      <formula>#REF!="L"</formula>
    </cfRule>
  </conditionalFormatting>
  <conditionalFormatting sqref="N75">
    <cfRule type="expression" dxfId="4297" priority="1330">
      <formula>#REF!="TO"</formula>
    </cfRule>
    <cfRule type="expression" dxfId="4296" priority="1331">
      <formula>#REF!="IO"</formula>
    </cfRule>
    <cfRule type="expression" dxfId="4295" priority="1332">
      <formula>#REF!="L"</formula>
    </cfRule>
  </conditionalFormatting>
  <conditionalFormatting sqref="V75 S75">
    <cfRule type="expression" dxfId="4294" priority="1315">
      <formula>#REF!="TO"</formula>
    </cfRule>
    <cfRule type="expression" dxfId="4293" priority="1316">
      <formula>#REF!="IO"</formula>
    </cfRule>
    <cfRule type="expression" dxfId="4292" priority="1317">
      <formula>#REF!="L"</formula>
    </cfRule>
  </conditionalFormatting>
  <conditionalFormatting sqref="Q75">
    <cfRule type="expression" dxfId="4291" priority="1321">
      <formula>#REF!="TO"</formula>
    </cfRule>
    <cfRule type="expression" dxfId="4290" priority="1322">
      <formula>#REF!="IO"</formula>
    </cfRule>
    <cfRule type="expression" dxfId="4289" priority="1323">
      <formula>#REF!="L"</formula>
    </cfRule>
  </conditionalFormatting>
  <conditionalFormatting sqref="R75:S75">
    <cfRule type="expression" dxfId="4288" priority="1318">
      <formula>#REF!="TO"</formula>
    </cfRule>
    <cfRule type="expression" dxfId="4287" priority="1319">
      <formula>#REF!="IO"</formula>
    </cfRule>
    <cfRule type="expression" dxfId="4286" priority="1320">
      <formula>#REF!="L"</formula>
    </cfRule>
  </conditionalFormatting>
  <conditionalFormatting sqref="T75:U75">
    <cfRule type="expression" dxfId="4285" priority="1312">
      <formula>#REF!="TO"</formula>
    </cfRule>
    <cfRule type="expression" dxfId="4284" priority="1313">
      <formula>#REF!="IO"</formula>
    </cfRule>
    <cfRule type="expression" dxfId="4283" priority="1314">
      <formula>#REF!="L"</formula>
    </cfRule>
  </conditionalFormatting>
  <conditionalFormatting sqref="V75">
    <cfRule type="expression" dxfId="4282" priority="1309">
      <formula>#REF!="TO"</formula>
    </cfRule>
    <cfRule type="expression" dxfId="4281" priority="1310">
      <formula>#REF!="IO"</formula>
    </cfRule>
    <cfRule type="expression" dxfId="4280" priority="1311">
      <formula>#REF!="L"</formula>
    </cfRule>
  </conditionalFormatting>
  <conditionalFormatting sqref="AC75 Z75">
    <cfRule type="expression" dxfId="4279" priority="1300">
      <formula>#REF!="TO"</formula>
    </cfRule>
    <cfRule type="expression" dxfId="4278" priority="1301">
      <formula>#REF!="IO"</formula>
    </cfRule>
    <cfRule type="expression" dxfId="4277" priority="1302">
      <formula>#REF!="L"</formula>
    </cfRule>
  </conditionalFormatting>
  <conditionalFormatting sqref="X75">
    <cfRule type="expression" dxfId="4276" priority="1306">
      <formula>#REF!="TO"</formula>
    </cfRule>
    <cfRule type="expression" dxfId="4275" priority="1307">
      <formula>#REF!="IO"</formula>
    </cfRule>
    <cfRule type="expression" dxfId="4274" priority="1308">
      <formula>#REF!="L"</formula>
    </cfRule>
  </conditionalFormatting>
  <conditionalFormatting sqref="Y75:Z75">
    <cfRule type="expression" dxfId="4273" priority="1303">
      <formula>#REF!="TO"</formula>
    </cfRule>
    <cfRule type="expression" dxfId="4272" priority="1304">
      <formula>#REF!="IO"</formula>
    </cfRule>
    <cfRule type="expression" dxfId="4271" priority="1305">
      <formula>#REF!="L"</formula>
    </cfRule>
  </conditionalFormatting>
  <conditionalFormatting sqref="AA75:AB75">
    <cfRule type="expression" dxfId="4270" priority="1297">
      <formula>#REF!="TO"</formula>
    </cfRule>
    <cfRule type="expression" dxfId="4269" priority="1298">
      <formula>#REF!="IO"</formula>
    </cfRule>
    <cfRule type="expression" dxfId="4268" priority="1299">
      <formula>#REF!="L"</formula>
    </cfRule>
  </conditionalFormatting>
  <conditionalFormatting sqref="AC75">
    <cfRule type="expression" dxfId="4267" priority="1294">
      <formula>#REF!="TO"</formula>
    </cfRule>
    <cfRule type="expression" dxfId="4266" priority="1295">
      <formula>#REF!="IO"</formula>
    </cfRule>
    <cfRule type="expression" dxfId="4265" priority="1296">
      <formula>#REF!="L"</formula>
    </cfRule>
  </conditionalFormatting>
  <conditionalFormatting sqref="AJ75 AG75">
    <cfRule type="expression" dxfId="4264" priority="1285">
      <formula>#REF!="TO"</formula>
    </cfRule>
    <cfRule type="expression" dxfId="4263" priority="1286">
      <formula>#REF!="IO"</formula>
    </cfRule>
    <cfRule type="expression" dxfId="4262" priority="1287">
      <formula>#REF!="L"</formula>
    </cfRule>
  </conditionalFormatting>
  <conditionalFormatting sqref="AE75">
    <cfRule type="expression" dxfId="4261" priority="1291">
      <formula>#REF!="TO"</formula>
    </cfRule>
    <cfRule type="expression" dxfId="4260" priority="1292">
      <formula>#REF!="IO"</formula>
    </cfRule>
    <cfRule type="expression" dxfId="4259" priority="1293">
      <formula>#REF!="L"</formula>
    </cfRule>
  </conditionalFormatting>
  <conditionalFormatting sqref="AF75:AG75">
    <cfRule type="expression" dxfId="4258" priority="1288">
      <formula>#REF!="TO"</formula>
    </cfRule>
    <cfRule type="expression" dxfId="4257" priority="1289">
      <formula>#REF!="IO"</formula>
    </cfRule>
    <cfRule type="expression" dxfId="4256" priority="1290">
      <formula>#REF!="L"</formula>
    </cfRule>
  </conditionalFormatting>
  <conditionalFormatting sqref="AH75:AI75">
    <cfRule type="expression" dxfId="4255" priority="1282">
      <formula>#REF!="TO"</formula>
    </cfRule>
    <cfRule type="expression" dxfId="4254" priority="1283">
      <formula>#REF!="IO"</formula>
    </cfRule>
    <cfRule type="expression" dxfId="4253" priority="1284">
      <formula>#REF!="L"</formula>
    </cfRule>
  </conditionalFormatting>
  <conditionalFormatting sqref="AJ75">
    <cfRule type="expression" dxfId="4252" priority="1279">
      <formula>#REF!="TO"</formula>
    </cfRule>
    <cfRule type="expression" dxfId="4251" priority="1280">
      <formula>#REF!="IO"</formula>
    </cfRule>
    <cfRule type="expression" dxfId="4250" priority="1281">
      <formula>#REF!="L"</formula>
    </cfRule>
  </conditionalFormatting>
  <conditionalFormatting sqref="N76">
    <cfRule type="expression" dxfId="4249" priority="1276">
      <formula>#REF!="TO"</formula>
    </cfRule>
    <cfRule type="expression" dxfId="4248" priority="1277">
      <formula>#REF!="IO"</formula>
    </cfRule>
    <cfRule type="expression" dxfId="4247" priority="1278">
      <formula>#REF!="L"</formula>
    </cfRule>
  </conditionalFormatting>
  <conditionalFormatting sqref="V76 S76">
    <cfRule type="expression" dxfId="4246" priority="1261">
      <formula>#REF!="TO"</formula>
    </cfRule>
    <cfRule type="expression" dxfId="4245" priority="1262">
      <formula>#REF!="IO"</formula>
    </cfRule>
    <cfRule type="expression" dxfId="4244" priority="1263">
      <formula>#REF!="L"</formula>
    </cfRule>
  </conditionalFormatting>
  <conditionalFormatting sqref="Q76">
    <cfRule type="expression" dxfId="4243" priority="1267">
      <formula>#REF!="TO"</formula>
    </cfRule>
    <cfRule type="expression" dxfId="4242" priority="1268">
      <formula>#REF!="IO"</formula>
    </cfRule>
    <cfRule type="expression" dxfId="4241" priority="1269">
      <formula>#REF!="L"</formula>
    </cfRule>
  </conditionalFormatting>
  <conditionalFormatting sqref="R76:S76">
    <cfRule type="expression" dxfId="4240" priority="1264">
      <formula>#REF!="TO"</formula>
    </cfRule>
    <cfRule type="expression" dxfId="4239" priority="1265">
      <formula>#REF!="IO"</formula>
    </cfRule>
    <cfRule type="expression" dxfId="4238" priority="1266">
      <formula>#REF!="L"</formula>
    </cfRule>
  </conditionalFormatting>
  <conditionalFormatting sqref="T76:U76">
    <cfRule type="expression" dxfId="4237" priority="1258">
      <formula>#REF!="TO"</formula>
    </cfRule>
    <cfRule type="expression" dxfId="4236" priority="1259">
      <formula>#REF!="IO"</formula>
    </cfRule>
    <cfRule type="expression" dxfId="4235" priority="1260">
      <formula>#REF!="L"</formula>
    </cfRule>
  </conditionalFormatting>
  <conditionalFormatting sqref="V76">
    <cfRule type="expression" dxfId="4234" priority="1255">
      <formula>#REF!="TO"</formula>
    </cfRule>
    <cfRule type="expression" dxfId="4233" priority="1256">
      <formula>#REF!="IO"</formula>
    </cfRule>
    <cfRule type="expression" dxfId="4232" priority="1257">
      <formula>#REF!="L"</formula>
    </cfRule>
  </conditionalFormatting>
  <conditionalFormatting sqref="AC76 Z76">
    <cfRule type="expression" dxfId="4231" priority="1246">
      <formula>#REF!="TO"</formula>
    </cfRule>
    <cfRule type="expression" dxfId="4230" priority="1247">
      <formula>#REF!="IO"</formula>
    </cfRule>
    <cfRule type="expression" dxfId="4229" priority="1248">
      <formula>#REF!="L"</formula>
    </cfRule>
  </conditionalFormatting>
  <conditionalFormatting sqref="X76">
    <cfRule type="expression" dxfId="4228" priority="1252">
      <formula>#REF!="TO"</formula>
    </cfRule>
    <cfRule type="expression" dxfId="4227" priority="1253">
      <formula>#REF!="IO"</formula>
    </cfRule>
    <cfRule type="expression" dxfId="4226" priority="1254">
      <formula>#REF!="L"</formula>
    </cfRule>
  </conditionalFormatting>
  <conditionalFormatting sqref="Y76:Z76">
    <cfRule type="expression" dxfId="4225" priority="1249">
      <formula>#REF!="TO"</formula>
    </cfRule>
    <cfRule type="expression" dxfId="4224" priority="1250">
      <formula>#REF!="IO"</formula>
    </cfRule>
    <cfRule type="expression" dxfId="4223" priority="1251">
      <formula>#REF!="L"</formula>
    </cfRule>
  </conditionalFormatting>
  <conditionalFormatting sqref="AA76:AB76">
    <cfRule type="expression" dxfId="4222" priority="1243">
      <formula>#REF!="TO"</formula>
    </cfRule>
    <cfRule type="expression" dxfId="4221" priority="1244">
      <formula>#REF!="IO"</formula>
    </cfRule>
    <cfRule type="expression" dxfId="4220" priority="1245">
      <formula>#REF!="L"</formula>
    </cfRule>
  </conditionalFormatting>
  <conditionalFormatting sqref="AC76">
    <cfRule type="expression" dxfId="4219" priority="1240">
      <formula>#REF!="TO"</formula>
    </cfRule>
    <cfRule type="expression" dxfId="4218" priority="1241">
      <formula>#REF!="IO"</formula>
    </cfRule>
    <cfRule type="expression" dxfId="4217" priority="1242">
      <formula>#REF!="L"</formula>
    </cfRule>
  </conditionalFormatting>
  <conditionalFormatting sqref="AJ76 AG76">
    <cfRule type="expression" dxfId="4216" priority="1231">
      <formula>#REF!="TO"</formula>
    </cfRule>
    <cfRule type="expression" dxfId="4215" priority="1232">
      <formula>#REF!="IO"</formula>
    </cfRule>
    <cfRule type="expression" dxfId="4214" priority="1233">
      <formula>#REF!="L"</formula>
    </cfRule>
  </conditionalFormatting>
  <conditionalFormatting sqref="AE76">
    <cfRule type="expression" dxfId="4213" priority="1237">
      <formula>#REF!="TO"</formula>
    </cfRule>
    <cfRule type="expression" dxfId="4212" priority="1238">
      <formula>#REF!="IO"</formula>
    </cfRule>
    <cfRule type="expression" dxfId="4211" priority="1239">
      <formula>#REF!="L"</formula>
    </cfRule>
  </conditionalFormatting>
  <conditionalFormatting sqref="AF76:AG76">
    <cfRule type="expression" dxfId="4210" priority="1234">
      <formula>#REF!="TO"</formula>
    </cfRule>
    <cfRule type="expression" dxfId="4209" priority="1235">
      <formula>#REF!="IO"</formula>
    </cfRule>
    <cfRule type="expression" dxfId="4208" priority="1236">
      <formula>#REF!="L"</formula>
    </cfRule>
  </conditionalFormatting>
  <conditionalFormatting sqref="AH76:AI76">
    <cfRule type="expression" dxfId="4207" priority="1228">
      <formula>#REF!="TO"</formula>
    </cfRule>
    <cfRule type="expression" dxfId="4206" priority="1229">
      <formula>#REF!="IO"</formula>
    </cfRule>
    <cfRule type="expression" dxfId="4205" priority="1230">
      <formula>#REF!="L"</formula>
    </cfRule>
  </conditionalFormatting>
  <conditionalFormatting sqref="AJ76">
    <cfRule type="expression" dxfId="4204" priority="1225">
      <formula>#REF!="TO"</formula>
    </cfRule>
    <cfRule type="expression" dxfId="4203" priority="1226">
      <formula>#REF!="IO"</formula>
    </cfRule>
    <cfRule type="expression" dxfId="4202" priority="1227">
      <formula>#REF!="L"</formula>
    </cfRule>
  </conditionalFormatting>
  <conditionalFormatting sqref="N77">
    <cfRule type="expression" dxfId="4201" priority="1222">
      <formula>#REF!="TO"</formula>
    </cfRule>
    <cfRule type="expression" dxfId="4200" priority="1223">
      <formula>#REF!="IO"</formula>
    </cfRule>
    <cfRule type="expression" dxfId="4199" priority="1224">
      <formula>#REF!="L"</formula>
    </cfRule>
  </conditionalFormatting>
  <conditionalFormatting sqref="V77 S77">
    <cfRule type="expression" dxfId="4198" priority="1207">
      <formula>#REF!="TO"</formula>
    </cfRule>
    <cfRule type="expression" dxfId="4197" priority="1208">
      <formula>#REF!="IO"</formula>
    </cfRule>
    <cfRule type="expression" dxfId="4196" priority="1209">
      <formula>#REF!="L"</formula>
    </cfRule>
  </conditionalFormatting>
  <conditionalFormatting sqref="Q77">
    <cfRule type="expression" dxfId="4195" priority="1213">
      <formula>#REF!="TO"</formula>
    </cfRule>
    <cfRule type="expression" dxfId="4194" priority="1214">
      <formula>#REF!="IO"</formula>
    </cfRule>
    <cfRule type="expression" dxfId="4193" priority="1215">
      <formula>#REF!="L"</formula>
    </cfRule>
  </conditionalFormatting>
  <conditionalFormatting sqref="R77:S77">
    <cfRule type="expression" dxfId="4192" priority="1210">
      <formula>#REF!="TO"</formula>
    </cfRule>
    <cfRule type="expression" dxfId="4191" priority="1211">
      <formula>#REF!="IO"</formula>
    </cfRule>
    <cfRule type="expression" dxfId="4190" priority="1212">
      <formula>#REF!="L"</formula>
    </cfRule>
  </conditionalFormatting>
  <conditionalFormatting sqref="T77:U77">
    <cfRule type="expression" dxfId="4189" priority="1204">
      <formula>#REF!="TO"</formula>
    </cfRule>
    <cfRule type="expression" dxfId="4188" priority="1205">
      <formula>#REF!="IO"</formula>
    </cfRule>
    <cfRule type="expression" dxfId="4187" priority="1206">
      <formula>#REF!="L"</formula>
    </cfRule>
  </conditionalFormatting>
  <conditionalFormatting sqref="V77">
    <cfRule type="expression" dxfId="4186" priority="1201">
      <formula>#REF!="TO"</formula>
    </cfRule>
    <cfRule type="expression" dxfId="4185" priority="1202">
      <formula>#REF!="IO"</formula>
    </cfRule>
    <cfRule type="expression" dxfId="4184" priority="1203">
      <formula>#REF!="L"</formula>
    </cfRule>
  </conditionalFormatting>
  <conditionalFormatting sqref="AC77 Z77">
    <cfRule type="expression" dxfId="4183" priority="1192">
      <formula>#REF!="TO"</formula>
    </cfRule>
    <cfRule type="expression" dxfId="4182" priority="1193">
      <formula>#REF!="IO"</formula>
    </cfRule>
    <cfRule type="expression" dxfId="4181" priority="1194">
      <formula>#REF!="L"</formula>
    </cfRule>
  </conditionalFormatting>
  <conditionalFormatting sqref="X77">
    <cfRule type="expression" dxfId="4180" priority="1198">
      <formula>#REF!="TO"</formula>
    </cfRule>
    <cfRule type="expression" dxfId="4179" priority="1199">
      <formula>#REF!="IO"</formula>
    </cfRule>
    <cfRule type="expression" dxfId="4178" priority="1200">
      <formula>#REF!="L"</formula>
    </cfRule>
  </conditionalFormatting>
  <conditionalFormatting sqref="Y77:Z77">
    <cfRule type="expression" dxfId="4177" priority="1195">
      <formula>#REF!="TO"</formula>
    </cfRule>
    <cfRule type="expression" dxfId="4176" priority="1196">
      <formula>#REF!="IO"</formula>
    </cfRule>
    <cfRule type="expression" dxfId="4175" priority="1197">
      <formula>#REF!="L"</formula>
    </cfRule>
  </conditionalFormatting>
  <conditionalFormatting sqref="AA77:AB77">
    <cfRule type="expression" dxfId="4174" priority="1189">
      <formula>#REF!="TO"</formula>
    </cfRule>
    <cfRule type="expression" dxfId="4173" priority="1190">
      <formula>#REF!="IO"</formula>
    </cfRule>
    <cfRule type="expression" dxfId="4172" priority="1191">
      <formula>#REF!="L"</formula>
    </cfRule>
  </conditionalFormatting>
  <conditionalFormatting sqref="AC77">
    <cfRule type="expression" dxfId="4171" priority="1186">
      <formula>#REF!="TO"</formula>
    </cfRule>
    <cfRule type="expression" dxfId="4170" priority="1187">
      <formula>#REF!="IO"</formula>
    </cfRule>
    <cfRule type="expression" dxfId="4169" priority="1188">
      <formula>#REF!="L"</formula>
    </cfRule>
  </conditionalFormatting>
  <conditionalFormatting sqref="AJ77 AG77">
    <cfRule type="expression" dxfId="4168" priority="1177">
      <formula>#REF!="TO"</formula>
    </cfRule>
    <cfRule type="expression" dxfId="4167" priority="1178">
      <formula>#REF!="IO"</formula>
    </cfRule>
    <cfRule type="expression" dxfId="4166" priority="1179">
      <formula>#REF!="L"</formula>
    </cfRule>
  </conditionalFormatting>
  <conditionalFormatting sqref="AE77">
    <cfRule type="expression" dxfId="4165" priority="1183">
      <formula>#REF!="TO"</formula>
    </cfRule>
    <cfRule type="expression" dxfId="4164" priority="1184">
      <formula>#REF!="IO"</formula>
    </cfRule>
    <cfRule type="expression" dxfId="4163" priority="1185">
      <formula>#REF!="L"</formula>
    </cfRule>
  </conditionalFormatting>
  <conditionalFormatting sqref="AF77:AG77">
    <cfRule type="expression" dxfId="4162" priority="1180">
      <formula>#REF!="TO"</formula>
    </cfRule>
    <cfRule type="expression" dxfId="4161" priority="1181">
      <formula>#REF!="IO"</formula>
    </cfRule>
    <cfRule type="expression" dxfId="4160" priority="1182">
      <formula>#REF!="L"</formula>
    </cfRule>
  </conditionalFormatting>
  <conditionalFormatting sqref="AH77:AI77">
    <cfRule type="expression" dxfId="4159" priority="1174">
      <formula>#REF!="TO"</formula>
    </cfRule>
    <cfRule type="expression" dxfId="4158" priority="1175">
      <formula>#REF!="IO"</formula>
    </cfRule>
    <cfRule type="expression" dxfId="4157" priority="1176">
      <formula>#REF!="L"</formula>
    </cfRule>
  </conditionalFormatting>
  <conditionalFormatting sqref="AJ77">
    <cfRule type="expression" dxfId="4156" priority="1171">
      <formula>#REF!="TO"</formula>
    </cfRule>
    <cfRule type="expression" dxfId="4155" priority="1172">
      <formula>#REF!="IO"</formula>
    </cfRule>
    <cfRule type="expression" dxfId="4154" priority="1173">
      <formula>#REF!="L"</formula>
    </cfRule>
  </conditionalFormatting>
  <conditionalFormatting sqref="N78">
    <cfRule type="expression" dxfId="4153" priority="1168">
      <formula>#REF!="TO"</formula>
    </cfRule>
    <cfRule type="expression" dxfId="4152" priority="1169">
      <formula>#REF!="IO"</formula>
    </cfRule>
    <cfRule type="expression" dxfId="4151" priority="1170">
      <formula>#REF!="L"</formula>
    </cfRule>
  </conditionalFormatting>
  <conditionalFormatting sqref="V78 S78">
    <cfRule type="expression" dxfId="4150" priority="1153">
      <formula>#REF!="TO"</formula>
    </cfRule>
    <cfRule type="expression" dxfId="4149" priority="1154">
      <formula>#REF!="IO"</formula>
    </cfRule>
    <cfRule type="expression" dxfId="4148" priority="1155">
      <formula>#REF!="L"</formula>
    </cfRule>
  </conditionalFormatting>
  <conditionalFormatting sqref="Q78">
    <cfRule type="expression" dxfId="4147" priority="1159">
      <formula>#REF!="TO"</formula>
    </cfRule>
    <cfRule type="expression" dxfId="4146" priority="1160">
      <formula>#REF!="IO"</formula>
    </cfRule>
    <cfRule type="expression" dxfId="4145" priority="1161">
      <formula>#REF!="L"</formula>
    </cfRule>
  </conditionalFormatting>
  <conditionalFormatting sqref="R78:S78">
    <cfRule type="expression" dxfId="4144" priority="1156">
      <formula>#REF!="TO"</formula>
    </cfRule>
    <cfRule type="expression" dxfId="4143" priority="1157">
      <formula>#REF!="IO"</formula>
    </cfRule>
    <cfRule type="expression" dxfId="4142" priority="1158">
      <formula>#REF!="L"</formula>
    </cfRule>
  </conditionalFormatting>
  <conditionalFormatting sqref="T78:U78">
    <cfRule type="expression" dxfId="4141" priority="1150">
      <formula>#REF!="TO"</formula>
    </cfRule>
    <cfRule type="expression" dxfId="4140" priority="1151">
      <formula>#REF!="IO"</formula>
    </cfRule>
    <cfRule type="expression" dxfId="4139" priority="1152">
      <formula>#REF!="L"</formula>
    </cfRule>
  </conditionalFormatting>
  <conditionalFormatting sqref="V78">
    <cfRule type="expression" dxfId="4138" priority="1147">
      <formula>#REF!="TO"</formula>
    </cfRule>
    <cfRule type="expression" dxfId="4137" priority="1148">
      <formula>#REF!="IO"</formula>
    </cfRule>
    <cfRule type="expression" dxfId="4136" priority="1149">
      <formula>#REF!="L"</formula>
    </cfRule>
  </conditionalFormatting>
  <conditionalFormatting sqref="AC78 Z78">
    <cfRule type="expression" dxfId="4135" priority="1138">
      <formula>#REF!="TO"</formula>
    </cfRule>
    <cfRule type="expression" dxfId="4134" priority="1139">
      <formula>#REF!="IO"</formula>
    </cfRule>
    <cfRule type="expression" dxfId="4133" priority="1140">
      <formula>#REF!="L"</formula>
    </cfRule>
  </conditionalFormatting>
  <conditionalFormatting sqref="X78">
    <cfRule type="expression" dxfId="4132" priority="1144">
      <formula>#REF!="TO"</formula>
    </cfRule>
    <cfRule type="expression" dxfId="4131" priority="1145">
      <formula>#REF!="IO"</formula>
    </cfRule>
    <cfRule type="expression" dxfId="4130" priority="1146">
      <formula>#REF!="L"</formula>
    </cfRule>
  </conditionalFormatting>
  <conditionalFormatting sqref="Y78:Z78">
    <cfRule type="expression" dxfId="4129" priority="1141">
      <formula>#REF!="TO"</formula>
    </cfRule>
    <cfRule type="expression" dxfId="4128" priority="1142">
      <formula>#REF!="IO"</formula>
    </cfRule>
    <cfRule type="expression" dxfId="4127" priority="1143">
      <formula>#REF!="L"</formula>
    </cfRule>
  </conditionalFormatting>
  <conditionalFormatting sqref="AA78:AB78">
    <cfRule type="expression" dxfId="4126" priority="1135">
      <formula>#REF!="TO"</formula>
    </cfRule>
    <cfRule type="expression" dxfId="4125" priority="1136">
      <formula>#REF!="IO"</formula>
    </cfRule>
    <cfRule type="expression" dxfId="4124" priority="1137">
      <formula>#REF!="L"</formula>
    </cfRule>
  </conditionalFormatting>
  <conditionalFormatting sqref="AC78">
    <cfRule type="expression" dxfId="4123" priority="1132">
      <formula>#REF!="TO"</formula>
    </cfRule>
    <cfRule type="expression" dxfId="4122" priority="1133">
      <formula>#REF!="IO"</formula>
    </cfRule>
    <cfRule type="expression" dxfId="4121" priority="1134">
      <formula>#REF!="L"</formula>
    </cfRule>
  </conditionalFormatting>
  <conditionalFormatting sqref="AJ78 AG78">
    <cfRule type="expression" dxfId="4120" priority="1123">
      <formula>#REF!="TO"</formula>
    </cfRule>
    <cfRule type="expression" dxfId="4119" priority="1124">
      <formula>#REF!="IO"</formula>
    </cfRule>
    <cfRule type="expression" dxfId="4118" priority="1125">
      <formula>#REF!="L"</formula>
    </cfRule>
  </conditionalFormatting>
  <conditionalFormatting sqref="AE78">
    <cfRule type="expression" dxfId="4117" priority="1129">
      <formula>#REF!="TO"</formula>
    </cfRule>
    <cfRule type="expression" dxfId="4116" priority="1130">
      <formula>#REF!="IO"</formula>
    </cfRule>
    <cfRule type="expression" dxfId="4115" priority="1131">
      <formula>#REF!="L"</formula>
    </cfRule>
  </conditionalFormatting>
  <conditionalFormatting sqref="AF78:AG78">
    <cfRule type="expression" dxfId="4114" priority="1126">
      <formula>#REF!="TO"</formula>
    </cfRule>
    <cfRule type="expression" dxfId="4113" priority="1127">
      <formula>#REF!="IO"</formula>
    </cfRule>
    <cfRule type="expression" dxfId="4112" priority="1128">
      <formula>#REF!="L"</formula>
    </cfRule>
  </conditionalFormatting>
  <conditionalFormatting sqref="AH78:AI78">
    <cfRule type="expression" dxfId="4111" priority="1120">
      <formula>#REF!="TO"</formula>
    </cfRule>
    <cfRule type="expression" dxfId="4110" priority="1121">
      <formula>#REF!="IO"</formula>
    </cfRule>
    <cfRule type="expression" dxfId="4109" priority="1122">
      <formula>#REF!="L"</formula>
    </cfRule>
  </conditionalFormatting>
  <conditionalFormatting sqref="AJ78">
    <cfRule type="expression" dxfId="4108" priority="1117">
      <formula>#REF!="TO"</formula>
    </cfRule>
    <cfRule type="expression" dxfId="4107" priority="1118">
      <formula>#REF!="IO"</formula>
    </cfRule>
    <cfRule type="expression" dxfId="4106" priority="1119">
      <formula>#REF!="L"</formula>
    </cfRule>
  </conditionalFormatting>
  <conditionalFormatting sqref="N79">
    <cfRule type="expression" dxfId="4105" priority="1114">
      <formula>#REF!="TO"</formula>
    </cfRule>
    <cfRule type="expression" dxfId="4104" priority="1115">
      <formula>#REF!="IO"</formula>
    </cfRule>
    <cfRule type="expression" dxfId="4103" priority="1116">
      <formula>#REF!="L"</formula>
    </cfRule>
  </conditionalFormatting>
  <conditionalFormatting sqref="V79 S79">
    <cfRule type="expression" dxfId="4102" priority="1105">
      <formula>#REF!="TO"</formula>
    </cfRule>
    <cfRule type="expression" dxfId="4101" priority="1105">
      <formula>#REF!="IO"</formula>
    </cfRule>
    <cfRule type="expression" dxfId="4100" priority="1105">
      <formula>#REF!="L"</formula>
    </cfRule>
  </conditionalFormatting>
  <conditionalFormatting sqref="Q79">
    <cfRule type="expression" dxfId="4099" priority="1106">
      <formula>#REF!="IO"</formula>
    </cfRule>
    <cfRule type="expression" dxfId="4098" priority="1107">
      <formula>#REF!="L"</formula>
    </cfRule>
    <cfRule type="expression" dxfId="4097" priority="1786">
      <formula>#REF!="TO"</formula>
    </cfRule>
  </conditionalFormatting>
  <conditionalFormatting sqref="R79:S79">
    <cfRule type="expression" dxfId="4096" priority="1102">
      <formula>#REF!="TO"</formula>
    </cfRule>
    <cfRule type="expression" dxfId="4095" priority="1103">
      <formula>#REF!="IO"</formula>
    </cfRule>
    <cfRule type="expression" dxfId="4094" priority="1104">
      <formula>#REF!="L"</formula>
    </cfRule>
  </conditionalFormatting>
  <conditionalFormatting sqref="T79:U79">
    <cfRule type="expression" dxfId="4093" priority="1096">
      <formula>#REF!="TO"</formula>
    </cfRule>
    <cfRule type="expression" dxfId="4092" priority="1097">
      <formula>#REF!="IO"</formula>
    </cfRule>
    <cfRule type="expression" dxfId="4091" priority="1098">
      <formula>#REF!="L"</formula>
    </cfRule>
  </conditionalFormatting>
  <conditionalFormatting sqref="V79">
    <cfRule type="expression" dxfId="4090" priority="1093">
      <formula>#REF!="TO"</formula>
    </cfRule>
    <cfRule type="expression" dxfId="4089" priority="1094">
      <formula>#REF!="IO"</formula>
    </cfRule>
    <cfRule type="expression" dxfId="4088" priority="1095">
      <formula>#REF!="L"</formula>
    </cfRule>
  </conditionalFormatting>
  <conditionalFormatting sqref="AC79 Z79">
    <cfRule type="expression" dxfId="4087" priority="1090">
      <formula>#REF!="TO"</formula>
    </cfRule>
    <cfRule type="expression" dxfId="4086" priority="1090">
      <formula>#REF!="IO"</formula>
    </cfRule>
    <cfRule type="expression" dxfId="4085" priority="1090">
      <formula>#REF!="L"</formula>
    </cfRule>
  </conditionalFormatting>
  <conditionalFormatting sqref="X79">
    <cfRule type="expression" dxfId="4084" priority="1091">
      <formula>#REF!="IO"</formula>
    </cfRule>
    <cfRule type="expression" dxfId="4083" priority="1092">
      <formula>#REF!="L"</formula>
    </cfRule>
    <cfRule type="expression" dxfId="4082" priority="1787">
      <formula>#REF!="TO"</formula>
    </cfRule>
  </conditionalFormatting>
  <conditionalFormatting sqref="Y79:Z79">
    <cfRule type="expression" dxfId="4081" priority="1087">
      <formula>#REF!="TO"</formula>
    </cfRule>
    <cfRule type="expression" dxfId="4080" priority="1088">
      <formula>#REF!="IO"</formula>
    </cfRule>
    <cfRule type="expression" dxfId="4079" priority="1089">
      <formula>#REF!="L"</formula>
    </cfRule>
  </conditionalFormatting>
  <conditionalFormatting sqref="AA79:AB79">
    <cfRule type="expression" dxfId="4078" priority="1081">
      <formula>#REF!="TO"</formula>
    </cfRule>
    <cfRule type="expression" dxfId="4077" priority="1082">
      <formula>#REF!="IO"</formula>
    </cfRule>
    <cfRule type="expression" dxfId="4076" priority="1083">
      <formula>#REF!="L"</formula>
    </cfRule>
  </conditionalFormatting>
  <conditionalFormatting sqref="AC79">
    <cfRule type="expression" dxfId="4075" priority="1078">
      <formula>#REF!="TO"</formula>
    </cfRule>
    <cfRule type="expression" dxfId="4074" priority="1079">
      <formula>#REF!="IO"</formula>
    </cfRule>
    <cfRule type="expression" dxfId="4073" priority="1080">
      <formula>#REF!="L"</formula>
    </cfRule>
  </conditionalFormatting>
  <conditionalFormatting sqref="AJ79 AG79">
    <cfRule type="expression" dxfId="4072" priority="1075">
      <formula>#REF!="TO"</formula>
    </cfRule>
    <cfRule type="expression" dxfId="4071" priority="1075">
      <formula>#REF!="IO"</formula>
    </cfRule>
    <cfRule type="expression" dxfId="4070" priority="1075">
      <formula>#REF!="L"</formula>
    </cfRule>
  </conditionalFormatting>
  <conditionalFormatting sqref="AE79">
    <cfRule type="expression" dxfId="4069" priority="1076">
      <formula>#REF!="IO"</formula>
    </cfRule>
    <cfRule type="expression" dxfId="4068" priority="1077">
      <formula>#REF!="L"</formula>
    </cfRule>
    <cfRule type="expression" dxfId="4067" priority="1788">
      <formula>#REF!="TO"</formula>
    </cfRule>
  </conditionalFormatting>
  <conditionalFormatting sqref="AF79:AG79">
    <cfRule type="expression" dxfId="4066" priority="1072">
      <formula>#REF!="TO"</formula>
    </cfRule>
    <cfRule type="expression" dxfId="4065" priority="1073">
      <formula>#REF!="IO"</formula>
    </cfRule>
    <cfRule type="expression" dxfId="4064" priority="1074">
      <formula>#REF!="L"</formula>
    </cfRule>
  </conditionalFormatting>
  <conditionalFormatting sqref="AH79:AI79">
    <cfRule type="expression" dxfId="4063" priority="1066">
      <formula>#REF!="TO"</formula>
    </cfRule>
    <cfRule type="expression" dxfId="4062" priority="1067">
      <formula>#REF!="IO"</formula>
    </cfRule>
    <cfRule type="expression" dxfId="4061" priority="1068">
      <formula>#REF!="L"</formula>
    </cfRule>
  </conditionalFormatting>
  <conditionalFormatting sqref="AJ79">
    <cfRule type="expression" dxfId="4060" priority="1063">
      <formula>#REF!="TO"</formula>
    </cfRule>
    <cfRule type="expression" dxfId="4059" priority="1064">
      <formula>#REF!="IO"</formula>
    </cfRule>
    <cfRule type="expression" dxfId="4058" priority="1065">
      <formula>#REF!="L"</formula>
    </cfRule>
  </conditionalFormatting>
  <conditionalFormatting sqref="N80">
    <cfRule type="expression" dxfId="4057" priority="1060">
      <formula>#REF!="TO"</formula>
    </cfRule>
    <cfRule type="expression" dxfId="4056" priority="1061">
      <formula>#REF!="IO"</formula>
    </cfRule>
    <cfRule type="expression" dxfId="4055" priority="1062">
      <formula>#REF!="L"</formula>
    </cfRule>
  </conditionalFormatting>
  <conditionalFormatting sqref="V80 S80">
    <cfRule type="expression" dxfId="4054" priority="1051">
      <formula>#REF!="TO"</formula>
    </cfRule>
    <cfRule type="expression" dxfId="4053" priority="1051">
      <formula>#REF!="IO"</formula>
    </cfRule>
    <cfRule type="expression" dxfId="4052" priority="1051">
      <formula>#REF!="L"</formula>
    </cfRule>
  </conditionalFormatting>
  <conditionalFormatting sqref="Q80">
    <cfRule type="expression" dxfId="4051" priority="1052">
      <formula>#REF!="IO"</formula>
    </cfRule>
    <cfRule type="expression" dxfId="4050" priority="1053">
      <formula>#REF!="L"</formula>
    </cfRule>
    <cfRule type="expression" dxfId="4049" priority="1789">
      <formula>#REF!="TO"</formula>
    </cfRule>
  </conditionalFormatting>
  <conditionalFormatting sqref="R80:S80">
    <cfRule type="expression" dxfId="4048" priority="1048">
      <formula>#REF!="TO"</formula>
    </cfRule>
    <cfRule type="expression" dxfId="4047" priority="1049">
      <formula>#REF!="IO"</formula>
    </cfRule>
    <cfRule type="expression" dxfId="4046" priority="1050">
      <formula>#REF!="L"</formula>
    </cfRule>
  </conditionalFormatting>
  <conditionalFormatting sqref="T80:U80">
    <cfRule type="expression" dxfId="4045" priority="1042">
      <formula>#REF!="TO"</formula>
    </cfRule>
    <cfRule type="expression" dxfId="4044" priority="1043">
      <formula>#REF!="IO"</formula>
    </cfRule>
    <cfRule type="expression" dxfId="4043" priority="1044">
      <formula>#REF!="L"</formula>
    </cfRule>
  </conditionalFormatting>
  <conditionalFormatting sqref="V80">
    <cfRule type="expression" dxfId="4042" priority="1039">
      <formula>#REF!="TO"</formula>
    </cfRule>
    <cfRule type="expression" dxfId="4041" priority="1040">
      <formula>#REF!="IO"</formula>
    </cfRule>
    <cfRule type="expression" dxfId="4040" priority="1041">
      <formula>#REF!="L"</formula>
    </cfRule>
  </conditionalFormatting>
  <conditionalFormatting sqref="AC80 Z80">
    <cfRule type="expression" dxfId="4039" priority="1036">
      <formula>#REF!="TO"</formula>
    </cfRule>
    <cfRule type="expression" dxfId="4038" priority="1036">
      <formula>#REF!="IO"</formula>
    </cfRule>
    <cfRule type="expression" dxfId="4037" priority="1036">
      <formula>#REF!="L"</formula>
    </cfRule>
  </conditionalFormatting>
  <conditionalFormatting sqref="X80">
    <cfRule type="expression" dxfId="4036" priority="1037">
      <formula>#REF!="IO"</formula>
    </cfRule>
    <cfRule type="expression" dxfId="4035" priority="1038">
      <formula>#REF!="L"</formula>
    </cfRule>
    <cfRule type="expression" dxfId="4034" priority="1790">
      <formula>#REF!="TO"</formula>
    </cfRule>
  </conditionalFormatting>
  <conditionalFormatting sqref="Y80:Z80">
    <cfRule type="expression" dxfId="4033" priority="1033">
      <formula>#REF!="TO"</formula>
    </cfRule>
    <cfRule type="expression" dxfId="4032" priority="1034">
      <formula>#REF!="IO"</formula>
    </cfRule>
    <cfRule type="expression" dxfId="4031" priority="1035">
      <formula>#REF!="L"</formula>
    </cfRule>
  </conditionalFormatting>
  <conditionalFormatting sqref="AA80:AB80">
    <cfRule type="expression" dxfId="4030" priority="1027">
      <formula>#REF!="TO"</formula>
    </cfRule>
    <cfRule type="expression" dxfId="4029" priority="1028">
      <formula>#REF!="IO"</formula>
    </cfRule>
    <cfRule type="expression" dxfId="4028" priority="1029">
      <formula>#REF!="L"</formula>
    </cfRule>
  </conditionalFormatting>
  <conditionalFormatting sqref="AC80">
    <cfRule type="expression" dxfId="4027" priority="1024">
      <formula>#REF!="TO"</formula>
    </cfRule>
    <cfRule type="expression" dxfId="4026" priority="1025">
      <formula>#REF!="IO"</formula>
    </cfRule>
    <cfRule type="expression" dxfId="4025" priority="1026">
      <formula>#REF!="L"</formula>
    </cfRule>
  </conditionalFormatting>
  <conditionalFormatting sqref="AJ80 AG80">
    <cfRule type="expression" dxfId="4024" priority="1021">
      <formula>#REF!="TO"</formula>
    </cfRule>
    <cfRule type="expression" dxfId="4023" priority="1021">
      <formula>#REF!="IO"</formula>
    </cfRule>
    <cfRule type="expression" dxfId="4022" priority="1021">
      <formula>#REF!="L"</formula>
    </cfRule>
  </conditionalFormatting>
  <conditionalFormatting sqref="AE80">
    <cfRule type="expression" dxfId="4021" priority="1022">
      <formula>#REF!="IO"</formula>
    </cfRule>
    <cfRule type="expression" dxfId="4020" priority="1023">
      <formula>#REF!="L"</formula>
    </cfRule>
    <cfRule type="expression" dxfId="4019" priority="1791">
      <formula>#REF!="TO"</formula>
    </cfRule>
  </conditionalFormatting>
  <conditionalFormatting sqref="AF80:AG80">
    <cfRule type="expression" dxfId="4018" priority="1018">
      <formula>#REF!="TO"</formula>
    </cfRule>
    <cfRule type="expression" dxfId="4017" priority="1019">
      <formula>#REF!="IO"</formula>
    </cfRule>
    <cfRule type="expression" dxfId="4016" priority="1020">
      <formula>#REF!="L"</formula>
    </cfRule>
  </conditionalFormatting>
  <conditionalFormatting sqref="AH80:AI80">
    <cfRule type="expression" dxfId="4015" priority="1012">
      <formula>#REF!="TO"</formula>
    </cfRule>
    <cfRule type="expression" dxfId="4014" priority="1013">
      <formula>#REF!="IO"</formula>
    </cfRule>
    <cfRule type="expression" dxfId="4013" priority="1014">
      <formula>#REF!="L"</formula>
    </cfRule>
  </conditionalFormatting>
  <conditionalFormatting sqref="AJ80">
    <cfRule type="expression" dxfId="4012" priority="1009">
      <formula>#REF!="TO"</formula>
    </cfRule>
    <cfRule type="expression" dxfId="4011" priority="1010">
      <formula>#REF!="IO"</formula>
    </cfRule>
    <cfRule type="expression" dxfId="4010" priority="1011">
      <formula>#REF!="L"</formula>
    </cfRule>
  </conditionalFormatting>
  <conditionalFormatting sqref="N81">
    <cfRule type="expression" dxfId="4009" priority="1006">
      <formula>#REF!="TO"</formula>
    </cfRule>
    <cfRule type="expression" dxfId="4008" priority="1007">
      <formula>#REF!="IO"</formula>
    </cfRule>
    <cfRule type="expression" dxfId="4007" priority="1008">
      <formula>#REF!="L"</formula>
    </cfRule>
  </conditionalFormatting>
  <conditionalFormatting sqref="V81 S81">
    <cfRule type="expression" dxfId="4006" priority="997">
      <formula>#REF!="TO"</formula>
    </cfRule>
    <cfRule type="expression" dxfId="4005" priority="997">
      <formula>#REF!="IO"</formula>
    </cfRule>
    <cfRule type="expression" dxfId="4004" priority="997">
      <formula>#REF!="L"</formula>
    </cfRule>
  </conditionalFormatting>
  <conditionalFormatting sqref="Q81">
    <cfRule type="expression" dxfId="4003" priority="998">
      <formula>#REF!="IO"</formula>
    </cfRule>
    <cfRule type="expression" dxfId="4002" priority="999">
      <formula>#REF!="L"</formula>
    </cfRule>
    <cfRule type="expression" dxfId="4001" priority="1792">
      <formula>#REF!="TO"</formula>
    </cfRule>
  </conditionalFormatting>
  <conditionalFormatting sqref="R81:S81">
    <cfRule type="expression" dxfId="4000" priority="994">
      <formula>#REF!="TO"</formula>
    </cfRule>
    <cfRule type="expression" dxfId="3999" priority="995">
      <formula>#REF!="IO"</formula>
    </cfRule>
    <cfRule type="expression" dxfId="3998" priority="996">
      <formula>#REF!="L"</formula>
    </cfRule>
  </conditionalFormatting>
  <conditionalFormatting sqref="T81:U81">
    <cfRule type="expression" dxfId="3997" priority="988">
      <formula>#REF!="TO"</formula>
    </cfRule>
    <cfRule type="expression" dxfId="3996" priority="989">
      <formula>#REF!="IO"</formula>
    </cfRule>
    <cfRule type="expression" dxfId="3995" priority="990">
      <formula>#REF!="L"</formula>
    </cfRule>
  </conditionalFormatting>
  <conditionalFormatting sqref="V81">
    <cfRule type="expression" dxfId="3994" priority="985">
      <formula>#REF!="TO"</formula>
    </cfRule>
    <cfRule type="expression" dxfId="3993" priority="986">
      <formula>#REF!="IO"</formula>
    </cfRule>
    <cfRule type="expression" dxfId="3992" priority="987">
      <formula>#REF!="L"</formula>
    </cfRule>
  </conditionalFormatting>
  <conditionalFormatting sqref="AC81 Z81">
    <cfRule type="expression" dxfId="3991" priority="982">
      <formula>#REF!="TO"</formula>
    </cfRule>
    <cfRule type="expression" dxfId="3990" priority="982">
      <formula>#REF!="IO"</formula>
    </cfRule>
    <cfRule type="expression" dxfId="3989" priority="982">
      <formula>#REF!="L"</formula>
    </cfRule>
  </conditionalFormatting>
  <conditionalFormatting sqref="X81">
    <cfRule type="expression" dxfId="3988" priority="983">
      <formula>#REF!="IO"</formula>
    </cfRule>
    <cfRule type="expression" dxfId="3987" priority="984">
      <formula>#REF!="L"</formula>
    </cfRule>
    <cfRule type="expression" dxfId="3986" priority="1793">
      <formula>#REF!="TO"</formula>
    </cfRule>
  </conditionalFormatting>
  <conditionalFormatting sqref="Y81:Z81">
    <cfRule type="expression" dxfId="3985" priority="979">
      <formula>#REF!="TO"</formula>
    </cfRule>
    <cfRule type="expression" dxfId="3984" priority="980">
      <formula>#REF!="IO"</formula>
    </cfRule>
    <cfRule type="expression" dxfId="3983" priority="981">
      <formula>#REF!="L"</formula>
    </cfRule>
  </conditionalFormatting>
  <conditionalFormatting sqref="AA81:AB81">
    <cfRule type="expression" dxfId="3982" priority="973">
      <formula>#REF!="TO"</formula>
    </cfRule>
    <cfRule type="expression" dxfId="3981" priority="974">
      <formula>#REF!="IO"</formula>
    </cfRule>
    <cfRule type="expression" dxfId="3980" priority="975">
      <formula>#REF!="L"</formula>
    </cfRule>
  </conditionalFormatting>
  <conditionalFormatting sqref="AC81">
    <cfRule type="expression" dxfId="3979" priority="970">
      <formula>#REF!="TO"</formula>
    </cfRule>
    <cfRule type="expression" dxfId="3978" priority="971">
      <formula>#REF!="IO"</formula>
    </cfRule>
    <cfRule type="expression" dxfId="3977" priority="972">
      <formula>#REF!="L"</formula>
    </cfRule>
  </conditionalFormatting>
  <conditionalFormatting sqref="AJ81 AG81">
    <cfRule type="expression" dxfId="3976" priority="967">
      <formula>#REF!="TO"</formula>
    </cfRule>
    <cfRule type="expression" dxfId="3975" priority="967">
      <formula>#REF!="IO"</formula>
    </cfRule>
    <cfRule type="expression" dxfId="3974" priority="967">
      <formula>#REF!="L"</formula>
    </cfRule>
  </conditionalFormatting>
  <conditionalFormatting sqref="AE81">
    <cfRule type="expression" dxfId="3973" priority="968">
      <formula>#REF!="IO"</formula>
    </cfRule>
    <cfRule type="expression" dxfId="3972" priority="969">
      <formula>#REF!="L"</formula>
    </cfRule>
    <cfRule type="expression" dxfId="3971" priority="1794">
      <formula>#REF!="TO"</formula>
    </cfRule>
  </conditionalFormatting>
  <conditionalFormatting sqref="AF81:AG81">
    <cfRule type="expression" dxfId="3970" priority="964">
      <formula>#REF!="TO"</formula>
    </cfRule>
    <cfRule type="expression" dxfId="3969" priority="965">
      <formula>#REF!="IO"</formula>
    </cfRule>
    <cfRule type="expression" dxfId="3968" priority="966">
      <formula>#REF!="L"</formula>
    </cfRule>
  </conditionalFormatting>
  <conditionalFormatting sqref="AH81:AI81">
    <cfRule type="expression" dxfId="3967" priority="958">
      <formula>#REF!="TO"</formula>
    </cfRule>
    <cfRule type="expression" dxfId="3966" priority="959">
      <formula>#REF!="IO"</formula>
    </cfRule>
    <cfRule type="expression" dxfId="3965" priority="960">
      <formula>#REF!="L"</formula>
    </cfRule>
  </conditionalFormatting>
  <conditionalFormatting sqref="AJ81">
    <cfRule type="expression" dxfId="3964" priority="955">
      <formula>#REF!="TO"</formula>
    </cfRule>
    <cfRule type="expression" dxfId="3963" priority="956">
      <formula>#REF!="IO"</formula>
    </cfRule>
    <cfRule type="expression" dxfId="3962" priority="957">
      <formula>#REF!="L"</formula>
    </cfRule>
  </conditionalFormatting>
  <conditionalFormatting sqref="W9:W17 W4:W5 W21:W24">
    <cfRule type="expression" dxfId="3961" priority="7975">
      <formula>R4="TO"</formula>
    </cfRule>
    <cfRule type="expression" dxfId="3960" priority="7976">
      <formula>R4="IO"</formula>
    </cfRule>
    <cfRule type="expression" dxfId="3959" priority="7977">
      <formula>R4="L"</formula>
    </cfRule>
  </conditionalFormatting>
  <conditionalFormatting sqref="U14:U21">
    <cfRule type="expression" dxfId="3958" priority="952">
      <formula>#REF!="TO"</formula>
    </cfRule>
    <cfRule type="expression" dxfId="3957" priority="953">
      <formula>#REF!="IO"</formula>
    </cfRule>
    <cfRule type="expression" dxfId="3956" priority="954">
      <formula>#REF!="L"</formula>
    </cfRule>
  </conditionalFormatting>
  <conditionalFormatting sqref="U14">
    <cfRule type="expression" dxfId="3955" priority="949">
      <formula>#REF!="TO"</formula>
    </cfRule>
    <cfRule type="expression" dxfId="3954" priority="950">
      <formula>#REF!="IO"</formula>
    </cfRule>
    <cfRule type="expression" dxfId="3953" priority="951">
      <formula>#REF!="L"</formula>
    </cfRule>
  </conditionalFormatting>
  <conditionalFormatting sqref="U13">
    <cfRule type="expression" dxfId="3952" priority="946">
      <formula>#REF!="TO"</formula>
    </cfRule>
    <cfRule type="expression" dxfId="3951" priority="947">
      <formula>#REF!="IO"</formula>
    </cfRule>
    <cfRule type="expression" dxfId="3950" priority="948">
      <formula>#REF!="L"</formula>
    </cfRule>
    <cfRule type="expression" dxfId="3949" priority="943">
      <formula>#REF!="TO"</formula>
    </cfRule>
    <cfRule type="expression" dxfId="3948" priority="944">
      <formula>#REF!="IO"</formula>
    </cfRule>
    <cfRule type="expression" dxfId="3947" priority="945">
      <formula>#REF!="L"</formula>
    </cfRule>
  </conditionalFormatting>
  <conditionalFormatting sqref="AD26">
    <cfRule type="expression" dxfId="3946" priority="931">
      <formula>Y26="TO"</formula>
    </cfRule>
    <cfRule type="expression" dxfId="3945" priority="932">
      <formula>Y26="IO"</formula>
    </cfRule>
    <cfRule type="expression" dxfId="3944" priority="933">
      <formula>Y26="L"</formula>
    </cfRule>
    <cfRule type="expression" dxfId="3943" priority="898">
      <formula>Y26="TO"</formula>
    </cfRule>
    <cfRule type="expression" dxfId="3942" priority="899">
      <formula>Y26="IO"</formula>
    </cfRule>
    <cfRule type="expression" dxfId="3941" priority="900">
      <formula>Y26="L"</formula>
    </cfRule>
  </conditionalFormatting>
  <conditionalFormatting sqref="W26">
    <cfRule type="expression" dxfId="3940" priority="937">
      <formula>R26="TO"</formula>
    </cfRule>
    <cfRule type="expression" dxfId="3939" priority="938">
      <formula>R26="IO"</formula>
    </cfRule>
    <cfRule type="expression" dxfId="3938" priority="939">
      <formula>R26="L"</formula>
    </cfRule>
    <cfRule type="expression" dxfId="3937" priority="904">
      <formula>R26="TO"</formula>
    </cfRule>
    <cfRule type="expression" dxfId="3936" priority="905">
      <formula>R26="IO"</formula>
    </cfRule>
    <cfRule type="expression" dxfId="3935" priority="906">
      <formula>R26="L"</formula>
    </cfRule>
  </conditionalFormatting>
  <conditionalFormatting sqref="P26">
    <cfRule type="expression" dxfId="3934" priority="940">
      <formula>J28="TO"</formula>
    </cfRule>
    <cfRule type="expression" dxfId="3933" priority="941">
      <formula>J28="IO"</formula>
    </cfRule>
    <cfRule type="expression" dxfId="3932" priority="942">
      <formula>J28="L"</formula>
    </cfRule>
    <cfRule type="expression" dxfId="3931" priority="901">
      <formula>J27="TO"</formula>
    </cfRule>
    <cfRule type="expression" dxfId="3930" priority="902">
      <formula>J27="IO"</formula>
    </cfRule>
    <cfRule type="expression" dxfId="3929" priority="903">
      <formula>J27="L"</formula>
    </cfRule>
  </conditionalFormatting>
  <conditionalFormatting sqref="P25">
    <cfRule type="expression" dxfId="3928" priority="922">
      <formula>J26="TO"</formula>
    </cfRule>
    <cfRule type="expression" dxfId="3927" priority="923">
      <formula>J26="IO"</formula>
    </cfRule>
    <cfRule type="expression" dxfId="3926" priority="924">
      <formula>J26="L"</formula>
    </cfRule>
  </conditionalFormatting>
  <conditionalFormatting sqref="AD25">
    <cfRule type="expression" dxfId="3925" priority="919">
      <formula>Y25="TO"</formula>
    </cfRule>
    <cfRule type="expression" dxfId="3924" priority="920">
      <formula>Y25="IO"</formula>
    </cfRule>
    <cfRule type="expression" dxfId="3923" priority="921">
      <formula>Y25="L"</formula>
    </cfRule>
  </conditionalFormatting>
  <conditionalFormatting sqref="W25">
    <cfRule type="expression" dxfId="3922" priority="928">
      <formula>R25="TO"</formula>
    </cfRule>
    <cfRule type="expression" dxfId="3921" priority="929">
      <formula>R25="IO"</formula>
    </cfRule>
    <cfRule type="expression" dxfId="3920" priority="930">
      <formula>R25="L"</formula>
    </cfRule>
  </conditionalFormatting>
  <conditionalFormatting sqref="AD27">
    <cfRule type="expression" dxfId="3919" priority="865">
      <formula>Y27="TO"</formula>
    </cfRule>
    <cfRule type="expression" dxfId="3918" priority="866">
      <formula>Y27="IO"</formula>
    </cfRule>
    <cfRule type="expression" dxfId="3917" priority="867">
      <formula>Y27="L"</formula>
    </cfRule>
    <cfRule type="expression" dxfId="3916" priority="874">
      <formula>Y27="TO"</formula>
    </cfRule>
    <cfRule type="expression" dxfId="3915" priority="875">
      <formula>Y27="IO"</formula>
    </cfRule>
    <cfRule type="expression" dxfId="3914" priority="876">
      <formula>Y27="L"</formula>
    </cfRule>
  </conditionalFormatting>
  <conditionalFormatting sqref="N27 P27:AJ27">
    <cfRule type="expression" dxfId="3913" priority="883">
      <formula>#REF!="TO"</formula>
    </cfRule>
    <cfRule type="expression" dxfId="3912" priority="884">
      <formula>#REF!="IO"</formula>
    </cfRule>
    <cfRule type="expression" dxfId="3911" priority="885">
      <formula>#REF!="L"</formula>
    </cfRule>
  </conditionalFormatting>
  <conditionalFormatting sqref="W27">
    <cfRule type="expression" dxfId="3910" priority="877">
      <formula>R27="TO"</formula>
    </cfRule>
    <cfRule type="expression" dxfId="3909" priority="878">
      <formula>R27="IO"</formula>
    </cfRule>
    <cfRule type="expression" dxfId="3908" priority="879">
      <formula>R27="L"</formula>
    </cfRule>
    <cfRule type="expression" dxfId="3907" priority="871">
      <formula>R27="TO"</formula>
    </cfRule>
    <cfRule type="expression" dxfId="3906" priority="872">
      <formula>R27="IO"</formula>
    </cfRule>
    <cfRule type="expression" dxfId="3905" priority="873">
      <formula>R27="L"</formula>
    </cfRule>
  </conditionalFormatting>
  <conditionalFormatting sqref="P27">
    <cfRule type="expression" dxfId="3904" priority="880">
      <formula>J29="TO"</formula>
    </cfRule>
    <cfRule type="expression" dxfId="3903" priority="881">
      <formula>J29="IO"</formula>
    </cfRule>
    <cfRule type="expression" dxfId="3902" priority="882">
      <formula>J29="L"</formula>
    </cfRule>
    <cfRule type="expression" dxfId="3901" priority="868">
      <formula>J28="TO"</formula>
    </cfRule>
    <cfRule type="expression" dxfId="3900" priority="869">
      <formula>J28="IO"</formula>
    </cfRule>
    <cfRule type="expression" dxfId="3899" priority="870">
      <formula>J28="L"</formula>
    </cfRule>
  </conditionalFormatting>
  <conditionalFormatting sqref="N28 P28:AJ28">
    <cfRule type="expression" dxfId="3898" priority="850">
      <formula>#REF!="TO"</formula>
    </cfRule>
    <cfRule type="expression" dxfId="3897" priority="851">
      <formula>#REF!="IO"</formula>
    </cfRule>
    <cfRule type="expression" dxfId="3896" priority="852">
      <formula>#REF!="L"</formula>
    </cfRule>
  </conditionalFormatting>
  <conditionalFormatting sqref="AD28">
    <cfRule type="expression" dxfId="3895" priority="841">
      <formula>Y28="TO"</formula>
    </cfRule>
    <cfRule type="expression" dxfId="3894" priority="842">
      <formula>Y28="IO"</formula>
    </cfRule>
    <cfRule type="expression" dxfId="3893" priority="843">
      <formula>Y28="L"</formula>
    </cfRule>
    <cfRule type="expression" dxfId="3892" priority="832">
      <formula>Y28="TO"</formula>
    </cfRule>
    <cfRule type="expression" dxfId="3891" priority="833">
      <formula>Y28="IO"</formula>
    </cfRule>
    <cfRule type="expression" dxfId="3890" priority="834">
      <formula>Y28="L"</formula>
    </cfRule>
  </conditionalFormatting>
  <conditionalFormatting sqref="W28">
    <cfRule type="expression" dxfId="3889" priority="844">
      <formula>R28="TO"</formula>
    </cfRule>
    <cfRule type="expression" dxfId="3888" priority="845">
      <formula>R28="IO"</formula>
    </cfRule>
    <cfRule type="expression" dxfId="3887" priority="846">
      <formula>R28="L"</formula>
    </cfRule>
    <cfRule type="expression" dxfId="3886" priority="838">
      <formula>R28="TO"</formula>
    </cfRule>
    <cfRule type="expression" dxfId="3885" priority="839">
      <formula>R28="IO"</formula>
    </cfRule>
    <cfRule type="expression" dxfId="3884" priority="840">
      <formula>R28="L"</formula>
    </cfRule>
  </conditionalFormatting>
  <conditionalFormatting sqref="P28">
    <cfRule type="expression" dxfId="3883" priority="847">
      <formula>J30="TO"</formula>
    </cfRule>
    <cfRule type="expression" dxfId="3882" priority="848">
      <formula>J30="IO"</formula>
    </cfRule>
    <cfRule type="expression" dxfId="3881" priority="849">
      <formula>J30="L"</formula>
    </cfRule>
    <cfRule type="expression" dxfId="3880" priority="835">
      <formula>J29="TO"</formula>
    </cfRule>
    <cfRule type="expression" dxfId="3879" priority="836">
      <formula>J29="IO"</formula>
    </cfRule>
    <cfRule type="expression" dxfId="3878" priority="837">
      <formula>J29="L"</formula>
    </cfRule>
  </conditionalFormatting>
  <conditionalFormatting sqref="AM28:AQ28">
    <cfRule type="expression" dxfId="3877" priority="667">
      <formula>#REF!="TO"</formula>
    </cfRule>
    <cfRule type="expression" dxfId="3876" priority="668">
      <formula>#REF!="IO"</formula>
    </cfRule>
    <cfRule type="expression" dxfId="3875" priority="669">
      <formula>#REF!="L"</formula>
    </cfRule>
  </conditionalFormatting>
  <conditionalFormatting sqref="AO3:AO24 AM15:AN24 AP4:AQ24 AM33:AQ69 AM25:AQ26">
    <cfRule type="expression" dxfId="3874" priority="820">
      <formula>#REF!="TO"</formula>
    </cfRule>
    <cfRule type="expression" dxfId="3873" priority="821">
      <formula>#REF!="IO"</formula>
    </cfRule>
    <cfRule type="expression" dxfId="3872" priority="822">
      <formula>#REF!="L"</formula>
    </cfRule>
  </conditionalFormatting>
  <conditionalFormatting sqref="AM3:AM14">
    <cfRule type="expression" dxfId="3871" priority="817">
      <formula>#REF!="TO"</formula>
    </cfRule>
    <cfRule type="expression" dxfId="3870" priority="818">
      <formula>#REF!="IO"</formula>
    </cfRule>
    <cfRule type="expression" dxfId="3869" priority="819">
      <formula>#REF!="L"</formula>
    </cfRule>
  </conditionalFormatting>
  <conditionalFormatting sqref="AN3:AO14">
    <cfRule type="expression" dxfId="3868" priority="814">
      <formula>#REF!="TO"</formula>
    </cfRule>
    <cfRule type="expression" dxfId="3867" priority="815">
      <formula>#REF!="IO"</formula>
    </cfRule>
    <cfRule type="expression" dxfId="3866" priority="816">
      <formula>#REF!="L"</formula>
    </cfRule>
  </conditionalFormatting>
  <conditionalFormatting sqref="AP3:AQ3">
    <cfRule type="expression" dxfId="3865" priority="811">
      <formula>#REF!="TO"</formula>
    </cfRule>
    <cfRule type="expression" dxfId="3864" priority="812">
      <formula>#REF!="IO"</formula>
    </cfRule>
    <cfRule type="expression" dxfId="3863" priority="813">
      <formula>#REF!="L"</formula>
    </cfRule>
  </conditionalFormatting>
  <conditionalFormatting sqref="AO70">
    <cfRule type="expression" dxfId="3862" priority="802">
      <formula>#REF!="TO"</formula>
    </cfRule>
    <cfRule type="expression" dxfId="3861" priority="803">
      <formula>#REF!="IO"</formula>
    </cfRule>
    <cfRule type="expression" dxfId="3860" priority="804">
      <formula>#REF!="L"</formula>
    </cfRule>
  </conditionalFormatting>
  <conditionalFormatting sqref="AM70">
    <cfRule type="expression" dxfId="3859" priority="808">
      <formula>#REF!="TO"</formula>
    </cfRule>
    <cfRule type="expression" dxfId="3858" priority="809">
      <formula>#REF!="IO"</formula>
    </cfRule>
    <cfRule type="expression" dxfId="3857" priority="810">
      <formula>#REF!="L"</formula>
    </cfRule>
  </conditionalFormatting>
  <conditionalFormatting sqref="AN70:AO70">
    <cfRule type="expression" dxfId="3856" priority="805">
      <formula>#REF!="TO"</formula>
    </cfRule>
    <cfRule type="expression" dxfId="3855" priority="806">
      <formula>#REF!="IO"</formula>
    </cfRule>
    <cfRule type="expression" dxfId="3854" priority="807">
      <formula>#REF!="L"</formula>
    </cfRule>
  </conditionalFormatting>
  <conditionalFormatting sqref="AP70:AQ70">
    <cfRule type="expression" dxfId="3853" priority="799">
      <formula>#REF!="TO"</formula>
    </cfRule>
    <cfRule type="expression" dxfId="3852" priority="800">
      <formula>#REF!="IO"</formula>
    </cfRule>
    <cfRule type="expression" dxfId="3851" priority="801">
      <formula>#REF!="L"</formula>
    </cfRule>
  </conditionalFormatting>
  <conditionalFormatting sqref="AO71">
    <cfRule type="expression" dxfId="3850" priority="790">
      <formula>#REF!="TO"</formula>
    </cfRule>
    <cfRule type="expression" dxfId="3849" priority="791">
      <formula>#REF!="IO"</formula>
    </cfRule>
    <cfRule type="expression" dxfId="3848" priority="792">
      <formula>#REF!="L"</formula>
    </cfRule>
  </conditionalFormatting>
  <conditionalFormatting sqref="AM71">
    <cfRule type="expression" dxfId="3847" priority="796">
      <formula>#REF!="TO"</formula>
    </cfRule>
    <cfRule type="expression" dxfId="3846" priority="797">
      <formula>#REF!="IO"</formula>
    </cfRule>
    <cfRule type="expression" dxfId="3845" priority="798">
      <formula>#REF!="L"</formula>
    </cfRule>
  </conditionalFormatting>
  <conditionalFormatting sqref="AN71:AO71">
    <cfRule type="expression" dxfId="3844" priority="793">
      <formula>#REF!="TO"</formula>
    </cfRule>
    <cfRule type="expression" dxfId="3843" priority="794">
      <formula>#REF!="IO"</formula>
    </cfRule>
    <cfRule type="expression" dxfId="3842" priority="795">
      <formula>#REF!="L"</formula>
    </cfRule>
  </conditionalFormatting>
  <conditionalFormatting sqref="AP71:AQ71">
    <cfRule type="expression" dxfId="3841" priority="787">
      <formula>#REF!="TO"</formula>
    </cfRule>
    <cfRule type="expression" dxfId="3840" priority="788">
      <formula>#REF!="IO"</formula>
    </cfRule>
    <cfRule type="expression" dxfId="3839" priority="789">
      <formula>#REF!="L"</formula>
    </cfRule>
  </conditionalFormatting>
  <conditionalFormatting sqref="AO72">
    <cfRule type="expression" dxfId="3838" priority="778">
      <formula>#REF!="TO"</formula>
    </cfRule>
    <cfRule type="expression" dxfId="3837" priority="779">
      <formula>#REF!="IO"</formula>
    </cfRule>
    <cfRule type="expression" dxfId="3836" priority="780">
      <formula>#REF!="L"</formula>
    </cfRule>
  </conditionalFormatting>
  <conditionalFormatting sqref="AM72">
    <cfRule type="expression" dxfId="3835" priority="784">
      <formula>#REF!="TO"</formula>
    </cfRule>
    <cfRule type="expression" dxfId="3834" priority="785">
      <formula>#REF!="IO"</formula>
    </cfRule>
    <cfRule type="expression" dxfId="3833" priority="786">
      <formula>#REF!="L"</formula>
    </cfRule>
  </conditionalFormatting>
  <conditionalFormatting sqref="AN72:AO72">
    <cfRule type="expression" dxfId="3832" priority="781">
      <formula>#REF!="TO"</formula>
    </cfRule>
    <cfRule type="expression" dxfId="3831" priority="782">
      <formula>#REF!="IO"</formula>
    </cfRule>
    <cfRule type="expression" dxfId="3830" priority="783">
      <formula>#REF!="L"</formula>
    </cfRule>
  </conditionalFormatting>
  <conditionalFormatting sqref="AP72:AQ72">
    <cfRule type="expression" dxfId="3829" priority="775">
      <formula>#REF!="TO"</formula>
    </cfRule>
    <cfRule type="expression" dxfId="3828" priority="776">
      <formula>#REF!="IO"</formula>
    </cfRule>
    <cfRule type="expression" dxfId="3827" priority="777">
      <formula>#REF!="L"</formula>
    </cfRule>
  </conditionalFormatting>
  <conditionalFormatting sqref="AO73">
    <cfRule type="expression" dxfId="3826" priority="766">
      <formula>#REF!="TO"</formula>
    </cfRule>
    <cfRule type="expression" dxfId="3825" priority="767">
      <formula>#REF!="IO"</formula>
    </cfRule>
    <cfRule type="expression" dxfId="3824" priority="768">
      <formula>#REF!="L"</formula>
    </cfRule>
  </conditionalFormatting>
  <conditionalFormatting sqref="AM73">
    <cfRule type="expression" dxfId="3823" priority="772">
      <formula>#REF!="TO"</formula>
    </cfRule>
    <cfRule type="expression" dxfId="3822" priority="773">
      <formula>#REF!="IO"</formula>
    </cfRule>
    <cfRule type="expression" dxfId="3821" priority="774">
      <formula>#REF!="L"</formula>
    </cfRule>
  </conditionalFormatting>
  <conditionalFormatting sqref="AN73:AO73">
    <cfRule type="expression" dxfId="3820" priority="769">
      <formula>#REF!="TO"</formula>
    </cfRule>
    <cfRule type="expression" dxfId="3819" priority="770">
      <formula>#REF!="IO"</formula>
    </cfRule>
    <cfRule type="expression" dxfId="3818" priority="771">
      <formula>#REF!="L"</formula>
    </cfRule>
  </conditionalFormatting>
  <conditionalFormatting sqref="AP73:AQ73">
    <cfRule type="expression" dxfId="3817" priority="763">
      <formula>#REF!="TO"</formula>
    </cfRule>
    <cfRule type="expression" dxfId="3816" priority="764">
      <formula>#REF!="IO"</formula>
    </cfRule>
    <cfRule type="expression" dxfId="3815" priority="765">
      <formula>#REF!="L"</formula>
    </cfRule>
  </conditionalFormatting>
  <conditionalFormatting sqref="AO74">
    <cfRule type="expression" dxfId="3814" priority="754">
      <formula>#REF!="TO"</formula>
    </cfRule>
    <cfRule type="expression" dxfId="3813" priority="755">
      <formula>#REF!="IO"</formula>
    </cfRule>
    <cfRule type="expression" dxfId="3812" priority="756">
      <formula>#REF!="L"</formula>
    </cfRule>
  </conditionalFormatting>
  <conditionalFormatting sqref="AM74">
    <cfRule type="expression" dxfId="3811" priority="760">
      <formula>#REF!="TO"</formula>
    </cfRule>
    <cfRule type="expression" dxfId="3810" priority="761">
      <formula>#REF!="IO"</formula>
    </cfRule>
    <cfRule type="expression" dxfId="3809" priority="762">
      <formula>#REF!="L"</formula>
    </cfRule>
  </conditionalFormatting>
  <conditionalFormatting sqref="AN74:AO74">
    <cfRule type="expression" dxfId="3808" priority="757">
      <formula>#REF!="TO"</formula>
    </cfRule>
    <cfRule type="expression" dxfId="3807" priority="758">
      <formula>#REF!="IO"</formula>
    </cfRule>
    <cfRule type="expression" dxfId="3806" priority="759">
      <formula>#REF!="L"</formula>
    </cfRule>
  </conditionalFormatting>
  <conditionalFormatting sqref="AP74:AQ74">
    <cfRule type="expression" dxfId="3805" priority="751">
      <formula>#REF!="TO"</formula>
    </cfRule>
    <cfRule type="expression" dxfId="3804" priority="752">
      <formula>#REF!="IO"</formula>
    </cfRule>
    <cfRule type="expression" dxfId="3803" priority="753">
      <formula>#REF!="L"</formula>
    </cfRule>
  </conditionalFormatting>
  <conditionalFormatting sqref="AO75">
    <cfRule type="expression" dxfId="3802" priority="742">
      <formula>#REF!="TO"</formula>
    </cfRule>
    <cfRule type="expression" dxfId="3801" priority="743">
      <formula>#REF!="IO"</formula>
    </cfRule>
    <cfRule type="expression" dxfId="3800" priority="744">
      <formula>#REF!="L"</formula>
    </cfRule>
  </conditionalFormatting>
  <conditionalFormatting sqref="AM75">
    <cfRule type="expression" dxfId="3799" priority="748">
      <formula>#REF!="TO"</formula>
    </cfRule>
    <cfRule type="expression" dxfId="3798" priority="749">
      <formula>#REF!="IO"</formula>
    </cfRule>
    <cfRule type="expression" dxfId="3797" priority="750">
      <formula>#REF!="L"</formula>
    </cfRule>
  </conditionalFormatting>
  <conditionalFormatting sqref="AN75:AO75">
    <cfRule type="expression" dxfId="3796" priority="745">
      <formula>#REF!="TO"</formula>
    </cfRule>
    <cfRule type="expression" dxfId="3795" priority="746">
      <formula>#REF!="IO"</formula>
    </cfRule>
    <cfRule type="expression" dxfId="3794" priority="747">
      <formula>#REF!="L"</formula>
    </cfRule>
  </conditionalFormatting>
  <conditionalFormatting sqref="AP75:AQ75">
    <cfRule type="expression" dxfId="3793" priority="739">
      <formula>#REF!="TO"</formula>
    </cfRule>
    <cfRule type="expression" dxfId="3792" priority="740">
      <formula>#REF!="IO"</formula>
    </cfRule>
    <cfRule type="expression" dxfId="3791" priority="741">
      <formula>#REF!="L"</formula>
    </cfRule>
  </conditionalFormatting>
  <conditionalFormatting sqref="AO76">
    <cfRule type="expression" dxfId="3790" priority="730">
      <formula>#REF!="TO"</formula>
    </cfRule>
    <cfRule type="expression" dxfId="3789" priority="731">
      <formula>#REF!="IO"</formula>
    </cfRule>
    <cfRule type="expression" dxfId="3788" priority="732">
      <formula>#REF!="L"</formula>
    </cfRule>
  </conditionalFormatting>
  <conditionalFormatting sqref="AM76">
    <cfRule type="expression" dxfId="3787" priority="736">
      <formula>#REF!="TO"</formula>
    </cfRule>
    <cfRule type="expression" dxfId="3786" priority="737">
      <formula>#REF!="IO"</formula>
    </cfRule>
    <cfRule type="expression" dxfId="3785" priority="738">
      <formula>#REF!="L"</formula>
    </cfRule>
  </conditionalFormatting>
  <conditionalFormatting sqref="AN76:AO76">
    <cfRule type="expression" dxfId="3784" priority="733">
      <formula>#REF!="TO"</formula>
    </cfRule>
    <cfRule type="expression" dxfId="3783" priority="734">
      <formula>#REF!="IO"</formula>
    </cfRule>
    <cfRule type="expression" dxfId="3782" priority="735">
      <formula>#REF!="L"</formula>
    </cfRule>
  </conditionalFormatting>
  <conditionalFormatting sqref="AP76:AQ76">
    <cfRule type="expression" dxfId="3781" priority="727">
      <formula>#REF!="TO"</formula>
    </cfRule>
    <cfRule type="expression" dxfId="3780" priority="728">
      <formula>#REF!="IO"</formula>
    </cfRule>
    <cfRule type="expression" dxfId="3779" priority="729">
      <formula>#REF!="L"</formula>
    </cfRule>
  </conditionalFormatting>
  <conditionalFormatting sqref="AO77">
    <cfRule type="expression" dxfId="3778" priority="718">
      <formula>#REF!="TO"</formula>
    </cfRule>
    <cfRule type="expression" dxfId="3777" priority="719">
      <formula>#REF!="IO"</formula>
    </cfRule>
    <cfRule type="expression" dxfId="3776" priority="720">
      <formula>#REF!="L"</formula>
    </cfRule>
  </conditionalFormatting>
  <conditionalFormatting sqref="AM77">
    <cfRule type="expression" dxfId="3775" priority="724">
      <formula>#REF!="TO"</formula>
    </cfRule>
    <cfRule type="expression" dxfId="3774" priority="725">
      <formula>#REF!="IO"</formula>
    </cfRule>
    <cfRule type="expression" dxfId="3773" priority="726">
      <formula>#REF!="L"</formula>
    </cfRule>
  </conditionalFormatting>
  <conditionalFormatting sqref="AN77:AO77">
    <cfRule type="expression" dxfId="3772" priority="721">
      <formula>#REF!="TO"</formula>
    </cfRule>
    <cfRule type="expression" dxfId="3771" priority="722">
      <formula>#REF!="IO"</formula>
    </cfRule>
    <cfRule type="expression" dxfId="3770" priority="723">
      <formula>#REF!="L"</formula>
    </cfRule>
  </conditionalFormatting>
  <conditionalFormatting sqref="AP77:AQ77">
    <cfRule type="expression" dxfId="3769" priority="715">
      <formula>#REF!="TO"</formula>
    </cfRule>
    <cfRule type="expression" dxfId="3768" priority="716">
      <formula>#REF!="IO"</formula>
    </cfRule>
    <cfRule type="expression" dxfId="3767" priority="717">
      <formula>#REF!="L"</formula>
    </cfRule>
  </conditionalFormatting>
  <conditionalFormatting sqref="AO78">
    <cfRule type="expression" dxfId="3766" priority="706">
      <formula>#REF!="TO"</formula>
    </cfRule>
    <cfRule type="expression" dxfId="3765" priority="707">
      <formula>#REF!="IO"</formula>
    </cfRule>
    <cfRule type="expression" dxfId="3764" priority="708">
      <formula>#REF!="L"</formula>
    </cfRule>
  </conditionalFormatting>
  <conditionalFormatting sqref="AM78">
    <cfRule type="expression" dxfId="3763" priority="712">
      <formula>#REF!="TO"</formula>
    </cfRule>
    <cfRule type="expression" dxfId="3762" priority="713">
      <formula>#REF!="IO"</formula>
    </cfRule>
    <cfRule type="expression" dxfId="3761" priority="714">
      <formula>#REF!="L"</formula>
    </cfRule>
  </conditionalFormatting>
  <conditionalFormatting sqref="AN78:AO78">
    <cfRule type="expression" dxfId="3760" priority="709">
      <formula>#REF!="TO"</formula>
    </cfRule>
    <cfRule type="expression" dxfId="3759" priority="710">
      <formula>#REF!="IO"</formula>
    </cfRule>
    <cfRule type="expression" dxfId="3758" priority="711">
      <formula>#REF!="L"</formula>
    </cfRule>
  </conditionalFormatting>
  <conditionalFormatting sqref="AP78:AQ78">
    <cfRule type="expression" dxfId="3757" priority="703">
      <formula>#REF!="TO"</formula>
    </cfRule>
    <cfRule type="expression" dxfId="3756" priority="704">
      <formula>#REF!="IO"</formula>
    </cfRule>
    <cfRule type="expression" dxfId="3755" priority="705">
      <formula>#REF!="L"</formula>
    </cfRule>
  </conditionalFormatting>
  <conditionalFormatting sqref="AO79">
    <cfRule type="expression" dxfId="3754" priority="700">
      <formula>#REF!="TO"</formula>
    </cfRule>
  </conditionalFormatting>
  <conditionalFormatting sqref="AM79">
    <cfRule type="expression" dxfId="3753" priority="701">
      <formula>#REF!="IO"</formula>
    </cfRule>
    <cfRule type="expression" dxfId="3752" priority="702">
      <formula>#REF!="L"</formula>
    </cfRule>
    <cfRule type="expression" dxfId="3751" priority="823">
      <formula>#REF!="TO"</formula>
    </cfRule>
  </conditionalFormatting>
  <conditionalFormatting sqref="AN79:AO79">
    <cfRule type="expression" dxfId="3750" priority="697">
      <formula>#REF!="TO"</formula>
    </cfRule>
    <cfRule type="expression" dxfId="3749" priority="698">
      <formula>#REF!="IO"</formula>
    </cfRule>
    <cfRule type="expression" dxfId="3748" priority="699">
      <formula>#REF!="L"</formula>
    </cfRule>
  </conditionalFormatting>
  <conditionalFormatting sqref="AP79:AQ79">
    <cfRule type="expression" dxfId="3747" priority="694">
      <formula>#REF!="TO"</formula>
    </cfRule>
    <cfRule type="expression" dxfId="3746" priority="695">
      <formula>#REF!="IO"</formula>
    </cfRule>
    <cfRule type="expression" dxfId="3745" priority="696">
      <formula>#REF!="L"</formula>
    </cfRule>
  </conditionalFormatting>
  <conditionalFormatting sqref="AO80">
    <cfRule type="expression" dxfId="3744" priority="691">
      <formula>#REF!="TO"</formula>
    </cfRule>
  </conditionalFormatting>
  <conditionalFormatting sqref="AM80">
    <cfRule type="expression" dxfId="3743" priority="692">
      <formula>#REF!="IO"</formula>
    </cfRule>
    <cfRule type="expression" dxfId="3742" priority="693">
      <formula>#REF!="L"</formula>
    </cfRule>
    <cfRule type="expression" dxfId="3741" priority="824">
      <formula>#REF!="TO"</formula>
    </cfRule>
  </conditionalFormatting>
  <conditionalFormatting sqref="AN80:AO80">
    <cfRule type="expression" dxfId="3740" priority="688">
      <formula>#REF!="TO"</formula>
    </cfRule>
    <cfRule type="expression" dxfId="3739" priority="689">
      <formula>#REF!="IO"</formula>
    </cfRule>
    <cfRule type="expression" dxfId="3738" priority="690">
      <formula>#REF!="L"</formula>
    </cfRule>
  </conditionalFormatting>
  <conditionalFormatting sqref="AP80:AQ80">
    <cfRule type="expression" dxfId="3737" priority="685">
      <formula>#REF!="TO"</formula>
    </cfRule>
    <cfRule type="expression" dxfId="3736" priority="686">
      <formula>#REF!="IO"</formula>
    </cfRule>
    <cfRule type="expression" dxfId="3735" priority="687">
      <formula>#REF!="L"</formula>
    </cfRule>
  </conditionalFormatting>
  <conditionalFormatting sqref="AO81">
    <cfRule type="expression" dxfId="3734" priority="682">
      <formula>#REF!="TO"</formula>
    </cfRule>
  </conditionalFormatting>
  <conditionalFormatting sqref="AM81">
    <cfRule type="expression" dxfId="3733" priority="683">
      <formula>#REF!="IO"</formula>
    </cfRule>
    <cfRule type="expression" dxfId="3732" priority="684">
      <formula>#REF!="L"</formula>
    </cfRule>
    <cfRule type="expression" dxfId="3731" priority="825">
      <formula>#REF!="TO"</formula>
    </cfRule>
  </conditionalFormatting>
  <conditionalFormatting sqref="AN81:AO81">
    <cfRule type="expression" dxfId="3730" priority="679">
      <formula>#REF!="TO"</formula>
    </cfRule>
    <cfRule type="expression" dxfId="3729" priority="680">
      <formula>#REF!="IO"</formula>
    </cfRule>
    <cfRule type="expression" dxfId="3728" priority="681">
      <formula>#REF!="L"</formula>
    </cfRule>
  </conditionalFormatting>
  <conditionalFormatting sqref="AP81:AQ81">
    <cfRule type="expression" dxfId="3727" priority="676">
      <formula>#REF!="TO"</formula>
    </cfRule>
    <cfRule type="expression" dxfId="3726" priority="677">
      <formula>#REF!="IO"</formula>
    </cfRule>
    <cfRule type="expression" dxfId="3725" priority="678">
      <formula>#REF!="L"</formula>
    </cfRule>
  </conditionalFormatting>
  <conditionalFormatting sqref="AM27:AQ27">
    <cfRule type="expression" dxfId="3724" priority="673">
      <formula>#REF!="TO"</formula>
    </cfRule>
    <cfRule type="expression" dxfId="3723" priority="674">
      <formula>#REF!="IO"</formula>
    </cfRule>
    <cfRule type="expression" dxfId="3722" priority="675">
      <formula>#REF!="L"</formula>
    </cfRule>
  </conditionalFormatting>
  <conditionalFormatting sqref="O16">
    <cfRule type="expression" dxfId="3721" priority="634">
      <formula>#REF!="TO"</formula>
    </cfRule>
    <cfRule type="expression" dxfId="3720" priority="635">
      <formula>#REF!="IO"</formula>
    </cfRule>
    <cfRule type="expression" dxfId="3719" priority="636">
      <formula>#REF!="L"</formula>
    </cfRule>
  </conditionalFormatting>
  <conditionalFormatting sqref="O4">
    <cfRule type="expression" dxfId="3718" priority="661">
      <formula>#REF!="TO"</formula>
    </cfRule>
    <cfRule type="expression" dxfId="3717" priority="662">
      <formula>#REF!="IO"</formula>
    </cfRule>
    <cfRule type="expression" dxfId="3716" priority="663">
      <formula>#REF!="L"</formula>
    </cfRule>
  </conditionalFormatting>
  <conditionalFormatting sqref="O35:O41 O23:O28">
    <cfRule type="expression" dxfId="3715" priority="664">
      <formula>#REF!="TO"</formula>
    </cfRule>
    <cfRule type="expression" dxfId="3714" priority="665">
      <formula>#REF!="IO"</formula>
    </cfRule>
    <cfRule type="expression" dxfId="3713" priority="666">
      <formula>#REF!="L"</formula>
    </cfRule>
  </conditionalFormatting>
  <conditionalFormatting sqref="O5">
    <cfRule type="expression" dxfId="3712" priority="658">
      <formula>#REF!="TO"</formula>
    </cfRule>
    <cfRule type="expression" dxfId="3711" priority="659">
      <formula>#REF!="IO"</formula>
    </cfRule>
    <cfRule type="expression" dxfId="3710" priority="660">
      <formula>#REF!="L"</formula>
    </cfRule>
  </conditionalFormatting>
  <conditionalFormatting sqref="O6">
    <cfRule type="expression" dxfId="3709" priority="655">
      <formula>#REF!="TO"</formula>
    </cfRule>
    <cfRule type="expression" dxfId="3708" priority="656">
      <formula>#REF!="IO"</formula>
    </cfRule>
    <cfRule type="expression" dxfId="3707" priority="657">
      <formula>#REF!="L"</formula>
    </cfRule>
  </conditionalFormatting>
  <conditionalFormatting sqref="O7">
    <cfRule type="expression" dxfId="3706" priority="652">
      <formula>#REF!="TO"</formula>
    </cfRule>
    <cfRule type="expression" dxfId="3705" priority="653">
      <formula>#REF!="IO"</formula>
    </cfRule>
    <cfRule type="expression" dxfId="3704" priority="654">
      <formula>#REF!="L"</formula>
    </cfRule>
  </conditionalFormatting>
  <conditionalFormatting sqref="O8">
    <cfRule type="expression" dxfId="3703" priority="649">
      <formula>#REF!="TO"</formula>
    </cfRule>
    <cfRule type="expression" dxfId="3702" priority="650">
      <formula>#REF!="IO"</formula>
    </cfRule>
    <cfRule type="expression" dxfId="3701" priority="651">
      <formula>#REF!="L"</formula>
    </cfRule>
  </conditionalFormatting>
  <conditionalFormatting sqref="O9:O12">
    <cfRule type="expression" dxfId="3700" priority="646">
      <formula>#REF!="TO"</formula>
    </cfRule>
    <cfRule type="expression" dxfId="3699" priority="647">
      <formula>#REF!="IO"</formula>
    </cfRule>
    <cfRule type="expression" dxfId="3698" priority="648">
      <formula>#REF!="L"</formula>
    </cfRule>
  </conditionalFormatting>
  <conditionalFormatting sqref="O13">
    <cfRule type="expression" dxfId="3697" priority="643">
      <formula>#REF!="TO"</formula>
    </cfRule>
    <cfRule type="expression" dxfId="3696" priority="644">
      <formula>#REF!="IO"</formula>
    </cfRule>
    <cfRule type="expression" dxfId="3695" priority="645">
      <formula>#REF!="L"</formula>
    </cfRule>
  </conditionalFormatting>
  <conditionalFormatting sqref="O14">
    <cfRule type="expression" dxfId="3694" priority="640">
      <formula>#REF!="TO"</formula>
    </cfRule>
    <cfRule type="expression" dxfId="3693" priority="641">
      <formula>#REF!="IO"</formula>
    </cfRule>
    <cfRule type="expression" dxfId="3692" priority="642">
      <formula>#REF!="L"</formula>
    </cfRule>
  </conditionalFormatting>
  <conditionalFormatting sqref="O15">
    <cfRule type="expression" dxfId="3691" priority="637">
      <formula>#REF!="TO"</formula>
    </cfRule>
    <cfRule type="expression" dxfId="3690" priority="638">
      <formula>#REF!="IO"</formula>
    </cfRule>
    <cfRule type="expression" dxfId="3689" priority="639">
      <formula>#REF!="L"</formula>
    </cfRule>
  </conditionalFormatting>
  <conditionalFormatting sqref="O20">
    <cfRule type="expression" dxfId="3688" priority="622">
      <formula>#REF!="TO"</formula>
    </cfRule>
    <cfRule type="expression" dxfId="3687" priority="623">
      <formula>#REF!="IO"</formula>
    </cfRule>
    <cfRule type="expression" dxfId="3686" priority="624">
      <formula>#REF!="L"</formula>
    </cfRule>
  </conditionalFormatting>
  <conditionalFormatting sqref="O17">
    <cfRule type="expression" dxfId="3685" priority="631">
      <formula>#REF!="TO"</formula>
    </cfRule>
    <cfRule type="expression" dxfId="3684" priority="632">
      <formula>#REF!="IO"</formula>
    </cfRule>
    <cfRule type="expression" dxfId="3683" priority="633">
      <formula>#REF!="L"</formula>
    </cfRule>
  </conditionalFormatting>
  <conditionalFormatting sqref="O18">
    <cfRule type="expression" dxfId="3682" priority="628">
      <formula>#REF!="TO"</formula>
    </cfRule>
    <cfRule type="expression" dxfId="3681" priority="629">
      <formula>#REF!="IO"</formula>
    </cfRule>
    <cfRule type="expression" dxfId="3680" priority="630">
      <formula>#REF!="L"</formula>
    </cfRule>
  </conditionalFormatting>
  <conditionalFormatting sqref="O19">
    <cfRule type="expression" dxfId="3679" priority="625">
      <formula>#REF!="TO"</formula>
    </cfRule>
    <cfRule type="expression" dxfId="3678" priority="626">
      <formula>#REF!="IO"</formula>
    </cfRule>
    <cfRule type="expression" dxfId="3677" priority="627">
      <formula>#REF!="L"</formula>
    </cfRule>
  </conditionalFormatting>
  <conditionalFormatting sqref="O21">
    <cfRule type="expression" dxfId="3676" priority="619">
      <formula>#REF!="TO"</formula>
    </cfRule>
    <cfRule type="expression" dxfId="3675" priority="620">
      <formula>#REF!="IO"</formula>
    </cfRule>
    <cfRule type="expression" dxfId="3674" priority="621">
      <formula>#REF!="L"</formula>
    </cfRule>
  </conditionalFormatting>
  <conditionalFormatting sqref="O22:O28">
    <cfRule type="expression" dxfId="3673" priority="616">
      <formula>#REF!="TO"</formula>
    </cfRule>
    <cfRule type="expression" dxfId="3672" priority="617">
      <formula>#REF!="IO"</formula>
    </cfRule>
    <cfRule type="expression" dxfId="3671" priority="618">
      <formula>#REF!="L"</formula>
    </cfRule>
  </conditionalFormatting>
  <conditionalFormatting sqref="O42">
    <cfRule type="expression" dxfId="3670" priority="613">
      <formula>#REF!="TO"</formula>
    </cfRule>
    <cfRule type="expression" dxfId="3669" priority="614">
      <formula>#REF!="IO"</formula>
    </cfRule>
    <cfRule type="expression" dxfId="3668" priority="615">
      <formula>#REF!="L"</formula>
    </cfRule>
  </conditionalFormatting>
  <conditionalFormatting sqref="O43">
    <cfRule type="expression" dxfId="3667" priority="610">
      <formula>#REF!="TO"</formula>
    </cfRule>
    <cfRule type="expression" dxfId="3666" priority="611">
      <formula>#REF!="IO"</formula>
    </cfRule>
    <cfRule type="expression" dxfId="3665" priority="612">
      <formula>#REF!="L"</formula>
    </cfRule>
  </conditionalFormatting>
  <conditionalFormatting sqref="O44">
    <cfRule type="expression" dxfId="3664" priority="607">
      <formula>#REF!="TO"</formula>
    </cfRule>
    <cfRule type="expression" dxfId="3663" priority="608">
      <formula>#REF!="IO"</formula>
    </cfRule>
    <cfRule type="expression" dxfId="3662" priority="609">
      <formula>#REF!="L"</formula>
    </cfRule>
  </conditionalFormatting>
  <conditionalFormatting sqref="O45">
    <cfRule type="expression" dxfId="3661" priority="604">
      <formula>#REF!="TO"</formula>
    </cfRule>
    <cfRule type="expression" dxfId="3660" priority="605">
      <formula>#REF!="IO"</formula>
    </cfRule>
    <cfRule type="expression" dxfId="3659" priority="606">
      <formula>#REF!="L"</formula>
    </cfRule>
  </conditionalFormatting>
  <conditionalFormatting sqref="O46">
    <cfRule type="expression" dxfId="3658" priority="601">
      <formula>#REF!="TO"</formula>
    </cfRule>
    <cfRule type="expression" dxfId="3657" priority="602">
      <formula>#REF!="IO"</formula>
    </cfRule>
    <cfRule type="expression" dxfId="3656" priority="603">
      <formula>#REF!="L"</formula>
    </cfRule>
  </conditionalFormatting>
  <conditionalFormatting sqref="O47">
    <cfRule type="expression" dxfId="3655" priority="598">
      <formula>#REF!="TO"</formula>
    </cfRule>
    <cfRule type="expression" dxfId="3654" priority="599">
      <formula>#REF!="IO"</formula>
    </cfRule>
    <cfRule type="expression" dxfId="3653" priority="600">
      <formula>#REF!="L"</formula>
    </cfRule>
  </conditionalFormatting>
  <conditionalFormatting sqref="O48">
    <cfRule type="expression" dxfId="3652" priority="595">
      <formula>#REF!="TO"</formula>
    </cfRule>
    <cfRule type="expression" dxfId="3651" priority="596">
      <formula>#REF!="IO"</formula>
    </cfRule>
    <cfRule type="expression" dxfId="3650" priority="597">
      <formula>#REF!="L"</formula>
    </cfRule>
  </conditionalFormatting>
  <conditionalFormatting sqref="O49">
    <cfRule type="expression" dxfId="3649" priority="592">
      <formula>#REF!="TO"</formula>
    </cfRule>
    <cfRule type="expression" dxfId="3648" priority="593">
      <formula>#REF!="IO"</formula>
    </cfRule>
    <cfRule type="expression" dxfId="3647" priority="594">
      <formula>#REF!="L"</formula>
    </cfRule>
  </conditionalFormatting>
  <conditionalFormatting sqref="O50">
    <cfRule type="expression" dxfId="3646" priority="589">
      <formula>#REF!="TO"</formula>
    </cfRule>
    <cfRule type="expression" dxfId="3645" priority="590">
      <formula>#REF!="IO"</formula>
    </cfRule>
    <cfRule type="expression" dxfId="3644" priority="591">
      <formula>#REF!="L"</formula>
    </cfRule>
  </conditionalFormatting>
  <conditionalFormatting sqref="O51:O86">
    <cfRule type="expression" dxfId="3643" priority="586">
      <formula>#REF!="TO"</formula>
    </cfRule>
    <cfRule type="expression" dxfId="3642" priority="587">
      <formula>#REF!="IO"</formula>
    </cfRule>
    <cfRule type="expression" dxfId="3641" priority="588">
      <formula>#REF!="L"</formula>
    </cfRule>
  </conditionalFormatting>
  <conditionalFormatting sqref="O28">
    <cfRule type="expression" dxfId="3640" priority="583">
      <formula>#REF!="TO"</formula>
    </cfRule>
    <cfRule type="expression" dxfId="3639" priority="584">
      <formula>#REF!="IO"</formula>
    </cfRule>
    <cfRule type="expression" dxfId="3638" priority="585">
      <formula>#REF!="L"</formula>
    </cfRule>
    <cfRule type="expression" dxfId="3637" priority="580">
      <formula>#REF!="TO"</formula>
    </cfRule>
    <cfRule type="expression" dxfId="3636" priority="581">
      <formula>#REF!="IO"</formula>
    </cfRule>
    <cfRule type="expression" dxfId="3635" priority="582">
      <formula>#REF!="L"</formula>
    </cfRule>
  </conditionalFormatting>
  <conditionalFormatting sqref="O3">
    <cfRule type="expression" dxfId="3634" priority="577">
      <formula>#REF!="TO"</formula>
    </cfRule>
    <cfRule type="expression" dxfId="3633" priority="578">
      <formula>#REF!="IO"</formula>
    </cfRule>
    <cfRule type="expression" dxfId="3632" priority="579">
      <formula>#REF!="L"</formula>
    </cfRule>
  </conditionalFormatting>
  <conditionalFormatting sqref="O34">
    <cfRule type="expression" dxfId="3631" priority="520">
      <formula>#REF!="TO"</formula>
    </cfRule>
    <cfRule type="expression" dxfId="3630" priority="521">
      <formula>#REF!="IO"</formula>
    </cfRule>
    <cfRule type="expression" dxfId="3629" priority="522">
      <formula>#REF!="L"</formula>
    </cfRule>
    <cfRule type="expression" dxfId="3628" priority="517">
      <formula>#REF!="TO"</formula>
    </cfRule>
    <cfRule type="expression" dxfId="3627" priority="518">
      <formula>#REF!="IO"</formula>
    </cfRule>
    <cfRule type="expression" dxfId="3626" priority="519">
      <formula>#REF!="L"</formula>
    </cfRule>
    <cfRule type="expression" dxfId="3625" priority="514">
      <formula>#REF!="TO"</formula>
    </cfRule>
    <cfRule type="expression" dxfId="3624" priority="515">
      <formula>#REF!="IO"</formula>
    </cfRule>
    <cfRule type="expression" dxfId="3623" priority="516">
      <formula>#REF!="L"</formula>
    </cfRule>
    <cfRule type="expression" dxfId="3622" priority="511">
      <formula>#REF!="TO"</formula>
    </cfRule>
    <cfRule type="expression" dxfId="3621" priority="512">
      <formula>#REF!="IO"</formula>
    </cfRule>
    <cfRule type="expression" dxfId="3620" priority="513">
      <formula>#REF!="L"</formula>
    </cfRule>
  </conditionalFormatting>
  <conditionalFormatting sqref="N29 P29:AJ29">
    <cfRule type="expression" dxfId="3619" priority="490">
      <formula>#REF!="TO"</formula>
    </cfRule>
    <cfRule type="expression" dxfId="3618" priority="491">
      <formula>#REF!="IO"</formula>
    </cfRule>
    <cfRule type="expression" dxfId="3617" priority="492">
      <formula>#REF!="L"</formula>
    </cfRule>
  </conditionalFormatting>
  <conditionalFormatting sqref="O33">
    <cfRule type="expression" dxfId="3616" priority="526">
      <formula>#REF!="TO"</formula>
    </cfRule>
    <cfRule type="expression" dxfId="3615" priority="527">
      <formula>#REF!="IO"</formula>
    </cfRule>
    <cfRule type="expression" dxfId="3614" priority="528">
      <formula>#REF!="L"</formula>
    </cfRule>
    <cfRule type="expression" dxfId="3613" priority="535">
      <formula>#REF!="TO"</formula>
    </cfRule>
    <cfRule type="expression" dxfId="3612" priority="536">
      <formula>#REF!="IO"</formula>
    </cfRule>
    <cfRule type="expression" dxfId="3611" priority="537">
      <formula>#REF!="L"</formula>
    </cfRule>
    <cfRule type="expression" dxfId="3610" priority="532">
      <formula>#REF!="TO"</formula>
    </cfRule>
    <cfRule type="expression" dxfId="3609" priority="533">
      <formula>#REF!="IO"</formula>
    </cfRule>
    <cfRule type="expression" dxfId="3608" priority="534">
      <formula>#REF!="L"</formula>
    </cfRule>
    <cfRule type="expression" dxfId="3607" priority="529">
      <formula>#REF!="TO"</formula>
    </cfRule>
    <cfRule type="expression" dxfId="3606" priority="530">
      <formula>#REF!="IO"</formula>
    </cfRule>
    <cfRule type="expression" dxfId="3605" priority="531">
      <formula>#REF!="L"</formula>
    </cfRule>
  </conditionalFormatting>
  <conditionalFormatting sqref="O29">
    <cfRule type="expression" dxfId="3604" priority="466">
      <formula>#REF!="TO"</formula>
    </cfRule>
    <cfRule type="expression" dxfId="3603" priority="467">
      <formula>#REF!="IO"</formula>
    </cfRule>
    <cfRule type="expression" dxfId="3602" priority="468">
      <formula>#REF!="L"</formula>
    </cfRule>
    <cfRule type="expression" dxfId="3601" priority="463">
      <formula>#REF!="TO"</formula>
    </cfRule>
    <cfRule type="expression" dxfId="3600" priority="464">
      <formula>#REF!="IO"</formula>
    </cfRule>
    <cfRule type="expression" dxfId="3599" priority="465">
      <formula>#REF!="L"</formula>
    </cfRule>
    <cfRule type="expression" dxfId="3598" priority="460">
      <formula>#REF!="TO"</formula>
    </cfRule>
    <cfRule type="expression" dxfId="3597" priority="461">
      <formula>#REF!="IO"</formula>
    </cfRule>
    <cfRule type="expression" dxfId="3596" priority="462">
      <formula>#REF!="L"</formula>
    </cfRule>
    <cfRule type="expression" dxfId="3595" priority="457">
      <formula>#REF!="TO"</formula>
    </cfRule>
    <cfRule type="expression" dxfId="3594" priority="458">
      <formula>#REF!="IO"</formula>
    </cfRule>
    <cfRule type="expression" dxfId="3593" priority="459">
      <formula>#REF!="L"</formula>
    </cfRule>
  </conditionalFormatting>
  <conditionalFormatting sqref="AU3:AU24 AS15:AT24 AV4:AW24 AS33:AW69 AS25:AW26">
    <cfRule type="expression" dxfId="3592" priority="451">
      <formula>#REF!="TO"</formula>
    </cfRule>
    <cfRule type="expression" dxfId="3591" priority="452">
      <formula>#REF!="IO"</formula>
    </cfRule>
    <cfRule type="expression" dxfId="3590" priority="453">
      <formula>#REF!="L"</formula>
    </cfRule>
  </conditionalFormatting>
  <conditionalFormatting sqref="AD29">
    <cfRule type="expression" dxfId="3589" priority="481">
      <formula>Y29="TO"</formula>
    </cfRule>
    <cfRule type="expression" dxfId="3588" priority="482">
      <formula>Y29="IO"</formula>
    </cfRule>
    <cfRule type="expression" dxfId="3587" priority="483">
      <formula>Y29="L"</formula>
    </cfRule>
    <cfRule type="expression" dxfId="3586" priority="472">
      <formula>Y29="TO"</formula>
    </cfRule>
    <cfRule type="expression" dxfId="3585" priority="473">
      <formula>Y29="IO"</formula>
    </cfRule>
    <cfRule type="expression" dxfId="3584" priority="474">
      <formula>Y29="L"</formula>
    </cfRule>
  </conditionalFormatting>
  <conditionalFormatting sqref="W29">
    <cfRule type="expression" dxfId="3583" priority="484">
      <formula>R29="TO"</formula>
    </cfRule>
    <cfRule type="expression" dxfId="3582" priority="485">
      <formula>R29="IO"</formula>
    </cfRule>
    <cfRule type="expression" dxfId="3581" priority="486">
      <formula>R29="L"</formula>
    </cfRule>
    <cfRule type="expression" dxfId="3580" priority="478">
      <formula>R29="TO"</formula>
    </cfRule>
    <cfRule type="expression" dxfId="3579" priority="479">
      <formula>R29="IO"</formula>
    </cfRule>
    <cfRule type="expression" dxfId="3578" priority="480">
      <formula>R29="L"</formula>
    </cfRule>
  </conditionalFormatting>
  <conditionalFormatting sqref="P29">
    <cfRule type="expression" dxfId="3577" priority="487">
      <formula>J31="TO"</formula>
    </cfRule>
    <cfRule type="expression" dxfId="3576" priority="488">
      <formula>J31="IO"</formula>
    </cfRule>
    <cfRule type="expression" dxfId="3575" priority="489">
      <formula>J31="L"</formula>
    </cfRule>
    <cfRule type="expression" dxfId="3574" priority="475">
      <formula>J30="TO"</formula>
    </cfRule>
    <cfRule type="expression" dxfId="3573" priority="476">
      <formula>J30="IO"</formula>
    </cfRule>
    <cfRule type="expression" dxfId="3572" priority="477">
      <formula>J30="L"</formula>
    </cfRule>
  </conditionalFormatting>
  <conditionalFormatting sqref="AM29:AQ29">
    <cfRule type="expression" dxfId="3571" priority="469">
      <formula>#REF!="TO"</formula>
    </cfRule>
    <cfRule type="expression" dxfId="3570" priority="470">
      <formula>#REF!="IO"</formula>
    </cfRule>
    <cfRule type="expression" dxfId="3569" priority="471">
      <formula>#REF!="L"</formula>
    </cfRule>
  </conditionalFormatting>
  <conditionalFormatting sqref="AS28:AW28">
    <cfRule type="expression" dxfId="3568" priority="301">
      <formula>#REF!="TO"</formula>
    </cfRule>
    <cfRule type="expression" dxfId="3567" priority="302">
      <formula>#REF!="IO"</formula>
    </cfRule>
    <cfRule type="expression" dxfId="3566" priority="303">
      <formula>#REF!="L"</formula>
    </cfRule>
  </conditionalFormatting>
  <conditionalFormatting sqref="AS3:AS14">
    <cfRule type="expression" dxfId="3565" priority="448">
      <formula>#REF!="TO"</formula>
    </cfRule>
    <cfRule type="expression" dxfId="3564" priority="449">
      <formula>#REF!="IO"</formula>
    </cfRule>
    <cfRule type="expression" dxfId="3563" priority="450">
      <formula>#REF!="L"</formula>
    </cfRule>
  </conditionalFormatting>
  <conditionalFormatting sqref="AT3:AU14">
    <cfRule type="expression" dxfId="3562" priority="445">
      <formula>#REF!="TO"</formula>
    </cfRule>
    <cfRule type="expression" dxfId="3561" priority="446">
      <formula>#REF!="IO"</formula>
    </cfRule>
    <cfRule type="expression" dxfId="3560" priority="447">
      <formula>#REF!="L"</formula>
    </cfRule>
  </conditionalFormatting>
  <conditionalFormatting sqref="AV3:AW3">
    <cfRule type="expression" dxfId="3559" priority="442">
      <formula>#REF!="TO"</formula>
    </cfRule>
    <cfRule type="expression" dxfId="3558" priority="443">
      <formula>#REF!="IO"</formula>
    </cfRule>
    <cfRule type="expression" dxfId="3557" priority="444">
      <formula>#REF!="L"</formula>
    </cfRule>
  </conditionalFormatting>
  <conditionalFormatting sqref="AU70">
    <cfRule type="expression" dxfId="3556" priority="433">
      <formula>#REF!="TO"</formula>
    </cfRule>
    <cfRule type="expression" dxfId="3555" priority="434">
      <formula>#REF!="IO"</formula>
    </cfRule>
    <cfRule type="expression" dxfId="3554" priority="435">
      <formula>#REF!="L"</formula>
    </cfRule>
  </conditionalFormatting>
  <conditionalFormatting sqref="AS70">
    <cfRule type="expression" dxfId="3553" priority="439">
      <formula>#REF!="TO"</formula>
    </cfRule>
    <cfRule type="expression" dxfId="3552" priority="440">
      <formula>#REF!="IO"</formula>
    </cfRule>
    <cfRule type="expression" dxfId="3551" priority="441">
      <formula>#REF!="L"</formula>
    </cfRule>
  </conditionalFormatting>
  <conditionalFormatting sqref="AT70:AU70">
    <cfRule type="expression" dxfId="3550" priority="436">
      <formula>#REF!="TO"</formula>
    </cfRule>
    <cfRule type="expression" dxfId="3549" priority="437">
      <formula>#REF!="IO"</formula>
    </cfRule>
    <cfRule type="expression" dxfId="3548" priority="438">
      <formula>#REF!="L"</formula>
    </cfRule>
  </conditionalFormatting>
  <conditionalFormatting sqref="AV70:AW70">
    <cfRule type="expression" dxfId="3547" priority="430">
      <formula>#REF!="TO"</formula>
    </cfRule>
    <cfRule type="expression" dxfId="3546" priority="431">
      <formula>#REF!="IO"</formula>
    </cfRule>
    <cfRule type="expression" dxfId="3545" priority="432">
      <formula>#REF!="L"</formula>
    </cfRule>
  </conditionalFormatting>
  <conditionalFormatting sqref="AU71">
    <cfRule type="expression" dxfId="3544" priority="421">
      <formula>#REF!="TO"</formula>
    </cfRule>
    <cfRule type="expression" dxfId="3543" priority="422">
      <formula>#REF!="IO"</formula>
    </cfRule>
    <cfRule type="expression" dxfId="3542" priority="423">
      <formula>#REF!="L"</formula>
    </cfRule>
  </conditionalFormatting>
  <conditionalFormatting sqref="AS71">
    <cfRule type="expression" dxfId="3541" priority="427">
      <formula>#REF!="TO"</formula>
    </cfRule>
    <cfRule type="expression" dxfId="3540" priority="428">
      <formula>#REF!="IO"</formula>
    </cfRule>
    <cfRule type="expression" dxfId="3539" priority="429">
      <formula>#REF!="L"</formula>
    </cfRule>
  </conditionalFormatting>
  <conditionalFormatting sqref="AT71:AU71">
    <cfRule type="expression" dxfId="3538" priority="424">
      <formula>#REF!="TO"</formula>
    </cfRule>
    <cfRule type="expression" dxfId="3537" priority="425">
      <formula>#REF!="IO"</formula>
    </cfRule>
    <cfRule type="expression" dxfId="3536" priority="426">
      <formula>#REF!="L"</formula>
    </cfRule>
  </conditionalFormatting>
  <conditionalFormatting sqref="AV71:AW71">
    <cfRule type="expression" dxfId="3535" priority="418">
      <formula>#REF!="TO"</formula>
    </cfRule>
    <cfRule type="expression" dxfId="3534" priority="419">
      <formula>#REF!="IO"</formula>
    </cfRule>
    <cfRule type="expression" dxfId="3533" priority="420">
      <formula>#REF!="L"</formula>
    </cfRule>
  </conditionalFormatting>
  <conditionalFormatting sqref="AU72">
    <cfRule type="expression" dxfId="3532" priority="409">
      <formula>#REF!="TO"</formula>
    </cfRule>
    <cfRule type="expression" dxfId="3531" priority="410">
      <formula>#REF!="IO"</formula>
    </cfRule>
    <cfRule type="expression" dxfId="3530" priority="411">
      <formula>#REF!="L"</formula>
    </cfRule>
  </conditionalFormatting>
  <conditionalFormatting sqref="AS72">
    <cfRule type="expression" dxfId="3529" priority="415">
      <formula>#REF!="TO"</formula>
    </cfRule>
    <cfRule type="expression" dxfId="3528" priority="416">
      <formula>#REF!="IO"</formula>
    </cfRule>
    <cfRule type="expression" dxfId="3527" priority="417">
      <formula>#REF!="L"</formula>
    </cfRule>
  </conditionalFormatting>
  <conditionalFormatting sqref="AT72:AU72">
    <cfRule type="expression" dxfId="3526" priority="412">
      <formula>#REF!="TO"</formula>
    </cfRule>
    <cfRule type="expression" dxfId="3525" priority="413">
      <formula>#REF!="IO"</formula>
    </cfRule>
    <cfRule type="expression" dxfId="3524" priority="414">
      <formula>#REF!="L"</formula>
    </cfRule>
  </conditionalFormatting>
  <conditionalFormatting sqref="AV72:AW72">
    <cfRule type="expression" dxfId="3523" priority="406">
      <formula>#REF!="TO"</formula>
    </cfRule>
    <cfRule type="expression" dxfId="3522" priority="407">
      <formula>#REF!="IO"</formula>
    </cfRule>
    <cfRule type="expression" dxfId="3521" priority="408">
      <formula>#REF!="L"</formula>
    </cfRule>
  </conditionalFormatting>
  <conditionalFormatting sqref="AU73">
    <cfRule type="expression" dxfId="3520" priority="397">
      <formula>#REF!="TO"</formula>
    </cfRule>
    <cfRule type="expression" dxfId="3519" priority="398">
      <formula>#REF!="IO"</formula>
    </cfRule>
    <cfRule type="expression" dxfId="3518" priority="399">
      <formula>#REF!="L"</formula>
    </cfRule>
  </conditionalFormatting>
  <conditionalFormatting sqref="AS73">
    <cfRule type="expression" dxfId="3517" priority="403">
      <formula>#REF!="TO"</formula>
    </cfRule>
    <cfRule type="expression" dxfId="3516" priority="404">
      <formula>#REF!="IO"</formula>
    </cfRule>
    <cfRule type="expression" dxfId="3515" priority="405">
      <formula>#REF!="L"</formula>
    </cfRule>
  </conditionalFormatting>
  <conditionalFormatting sqref="AT73:AU73">
    <cfRule type="expression" dxfId="3514" priority="400">
      <formula>#REF!="TO"</formula>
    </cfRule>
    <cfRule type="expression" dxfId="3513" priority="401">
      <formula>#REF!="IO"</formula>
    </cfRule>
    <cfRule type="expression" dxfId="3512" priority="402">
      <formula>#REF!="L"</formula>
    </cfRule>
  </conditionalFormatting>
  <conditionalFormatting sqref="AV73:AW73">
    <cfRule type="expression" dxfId="3511" priority="394">
      <formula>#REF!="TO"</formula>
    </cfRule>
    <cfRule type="expression" dxfId="3510" priority="395">
      <formula>#REF!="IO"</formula>
    </cfRule>
    <cfRule type="expression" dxfId="3509" priority="396">
      <formula>#REF!="L"</formula>
    </cfRule>
  </conditionalFormatting>
  <conditionalFormatting sqref="AU74">
    <cfRule type="expression" dxfId="3508" priority="385">
      <formula>#REF!="TO"</formula>
    </cfRule>
    <cfRule type="expression" dxfId="3507" priority="386">
      <formula>#REF!="IO"</formula>
    </cfRule>
    <cfRule type="expression" dxfId="3506" priority="387">
      <formula>#REF!="L"</formula>
    </cfRule>
  </conditionalFormatting>
  <conditionalFormatting sqref="AS74">
    <cfRule type="expression" dxfId="3505" priority="391">
      <formula>#REF!="TO"</formula>
    </cfRule>
    <cfRule type="expression" dxfId="3504" priority="392">
      <formula>#REF!="IO"</formula>
    </cfRule>
    <cfRule type="expression" dxfId="3503" priority="393">
      <formula>#REF!="L"</formula>
    </cfRule>
  </conditionalFormatting>
  <conditionalFormatting sqref="AT74:AU74">
    <cfRule type="expression" dxfId="3502" priority="388">
      <formula>#REF!="TO"</formula>
    </cfRule>
    <cfRule type="expression" dxfId="3501" priority="389">
      <formula>#REF!="IO"</formula>
    </cfRule>
    <cfRule type="expression" dxfId="3500" priority="390">
      <formula>#REF!="L"</formula>
    </cfRule>
  </conditionalFormatting>
  <conditionalFormatting sqref="AV74:AW74">
    <cfRule type="expression" dxfId="3499" priority="382">
      <formula>#REF!="TO"</formula>
    </cfRule>
    <cfRule type="expression" dxfId="3498" priority="383">
      <formula>#REF!="IO"</formula>
    </cfRule>
    <cfRule type="expression" dxfId="3497" priority="384">
      <formula>#REF!="L"</formula>
    </cfRule>
  </conditionalFormatting>
  <conditionalFormatting sqref="AU75">
    <cfRule type="expression" dxfId="3496" priority="373">
      <formula>#REF!="TO"</formula>
    </cfRule>
    <cfRule type="expression" dxfId="3495" priority="374">
      <formula>#REF!="IO"</formula>
    </cfRule>
    <cfRule type="expression" dxfId="3494" priority="375">
      <formula>#REF!="L"</formula>
    </cfRule>
  </conditionalFormatting>
  <conditionalFormatting sqref="AS75">
    <cfRule type="expression" dxfId="3493" priority="379">
      <formula>#REF!="TO"</formula>
    </cfRule>
    <cfRule type="expression" dxfId="3492" priority="380">
      <formula>#REF!="IO"</formula>
    </cfRule>
    <cfRule type="expression" dxfId="3491" priority="381">
      <formula>#REF!="L"</formula>
    </cfRule>
  </conditionalFormatting>
  <conditionalFormatting sqref="AT75:AU75">
    <cfRule type="expression" dxfId="3490" priority="376">
      <formula>#REF!="TO"</formula>
    </cfRule>
    <cfRule type="expression" dxfId="3489" priority="377">
      <formula>#REF!="IO"</formula>
    </cfRule>
    <cfRule type="expression" dxfId="3488" priority="378">
      <formula>#REF!="L"</formula>
    </cfRule>
  </conditionalFormatting>
  <conditionalFormatting sqref="AV75:AW75">
    <cfRule type="expression" dxfId="3487" priority="370">
      <formula>#REF!="TO"</formula>
    </cfRule>
    <cfRule type="expression" dxfId="3486" priority="371">
      <formula>#REF!="IO"</formula>
    </cfRule>
    <cfRule type="expression" dxfId="3485" priority="372">
      <formula>#REF!="L"</formula>
    </cfRule>
  </conditionalFormatting>
  <conditionalFormatting sqref="AU76">
    <cfRule type="expression" dxfId="3484" priority="361">
      <formula>#REF!="TO"</formula>
    </cfRule>
    <cfRule type="expression" dxfId="3483" priority="362">
      <formula>#REF!="IO"</formula>
    </cfRule>
    <cfRule type="expression" dxfId="3482" priority="363">
      <formula>#REF!="L"</formula>
    </cfRule>
  </conditionalFormatting>
  <conditionalFormatting sqref="AS76">
    <cfRule type="expression" dxfId="3481" priority="367">
      <formula>#REF!="TO"</formula>
    </cfRule>
    <cfRule type="expression" dxfId="3480" priority="368">
      <formula>#REF!="IO"</formula>
    </cfRule>
    <cfRule type="expression" dxfId="3479" priority="369">
      <formula>#REF!="L"</formula>
    </cfRule>
  </conditionalFormatting>
  <conditionalFormatting sqref="AT76:AU76">
    <cfRule type="expression" dxfId="3478" priority="364">
      <formula>#REF!="TO"</formula>
    </cfRule>
    <cfRule type="expression" dxfId="3477" priority="365">
      <formula>#REF!="IO"</formula>
    </cfRule>
    <cfRule type="expression" dxfId="3476" priority="366">
      <formula>#REF!="L"</formula>
    </cfRule>
  </conditionalFormatting>
  <conditionalFormatting sqref="AV76:AW76">
    <cfRule type="expression" dxfId="3475" priority="358">
      <formula>#REF!="TO"</formula>
    </cfRule>
    <cfRule type="expression" dxfId="3474" priority="359">
      <formula>#REF!="IO"</formula>
    </cfRule>
    <cfRule type="expression" dxfId="3473" priority="360">
      <formula>#REF!="L"</formula>
    </cfRule>
  </conditionalFormatting>
  <conditionalFormatting sqref="AU77">
    <cfRule type="expression" dxfId="3472" priority="349">
      <formula>#REF!="TO"</formula>
    </cfRule>
    <cfRule type="expression" dxfId="3471" priority="350">
      <formula>#REF!="IO"</formula>
    </cfRule>
    <cfRule type="expression" dxfId="3470" priority="351">
      <formula>#REF!="L"</formula>
    </cfRule>
  </conditionalFormatting>
  <conditionalFormatting sqref="AS77">
    <cfRule type="expression" dxfId="3469" priority="355">
      <formula>#REF!="TO"</formula>
    </cfRule>
    <cfRule type="expression" dxfId="3468" priority="356">
      <formula>#REF!="IO"</formula>
    </cfRule>
    <cfRule type="expression" dxfId="3467" priority="357">
      <formula>#REF!="L"</formula>
    </cfRule>
  </conditionalFormatting>
  <conditionalFormatting sqref="AT77:AU77">
    <cfRule type="expression" dxfId="3466" priority="352">
      <formula>#REF!="TO"</formula>
    </cfRule>
    <cfRule type="expression" dxfId="3465" priority="353">
      <formula>#REF!="IO"</formula>
    </cfRule>
    <cfRule type="expression" dxfId="3464" priority="354">
      <formula>#REF!="L"</formula>
    </cfRule>
  </conditionalFormatting>
  <conditionalFormatting sqref="AV77:AW77">
    <cfRule type="expression" dxfId="3463" priority="346">
      <formula>#REF!="TO"</formula>
    </cfRule>
    <cfRule type="expression" dxfId="3462" priority="347">
      <formula>#REF!="IO"</formula>
    </cfRule>
    <cfRule type="expression" dxfId="3461" priority="348">
      <formula>#REF!="L"</formula>
    </cfRule>
  </conditionalFormatting>
  <conditionalFormatting sqref="AU78">
    <cfRule type="expression" dxfId="3460" priority="337">
      <formula>#REF!="TO"</formula>
    </cfRule>
    <cfRule type="expression" dxfId="3459" priority="338">
      <formula>#REF!="IO"</formula>
    </cfRule>
    <cfRule type="expression" dxfId="3458" priority="339">
      <formula>#REF!="L"</formula>
    </cfRule>
  </conditionalFormatting>
  <conditionalFormatting sqref="AS78">
    <cfRule type="expression" dxfId="3457" priority="343">
      <formula>#REF!="TO"</formula>
    </cfRule>
    <cfRule type="expression" dxfId="3456" priority="344">
      <formula>#REF!="IO"</formula>
    </cfRule>
    <cfRule type="expression" dxfId="3455" priority="345">
      <formula>#REF!="L"</formula>
    </cfRule>
  </conditionalFormatting>
  <conditionalFormatting sqref="AT78:AU78">
    <cfRule type="expression" dxfId="3454" priority="340">
      <formula>#REF!="TO"</formula>
    </cfRule>
    <cfRule type="expression" dxfId="3453" priority="341">
      <formula>#REF!="IO"</formula>
    </cfRule>
    <cfRule type="expression" dxfId="3452" priority="342">
      <formula>#REF!="L"</formula>
    </cfRule>
  </conditionalFormatting>
  <conditionalFormatting sqref="AV78:AW78">
    <cfRule type="expression" dxfId="3451" priority="334">
      <formula>#REF!="TO"</formula>
    </cfRule>
    <cfRule type="expression" dxfId="3450" priority="335">
      <formula>#REF!="IO"</formula>
    </cfRule>
    <cfRule type="expression" dxfId="3449" priority="336">
      <formula>#REF!="L"</formula>
    </cfRule>
  </conditionalFormatting>
  <conditionalFormatting sqref="AU79">
    <cfRule type="expression" dxfId="3448" priority="331">
      <formula>#REF!="TO"</formula>
    </cfRule>
  </conditionalFormatting>
  <conditionalFormatting sqref="AS79">
    <cfRule type="expression" dxfId="3447" priority="332">
      <formula>#REF!="IO"</formula>
    </cfRule>
    <cfRule type="expression" dxfId="3446" priority="333">
      <formula>#REF!="L"</formula>
    </cfRule>
    <cfRule type="expression" dxfId="3445" priority="454">
      <formula>#REF!="TO"</formula>
    </cfRule>
  </conditionalFormatting>
  <conditionalFormatting sqref="AT79:AU79">
    <cfRule type="expression" dxfId="3444" priority="328">
      <formula>#REF!="TO"</formula>
    </cfRule>
    <cfRule type="expression" dxfId="3443" priority="329">
      <formula>#REF!="IO"</formula>
    </cfRule>
    <cfRule type="expression" dxfId="3442" priority="330">
      <formula>#REF!="L"</formula>
    </cfRule>
  </conditionalFormatting>
  <conditionalFormatting sqref="AV79:AW79">
    <cfRule type="expression" dxfId="3441" priority="325">
      <formula>#REF!="TO"</formula>
    </cfRule>
    <cfRule type="expression" dxfId="3440" priority="326">
      <formula>#REF!="IO"</formula>
    </cfRule>
    <cfRule type="expression" dxfId="3439" priority="327">
      <formula>#REF!="L"</formula>
    </cfRule>
  </conditionalFormatting>
  <conditionalFormatting sqref="AU80">
    <cfRule type="expression" dxfId="3438" priority="322">
      <formula>#REF!="TO"</formula>
    </cfRule>
  </conditionalFormatting>
  <conditionalFormatting sqref="AS80">
    <cfRule type="expression" dxfId="3437" priority="323">
      <formula>#REF!="IO"</formula>
    </cfRule>
    <cfRule type="expression" dxfId="3436" priority="324">
      <formula>#REF!="L"</formula>
    </cfRule>
    <cfRule type="expression" dxfId="3435" priority="455">
      <formula>#REF!="TO"</formula>
    </cfRule>
  </conditionalFormatting>
  <conditionalFormatting sqref="AT80:AU80">
    <cfRule type="expression" dxfId="3434" priority="319">
      <formula>#REF!="TO"</formula>
    </cfRule>
    <cfRule type="expression" dxfId="3433" priority="320">
      <formula>#REF!="IO"</formula>
    </cfRule>
    <cfRule type="expression" dxfId="3432" priority="321">
      <formula>#REF!="L"</formula>
    </cfRule>
  </conditionalFormatting>
  <conditionalFormatting sqref="AV80:AW80">
    <cfRule type="expression" dxfId="3431" priority="316">
      <formula>#REF!="TO"</formula>
    </cfRule>
    <cfRule type="expression" dxfId="3430" priority="317">
      <formula>#REF!="IO"</formula>
    </cfRule>
    <cfRule type="expression" dxfId="3429" priority="318">
      <formula>#REF!="L"</formula>
    </cfRule>
  </conditionalFormatting>
  <conditionalFormatting sqref="AU81">
    <cfRule type="expression" dxfId="3428" priority="313">
      <formula>#REF!="TO"</formula>
    </cfRule>
  </conditionalFormatting>
  <conditionalFormatting sqref="AS81">
    <cfRule type="expression" dxfId="3427" priority="314">
      <formula>#REF!="IO"</formula>
    </cfRule>
    <cfRule type="expression" dxfId="3426" priority="315">
      <formula>#REF!="L"</formula>
    </cfRule>
    <cfRule type="expression" dxfId="3425" priority="456">
      <formula>#REF!="TO"</formula>
    </cfRule>
  </conditionalFormatting>
  <conditionalFormatting sqref="AT81:AU81">
    <cfRule type="expression" dxfId="3424" priority="310">
      <formula>#REF!="TO"</formula>
    </cfRule>
    <cfRule type="expression" dxfId="3423" priority="311">
      <formula>#REF!="IO"</formula>
    </cfRule>
    <cfRule type="expression" dxfId="3422" priority="312">
      <formula>#REF!="L"</formula>
    </cfRule>
  </conditionalFormatting>
  <conditionalFormatting sqref="AV81:AW81">
    <cfRule type="expression" dxfId="3421" priority="307">
      <formula>#REF!="TO"</formula>
    </cfRule>
    <cfRule type="expression" dxfId="3420" priority="308">
      <formula>#REF!="IO"</formula>
    </cfRule>
    <cfRule type="expression" dxfId="3419" priority="309">
      <formula>#REF!="L"</formula>
    </cfRule>
  </conditionalFormatting>
  <conditionalFormatting sqref="AS27:AW27">
    <cfRule type="expression" dxfId="3418" priority="304">
      <formula>#REF!="TO"</formula>
    </cfRule>
    <cfRule type="expression" dxfId="3417" priority="305">
      <formula>#REF!="IO"</formula>
    </cfRule>
    <cfRule type="expression" dxfId="3416" priority="306">
      <formula>#REF!="L"</formula>
    </cfRule>
  </conditionalFormatting>
  <conditionalFormatting sqref="BB71:BC71">
    <cfRule type="expression" dxfId="3415" priority="256">
      <formula>#REF!="TO"</formula>
    </cfRule>
    <cfRule type="expression" dxfId="3414" priority="257">
      <formula>#REF!="IO"</formula>
    </cfRule>
    <cfRule type="expression" dxfId="3413" priority="258">
      <formula>#REF!="L"</formula>
    </cfRule>
  </conditionalFormatting>
  <conditionalFormatting sqref="AS29:AW29">
    <cfRule type="expression" dxfId="3412" priority="295">
      <formula>#REF!="TO"</formula>
    </cfRule>
    <cfRule type="expression" dxfId="3411" priority="296">
      <formula>#REF!="IO"</formula>
    </cfRule>
    <cfRule type="expression" dxfId="3410" priority="297">
      <formula>#REF!="L"</formula>
    </cfRule>
  </conditionalFormatting>
  <conditionalFormatting sqref="AY28:BC28">
    <cfRule type="expression" dxfId="3409" priority="139">
      <formula>#REF!="TO"</formula>
    </cfRule>
    <cfRule type="expression" dxfId="3408" priority="140">
      <formula>#REF!="IO"</formula>
    </cfRule>
    <cfRule type="expression" dxfId="3407" priority="141">
      <formula>#REF!="L"</formula>
    </cfRule>
  </conditionalFormatting>
  <conditionalFormatting sqref="BA3:BA24 AY15:AZ24 BB4:BC24 AY33:BC69 AY25:BC26">
    <cfRule type="expression" dxfId="3406" priority="289">
      <formula>#REF!="TO"</formula>
    </cfRule>
    <cfRule type="expression" dxfId="3405" priority="290">
      <formula>#REF!="IO"</formula>
    </cfRule>
    <cfRule type="expression" dxfId="3404" priority="291">
      <formula>#REF!="L"</formula>
    </cfRule>
  </conditionalFormatting>
  <conditionalFormatting sqref="AY3:AY14">
    <cfRule type="expression" dxfId="3403" priority="286">
      <formula>#REF!="TO"</formula>
    </cfRule>
    <cfRule type="expression" dxfId="3402" priority="287">
      <formula>#REF!="IO"</formula>
    </cfRule>
    <cfRule type="expression" dxfId="3401" priority="288">
      <formula>#REF!="L"</formula>
    </cfRule>
  </conditionalFormatting>
  <conditionalFormatting sqref="AZ3:BA14">
    <cfRule type="expression" dxfId="3400" priority="283">
      <formula>#REF!="TO"</formula>
    </cfRule>
    <cfRule type="expression" dxfId="3399" priority="284">
      <formula>#REF!="IO"</formula>
    </cfRule>
    <cfRule type="expression" dxfId="3398" priority="285">
      <formula>#REF!="L"</formula>
    </cfRule>
  </conditionalFormatting>
  <conditionalFormatting sqref="BB3:BC3">
    <cfRule type="expression" dxfId="3397" priority="280">
      <formula>#REF!="TO"</formula>
    </cfRule>
    <cfRule type="expression" dxfId="3396" priority="281">
      <formula>#REF!="IO"</formula>
    </cfRule>
    <cfRule type="expression" dxfId="3395" priority="282">
      <formula>#REF!="L"</formula>
    </cfRule>
  </conditionalFormatting>
  <conditionalFormatting sqref="BA70">
    <cfRule type="expression" dxfId="3394" priority="271">
      <formula>#REF!="TO"</formula>
    </cfRule>
    <cfRule type="expression" dxfId="3393" priority="272">
      <formula>#REF!="IO"</formula>
    </cfRule>
    <cfRule type="expression" dxfId="3392" priority="273">
      <formula>#REF!="L"</formula>
    </cfRule>
  </conditionalFormatting>
  <conditionalFormatting sqref="AY70">
    <cfRule type="expression" dxfId="3391" priority="277">
      <formula>#REF!="TO"</formula>
    </cfRule>
    <cfRule type="expression" dxfId="3390" priority="278">
      <formula>#REF!="IO"</formula>
    </cfRule>
    <cfRule type="expression" dxfId="3389" priority="279">
      <formula>#REF!="L"</formula>
    </cfRule>
  </conditionalFormatting>
  <conditionalFormatting sqref="AZ70:BA70">
    <cfRule type="expression" dxfId="3388" priority="274">
      <formula>#REF!="TO"</formula>
    </cfRule>
    <cfRule type="expression" dxfId="3387" priority="275">
      <formula>#REF!="IO"</formula>
    </cfRule>
    <cfRule type="expression" dxfId="3386" priority="276">
      <formula>#REF!="L"</formula>
    </cfRule>
  </conditionalFormatting>
  <conditionalFormatting sqref="BB70:BC70">
    <cfRule type="expression" dxfId="3385" priority="268">
      <formula>#REF!="TO"</formula>
    </cfRule>
    <cfRule type="expression" dxfId="3384" priority="269">
      <formula>#REF!="IO"</formula>
    </cfRule>
    <cfRule type="expression" dxfId="3383" priority="270">
      <formula>#REF!="L"</formula>
    </cfRule>
  </conditionalFormatting>
  <conditionalFormatting sqref="BA71">
    <cfRule type="expression" dxfId="3382" priority="259">
      <formula>#REF!="TO"</formula>
    </cfRule>
    <cfRule type="expression" dxfId="3381" priority="260">
      <formula>#REF!="IO"</formula>
    </cfRule>
    <cfRule type="expression" dxfId="3380" priority="261">
      <formula>#REF!="L"</formula>
    </cfRule>
  </conditionalFormatting>
  <conditionalFormatting sqref="AY71">
    <cfRule type="expression" dxfId="3379" priority="265">
      <formula>#REF!="TO"</formula>
    </cfRule>
    <cfRule type="expression" dxfId="3378" priority="266">
      <formula>#REF!="IO"</formula>
    </cfRule>
    <cfRule type="expression" dxfId="3377" priority="267">
      <formula>#REF!="L"</formula>
    </cfRule>
  </conditionalFormatting>
  <conditionalFormatting sqref="AZ71:BA71">
    <cfRule type="expression" dxfId="3376" priority="262">
      <formula>#REF!="TO"</formula>
    </cfRule>
    <cfRule type="expression" dxfId="3375" priority="263">
      <formula>#REF!="IO"</formula>
    </cfRule>
    <cfRule type="expression" dxfId="3374" priority="264">
      <formula>#REF!="L"</formula>
    </cfRule>
  </conditionalFormatting>
  <conditionalFormatting sqref="BA72">
    <cfRule type="expression" dxfId="3373" priority="247">
      <formula>#REF!="TO"</formula>
    </cfRule>
    <cfRule type="expression" dxfId="3372" priority="248">
      <formula>#REF!="IO"</formula>
    </cfRule>
    <cfRule type="expression" dxfId="3371" priority="249">
      <formula>#REF!="L"</formula>
    </cfRule>
  </conditionalFormatting>
  <conditionalFormatting sqref="AY72">
    <cfRule type="expression" dxfId="3370" priority="253">
      <formula>#REF!="TO"</formula>
    </cfRule>
    <cfRule type="expression" dxfId="3369" priority="254">
      <formula>#REF!="IO"</formula>
    </cfRule>
    <cfRule type="expression" dxfId="3368" priority="255">
      <formula>#REF!="L"</formula>
    </cfRule>
  </conditionalFormatting>
  <conditionalFormatting sqref="AZ72:BA72">
    <cfRule type="expression" dxfId="3367" priority="250">
      <formula>#REF!="TO"</formula>
    </cfRule>
    <cfRule type="expression" dxfId="3366" priority="251">
      <formula>#REF!="IO"</formula>
    </cfRule>
    <cfRule type="expression" dxfId="3365" priority="252">
      <formula>#REF!="L"</formula>
    </cfRule>
  </conditionalFormatting>
  <conditionalFormatting sqref="BB72:BC72">
    <cfRule type="expression" dxfId="3364" priority="244">
      <formula>#REF!="TO"</formula>
    </cfRule>
    <cfRule type="expression" dxfId="3363" priority="245">
      <formula>#REF!="IO"</formula>
    </cfRule>
    <cfRule type="expression" dxfId="3362" priority="246">
      <formula>#REF!="L"</formula>
    </cfRule>
  </conditionalFormatting>
  <conditionalFormatting sqref="BA73">
    <cfRule type="expression" dxfId="3361" priority="235">
      <formula>#REF!="TO"</formula>
    </cfRule>
    <cfRule type="expression" dxfId="3360" priority="236">
      <formula>#REF!="IO"</formula>
    </cfRule>
    <cfRule type="expression" dxfId="3359" priority="237">
      <formula>#REF!="L"</formula>
    </cfRule>
  </conditionalFormatting>
  <conditionalFormatting sqref="AY73">
    <cfRule type="expression" dxfId="3358" priority="241">
      <formula>#REF!="TO"</formula>
    </cfRule>
    <cfRule type="expression" dxfId="3357" priority="242">
      <formula>#REF!="IO"</formula>
    </cfRule>
    <cfRule type="expression" dxfId="3356" priority="243">
      <formula>#REF!="L"</formula>
    </cfRule>
  </conditionalFormatting>
  <conditionalFormatting sqref="AZ73:BA73">
    <cfRule type="expression" dxfId="3355" priority="238">
      <formula>#REF!="TO"</formula>
    </cfRule>
    <cfRule type="expression" dxfId="3354" priority="239">
      <formula>#REF!="IO"</formula>
    </cfRule>
    <cfRule type="expression" dxfId="3353" priority="240">
      <formula>#REF!="L"</formula>
    </cfRule>
  </conditionalFormatting>
  <conditionalFormatting sqref="BB73:BC73">
    <cfRule type="expression" dxfId="3352" priority="232">
      <formula>#REF!="TO"</formula>
    </cfRule>
    <cfRule type="expression" dxfId="3351" priority="233">
      <formula>#REF!="IO"</formula>
    </cfRule>
    <cfRule type="expression" dxfId="3350" priority="234">
      <formula>#REF!="L"</formula>
    </cfRule>
  </conditionalFormatting>
  <conditionalFormatting sqref="BA74">
    <cfRule type="expression" dxfId="3349" priority="223">
      <formula>#REF!="TO"</formula>
    </cfRule>
    <cfRule type="expression" dxfId="3348" priority="224">
      <formula>#REF!="IO"</formula>
    </cfRule>
    <cfRule type="expression" dxfId="3347" priority="225">
      <formula>#REF!="L"</formula>
    </cfRule>
  </conditionalFormatting>
  <conditionalFormatting sqref="AY74">
    <cfRule type="expression" dxfId="3346" priority="229">
      <formula>#REF!="TO"</formula>
    </cfRule>
    <cfRule type="expression" dxfId="3345" priority="230">
      <formula>#REF!="IO"</formula>
    </cfRule>
    <cfRule type="expression" dxfId="3344" priority="231">
      <formula>#REF!="L"</formula>
    </cfRule>
  </conditionalFormatting>
  <conditionalFormatting sqref="AZ74:BA74">
    <cfRule type="expression" dxfId="3343" priority="226">
      <formula>#REF!="TO"</formula>
    </cfRule>
    <cfRule type="expression" dxfId="3342" priority="227">
      <formula>#REF!="IO"</formula>
    </cfRule>
    <cfRule type="expression" dxfId="3341" priority="228">
      <formula>#REF!="L"</formula>
    </cfRule>
  </conditionalFormatting>
  <conditionalFormatting sqref="BB74:BC74">
    <cfRule type="expression" dxfId="3340" priority="220">
      <formula>#REF!="TO"</formula>
    </cfRule>
    <cfRule type="expression" dxfId="3339" priority="221">
      <formula>#REF!="IO"</formula>
    </cfRule>
    <cfRule type="expression" dxfId="3338" priority="222">
      <formula>#REF!="L"</formula>
    </cfRule>
  </conditionalFormatting>
  <conditionalFormatting sqref="BA75">
    <cfRule type="expression" dxfId="3337" priority="211">
      <formula>#REF!="TO"</formula>
    </cfRule>
    <cfRule type="expression" dxfId="3336" priority="212">
      <formula>#REF!="IO"</formula>
    </cfRule>
    <cfRule type="expression" dxfId="3335" priority="213">
      <formula>#REF!="L"</formula>
    </cfRule>
  </conditionalFormatting>
  <conditionalFormatting sqref="AY75">
    <cfRule type="expression" dxfId="3334" priority="217">
      <formula>#REF!="TO"</formula>
    </cfRule>
    <cfRule type="expression" dxfId="3333" priority="218">
      <formula>#REF!="IO"</formula>
    </cfRule>
    <cfRule type="expression" dxfId="3332" priority="219">
      <formula>#REF!="L"</formula>
    </cfRule>
  </conditionalFormatting>
  <conditionalFormatting sqref="AZ75:BA75">
    <cfRule type="expression" dxfId="3331" priority="214">
      <formula>#REF!="TO"</formula>
    </cfRule>
    <cfRule type="expression" dxfId="3330" priority="215">
      <formula>#REF!="IO"</formula>
    </cfRule>
    <cfRule type="expression" dxfId="3329" priority="216">
      <formula>#REF!="L"</formula>
    </cfRule>
  </conditionalFormatting>
  <conditionalFormatting sqref="BB75:BC75">
    <cfRule type="expression" dxfId="3328" priority="208">
      <formula>#REF!="TO"</formula>
    </cfRule>
    <cfRule type="expression" dxfId="3327" priority="209">
      <formula>#REF!="IO"</formula>
    </cfRule>
    <cfRule type="expression" dxfId="3326" priority="210">
      <formula>#REF!="L"</formula>
    </cfRule>
  </conditionalFormatting>
  <conditionalFormatting sqref="BA76">
    <cfRule type="expression" dxfId="3325" priority="199">
      <formula>#REF!="TO"</formula>
    </cfRule>
    <cfRule type="expression" dxfId="3324" priority="200">
      <formula>#REF!="IO"</formula>
    </cfRule>
    <cfRule type="expression" dxfId="3323" priority="201">
      <formula>#REF!="L"</formula>
    </cfRule>
  </conditionalFormatting>
  <conditionalFormatting sqref="AY76">
    <cfRule type="expression" dxfId="3322" priority="205">
      <formula>#REF!="TO"</formula>
    </cfRule>
    <cfRule type="expression" dxfId="3321" priority="206">
      <formula>#REF!="IO"</formula>
    </cfRule>
    <cfRule type="expression" dxfId="3320" priority="207">
      <formula>#REF!="L"</formula>
    </cfRule>
  </conditionalFormatting>
  <conditionalFormatting sqref="AZ76:BA76">
    <cfRule type="expression" dxfId="3319" priority="202">
      <formula>#REF!="TO"</formula>
    </cfRule>
    <cfRule type="expression" dxfId="3318" priority="203">
      <formula>#REF!="IO"</formula>
    </cfRule>
    <cfRule type="expression" dxfId="3317" priority="204">
      <formula>#REF!="L"</formula>
    </cfRule>
  </conditionalFormatting>
  <conditionalFormatting sqref="BB76:BC76">
    <cfRule type="expression" dxfId="3316" priority="196">
      <formula>#REF!="TO"</formula>
    </cfRule>
    <cfRule type="expression" dxfId="3315" priority="197">
      <formula>#REF!="IO"</formula>
    </cfRule>
    <cfRule type="expression" dxfId="3314" priority="198">
      <formula>#REF!="L"</formula>
    </cfRule>
  </conditionalFormatting>
  <conditionalFormatting sqref="BA77">
    <cfRule type="expression" dxfId="3313" priority="187">
      <formula>#REF!="TO"</formula>
    </cfRule>
    <cfRule type="expression" dxfId="3312" priority="188">
      <formula>#REF!="IO"</formula>
    </cfRule>
    <cfRule type="expression" dxfId="3311" priority="189">
      <formula>#REF!="L"</formula>
    </cfRule>
  </conditionalFormatting>
  <conditionalFormatting sqref="AY77">
    <cfRule type="expression" dxfId="3310" priority="193">
      <formula>#REF!="TO"</formula>
    </cfRule>
    <cfRule type="expression" dxfId="3309" priority="194">
      <formula>#REF!="IO"</formula>
    </cfRule>
    <cfRule type="expression" dxfId="3308" priority="195">
      <formula>#REF!="L"</formula>
    </cfRule>
  </conditionalFormatting>
  <conditionalFormatting sqref="AZ77:BA77">
    <cfRule type="expression" dxfId="3307" priority="190">
      <formula>#REF!="TO"</formula>
    </cfRule>
    <cfRule type="expression" dxfId="3306" priority="191">
      <formula>#REF!="IO"</formula>
    </cfRule>
    <cfRule type="expression" dxfId="3305" priority="192">
      <formula>#REF!="L"</formula>
    </cfRule>
  </conditionalFormatting>
  <conditionalFormatting sqref="BB77:BC77">
    <cfRule type="expression" dxfId="3304" priority="184">
      <formula>#REF!="TO"</formula>
    </cfRule>
    <cfRule type="expression" dxfId="3303" priority="185">
      <formula>#REF!="IO"</formula>
    </cfRule>
    <cfRule type="expression" dxfId="3302" priority="186">
      <formula>#REF!="L"</formula>
    </cfRule>
  </conditionalFormatting>
  <conditionalFormatting sqref="BA78">
    <cfRule type="expression" dxfId="3301" priority="175">
      <formula>#REF!="TO"</formula>
    </cfRule>
    <cfRule type="expression" dxfId="3300" priority="176">
      <formula>#REF!="IO"</formula>
    </cfRule>
    <cfRule type="expression" dxfId="3299" priority="177">
      <formula>#REF!="L"</formula>
    </cfRule>
  </conditionalFormatting>
  <conditionalFormatting sqref="AY78">
    <cfRule type="expression" dxfId="3298" priority="181">
      <formula>#REF!="TO"</formula>
    </cfRule>
    <cfRule type="expression" dxfId="3297" priority="182">
      <formula>#REF!="IO"</formula>
    </cfRule>
    <cfRule type="expression" dxfId="3296" priority="183">
      <formula>#REF!="L"</formula>
    </cfRule>
  </conditionalFormatting>
  <conditionalFormatting sqref="AZ78:BA78">
    <cfRule type="expression" dxfId="3295" priority="178">
      <formula>#REF!="TO"</formula>
    </cfRule>
    <cfRule type="expression" dxfId="3294" priority="179">
      <formula>#REF!="IO"</formula>
    </cfRule>
    <cfRule type="expression" dxfId="3293" priority="180">
      <formula>#REF!="L"</formula>
    </cfRule>
  </conditionalFormatting>
  <conditionalFormatting sqref="BB78:BC78">
    <cfRule type="expression" dxfId="3292" priority="172">
      <formula>#REF!="TO"</formula>
    </cfRule>
    <cfRule type="expression" dxfId="3291" priority="173">
      <formula>#REF!="IO"</formula>
    </cfRule>
    <cfRule type="expression" dxfId="3290" priority="174">
      <formula>#REF!="L"</formula>
    </cfRule>
  </conditionalFormatting>
  <conditionalFormatting sqref="BA79">
    <cfRule type="expression" dxfId="3289" priority="169">
      <formula>#REF!="TO"</formula>
    </cfRule>
  </conditionalFormatting>
  <conditionalFormatting sqref="AY79">
    <cfRule type="expression" dxfId="3288" priority="170">
      <formula>#REF!="IO"</formula>
    </cfRule>
    <cfRule type="expression" dxfId="3287" priority="171">
      <formula>#REF!="L"</formula>
    </cfRule>
    <cfRule type="expression" dxfId="3286" priority="292">
      <formula>#REF!="TO"</formula>
    </cfRule>
  </conditionalFormatting>
  <conditionalFormatting sqref="AZ79:BA79">
    <cfRule type="expression" dxfId="3285" priority="166">
      <formula>#REF!="TO"</formula>
    </cfRule>
    <cfRule type="expression" dxfId="3284" priority="167">
      <formula>#REF!="IO"</formula>
    </cfRule>
    <cfRule type="expression" dxfId="3283" priority="168">
      <formula>#REF!="L"</formula>
    </cfRule>
  </conditionalFormatting>
  <conditionalFormatting sqref="BB79:BC79">
    <cfRule type="expression" dxfId="3282" priority="163">
      <formula>#REF!="TO"</formula>
    </cfRule>
    <cfRule type="expression" dxfId="3281" priority="164">
      <formula>#REF!="IO"</formula>
    </cfRule>
    <cfRule type="expression" dxfId="3280" priority="165">
      <formula>#REF!="L"</formula>
    </cfRule>
  </conditionalFormatting>
  <conditionalFormatting sqref="BA80">
    <cfRule type="expression" dxfId="3279" priority="160">
      <formula>#REF!="TO"</formula>
    </cfRule>
  </conditionalFormatting>
  <conditionalFormatting sqref="AY80">
    <cfRule type="expression" dxfId="3278" priority="161">
      <formula>#REF!="IO"</formula>
    </cfRule>
    <cfRule type="expression" dxfId="3277" priority="162">
      <formula>#REF!="L"</formula>
    </cfRule>
    <cfRule type="expression" dxfId="3276" priority="293">
      <formula>#REF!="TO"</formula>
    </cfRule>
  </conditionalFormatting>
  <conditionalFormatting sqref="AZ80:BA80">
    <cfRule type="expression" dxfId="3275" priority="157">
      <formula>#REF!="TO"</formula>
    </cfRule>
    <cfRule type="expression" dxfId="3274" priority="158">
      <formula>#REF!="IO"</formula>
    </cfRule>
    <cfRule type="expression" dxfId="3273" priority="159">
      <formula>#REF!="L"</formula>
    </cfRule>
  </conditionalFormatting>
  <conditionalFormatting sqref="BB80:BC80">
    <cfRule type="expression" dxfId="3272" priority="154">
      <formula>#REF!="TO"</formula>
    </cfRule>
    <cfRule type="expression" dxfId="3271" priority="155">
      <formula>#REF!="IO"</formula>
    </cfRule>
    <cfRule type="expression" dxfId="3270" priority="156">
      <formula>#REF!="L"</formula>
    </cfRule>
  </conditionalFormatting>
  <conditionalFormatting sqref="BA81">
    <cfRule type="expression" dxfId="3269" priority="151">
      <formula>#REF!="TO"</formula>
    </cfRule>
  </conditionalFormatting>
  <conditionalFormatting sqref="AY81">
    <cfRule type="expression" dxfId="3268" priority="152">
      <formula>#REF!="IO"</formula>
    </cfRule>
    <cfRule type="expression" dxfId="3267" priority="153">
      <formula>#REF!="L"</formula>
    </cfRule>
    <cfRule type="expression" dxfId="3266" priority="294">
      <formula>#REF!="TO"</formula>
    </cfRule>
  </conditionalFormatting>
  <conditionalFormatting sqref="AZ81:BA81">
    <cfRule type="expression" dxfId="3265" priority="148">
      <formula>#REF!="TO"</formula>
    </cfRule>
    <cfRule type="expression" dxfId="3264" priority="149">
      <formula>#REF!="IO"</formula>
    </cfRule>
    <cfRule type="expression" dxfId="3263" priority="150">
      <formula>#REF!="L"</formula>
    </cfRule>
  </conditionalFormatting>
  <conditionalFormatting sqref="BB81:BC81">
    <cfRule type="expression" dxfId="3262" priority="145">
      <formula>#REF!="TO"</formula>
    </cfRule>
    <cfRule type="expression" dxfId="3261" priority="146">
      <formula>#REF!="IO"</formula>
    </cfRule>
    <cfRule type="expression" dxfId="3260" priority="147">
      <formula>#REF!="L"</formula>
    </cfRule>
  </conditionalFormatting>
  <conditionalFormatting sqref="AY27:BC27">
    <cfRule type="expression" dxfId="3259" priority="142">
      <formula>#REF!="TO"</formula>
    </cfRule>
    <cfRule type="expression" dxfId="3258" priority="143">
      <formula>#REF!="IO"</formula>
    </cfRule>
    <cfRule type="expression" dxfId="3257" priority="144">
      <formula>#REF!="L"</formula>
    </cfRule>
  </conditionalFormatting>
  <conditionalFormatting sqref="AY29:BC29">
    <cfRule type="expression" dxfId="3256" priority="133">
      <formula>#REF!="TO"</formula>
    </cfRule>
    <cfRule type="expression" dxfId="3255" priority="134">
      <formula>#REF!="IO"</formula>
    </cfRule>
    <cfRule type="expression" dxfId="3254" priority="135">
      <formula>#REF!="L"</formula>
    </cfRule>
  </conditionalFormatting>
  <conditionalFormatting sqref="P21:P24">
    <cfRule type="expression" dxfId="3253" priority="12916">
      <formula>#REF!="TO"</formula>
    </cfRule>
    <cfRule type="expression" dxfId="3252" priority="12917">
      <formula>#REF!="IO"</formula>
    </cfRule>
    <cfRule type="expression" dxfId="3251" priority="12918">
      <formula>#REF!="L"</formula>
    </cfRule>
  </conditionalFormatting>
  <conditionalFormatting sqref="O30">
    <cfRule type="expression" dxfId="3250" priority="73">
      <formula>#REF!="TO"</formula>
    </cfRule>
    <cfRule type="expression" dxfId="3249" priority="74">
      <formula>#REF!="IO"</formula>
    </cfRule>
    <cfRule type="expression" dxfId="3248" priority="75">
      <formula>#REF!="L"</formula>
    </cfRule>
    <cfRule type="expression" dxfId="3247" priority="82">
      <formula>#REF!="TO"</formula>
    </cfRule>
    <cfRule type="expression" dxfId="3246" priority="83">
      <formula>#REF!="IO"</formula>
    </cfRule>
    <cfRule type="expression" dxfId="3245" priority="84">
      <formula>#REF!="L"</formula>
    </cfRule>
    <cfRule type="expression" dxfId="3244" priority="79">
      <formula>#REF!="TO"</formula>
    </cfRule>
    <cfRule type="expression" dxfId="3243" priority="80">
      <formula>#REF!="IO"</formula>
    </cfRule>
    <cfRule type="expression" dxfId="3242" priority="81">
      <formula>#REF!="L"</formula>
    </cfRule>
    <cfRule type="expression" dxfId="3241" priority="76">
      <formula>#REF!="TO"</formula>
    </cfRule>
    <cfRule type="expression" dxfId="3240" priority="77">
      <formula>#REF!="IO"</formula>
    </cfRule>
    <cfRule type="expression" dxfId="3239" priority="78">
      <formula>#REF!="L"</formula>
    </cfRule>
  </conditionalFormatting>
  <conditionalFormatting sqref="AS30:AW30">
    <cfRule type="expression" dxfId="3238" priority="70">
      <formula>#REF!="TO"</formula>
    </cfRule>
    <cfRule type="expression" dxfId="3237" priority="71">
      <formula>#REF!="IO"</formula>
    </cfRule>
    <cfRule type="expression" dxfId="3236" priority="72">
      <formula>#REF!="L"</formula>
    </cfRule>
  </conditionalFormatting>
  <conditionalFormatting sqref="AY30:BC30">
    <cfRule type="expression" dxfId="3235" priority="67">
      <formula>#REF!="TO"</formula>
    </cfRule>
    <cfRule type="expression" dxfId="3234" priority="68">
      <formula>#REF!="IO"</formula>
    </cfRule>
    <cfRule type="expression" dxfId="3233" priority="69">
      <formula>#REF!="L"</formula>
    </cfRule>
  </conditionalFormatting>
  <conditionalFormatting sqref="N30 P30:AJ30">
    <cfRule type="expression" dxfId="3232" priority="106">
      <formula>#REF!="TO"</formula>
    </cfRule>
    <cfRule type="expression" dxfId="3231" priority="107">
      <formula>#REF!="IO"</formula>
    </cfRule>
    <cfRule type="expression" dxfId="3230" priority="108">
      <formula>#REF!="L"</formula>
    </cfRule>
  </conditionalFormatting>
  <conditionalFormatting sqref="AD30">
    <cfRule type="expression" dxfId="3229" priority="97">
      <formula>Y30="TO"</formula>
    </cfRule>
    <cfRule type="expression" dxfId="3228" priority="98">
      <formula>Y30="IO"</formula>
    </cfRule>
    <cfRule type="expression" dxfId="3227" priority="99">
      <formula>Y30="L"</formula>
    </cfRule>
    <cfRule type="expression" dxfId="3226" priority="88">
      <formula>Y30="TO"</formula>
    </cfRule>
    <cfRule type="expression" dxfId="3225" priority="89">
      <formula>Y30="IO"</formula>
    </cfRule>
    <cfRule type="expression" dxfId="3224" priority="90">
      <formula>Y30="L"</formula>
    </cfRule>
  </conditionalFormatting>
  <conditionalFormatting sqref="W30">
    <cfRule type="expression" dxfId="3223" priority="100">
      <formula>R30="TO"</formula>
    </cfRule>
    <cfRule type="expression" dxfId="3222" priority="101">
      <formula>R30="IO"</formula>
    </cfRule>
    <cfRule type="expression" dxfId="3221" priority="102">
      <formula>R30="L"</formula>
    </cfRule>
    <cfRule type="expression" dxfId="3220" priority="94">
      <formula>R30="TO"</formula>
    </cfRule>
    <cfRule type="expression" dxfId="3219" priority="95">
      <formula>R30="IO"</formula>
    </cfRule>
    <cfRule type="expression" dxfId="3218" priority="96">
      <formula>R30="L"</formula>
    </cfRule>
  </conditionalFormatting>
  <conditionalFormatting sqref="P30">
    <cfRule type="expression" dxfId="3217" priority="103">
      <formula>J32="TO"</formula>
    </cfRule>
    <cfRule type="expression" dxfId="3216" priority="104">
      <formula>J32="IO"</formula>
    </cfRule>
    <cfRule type="expression" dxfId="3215" priority="105">
      <formula>J32="L"</formula>
    </cfRule>
    <cfRule type="expression" dxfId="3214" priority="91">
      <formula>J31="TO"</formula>
    </cfRule>
    <cfRule type="expression" dxfId="3213" priority="92">
      <formula>J31="IO"</formula>
    </cfRule>
    <cfRule type="expression" dxfId="3212" priority="93">
      <formula>J31="L"</formula>
    </cfRule>
  </conditionalFormatting>
  <conditionalFormatting sqref="AM30:AQ30">
    <cfRule type="expression" dxfId="3211" priority="85">
      <formula>#REF!="TO"</formula>
    </cfRule>
    <cfRule type="expression" dxfId="3210" priority="86">
      <formula>#REF!="IO"</formula>
    </cfRule>
    <cfRule type="expression" dxfId="3209" priority="87">
      <formula>#REF!="L"</formula>
    </cfRule>
  </conditionalFormatting>
  <conditionalFormatting sqref="N32 P32:AJ32">
    <cfRule type="expression" dxfId="3208" priority="64">
      <formula>#REF!="TO"</formula>
    </cfRule>
    <cfRule type="expression" dxfId="3207" priority="65">
      <formula>#REF!="IO"</formula>
    </cfRule>
    <cfRule type="expression" dxfId="3206" priority="66">
      <formula>#REF!="L"</formula>
    </cfRule>
  </conditionalFormatting>
  <conditionalFormatting sqref="AD32">
    <cfRule type="expression" dxfId="3205" priority="55">
      <formula>Y32="TO"</formula>
    </cfRule>
    <cfRule type="expression" dxfId="3204" priority="56">
      <formula>Y32="IO"</formula>
    </cfRule>
    <cfRule type="expression" dxfId="3203" priority="57">
      <formula>Y32="L"</formula>
    </cfRule>
  </conditionalFormatting>
  <conditionalFormatting sqref="W32">
    <cfRule type="expression" dxfId="3202" priority="58">
      <formula>R32="TO"</formula>
    </cfRule>
    <cfRule type="expression" dxfId="3201" priority="59">
      <formula>R32="IO"</formula>
    </cfRule>
    <cfRule type="expression" dxfId="3200" priority="60">
      <formula>R32="L"</formula>
    </cfRule>
  </conditionalFormatting>
  <conditionalFormatting sqref="P32">
    <cfRule type="expression" dxfId="3199" priority="61">
      <formula>J34="TO"</formula>
    </cfRule>
    <cfRule type="expression" dxfId="3198" priority="62">
      <formula>J34="IO"</formula>
    </cfRule>
    <cfRule type="expression" dxfId="3197" priority="63">
      <formula>J34="L"</formula>
    </cfRule>
  </conditionalFormatting>
  <conditionalFormatting sqref="AM32:AQ32">
    <cfRule type="expression" dxfId="3196" priority="52">
      <formula>#REF!="TO"</formula>
    </cfRule>
    <cfRule type="expression" dxfId="3195" priority="53">
      <formula>#REF!="IO"</formula>
    </cfRule>
    <cfRule type="expression" dxfId="3194" priority="54">
      <formula>#REF!="L"</formula>
    </cfRule>
  </conditionalFormatting>
  <conditionalFormatting sqref="O32">
    <cfRule type="expression" dxfId="3193" priority="49">
      <formula>#REF!="TO"</formula>
    </cfRule>
    <cfRule type="expression" dxfId="3192" priority="50">
      <formula>#REF!="IO"</formula>
    </cfRule>
    <cfRule type="expression" dxfId="3191" priority="51">
      <formula>#REF!="L"</formula>
    </cfRule>
  </conditionalFormatting>
  <conditionalFormatting sqref="AS32:AW32">
    <cfRule type="expression" dxfId="3190" priority="46">
      <formula>#REF!="TO"</formula>
    </cfRule>
    <cfRule type="expression" dxfId="3189" priority="47">
      <formula>#REF!="IO"</formula>
    </cfRule>
    <cfRule type="expression" dxfId="3188" priority="48">
      <formula>#REF!="L"</formula>
    </cfRule>
  </conditionalFormatting>
  <conditionalFormatting sqref="AY32:BC32">
    <cfRule type="expression" dxfId="3187" priority="43">
      <formula>#REF!="TO"</formula>
    </cfRule>
    <cfRule type="expression" dxfId="3186" priority="44">
      <formula>#REF!="IO"</formula>
    </cfRule>
    <cfRule type="expression" dxfId="3185" priority="45">
      <formula>#REF!="L"</formula>
    </cfRule>
  </conditionalFormatting>
  <conditionalFormatting sqref="N31 P31:AJ31">
    <cfRule type="expression" dxfId="3184" priority="40">
      <formula>#REF!="TO"</formula>
    </cfRule>
    <cfRule type="expression" dxfId="3183" priority="41">
      <formula>#REF!="IO"</formula>
    </cfRule>
    <cfRule type="expression" dxfId="3182" priority="42">
      <formula>#REF!="L"</formula>
    </cfRule>
  </conditionalFormatting>
  <conditionalFormatting sqref="AD31">
    <cfRule type="expression" dxfId="3181" priority="31">
      <formula>Y31="TO"</formula>
    </cfRule>
    <cfRule type="expression" dxfId="3180" priority="32">
      <formula>Y31="IO"</formula>
    </cfRule>
    <cfRule type="expression" dxfId="3179" priority="33">
      <formula>Y31="L"</formula>
    </cfRule>
    <cfRule type="expression" dxfId="3178" priority="22">
      <formula>Y31="TO"</formula>
    </cfRule>
    <cfRule type="expression" dxfId="3177" priority="23">
      <formula>Y31="IO"</formula>
    </cfRule>
    <cfRule type="expression" dxfId="3176" priority="24">
      <formula>Y31="L"</formula>
    </cfRule>
  </conditionalFormatting>
  <conditionalFormatting sqref="W31">
    <cfRule type="expression" dxfId="3175" priority="34">
      <formula>R31="TO"</formula>
    </cfRule>
    <cfRule type="expression" dxfId="3174" priority="35">
      <formula>R31="IO"</formula>
    </cfRule>
    <cfRule type="expression" dxfId="3173" priority="36">
      <formula>R31="L"</formula>
    </cfRule>
    <cfRule type="expression" dxfId="3172" priority="28">
      <formula>R31="TO"</formula>
    </cfRule>
    <cfRule type="expression" dxfId="3171" priority="29">
      <formula>R31="IO"</formula>
    </cfRule>
    <cfRule type="expression" dxfId="3170" priority="30">
      <formula>R31="L"</formula>
    </cfRule>
  </conditionalFormatting>
  <conditionalFormatting sqref="P31">
    <cfRule type="expression" dxfId="3169" priority="37">
      <formula>J33="TO"</formula>
    </cfRule>
    <cfRule type="expression" dxfId="3168" priority="38">
      <formula>J33="IO"</formula>
    </cfRule>
    <cfRule type="expression" dxfId="3167" priority="39">
      <formula>J33="L"</formula>
    </cfRule>
    <cfRule type="expression" dxfId="3166" priority="25">
      <formula>J32="TO"</formula>
    </cfRule>
    <cfRule type="expression" dxfId="3165" priority="26">
      <formula>J32="IO"</formula>
    </cfRule>
    <cfRule type="expression" dxfId="3164" priority="27">
      <formula>J32="L"</formula>
    </cfRule>
  </conditionalFormatting>
  <conditionalFormatting sqref="AM31:AQ31">
    <cfRule type="expression" dxfId="3163" priority="19">
      <formula>#REF!="TO"</formula>
    </cfRule>
    <cfRule type="expression" dxfId="3162" priority="20">
      <formula>#REF!="IO"</formula>
    </cfRule>
    <cfRule type="expression" dxfId="3161" priority="21">
      <formula>#REF!="L"</formula>
    </cfRule>
  </conditionalFormatting>
  <conditionalFormatting sqref="O31">
    <cfRule type="expression" dxfId="3160" priority="16">
      <formula>#REF!="TO"</formula>
    </cfRule>
    <cfRule type="expression" dxfId="3159" priority="17">
      <formula>#REF!="IO"</formula>
    </cfRule>
    <cfRule type="expression" dxfId="3158" priority="18">
      <formula>#REF!="L"</formula>
    </cfRule>
    <cfRule type="expression" dxfId="3157" priority="13">
      <formula>#REF!="TO"</formula>
    </cfRule>
    <cfRule type="expression" dxfId="3156" priority="14">
      <formula>#REF!="IO"</formula>
    </cfRule>
    <cfRule type="expression" dxfId="3155" priority="15">
      <formula>#REF!="L"</formula>
    </cfRule>
    <cfRule type="expression" dxfId="3154" priority="10">
      <formula>#REF!="TO"</formula>
    </cfRule>
    <cfRule type="expression" dxfId="3153" priority="11">
      <formula>#REF!="IO"</formula>
    </cfRule>
    <cfRule type="expression" dxfId="3152" priority="12">
      <formula>#REF!="L"</formula>
    </cfRule>
    <cfRule type="expression" dxfId="3151" priority="7">
      <formula>#REF!="TO"</formula>
    </cfRule>
    <cfRule type="expression" dxfId="3150" priority="8">
      <formula>#REF!="IO"</formula>
    </cfRule>
    <cfRule type="expression" dxfId="3149" priority="9">
      <formula>#REF!="L"</formula>
    </cfRule>
  </conditionalFormatting>
  <conditionalFormatting sqref="AS31:AW31">
    <cfRule type="expression" dxfId="3148" priority="4">
      <formula>#REF!="TO"</formula>
    </cfRule>
    <cfRule type="expression" dxfId="3147" priority="5">
      <formula>#REF!="IO"</formula>
    </cfRule>
    <cfRule type="expression" dxfId="3146" priority="6">
      <formula>#REF!="L"</formula>
    </cfRule>
  </conditionalFormatting>
  <conditionalFormatting sqref="AY31:BC31">
    <cfRule type="expression" dxfId="3145" priority="1">
      <formula>#REF!="TO"</formula>
    </cfRule>
    <cfRule type="expression" dxfId="3144" priority="2">
      <formula>#REF!="IO"</formula>
    </cfRule>
    <cfRule type="expression" dxfId="3143" priority="3">
      <formula>#REF!="L"</formula>
    </cfRule>
  </conditionalFormatting>
  <pageMargins left="0.511811024" right="0.511811024" top="0.78740157499999996" bottom="0.78740157499999996" header="0.31496062000000002" footer="0.31496062000000002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B1:AD89"/>
  <sheetViews>
    <sheetView showGridLines="0" zoomScaleNormal="100" workbookViewId="0">
      <selection activeCell="X35" sqref="X35"/>
    </sheetView>
  </sheetViews>
  <sheetFormatPr defaultRowHeight="15" x14ac:dyDescent="0.25"/>
  <cols>
    <col min="2" max="2" width="24.140625" style="186" bestFit="1" customWidth="1"/>
    <col min="3" max="3" width="13.5703125" style="186" bestFit="1" customWidth="1"/>
    <col min="6" max="6" width="9.42578125" style="186" customWidth="1"/>
    <col min="7" max="7" width="12.7109375" style="186" customWidth="1"/>
    <col min="8" max="8" width="1.5703125" style="371" customWidth="1"/>
    <col min="9" max="9" width="12.7109375" style="186" customWidth="1"/>
    <col min="10" max="10" width="1.5703125" style="371" customWidth="1"/>
    <col min="11" max="11" width="12.7109375" style="371" customWidth="1"/>
    <col min="12" max="12" width="1.5703125" style="371" customWidth="1"/>
    <col min="13" max="15" width="12.7109375" style="186" customWidth="1"/>
    <col min="16" max="16" width="1.5703125" style="371" customWidth="1"/>
    <col min="17" max="19" width="12.7109375" style="186" customWidth="1"/>
    <col min="20" max="20" width="14.7109375" style="186" customWidth="1"/>
    <col min="21" max="21" width="12.7109375" style="186" customWidth="1"/>
    <col min="22" max="22" width="1.5703125" style="371" customWidth="1"/>
    <col min="23" max="26" width="12.7109375" style="186" customWidth="1"/>
    <col min="27" max="27" width="15.140625" style="186" bestFit="1" customWidth="1"/>
    <col min="28" max="28" width="12.7109375" style="186" customWidth="1"/>
    <col min="29" max="29" width="1.5703125" style="186" customWidth="1"/>
    <col min="30" max="30" width="13.85546875" style="186" customWidth="1"/>
  </cols>
  <sheetData>
    <row r="1" spans="2:30" ht="27.75" customHeight="1" thickBot="1" x14ac:dyDescent="0.3">
      <c r="F1" s="454" t="s">
        <v>176</v>
      </c>
      <c r="G1" s="375" t="s">
        <v>177</v>
      </c>
      <c r="H1" s="376"/>
      <c r="I1" s="380" t="s">
        <v>272</v>
      </c>
      <c r="J1" s="376"/>
      <c r="K1" s="380" t="s">
        <v>273</v>
      </c>
      <c r="L1" s="376"/>
      <c r="M1" s="381" t="s">
        <v>274</v>
      </c>
      <c r="N1" s="382" t="s">
        <v>275</v>
      </c>
      <c r="O1" s="422" t="s">
        <v>276</v>
      </c>
      <c r="P1" s="376"/>
      <c r="Q1" s="455" t="s">
        <v>277</v>
      </c>
      <c r="R1" s="456" t="s">
        <v>278</v>
      </c>
      <c r="S1" s="456" t="s">
        <v>279</v>
      </c>
      <c r="T1" s="456" t="s">
        <v>280</v>
      </c>
      <c r="U1" s="422" t="s">
        <v>281</v>
      </c>
      <c r="V1" s="376"/>
      <c r="W1" s="455" t="s">
        <v>282</v>
      </c>
      <c r="X1" s="456" t="s">
        <v>283</v>
      </c>
      <c r="Y1" s="456" t="s">
        <v>284</v>
      </c>
      <c r="Z1" s="456" t="s">
        <v>285</v>
      </c>
      <c r="AA1" s="456" t="s">
        <v>286</v>
      </c>
      <c r="AB1" s="422" t="s">
        <v>287</v>
      </c>
      <c r="AD1" s="380" t="s">
        <v>288</v>
      </c>
    </row>
    <row r="2" spans="2:30" ht="15.75" customHeight="1" thickBot="1" x14ac:dyDescent="0.3">
      <c r="B2" s="203" t="s">
        <v>289</v>
      </c>
      <c r="C2" s="204" t="s">
        <v>290</v>
      </c>
      <c r="D2" s="205" t="s">
        <v>291</v>
      </c>
      <c r="E2">
        <v>1</v>
      </c>
      <c r="F2" s="197">
        <v>43101</v>
      </c>
      <c r="G2" s="389">
        <f>INDEX('Fluxo Projeto'!B:B, MATCH(Obra!F2, 'Fluxo Projeto'!A:A, 0))</f>
        <v>720.495</v>
      </c>
      <c r="H2" s="390"/>
      <c r="I2" s="393">
        <v>0</v>
      </c>
      <c r="J2" s="390"/>
      <c r="K2" s="239">
        <v>0</v>
      </c>
      <c r="L2" s="390"/>
      <c r="M2" s="430">
        <v>0</v>
      </c>
      <c r="N2" s="390">
        <f t="shared" ref="N2:N33" si="0">M2/$C$20</f>
        <v>0</v>
      </c>
      <c r="O2" s="236">
        <f t="shared" ref="O2:O33" si="1">-M2/$C$21</f>
        <v>0</v>
      </c>
      <c r="P2" s="390"/>
      <c r="Q2" s="397">
        <f t="shared" ref="Q2:Q33" si="2">-custoRaso*K2</f>
        <v>0</v>
      </c>
      <c r="R2" s="390">
        <f t="shared" ref="R2:R33" si="3">Q2/inccObra</f>
        <v>0</v>
      </c>
      <c r="S2" s="390">
        <f t="shared" ref="S2:S33" si="4">R2*(1+toleranciaObra*premissaToleranciaObra)</f>
        <v>0</v>
      </c>
      <c r="T2" s="390">
        <f t="shared" ref="T2:T33" si="5">R2*inccD2</f>
        <v>0</v>
      </c>
      <c r="U2" s="236">
        <f t="shared" ref="U2:U33" si="6">-Q2/$C$13</f>
        <v>0</v>
      </c>
      <c r="V2" s="390"/>
      <c r="W2" s="397">
        <f>-IFERROR(IF(F2&lt;=baseData, INDEX('LDI - Fluxo de Caixa'!$L$161:$L$374, MATCH(F2, 'LDI - Fluxo de Caixa'!$C$161:$C$374, 0)), 0), 0)</f>
        <v>0</v>
      </c>
      <c r="X2" s="390">
        <f>IFERROR(W2/INDEX(Indicadores!$B:$B, MATCH(Obra!F2, Indicadores!$A:$A, 0)), 0)</f>
        <v>0</v>
      </c>
      <c r="Y2" s="390">
        <f t="shared" ref="Y2:Y33" ca="1" si="7">IFERROR(IF(F2&lt;=baseData, X2, OFFSET(R2, -DATEDIF($F$35, inicioObra, "m"), 0)-SUM(X:X)/SUM(R:R)*OFFSET(R2, -DATEDIF($F$35, inicioObra, "m"), 0)), 0)</f>
        <v>0</v>
      </c>
      <c r="Z2" s="390">
        <f t="shared" ref="Z2:Z33" ca="1" si="8">IFERROR(IF(F2&lt;=baseData, X2, OFFSET(S2, -DATEDIF($F$35, inicioObra, "m"), 0)-SUM(X:X)/SUM(S:S)*OFFSET(S2, -DATEDIF($F$35, inicioObra, "m"), 0)), 0)</f>
        <v>0</v>
      </c>
      <c r="AA2" s="390">
        <f t="shared" ref="AA2:AA33" si="9">IF(F2&lt;=baseData, W2, Z2*inccD2)</f>
        <v>0</v>
      </c>
      <c r="AB2" s="236">
        <f t="shared" ref="AB2:AB33" ca="1" si="10">Z2/SUM($Z$2:$Z$85)</f>
        <v>0</v>
      </c>
      <c r="AD2" s="200">
        <v>0</v>
      </c>
    </row>
    <row r="3" spans="2:30" x14ac:dyDescent="0.25">
      <c r="B3" s="206" t="s">
        <v>57</v>
      </c>
      <c r="C3" s="207">
        <f>INDEX(E:E, MATCH(D3, F:F, 0))</f>
        <v>30</v>
      </c>
      <c r="D3" s="457">
        <f>lçto</f>
        <v>43983</v>
      </c>
      <c r="E3">
        <v>2</v>
      </c>
      <c r="F3" s="197">
        <f t="shared" ref="F3:F34" si="11">DATE(YEAR(F2),MONTH(F2)+1,1)</f>
        <v>43132</v>
      </c>
      <c r="G3" s="389">
        <f>INDEX('Fluxo Projeto'!B:B, MATCH(Obra!F3, 'Fluxo Projeto'!A:A, 0))</f>
        <v>721.41399999999999</v>
      </c>
      <c r="H3" s="390"/>
      <c r="I3" s="393">
        <v>0</v>
      </c>
      <c r="J3" s="390"/>
      <c r="K3" s="239">
        <v>0</v>
      </c>
      <c r="L3" s="390"/>
      <c r="M3" s="430">
        <v>0</v>
      </c>
      <c r="N3" s="390">
        <f t="shared" si="0"/>
        <v>0</v>
      </c>
      <c r="O3" s="236">
        <f t="shared" si="1"/>
        <v>0</v>
      </c>
      <c r="P3" s="390"/>
      <c r="Q3" s="397">
        <f t="shared" si="2"/>
        <v>0</v>
      </c>
      <c r="R3" s="390">
        <f t="shared" si="3"/>
        <v>0</v>
      </c>
      <c r="S3" s="390">
        <f t="shared" si="4"/>
        <v>0</v>
      </c>
      <c r="T3" s="390">
        <f t="shared" si="5"/>
        <v>0</v>
      </c>
      <c r="U3" s="236">
        <f t="shared" si="6"/>
        <v>0</v>
      </c>
      <c r="V3" s="390"/>
      <c r="W3" s="397">
        <f>-IFERROR(IF(F3&lt;=baseData, INDEX('LDI - Fluxo de Caixa'!$L$161:$L$374, MATCH(F3, 'LDI - Fluxo de Caixa'!$C$161:$C$374, 0)), 0), 0)</f>
        <v>0</v>
      </c>
      <c r="X3" s="390">
        <f>IFERROR(W3/INDEX(Indicadores!$B:$B, MATCH(Obra!F3, Indicadores!$A:$A, 0)), 0)</f>
        <v>0</v>
      </c>
      <c r="Y3" s="390">
        <f t="shared" ca="1" si="7"/>
        <v>0</v>
      </c>
      <c r="Z3" s="390">
        <f t="shared" ca="1" si="8"/>
        <v>0</v>
      </c>
      <c r="AA3" s="390">
        <f t="shared" si="9"/>
        <v>0</v>
      </c>
      <c r="AB3" s="236">
        <f t="shared" ca="1" si="10"/>
        <v>0</v>
      </c>
      <c r="AD3" s="200">
        <v>0</v>
      </c>
    </row>
    <row r="4" spans="2:30" x14ac:dyDescent="0.25">
      <c r="B4" s="208" t="s">
        <v>292</v>
      </c>
      <c r="C4" s="209">
        <f>INDEX(E:E, MATCH(D4, F:F, 0))</f>
        <v>36</v>
      </c>
      <c r="D4" s="458">
        <f>inicioObra</f>
        <v>44166</v>
      </c>
      <c r="E4">
        <f t="shared" ref="E4:E35" si="12">E3+1</f>
        <v>3</v>
      </c>
      <c r="F4" s="197">
        <f t="shared" si="11"/>
        <v>43160</v>
      </c>
      <c r="G4" s="389">
        <f>INDEX('Fluxo Projeto'!B:B, MATCH(Obra!F4, 'Fluxo Projeto'!A:A, 0))</f>
        <v>723.16300000000001</v>
      </c>
      <c r="H4" s="390"/>
      <c r="I4" s="393">
        <v>0</v>
      </c>
      <c r="J4" s="390"/>
      <c r="K4" s="239">
        <v>0</v>
      </c>
      <c r="L4" s="390"/>
      <c r="M4" s="430">
        <v>0</v>
      </c>
      <c r="N4" s="390">
        <f t="shared" si="0"/>
        <v>0</v>
      </c>
      <c r="O4" s="236">
        <f t="shared" si="1"/>
        <v>0</v>
      </c>
      <c r="P4" s="390"/>
      <c r="Q4" s="397">
        <f t="shared" si="2"/>
        <v>0</v>
      </c>
      <c r="R4" s="390">
        <f t="shared" si="3"/>
        <v>0</v>
      </c>
      <c r="S4" s="390">
        <f t="shared" si="4"/>
        <v>0</v>
      </c>
      <c r="T4" s="390">
        <f t="shared" si="5"/>
        <v>0</v>
      </c>
      <c r="U4" s="236">
        <f t="shared" si="6"/>
        <v>0</v>
      </c>
      <c r="V4" s="390"/>
      <c r="W4" s="397">
        <f>-IFERROR(IF(F4&lt;=baseData, INDEX('LDI - Fluxo de Caixa'!$L$161:$L$374, MATCH(F4, 'LDI - Fluxo de Caixa'!$C$161:$C$374, 0)), 0), 0)</f>
        <v>0</v>
      </c>
      <c r="X4" s="390">
        <f>IFERROR(W4/INDEX(Indicadores!$B:$B, MATCH(Obra!F4, Indicadores!$A:$A, 0)), 0)</f>
        <v>0</v>
      </c>
      <c r="Y4" s="390">
        <f t="shared" ca="1" si="7"/>
        <v>0</v>
      </c>
      <c r="Z4" s="390">
        <f t="shared" ca="1" si="8"/>
        <v>0</v>
      </c>
      <c r="AA4" s="390">
        <f t="shared" si="9"/>
        <v>0</v>
      </c>
      <c r="AB4" s="236">
        <f t="shared" ca="1" si="10"/>
        <v>0</v>
      </c>
      <c r="AD4" s="200">
        <v>0</v>
      </c>
    </row>
    <row r="5" spans="2:30" ht="15.75" customHeight="1" thickBot="1" x14ac:dyDescent="0.3">
      <c r="B5" s="210" t="s">
        <v>293</v>
      </c>
      <c r="C5" s="214">
        <f>INDEX(E:E, MATCH(D5, F:F, 0))</f>
        <v>64</v>
      </c>
      <c r="D5" s="459">
        <f>entrega</f>
        <v>45017</v>
      </c>
      <c r="E5">
        <f t="shared" si="12"/>
        <v>4</v>
      </c>
      <c r="F5" s="197">
        <f t="shared" si="11"/>
        <v>43191</v>
      </c>
      <c r="G5" s="389">
        <f>INDEX('Fluxo Projeto'!B:B, MATCH(Obra!F5, 'Fluxo Projeto'!A:A, 0))</f>
        <v>725.245</v>
      </c>
      <c r="H5" s="390"/>
      <c r="I5" s="393">
        <v>0</v>
      </c>
      <c r="J5" s="390"/>
      <c r="K5" s="239">
        <v>0</v>
      </c>
      <c r="L5" s="390"/>
      <c r="M5" s="430">
        <v>0</v>
      </c>
      <c r="N5" s="390">
        <f t="shared" si="0"/>
        <v>0</v>
      </c>
      <c r="O5" s="236">
        <f t="shared" si="1"/>
        <v>0</v>
      </c>
      <c r="P5" s="390"/>
      <c r="Q5" s="397">
        <f t="shared" si="2"/>
        <v>0</v>
      </c>
      <c r="R5" s="390">
        <f t="shared" si="3"/>
        <v>0</v>
      </c>
      <c r="S5" s="390">
        <f t="shared" si="4"/>
        <v>0</v>
      </c>
      <c r="T5" s="390">
        <f t="shared" si="5"/>
        <v>0</v>
      </c>
      <c r="U5" s="236">
        <f t="shared" si="6"/>
        <v>0</v>
      </c>
      <c r="V5" s="390"/>
      <c r="W5" s="397">
        <f>-IFERROR(IF(F5&lt;=baseData, INDEX('LDI - Fluxo de Caixa'!$L$161:$L$374, MATCH(F5, 'LDI - Fluxo de Caixa'!$C$161:$C$374, 0)), 0), 0)</f>
        <v>0</v>
      </c>
      <c r="X5" s="390">
        <f>IFERROR(W5/INDEX(Indicadores!$B:$B, MATCH(Obra!F5, Indicadores!$A:$A, 0)), 0)</f>
        <v>0</v>
      </c>
      <c r="Y5" s="390">
        <f t="shared" ca="1" si="7"/>
        <v>0</v>
      </c>
      <c r="Z5" s="390">
        <f t="shared" ca="1" si="8"/>
        <v>0</v>
      </c>
      <c r="AA5" s="390">
        <f t="shared" si="9"/>
        <v>0</v>
      </c>
      <c r="AB5" s="236">
        <f t="shared" ca="1" si="10"/>
        <v>0</v>
      </c>
      <c r="AD5" s="200">
        <v>0</v>
      </c>
    </row>
    <row r="6" spans="2:30" x14ac:dyDescent="0.25">
      <c r="B6" s="217"/>
      <c r="C6" s="217"/>
      <c r="D6" s="217"/>
      <c r="E6">
        <f t="shared" si="12"/>
        <v>5</v>
      </c>
      <c r="F6" s="197">
        <f t="shared" si="11"/>
        <v>43221</v>
      </c>
      <c r="G6" s="389">
        <f>INDEX('Fluxo Projeto'!B:B, MATCH(Obra!F6, 'Fluxo Projeto'!A:A, 0))</f>
        <v>726.923</v>
      </c>
      <c r="H6" s="390"/>
      <c r="I6" s="393">
        <v>0</v>
      </c>
      <c r="J6" s="390"/>
      <c r="K6" s="239">
        <v>0</v>
      </c>
      <c r="L6" s="390"/>
      <c r="M6" s="430">
        <v>0</v>
      </c>
      <c r="N6" s="390">
        <f t="shared" si="0"/>
        <v>0</v>
      </c>
      <c r="O6" s="236">
        <f t="shared" si="1"/>
        <v>0</v>
      </c>
      <c r="P6" s="390"/>
      <c r="Q6" s="397">
        <f t="shared" si="2"/>
        <v>0</v>
      </c>
      <c r="R6" s="390">
        <f t="shared" si="3"/>
        <v>0</v>
      </c>
      <c r="S6" s="390">
        <f t="shared" si="4"/>
        <v>0</v>
      </c>
      <c r="T6" s="390">
        <f t="shared" si="5"/>
        <v>0</v>
      </c>
      <c r="U6" s="236">
        <f t="shared" si="6"/>
        <v>0</v>
      </c>
      <c r="V6" s="390"/>
      <c r="W6" s="397">
        <f>-IFERROR(IF(F6&lt;=baseData, INDEX('LDI - Fluxo de Caixa'!$L$161:$L$374, MATCH(F6, 'LDI - Fluxo de Caixa'!$C$161:$C$374, 0)), 0), 0)</f>
        <v>0</v>
      </c>
      <c r="X6" s="390">
        <f>IFERROR(W6/INDEX(Indicadores!$B:$B, MATCH(Obra!F6, Indicadores!$A:$A, 0)), 0)</f>
        <v>0</v>
      </c>
      <c r="Y6" s="390">
        <f t="shared" ca="1" si="7"/>
        <v>0</v>
      </c>
      <c r="Z6" s="390">
        <f t="shared" ca="1" si="8"/>
        <v>0</v>
      </c>
      <c r="AA6" s="390">
        <f t="shared" si="9"/>
        <v>0</v>
      </c>
      <c r="AB6" s="236">
        <f t="shared" ca="1" si="10"/>
        <v>0</v>
      </c>
      <c r="AD6" s="200">
        <v>0</v>
      </c>
    </row>
    <row r="7" spans="2:30" ht="15.75" customHeight="1" thickBot="1" x14ac:dyDescent="0.3">
      <c r="B7" s="14" t="s">
        <v>277</v>
      </c>
      <c r="C7" s="15"/>
      <c r="D7" s="217"/>
      <c r="E7">
        <f t="shared" si="12"/>
        <v>6</v>
      </c>
      <c r="F7" s="197">
        <f t="shared" si="11"/>
        <v>43252</v>
      </c>
      <c r="G7" s="389">
        <f>INDEX('Fluxo Projeto'!B:B, MATCH(Obra!F7, 'Fluxo Projeto'!A:A, 0))</f>
        <v>733.98400000000004</v>
      </c>
      <c r="H7" s="390"/>
      <c r="I7" s="393">
        <v>0</v>
      </c>
      <c r="J7" s="390"/>
      <c r="K7" s="239">
        <v>0</v>
      </c>
      <c r="L7" s="390"/>
      <c r="M7" s="430">
        <v>0</v>
      </c>
      <c r="N7" s="390">
        <f t="shared" si="0"/>
        <v>0</v>
      </c>
      <c r="O7" s="236">
        <f t="shared" si="1"/>
        <v>0</v>
      </c>
      <c r="P7" s="390"/>
      <c r="Q7" s="397">
        <f t="shared" si="2"/>
        <v>0</v>
      </c>
      <c r="R7" s="390">
        <f t="shared" si="3"/>
        <v>0</v>
      </c>
      <c r="S7" s="390">
        <f t="shared" si="4"/>
        <v>0</v>
      </c>
      <c r="T7" s="390">
        <f t="shared" si="5"/>
        <v>0</v>
      </c>
      <c r="U7" s="236">
        <f t="shared" si="6"/>
        <v>0</v>
      </c>
      <c r="V7" s="390"/>
      <c r="W7" s="397">
        <f>-IFERROR(IF(F7&lt;=baseData, INDEX('LDI - Fluxo de Caixa'!$L$161:$L$374, MATCH(F7, 'LDI - Fluxo de Caixa'!$C$161:$C$374, 0)), 0), 0)</f>
        <v>0</v>
      </c>
      <c r="X7" s="390">
        <f>IFERROR(W7/INDEX(Indicadores!$B:$B, MATCH(Obra!F7, Indicadores!$A:$A, 0)), 0)</f>
        <v>0</v>
      </c>
      <c r="Y7" s="390">
        <f t="shared" ca="1" si="7"/>
        <v>0</v>
      </c>
      <c r="Z7" s="390">
        <f t="shared" ca="1" si="8"/>
        <v>0</v>
      </c>
      <c r="AA7" s="390">
        <f t="shared" si="9"/>
        <v>0</v>
      </c>
      <c r="AB7" s="236">
        <f t="shared" ca="1" si="10"/>
        <v>0</v>
      </c>
      <c r="AD7" s="200">
        <v>0</v>
      </c>
    </row>
    <row r="8" spans="2:30" x14ac:dyDescent="0.25">
      <c r="B8" s="211" t="s">
        <v>294</v>
      </c>
      <c r="C8" s="355">
        <f>dataBaseObra</f>
        <v>43831</v>
      </c>
      <c r="D8" s="217"/>
      <c r="E8">
        <f t="shared" si="12"/>
        <v>7</v>
      </c>
      <c r="F8" s="197">
        <f t="shared" si="11"/>
        <v>43282</v>
      </c>
      <c r="G8" s="389">
        <f>INDEX('Fluxo Projeto'!B:B, MATCH(Obra!F8, 'Fluxo Projeto'!A:A, 0))</f>
        <v>738.48699999999997</v>
      </c>
      <c r="H8" s="390"/>
      <c r="I8" s="393">
        <v>0</v>
      </c>
      <c r="J8" s="390"/>
      <c r="K8" s="239">
        <v>0</v>
      </c>
      <c r="L8" s="390"/>
      <c r="M8" s="430">
        <v>0</v>
      </c>
      <c r="N8" s="390">
        <f t="shared" si="0"/>
        <v>0</v>
      </c>
      <c r="O8" s="236">
        <f t="shared" si="1"/>
        <v>0</v>
      </c>
      <c r="P8" s="390"/>
      <c r="Q8" s="397">
        <f t="shared" si="2"/>
        <v>0</v>
      </c>
      <c r="R8" s="390">
        <f t="shared" si="3"/>
        <v>0</v>
      </c>
      <c r="S8" s="390">
        <f t="shared" si="4"/>
        <v>0</v>
      </c>
      <c r="T8" s="390">
        <f t="shared" si="5"/>
        <v>0</v>
      </c>
      <c r="U8" s="236">
        <f t="shared" si="6"/>
        <v>0</v>
      </c>
      <c r="V8" s="390"/>
      <c r="W8" s="397">
        <f>-IFERROR(IF(F8&lt;=baseData, INDEX('LDI - Fluxo de Caixa'!$L$161:$L$374, MATCH(F8, 'LDI - Fluxo de Caixa'!$C$161:$C$374, 0)), 0), 0)</f>
        <v>0</v>
      </c>
      <c r="X8" s="390">
        <f>IFERROR(W8/INDEX(Indicadores!$B:$B, MATCH(Obra!F8, Indicadores!$A:$A, 0)), 0)</f>
        <v>0</v>
      </c>
      <c r="Y8" s="390">
        <f t="shared" ca="1" si="7"/>
        <v>0</v>
      </c>
      <c r="Z8" s="390">
        <f t="shared" ca="1" si="8"/>
        <v>0</v>
      </c>
      <c r="AA8" s="390">
        <f t="shared" si="9"/>
        <v>0</v>
      </c>
      <c r="AB8" s="236">
        <f t="shared" ca="1" si="10"/>
        <v>0</v>
      </c>
      <c r="AD8" s="200">
        <v>0</v>
      </c>
    </row>
    <row r="9" spans="2:30" x14ac:dyDescent="0.25">
      <c r="B9" s="211" t="s">
        <v>126</v>
      </c>
      <c r="C9" s="366">
        <f>inccObra</f>
        <v>779.76599999999996</v>
      </c>
      <c r="D9" s="217"/>
      <c r="E9">
        <f t="shared" si="12"/>
        <v>8</v>
      </c>
      <c r="F9" s="197">
        <f t="shared" si="11"/>
        <v>43313</v>
      </c>
      <c r="G9" s="389">
        <f>INDEX('Fluxo Projeto'!B:B, MATCH(Obra!F9, 'Fluxo Projeto'!A:A, 0))</f>
        <v>739.58299999999997</v>
      </c>
      <c r="H9" s="390"/>
      <c r="I9" s="393">
        <v>0</v>
      </c>
      <c r="J9" s="390"/>
      <c r="K9" s="239">
        <v>0</v>
      </c>
      <c r="L9" s="390"/>
      <c r="M9" s="430">
        <v>0</v>
      </c>
      <c r="N9" s="390">
        <f t="shared" si="0"/>
        <v>0</v>
      </c>
      <c r="O9" s="236">
        <f t="shared" si="1"/>
        <v>0</v>
      </c>
      <c r="P9" s="390"/>
      <c r="Q9" s="397">
        <f t="shared" si="2"/>
        <v>0</v>
      </c>
      <c r="R9" s="390">
        <f t="shared" si="3"/>
        <v>0</v>
      </c>
      <c r="S9" s="390">
        <f t="shared" si="4"/>
        <v>0</v>
      </c>
      <c r="T9" s="390">
        <f t="shared" si="5"/>
        <v>0</v>
      </c>
      <c r="U9" s="236">
        <f t="shared" si="6"/>
        <v>0</v>
      </c>
      <c r="V9" s="390"/>
      <c r="W9" s="397">
        <f>-IFERROR(IF(F9&lt;=baseData, INDEX('LDI - Fluxo de Caixa'!$L$161:$L$374, MATCH(F9, 'LDI - Fluxo de Caixa'!$C$161:$C$374, 0)), 0), 0)</f>
        <v>0</v>
      </c>
      <c r="X9" s="390">
        <f>IFERROR(W9/INDEX(Indicadores!$B:$B, MATCH(Obra!F9, Indicadores!$A:$A, 0)), 0)</f>
        <v>0</v>
      </c>
      <c r="Y9" s="390">
        <f t="shared" ca="1" si="7"/>
        <v>0</v>
      </c>
      <c r="Z9" s="390">
        <f t="shared" ca="1" si="8"/>
        <v>0</v>
      </c>
      <c r="AA9" s="390">
        <f t="shared" si="9"/>
        <v>0</v>
      </c>
      <c r="AB9" s="236">
        <f t="shared" ca="1" si="10"/>
        <v>0</v>
      </c>
      <c r="AD9" s="200">
        <v>0</v>
      </c>
    </row>
    <row r="10" spans="2:30" x14ac:dyDescent="0.25">
      <c r="B10" s="211" t="s">
        <v>129</v>
      </c>
      <c r="C10" s="366">
        <f>custoRaso</f>
        <v>34849736.964615107</v>
      </c>
      <c r="D10" s="217"/>
      <c r="E10">
        <f t="shared" si="12"/>
        <v>9</v>
      </c>
      <c r="F10" s="197">
        <f t="shared" si="11"/>
        <v>43344</v>
      </c>
      <c r="G10" s="389">
        <f>INDEX('Fluxo Projeto'!B:B, MATCH(Obra!F10, 'Fluxo Projeto'!A:A, 0))</f>
        <v>741.30499999999995</v>
      </c>
      <c r="H10" s="390"/>
      <c r="I10" s="393">
        <v>0</v>
      </c>
      <c r="J10" s="390"/>
      <c r="K10" s="239">
        <v>0</v>
      </c>
      <c r="L10" s="390"/>
      <c r="M10" s="430">
        <v>0</v>
      </c>
      <c r="N10" s="390">
        <f t="shared" si="0"/>
        <v>0</v>
      </c>
      <c r="O10" s="236">
        <f t="shared" si="1"/>
        <v>0</v>
      </c>
      <c r="P10" s="390"/>
      <c r="Q10" s="397">
        <f t="shared" si="2"/>
        <v>0</v>
      </c>
      <c r="R10" s="390">
        <f t="shared" si="3"/>
        <v>0</v>
      </c>
      <c r="S10" s="390">
        <f t="shared" si="4"/>
        <v>0</v>
      </c>
      <c r="T10" s="390">
        <f t="shared" si="5"/>
        <v>0</v>
      </c>
      <c r="U10" s="236">
        <f t="shared" si="6"/>
        <v>0</v>
      </c>
      <c r="V10" s="390"/>
      <c r="W10" s="397">
        <f>-IFERROR(IF(F10&lt;=baseData, INDEX('LDI - Fluxo de Caixa'!$L$161:$L$374, MATCH(F10, 'LDI - Fluxo de Caixa'!$C$161:$C$374, 0)), 0), 0)</f>
        <v>0</v>
      </c>
      <c r="X10" s="390">
        <f>IFERROR(W10/INDEX(Indicadores!$B:$B, MATCH(Obra!F10, Indicadores!$A:$A, 0)), 0)</f>
        <v>0</v>
      </c>
      <c r="Y10" s="390">
        <f t="shared" ca="1" si="7"/>
        <v>0</v>
      </c>
      <c r="Z10" s="390">
        <f t="shared" ca="1" si="8"/>
        <v>0</v>
      </c>
      <c r="AA10" s="390">
        <f t="shared" si="9"/>
        <v>0</v>
      </c>
      <c r="AB10" s="236">
        <f t="shared" ca="1" si="10"/>
        <v>0</v>
      </c>
      <c r="AD10" s="200">
        <v>0</v>
      </c>
    </row>
    <row r="11" spans="2:30" x14ac:dyDescent="0.25">
      <c r="B11" s="211" t="s">
        <v>295</v>
      </c>
      <c r="C11" s="366">
        <f>custoRasoINCC</f>
        <v>44692.557721951336</v>
      </c>
      <c r="D11" s="217"/>
      <c r="E11">
        <f t="shared" si="12"/>
        <v>10</v>
      </c>
      <c r="F11" s="197">
        <f t="shared" si="11"/>
        <v>43374</v>
      </c>
      <c r="G11" s="389">
        <f>INDEX('Fluxo Projeto'!B:B, MATCH(Obra!F11, 'Fluxo Projeto'!A:A, 0))</f>
        <v>743.86599999999999</v>
      </c>
      <c r="H11" s="390"/>
      <c r="I11" s="393">
        <v>0</v>
      </c>
      <c r="J11" s="390"/>
      <c r="K11" s="239">
        <v>0</v>
      </c>
      <c r="L11" s="390"/>
      <c r="M11" s="430">
        <v>0</v>
      </c>
      <c r="N11" s="390">
        <f t="shared" si="0"/>
        <v>0</v>
      </c>
      <c r="O11" s="236">
        <f t="shared" si="1"/>
        <v>0</v>
      </c>
      <c r="P11" s="390"/>
      <c r="Q11" s="397">
        <f t="shared" si="2"/>
        <v>0</v>
      </c>
      <c r="R11" s="390">
        <f t="shared" si="3"/>
        <v>0</v>
      </c>
      <c r="S11" s="390">
        <f t="shared" si="4"/>
        <v>0</v>
      </c>
      <c r="T11" s="390">
        <f t="shared" si="5"/>
        <v>0</v>
      </c>
      <c r="U11" s="236">
        <f t="shared" si="6"/>
        <v>0</v>
      </c>
      <c r="V11" s="390"/>
      <c r="W11" s="397">
        <f>-IFERROR(IF(F11&lt;=baseData, INDEX('LDI - Fluxo de Caixa'!$L$161:$L$374, MATCH(F11, 'LDI - Fluxo de Caixa'!$C$161:$C$374, 0)), 0), 0)</f>
        <v>0</v>
      </c>
      <c r="X11" s="390">
        <f>IFERROR(W11/INDEX(Indicadores!$B:$B, MATCH(Obra!F11, Indicadores!$A:$A, 0)), 0)</f>
        <v>0</v>
      </c>
      <c r="Y11" s="390">
        <f t="shared" ca="1" si="7"/>
        <v>0</v>
      </c>
      <c r="Z11" s="390">
        <f t="shared" ca="1" si="8"/>
        <v>0</v>
      </c>
      <c r="AA11" s="390">
        <f t="shared" si="9"/>
        <v>0</v>
      </c>
      <c r="AB11" s="236">
        <f t="shared" ca="1" si="10"/>
        <v>0</v>
      </c>
      <c r="AD11" s="200">
        <v>0</v>
      </c>
    </row>
    <row r="12" spans="2:30" x14ac:dyDescent="0.25">
      <c r="B12" s="211" t="s">
        <v>296</v>
      </c>
      <c r="C12" s="366">
        <f>-SUM(S2:S85)</f>
        <v>46480.260030829391</v>
      </c>
      <c r="D12" s="217"/>
      <c r="E12">
        <f t="shared" si="12"/>
        <v>11</v>
      </c>
      <c r="F12" s="197">
        <f t="shared" si="11"/>
        <v>43405</v>
      </c>
      <c r="G12" s="389">
        <f>INDEX('Fluxo Projeto'!B:B, MATCH(Obra!F12, 'Fluxo Projeto'!A:A, 0))</f>
        <v>744.86500000000001</v>
      </c>
      <c r="H12" s="390"/>
      <c r="I12" s="393">
        <v>0</v>
      </c>
      <c r="J12" s="390"/>
      <c r="K12" s="239">
        <v>0</v>
      </c>
      <c r="L12" s="390"/>
      <c r="M12" s="430">
        <v>0</v>
      </c>
      <c r="N12" s="390">
        <f t="shared" si="0"/>
        <v>0</v>
      </c>
      <c r="O12" s="236">
        <f t="shared" si="1"/>
        <v>0</v>
      </c>
      <c r="P12" s="390"/>
      <c r="Q12" s="397">
        <f t="shared" si="2"/>
        <v>0</v>
      </c>
      <c r="R12" s="390">
        <f t="shared" si="3"/>
        <v>0</v>
      </c>
      <c r="S12" s="390">
        <f t="shared" si="4"/>
        <v>0</v>
      </c>
      <c r="T12" s="390">
        <f t="shared" si="5"/>
        <v>0</v>
      </c>
      <c r="U12" s="236">
        <f t="shared" si="6"/>
        <v>0</v>
      </c>
      <c r="V12" s="390"/>
      <c r="W12" s="397">
        <f>-IFERROR(IF(F12&lt;=baseData, INDEX('LDI - Fluxo de Caixa'!$L$161:$L$374, MATCH(F12, 'LDI - Fluxo de Caixa'!$C$161:$C$374, 0)), 0), 0)</f>
        <v>0</v>
      </c>
      <c r="X12" s="390">
        <f>IFERROR(W12/INDEX(Indicadores!$B:$B, MATCH(Obra!F12, Indicadores!$A:$A, 0)), 0)</f>
        <v>0</v>
      </c>
      <c r="Y12" s="390">
        <f t="shared" ca="1" si="7"/>
        <v>0</v>
      </c>
      <c r="Z12" s="390">
        <f t="shared" ca="1" si="8"/>
        <v>0</v>
      </c>
      <c r="AA12" s="390">
        <f t="shared" si="9"/>
        <v>0</v>
      </c>
      <c r="AB12" s="236">
        <f t="shared" ca="1" si="10"/>
        <v>0</v>
      </c>
      <c r="AD12" s="200">
        <v>0</v>
      </c>
    </row>
    <row r="13" spans="2:30" x14ac:dyDescent="0.25">
      <c r="B13" s="211" t="s">
        <v>297</v>
      </c>
      <c r="C13" s="352">
        <f>-SUM(Q2:Q85)</f>
        <v>34849736.964615099</v>
      </c>
      <c r="D13" s="217"/>
      <c r="E13">
        <f t="shared" si="12"/>
        <v>12</v>
      </c>
      <c r="F13" s="197">
        <f t="shared" si="11"/>
        <v>43435</v>
      </c>
      <c r="G13" s="389">
        <f>INDEX('Fluxo Projeto'!B:B, MATCH(Obra!F13, 'Fluxo Projeto'!A:A, 0))</f>
        <v>745.85599999999999</v>
      </c>
      <c r="H13" s="390"/>
      <c r="I13" s="393">
        <v>0</v>
      </c>
      <c r="J13" s="390"/>
      <c r="K13" s="239">
        <v>0</v>
      </c>
      <c r="L13" s="390"/>
      <c r="M13" s="430">
        <v>0</v>
      </c>
      <c r="N13" s="390">
        <f t="shared" si="0"/>
        <v>0</v>
      </c>
      <c r="O13" s="236">
        <f t="shared" si="1"/>
        <v>0</v>
      </c>
      <c r="P13" s="390"/>
      <c r="Q13" s="397">
        <f t="shared" si="2"/>
        <v>0</v>
      </c>
      <c r="R13" s="390">
        <f t="shared" si="3"/>
        <v>0</v>
      </c>
      <c r="S13" s="390">
        <f t="shared" si="4"/>
        <v>0</v>
      </c>
      <c r="T13" s="390">
        <f t="shared" si="5"/>
        <v>0</v>
      </c>
      <c r="U13" s="236">
        <f t="shared" si="6"/>
        <v>0</v>
      </c>
      <c r="V13" s="390"/>
      <c r="W13" s="397">
        <f>-IFERROR(IF(F13&lt;=baseData, INDEX('LDI - Fluxo de Caixa'!$L$161:$L$374, MATCH(F13, 'LDI - Fluxo de Caixa'!$C$161:$C$374, 0)), 0), 0)</f>
        <v>0</v>
      </c>
      <c r="X13" s="390">
        <f>IFERROR(W13/INDEX(Indicadores!$B:$B, MATCH(Obra!F13, Indicadores!$A:$A, 0)), 0)</f>
        <v>0</v>
      </c>
      <c r="Y13" s="390">
        <f t="shared" ca="1" si="7"/>
        <v>0</v>
      </c>
      <c r="Z13" s="390">
        <f t="shared" ca="1" si="8"/>
        <v>0</v>
      </c>
      <c r="AA13" s="390">
        <f t="shared" si="9"/>
        <v>0</v>
      </c>
      <c r="AB13" s="236">
        <f t="shared" ca="1" si="10"/>
        <v>0</v>
      </c>
      <c r="AD13" s="200">
        <v>0</v>
      </c>
    </row>
    <row r="14" spans="2:30" x14ac:dyDescent="0.25">
      <c r="B14" s="309" t="s">
        <v>298</v>
      </c>
      <c r="C14" s="460">
        <f>-SUMIF($F:$F, "&lt;="&amp;baseData, $W:$W)</f>
        <v>307995.32</v>
      </c>
      <c r="D14" s="217"/>
      <c r="E14">
        <f t="shared" si="12"/>
        <v>13</v>
      </c>
      <c r="F14" s="197">
        <f t="shared" si="11"/>
        <v>43466</v>
      </c>
      <c r="G14" s="389">
        <f>INDEX('Fluxo Projeto'!B:B, MATCH(Obra!F14, 'Fluxo Projeto'!A:A, 0))</f>
        <v>749.51700000000005</v>
      </c>
      <c r="H14" s="390"/>
      <c r="I14" s="393">
        <v>0</v>
      </c>
      <c r="J14" s="390"/>
      <c r="K14" s="239">
        <v>0</v>
      </c>
      <c r="L14" s="390"/>
      <c r="M14" s="430">
        <v>0</v>
      </c>
      <c r="N14" s="390">
        <f t="shared" si="0"/>
        <v>0</v>
      </c>
      <c r="O14" s="236">
        <f t="shared" si="1"/>
        <v>0</v>
      </c>
      <c r="P14" s="390"/>
      <c r="Q14" s="397">
        <f t="shared" si="2"/>
        <v>0</v>
      </c>
      <c r="R14" s="390">
        <f t="shared" si="3"/>
        <v>0</v>
      </c>
      <c r="S14" s="390">
        <f t="shared" si="4"/>
        <v>0</v>
      </c>
      <c r="T14" s="390">
        <f t="shared" si="5"/>
        <v>0</v>
      </c>
      <c r="U14" s="236">
        <f t="shared" si="6"/>
        <v>0</v>
      </c>
      <c r="V14" s="390"/>
      <c r="W14" s="397">
        <f>-IFERROR(IF(F14&lt;=baseData, INDEX('LDI - Fluxo de Caixa'!$L$161:$L$374, MATCH(F14, 'LDI - Fluxo de Caixa'!$C$161:$C$374, 0)), 0), 0)</f>
        <v>0</v>
      </c>
      <c r="X14" s="390">
        <f>IFERROR(W14/INDEX(Indicadores!$B:$B, MATCH(Obra!F14, Indicadores!$A:$A, 0)), 0)</f>
        <v>0</v>
      </c>
      <c r="Y14" s="390">
        <f t="shared" ca="1" si="7"/>
        <v>0</v>
      </c>
      <c r="Z14" s="390">
        <f t="shared" ca="1" si="8"/>
        <v>0</v>
      </c>
      <c r="AA14" s="390">
        <f t="shared" si="9"/>
        <v>0</v>
      </c>
      <c r="AB14" s="236">
        <f t="shared" ca="1" si="10"/>
        <v>0</v>
      </c>
      <c r="AD14" s="200">
        <v>0</v>
      </c>
    </row>
    <row r="15" spans="2:30" ht="15.75" customHeight="1" thickBot="1" x14ac:dyDescent="0.3">
      <c r="B15" s="310" t="s">
        <v>299</v>
      </c>
      <c r="C15" s="461">
        <f ca="1">-SUMIF($F:$F, "&gt;"&amp;baseData, $Y:$Y)*inccD2</f>
        <v>36111850.298739798</v>
      </c>
      <c r="D15" s="217"/>
      <c r="E15">
        <f t="shared" si="12"/>
        <v>14</v>
      </c>
      <c r="F15" s="197">
        <f t="shared" si="11"/>
        <v>43497</v>
      </c>
      <c r="G15" s="389">
        <f>INDEX('Fluxo Projeto'!B:B, MATCH(Obra!F15, 'Fluxo Projeto'!A:A, 0))</f>
        <v>750.18</v>
      </c>
      <c r="H15" s="390"/>
      <c r="I15" s="393">
        <v>0</v>
      </c>
      <c r="J15" s="390"/>
      <c r="K15" s="239">
        <v>0</v>
      </c>
      <c r="L15" s="390"/>
      <c r="M15" s="430">
        <v>0</v>
      </c>
      <c r="N15" s="390">
        <f t="shared" si="0"/>
        <v>0</v>
      </c>
      <c r="O15" s="236">
        <f t="shared" si="1"/>
        <v>0</v>
      </c>
      <c r="P15" s="390"/>
      <c r="Q15" s="397">
        <f t="shared" si="2"/>
        <v>0</v>
      </c>
      <c r="R15" s="390">
        <f t="shared" si="3"/>
        <v>0</v>
      </c>
      <c r="S15" s="390">
        <f t="shared" si="4"/>
        <v>0</v>
      </c>
      <c r="T15" s="390">
        <f t="shared" si="5"/>
        <v>0</v>
      </c>
      <c r="U15" s="236">
        <f t="shared" si="6"/>
        <v>0</v>
      </c>
      <c r="V15" s="390"/>
      <c r="W15" s="397">
        <f>-IFERROR(IF(F15&lt;=baseData, INDEX('LDI - Fluxo de Caixa'!$L$161:$L$374, MATCH(F15, 'LDI - Fluxo de Caixa'!$C$161:$C$374, 0)), 0), 0)</f>
        <v>0</v>
      </c>
      <c r="X15" s="390">
        <f>IFERROR(W15/INDEX(Indicadores!$B:$B, MATCH(Obra!F15, Indicadores!$A:$A, 0)), 0)</f>
        <v>0</v>
      </c>
      <c r="Y15" s="390">
        <f t="shared" ca="1" si="7"/>
        <v>0</v>
      </c>
      <c r="Z15" s="390">
        <f t="shared" ca="1" si="8"/>
        <v>0</v>
      </c>
      <c r="AA15" s="390">
        <f t="shared" si="9"/>
        <v>0</v>
      </c>
      <c r="AB15" s="236">
        <f t="shared" ca="1" si="10"/>
        <v>0</v>
      </c>
      <c r="AD15" s="200">
        <v>0</v>
      </c>
    </row>
    <row r="16" spans="2:30" x14ac:dyDescent="0.25">
      <c r="B16" s="311" t="s">
        <v>297</v>
      </c>
      <c r="C16" s="462">
        <f ca="1">SUM(C14:C15)</f>
        <v>36419845.618739799</v>
      </c>
      <c r="D16" s="217"/>
      <c r="E16">
        <f t="shared" si="12"/>
        <v>15</v>
      </c>
      <c r="F16" s="197">
        <f t="shared" si="11"/>
        <v>43525</v>
      </c>
      <c r="G16" s="389">
        <f>INDEX('Fluxo Projeto'!B:B, MATCH(Obra!F16, 'Fluxo Projeto'!A:A, 0))</f>
        <v>752.524</v>
      </c>
      <c r="H16" s="390"/>
      <c r="I16" s="393">
        <v>0</v>
      </c>
      <c r="J16" s="390"/>
      <c r="K16" s="239">
        <v>0</v>
      </c>
      <c r="L16" s="390"/>
      <c r="M16" s="430">
        <v>0</v>
      </c>
      <c r="N16" s="390">
        <f t="shared" si="0"/>
        <v>0</v>
      </c>
      <c r="O16" s="236">
        <f t="shared" si="1"/>
        <v>0</v>
      </c>
      <c r="P16" s="390"/>
      <c r="Q16" s="397">
        <f t="shared" si="2"/>
        <v>0</v>
      </c>
      <c r="R16" s="390">
        <f t="shared" si="3"/>
        <v>0</v>
      </c>
      <c r="S16" s="390">
        <f t="shared" si="4"/>
        <v>0</v>
      </c>
      <c r="T16" s="390">
        <f t="shared" si="5"/>
        <v>0</v>
      </c>
      <c r="U16" s="236">
        <f t="shared" si="6"/>
        <v>0</v>
      </c>
      <c r="V16" s="390"/>
      <c r="W16" s="397">
        <f>-IFERROR(IF(F16&lt;=baseData, INDEX('LDI - Fluxo de Caixa'!$L$161:$L$374, MATCH(F16, 'LDI - Fluxo de Caixa'!$C$161:$C$374, 0)), 0), 0)</f>
        <v>0</v>
      </c>
      <c r="X16" s="390">
        <f>IFERROR(W16/INDEX(Indicadores!$B:$B, MATCH(Obra!F16, Indicadores!$A:$A, 0)), 0)</f>
        <v>0</v>
      </c>
      <c r="Y16" s="390">
        <f t="shared" ca="1" si="7"/>
        <v>0</v>
      </c>
      <c r="Z16" s="390">
        <f t="shared" ca="1" si="8"/>
        <v>0</v>
      </c>
      <c r="AA16" s="390">
        <f t="shared" si="9"/>
        <v>0</v>
      </c>
      <c r="AB16" s="236">
        <f t="shared" ca="1" si="10"/>
        <v>0</v>
      </c>
      <c r="AD16" s="200">
        <v>0</v>
      </c>
    </row>
    <row r="17" spans="2:30" x14ac:dyDescent="0.25">
      <c r="B17" s="217"/>
      <c r="C17" s="217"/>
      <c r="D17" s="217"/>
      <c r="E17">
        <f t="shared" si="12"/>
        <v>16</v>
      </c>
      <c r="F17" s="197">
        <f t="shared" si="11"/>
        <v>43556</v>
      </c>
      <c r="G17" s="389">
        <f>INDEX('Fluxo Projeto'!B:B, MATCH(Obra!F17, 'Fluxo Projeto'!A:A, 0))</f>
        <v>755.37300000000005</v>
      </c>
      <c r="H17" s="390"/>
      <c r="I17" s="393">
        <v>0</v>
      </c>
      <c r="J17" s="390"/>
      <c r="K17" s="239">
        <v>0</v>
      </c>
      <c r="L17" s="390"/>
      <c r="M17" s="430">
        <v>0</v>
      </c>
      <c r="N17" s="390">
        <f t="shared" si="0"/>
        <v>0</v>
      </c>
      <c r="O17" s="236">
        <f t="shared" si="1"/>
        <v>0</v>
      </c>
      <c r="P17" s="390"/>
      <c r="Q17" s="397">
        <f t="shared" si="2"/>
        <v>0</v>
      </c>
      <c r="R17" s="390">
        <f t="shared" si="3"/>
        <v>0</v>
      </c>
      <c r="S17" s="390">
        <f t="shared" si="4"/>
        <v>0</v>
      </c>
      <c r="T17" s="390">
        <f t="shared" si="5"/>
        <v>0</v>
      </c>
      <c r="U17" s="236">
        <f t="shared" si="6"/>
        <v>0</v>
      </c>
      <c r="V17" s="390"/>
      <c r="W17" s="397">
        <f>-IFERROR(IF(F17&lt;=baseData, INDEX('LDI - Fluxo de Caixa'!$L$161:$L$374, MATCH(F17, 'LDI - Fluxo de Caixa'!$C$161:$C$374, 0)), 0), 0)</f>
        <v>0</v>
      </c>
      <c r="X17" s="390">
        <f>IFERROR(W17/INDEX(Indicadores!$B:$B, MATCH(Obra!F17, Indicadores!$A:$A, 0)), 0)</f>
        <v>0</v>
      </c>
      <c r="Y17" s="390">
        <f t="shared" ca="1" si="7"/>
        <v>0</v>
      </c>
      <c r="Z17" s="390">
        <f t="shared" ca="1" si="8"/>
        <v>0</v>
      </c>
      <c r="AA17" s="390">
        <f t="shared" si="9"/>
        <v>0</v>
      </c>
      <c r="AB17" s="236">
        <f t="shared" ca="1" si="10"/>
        <v>0</v>
      </c>
      <c r="AD17" s="200">
        <v>0</v>
      </c>
    </row>
    <row r="18" spans="2:30" ht="15.75" customHeight="1" thickBot="1" x14ac:dyDescent="0.3">
      <c r="B18" s="14" t="s">
        <v>300</v>
      </c>
      <c r="C18" s="15"/>
      <c r="E18">
        <f t="shared" si="12"/>
        <v>17</v>
      </c>
      <c r="F18" s="197">
        <f t="shared" si="11"/>
        <v>43586</v>
      </c>
      <c r="G18" s="389">
        <f>INDEX('Fluxo Projeto'!B:B, MATCH(Obra!F18, 'Fluxo Projeto'!A:A, 0))</f>
        <v>755.625</v>
      </c>
      <c r="H18" s="390"/>
      <c r="I18" s="393">
        <v>0</v>
      </c>
      <c r="J18" s="390"/>
      <c r="K18" s="239">
        <v>0</v>
      </c>
      <c r="L18" s="390"/>
      <c r="M18" s="430">
        <v>0</v>
      </c>
      <c r="N18" s="390">
        <f t="shared" si="0"/>
        <v>0</v>
      </c>
      <c r="O18" s="236">
        <f t="shared" si="1"/>
        <v>0</v>
      </c>
      <c r="P18" s="390"/>
      <c r="Q18" s="397">
        <f t="shared" si="2"/>
        <v>0</v>
      </c>
      <c r="R18" s="390">
        <f t="shared" si="3"/>
        <v>0</v>
      </c>
      <c r="S18" s="390">
        <f t="shared" si="4"/>
        <v>0</v>
      </c>
      <c r="T18" s="390">
        <f t="shared" si="5"/>
        <v>0</v>
      </c>
      <c r="U18" s="236">
        <f t="shared" si="6"/>
        <v>0</v>
      </c>
      <c r="V18" s="390"/>
      <c r="W18" s="397">
        <f>-IFERROR(IF(F18&lt;=baseData, INDEX('LDI - Fluxo de Caixa'!$L$161:$L$374, MATCH(F18, 'LDI - Fluxo de Caixa'!$C$161:$C$374, 0)), 0), 0)</f>
        <v>0</v>
      </c>
      <c r="X18" s="390">
        <f>IFERROR(W18/INDEX(Indicadores!$B:$B, MATCH(Obra!F18, Indicadores!$A:$A, 0)), 0)</f>
        <v>0</v>
      </c>
      <c r="Y18" s="390">
        <f t="shared" ca="1" si="7"/>
        <v>0</v>
      </c>
      <c r="Z18" s="390">
        <f t="shared" ca="1" si="8"/>
        <v>0</v>
      </c>
      <c r="AA18" s="390">
        <f t="shared" si="9"/>
        <v>0</v>
      </c>
      <c r="AB18" s="236">
        <f t="shared" ca="1" si="10"/>
        <v>0</v>
      </c>
      <c r="AD18" s="200">
        <v>0</v>
      </c>
    </row>
    <row r="19" spans="2:30" x14ac:dyDescent="0.25">
      <c r="B19" s="211" t="s">
        <v>294</v>
      </c>
      <c r="C19" s="355">
        <v>43374</v>
      </c>
      <c r="E19">
        <f t="shared" si="12"/>
        <v>18</v>
      </c>
      <c r="F19" s="197">
        <f t="shared" si="11"/>
        <v>43617</v>
      </c>
      <c r="G19" s="389">
        <f>INDEX('Fluxo Projeto'!B:B, MATCH(Obra!F19, 'Fluxo Projeto'!A:A, 0))</f>
        <v>762.30399999999997</v>
      </c>
      <c r="H19" s="390"/>
      <c r="I19" s="393">
        <v>0</v>
      </c>
      <c r="J19" s="390"/>
      <c r="K19" s="239">
        <v>0</v>
      </c>
      <c r="L19" s="390"/>
      <c r="M19" s="430">
        <v>0</v>
      </c>
      <c r="N19" s="390">
        <f t="shared" si="0"/>
        <v>0</v>
      </c>
      <c r="O19" s="236">
        <f t="shared" si="1"/>
        <v>0</v>
      </c>
      <c r="P19" s="390"/>
      <c r="Q19" s="397">
        <f t="shared" si="2"/>
        <v>0</v>
      </c>
      <c r="R19" s="390">
        <f t="shared" si="3"/>
        <v>0</v>
      </c>
      <c r="S19" s="390">
        <f t="shared" si="4"/>
        <v>0</v>
      </c>
      <c r="T19" s="390">
        <f t="shared" si="5"/>
        <v>0</v>
      </c>
      <c r="U19" s="236">
        <f t="shared" si="6"/>
        <v>0</v>
      </c>
      <c r="V19" s="390"/>
      <c r="W19" s="397">
        <f>-IFERROR(IF(F19&lt;=baseData, INDEX('LDI - Fluxo de Caixa'!$L$161:$L$374, MATCH(F19, 'LDI - Fluxo de Caixa'!$C$161:$C$374, 0)), 0), 0)</f>
        <v>0</v>
      </c>
      <c r="X19" s="390">
        <f>IFERROR(W19/INDEX(Indicadores!$B:$B, MATCH(Obra!F19, Indicadores!$A:$A, 0)), 0)</f>
        <v>0</v>
      </c>
      <c r="Y19" s="390">
        <f t="shared" ca="1" si="7"/>
        <v>0</v>
      </c>
      <c r="Z19" s="390">
        <f t="shared" ca="1" si="8"/>
        <v>0</v>
      </c>
      <c r="AA19" s="390">
        <f t="shared" si="9"/>
        <v>0</v>
      </c>
      <c r="AB19" s="236">
        <f t="shared" ca="1" si="10"/>
        <v>0</v>
      </c>
      <c r="AD19" s="200">
        <v>0</v>
      </c>
    </row>
    <row r="20" spans="2:30" x14ac:dyDescent="0.25">
      <c r="B20" s="211" t="s">
        <v>126</v>
      </c>
      <c r="C20" s="366">
        <f>INDEX('Fluxo Projeto'!B:B, MATCH(Obra!C19, 'Fluxo Projeto'!A:A, 0))</f>
        <v>743.86599999999999</v>
      </c>
      <c r="E20">
        <f t="shared" si="12"/>
        <v>19</v>
      </c>
      <c r="F20" s="197">
        <f t="shared" si="11"/>
        <v>43647</v>
      </c>
      <c r="G20" s="389">
        <f>INDEX('Fluxo Projeto'!B:B, MATCH(Obra!F20, 'Fluxo Projeto'!A:A, 0))</f>
        <v>766.69899999999996</v>
      </c>
      <c r="H20" s="390"/>
      <c r="I20" s="393">
        <v>0</v>
      </c>
      <c r="J20" s="390"/>
      <c r="K20" s="239">
        <v>0</v>
      </c>
      <c r="L20" s="390"/>
      <c r="M20" s="430">
        <v>0</v>
      </c>
      <c r="N20" s="390">
        <f t="shared" si="0"/>
        <v>0</v>
      </c>
      <c r="O20" s="236">
        <f t="shared" si="1"/>
        <v>0</v>
      </c>
      <c r="P20" s="390"/>
      <c r="Q20" s="397">
        <f t="shared" si="2"/>
        <v>0</v>
      </c>
      <c r="R20" s="390">
        <f t="shared" si="3"/>
        <v>0</v>
      </c>
      <c r="S20" s="390">
        <f t="shared" si="4"/>
        <v>0</v>
      </c>
      <c r="T20" s="390">
        <f t="shared" si="5"/>
        <v>0</v>
      </c>
      <c r="U20" s="236">
        <f t="shared" si="6"/>
        <v>0</v>
      </c>
      <c r="V20" s="390"/>
      <c r="W20" s="397">
        <f>-IFERROR(IF(F20&lt;=baseData, INDEX('LDI - Fluxo de Caixa'!$L$161:$L$374, MATCH(F20, 'LDI - Fluxo de Caixa'!$C$161:$C$374, 0)), 0), 0)</f>
        <v>0</v>
      </c>
      <c r="X20" s="390">
        <f>IFERROR(W20/INDEX(Indicadores!$B:$B, MATCH(Obra!F20, Indicadores!$A:$A, 0)), 0)</f>
        <v>0</v>
      </c>
      <c r="Y20" s="390">
        <f t="shared" ca="1" si="7"/>
        <v>0</v>
      </c>
      <c r="Z20" s="390">
        <f t="shared" ca="1" si="8"/>
        <v>0</v>
      </c>
      <c r="AA20" s="390">
        <f t="shared" si="9"/>
        <v>0</v>
      </c>
      <c r="AB20" s="236">
        <f t="shared" ca="1" si="10"/>
        <v>0</v>
      </c>
      <c r="AD20" s="200">
        <v>0</v>
      </c>
    </row>
    <row r="21" spans="2:30" x14ac:dyDescent="0.25">
      <c r="B21" s="211" t="s">
        <v>301</v>
      </c>
      <c r="C21" s="352">
        <f>-SUM(M2:M85)</f>
        <v>38888206</v>
      </c>
      <c r="E21">
        <f t="shared" si="12"/>
        <v>20</v>
      </c>
      <c r="F21" s="197">
        <f t="shared" si="11"/>
        <v>43678</v>
      </c>
      <c r="G21" s="389">
        <f>INDEX('Fluxo Projeto'!B:B, MATCH(Obra!F21, 'Fluxo Projeto'!A:A, 0))</f>
        <v>769.95100000000002</v>
      </c>
      <c r="H21" s="390"/>
      <c r="I21" s="393">
        <v>0</v>
      </c>
      <c r="J21" s="390"/>
      <c r="K21" s="239">
        <v>0</v>
      </c>
      <c r="L21" s="390"/>
      <c r="M21" s="430">
        <v>0</v>
      </c>
      <c r="N21" s="390">
        <f t="shared" si="0"/>
        <v>0</v>
      </c>
      <c r="O21" s="236">
        <f t="shared" si="1"/>
        <v>0</v>
      </c>
      <c r="P21" s="390"/>
      <c r="Q21" s="397">
        <f t="shared" si="2"/>
        <v>0</v>
      </c>
      <c r="R21" s="390">
        <f t="shared" si="3"/>
        <v>0</v>
      </c>
      <c r="S21" s="390">
        <f t="shared" si="4"/>
        <v>0</v>
      </c>
      <c r="T21" s="390">
        <f t="shared" si="5"/>
        <v>0</v>
      </c>
      <c r="U21" s="236">
        <f t="shared" si="6"/>
        <v>0</v>
      </c>
      <c r="V21" s="390"/>
      <c r="W21" s="397">
        <f>-IFERROR(IF(F21&lt;=baseData, INDEX('LDI - Fluxo de Caixa'!$L$161:$L$374, MATCH(F21, 'LDI - Fluxo de Caixa'!$C$161:$C$374, 0)), 0), 0)</f>
        <v>0</v>
      </c>
      <c r="X21" s="390">
        <f>IFERROR(W21/INDEX(Indicadores!$B:$B, MATCH(Obra!F21, Indicadores!$A:$A, 0)), 0)</f>
        <v>0</v>
      </c>
      <c r="Y21" s="390">
        <f t="shared" ca="1" si="7"/>
        <v>0</v>
      </c>
      <c r="Z21" s="390">
        <f t="shared" ca="1" si="8"/>
        <v>0</v>
      </c>
      <c r="AA21" s="390">
        <f t="shared" si="9"/>
        <v>0</v>
      </c>
      <c r="AB21" s="236">
        <f t="shared" ca="1" si="10"/>
        <v>0</v>
      </c>
      <c r="AD21" s="200">
        <v>0</v>
      </c>
    </row>
    <row r="22" spans="2:30" x14ac:dyDescent="0.25">
      <c r="B22" s="211" t="s">
        <v>302</v>
      </c>
      <c r="C22" s="352">
        <f>-SUM(N2:N85)*inccData</f>
        <v>43881640.145795077</v>
      </c>
      <c r="E22">
        <f t="shared" si="12"/>
        <v>21</v>
      </c>
      <c r="F22" s="197">
        <f t="shared" si="11"/>
        <v>43709</v>
      </c>
      <c r="G22" s="389">
        <f>INDEX('Fluxo Projeto'!B:B, MATCH(Obra!F22, 'Fluxo Projeto'!A:A, 0))</f>
        <v>773.52</v>
      </c>
      <c r="I22" s="393">
        <v>0</v>
      </c>
      <c r="K22" s="239">
        <v>0</v>
      </c>
      <c r="M22" s="430">
        <v>0</v>
      </c>
      <c r="N22" s="390">
        <f t="shared" si="0"/>
        <v>0</v>
      </c>
      <c r="O22" s="236">
        <f t="shared" si="1"/>
        <v>0</v>
      </c>
      <c r="Q22" s="397">
        <f t="shared" si="2"/>
        <v>0</v>
      </c>
      <c r="R22" s="390">
        <f t="shared" si="3"/>
        <v>0</v>
      </c>
      <c r="S22" s="390">
        <f t="shared" si="4"/>
        <v>0</v>
      </c>
      <c r="T22" s="390">
        <f t="shared" si="5"/>
        <v>0</v>
      </c>
      <c r="U22" s="236">
        <f t="shared" si="6"/>
        <v>0</v>
      </c>
      <c r="W22" s="397">
        <f>-IFERROR(IF(F22&lt;=baseData, INDEX('LDI - Fluxo de Caixa'!$L$161:$L$374, MATCH(F22, 'LDI - Fluxo de Caixa'!$C$161:$C$374, 0)), 0), 0)</f>
        <v>0</v>
      </c>
      <c r="X22" s="390">
        <f>IFERROR(W22/INDEX(Indicadores!$B:$B, MATCH(Obra!F22, Indicadores!$A:$A, 0)), 0)</f>
        <v>0</v>
      </c>
      <c r="Y22" s="390">
        <f t="shared" ca="1" si="7"/>
        <v>0</v>
      </c>
      <c r="Z22" s="390">
        <f t="shared" ca="1" si="8"/>
        <v>0</v>
      </c>
      <c r="AA22" s="390">
        <f t="shared" si="9"/>
        <v>0</v>
      </c>
      <c r="AB22" s="236">
        <f t="shared" ca="1" si="10"/>
        <v>0</v>
      </c>
      <c r="AD22" s="200">
        <v>0</v>
      </c>
    </row>
    <row r="23" spans="2:30" x14ac:dyDescent="0.25">
      <c r="E23">
        <f t="shared" si="12"/>
        <v>22</v>
      </c>
      <c r="F23" s="197">
        <f t="shared" si="11"/>
        <v>43739</v>
      </c>
      <c r="G23" s="389">
        <f>INDEX('Fluxo Projeto'!B:B, MATCH(Obra!F23, 'Fluxo Projeto'!A:A, 0))</f>
        <v>774.93899999999996</v>
      </c>
      <c r="I23" s="393">
        <v>0</v>
      </c>
      <c r="K23" s="239">
        <v>0</v>
      </c>
      <c r="M23" s="430">
        <v>0</v>
      </c>
      <c r="N23" s="390">
        <f t="shared" si="0"/>
        <v>0</v>
      </c>
      <c r="O23" s="236">
        <f t="shared" si="1"/>
        <v>0</v>
      </c>
      <c r="Q23" s="397">
        <f t="shared" si="2"/>
        <v>0</v>
      </c>
      <c r="R23" s="390">
        <f t="shared" si="3"/>
        <v>0</v>
      </c>
      <c r="S23" s="390">
        <f t="shared" si="4"/>
        <v>0</v>
      </c>
      <c r="T23" s="390">
        <f t="shared" si="5"/>
        <v>0</v>
      </c>
      <c r="U23" s="236">
        <f t="shared" si="6"/>
        <v>0</v>
      </c>
      <c r="W23" s="397">
        <f>-IFERROR(IF(F23&lt;=baseData, INDEX('LDI - Fluxo de Caixa'!$L$161:$L$374, MATCH(F23, 'LDI - Fluxo de Caixa'!$C$161:$C$374, 0)), 0), 0)</f>
        <v>0</v>
      </c>
      <c r="X23" s="390">
        <f>IFERROR(W23/INDEX(Indicadores!$B:$B, MATCH(Obra!F23, Indicadores!$A:$A, 0)), 0)</f>
        <v>0</v>
      </c>
      <c r="Y23" s="390">
        <f t="shared" ca="1" si="7"/>
        <v>0</v>
      </c>
      <c r="Z23" s="390">
        <f t="shared" ca="1" si="8"/>
        <v>0</v>
      </c>
      <c r="AA23" s="390">
        <f t="shared" si="9"/>
        <v>0</v>
      </c>
      <c r="AB23" s="236">
        <f t="shared" ca="1" si="10"/>
        <v>0</v>
      </c>
      <c r="AD23" s="200">
        <v>0</v>
      </c>
    </row>
    <row r="24" spans="2:30" x14ac:dyDescent="0.25">
      <c r="E24">
        <f t="shared" si="12"/>
        <v>23</v>
      </c>
      <c r="F24" s="197">
        <f t="shared" si="11"/>
        <v>43770</v>
      </c>
      <c r="G24" s="389">
        <f>INDEX('Fluxo Projeto'!B:B, MATCH(Obra!F24, 'Fluxo Projeto'!A:A, 0))</f>
        <v>775.22500000000002</v>
      </c>
      <c r="I24" s="393">
        <v>0</v>
      </c>
      <c r="K24" s="239">
        <v>0</v>
      </c>
      <c r="M24" s="430">
        <v>-544435</v>
      </c>
      <c r="N24" s="390">
        <f t="shared" si="0"/>
        <v>-731.89929368999253</v>
      </c>
      <c r="O24" s="236">
        <f t="shared" si="1"/>
        <v>1.4000002982909522E-2</v>
      </c>
      <c r="Q24" s="397">
        <f t="shared" si="2"/>
        <v>0</v>
      </c>
      <c r="R24" s="390">
        <f t="shared" si="3"/>
        <v>0</v>
      </c>
      <c r="S24" s="390">
        <f t="shared" si="4"/>
        <v>0</v>
      </c>
      <c r="T24" s="390">
        <f t="shared" si="5"/>
        <v>0</v>
      </c>
      <c r="U24" s="236">
        <f t="shared" si="6"/>
        <v>0</v>
      </c>
      <c r="W24" s="397">
        <f>-IFERROR(IF(F24&lt;=baseData, INDEX('LDI - Fluxo de Caixa'!$L$161:$L$374, MATCH(F24, 'LDI - Fluxo de Caixa'!$C$161:$C$374, 0)), 0), 0)</f>
        <v>0</v>
      </c>
      <c r="X24" s="390">
        <f>IFERROR(W24/INDEX(Indicadores!$B:$B, MATCH(Obra!F24, Indicadores!$A:$A, 0)), 0)</f>
        <v>0</v>
      </c>
      <c r="Y24" s="390">
        <f t="shared" ca="1" si="7"/>
        <v>0</v>
      </c>
      <c r="Z24" s="390">
        <f t="shared" ca="1" si="8"/>
        <v>0</v>
      </c>
      <c r="AA24" s="390">
        <f t="shared" si="9"/>
        <v>0</v>
      </c>
      <c r="AB24" s="236">
        <f t="shared" ca="1" si="10"/>
        <v>0</v>
      </c>
      <c r="AD24" s="200">
        <v>0</v>
      </c>
    </row>
    <row r="25" spans="2:30" x14ac:dyDescent="0.25">
      <c r="E25">
        <f t="shared" si="12"/>
        <v>24</v>
      </c>
      <c r="F25" s="197">
        <f t="shared" si="11"/>
        <v>43800</v>
      </c>
      <c r="G25" s="389">
        <f>INDEX('Fluxo Projeto'!B:B, MATCH(Obra!F25, 'Fluxo Projeto'!A:A, 0))</f>
        <v>776.83900000000006</v>
      </c>
      <c r="I25" s="393">
        <v>0</v>
      </c>
      <c r="K25" s="239">
        <v>0</v>
      </c>
      <c r="M25" s="430">
        <v>-1761636</v>
      </c>
      <c r="N25" s="390">
        <f t="shared" si="0"/>
        <v>-2368.2168562617462</v>
      </c>
      <c r="O25" s="236">
        <f t="shared" si="1"/>
        <v>4.5300006896692536E-2</v>
      </c>
      <c r="Q25" s="397">
        <f t="shared" si="2"/>
        <v>0</v>
      </c>
      <c r="R25" s="390">
        <f t="shared" si="3"/>
        <v>0</v>
      </c>
      <c r="S25" s="390">
        <f t="shared" si="4"/>
        <v>0</v>
      </c>
      <c r="T25" s="390">
        <f t="shared" si="5"/>
        <v>0</v>
      </c>
      <c r="U25" s="236">
        <f t="shared" si="6"/>
        <v>0</v>
      </c>
      <c r="W25" s="397">
        <f>-IFERROR(IF(F25&lt;=baseData, INDEX('LDI - Fluxo de Caixa'!$L$161:$L$374, MATCH(F25, 'LDI - Fluxo de Caixa'!$C$161:$C$374, 0)), 0), 0)</f>
        <v>0</v>
      </c>
      <c r="X25" s="390">
        <f>IFERROR(W25/INDEX(Indicadores!$B:$B, MATCH(Obra!F25, Indicadores!$A:$A, 0)), 0)</f>
        <v>0</v>
      </c>
      <c r="Y25" s="390">
        <f t="shared" ca="1" si="7"/>
        <v>0</v>
      </c>
      <c r="Z25" s="390">
        <f t="shared" ca="1" si="8"/>
        <v>0</v>
      </c>
      <c r="AA25" s="390">
        <f t="shared" si="9"/>
        <v>0</v>
      </c>
      <c r="AB25" s="236">
        <f t="shared" ca="1" si="10"/>
        <v>0</v>
      </c>
      <c r="AD25" s="200">
        <v>0</v>
      </c>
    </row>
    <row r="26" spans="2:30" x14ac:dyDescent="0.25">
      <c r="E26">
        <f t="shared" si="12"/>
        <v>25</v>
      </c>
      <c r="F26" s="197">
        <f t="shared" si="11"/>
        <v>43831</v>
      </c>
      <c r="G26" s="389">
        <f>INDEX('Fluxo Projeto'!B:B, MATCH(Obra!F26, 'Fluxo Projeto'!A:A, 0))</f>
        <v>779.76599999999996</v>
      </c>
      <c r="I26" s="393">
        <v>0</v>
      </c>
      <c r="K26" s="239">
        <v>0</v>
      </c>
      <c r="M26" s="430">
        <v>-1773302</v>
      </c>
      <c r="N26" s="390">
        <f t="shared" si="0"/>
        <v>-2383.8997884027499</v>
      </c>
      <c r="O26" s="236">
        <f t="shared" si="1"/>
        <v>4.5599995021626864E-2</v>
      </c>
      <c r="Q26" s="397">
        <f t="shared" si="2"/>
        <v>0</v>
      </c>
      <c r="R26" s="390">
        <f t="shared" si="3"/>
        <v>0</v>
      </c>
      <c r="S26" s="390">
        <f t="shared" si="4"/>
        <v>0</v>
      </c>
      <c r="T26" s="390">
        <f t="shared" si="5"/>
        <v>0</v>
      </c>
      <c r="U26" s="236">
        <f t="shared" si="6"/>
        <v>0</v>
      </c>
      <c r="W26" s="397">
        <f>-IFERROR(IF(F26&lt;=baseData, INDEX('LDI - Fluxo de Caixa'!$L$161:$L$374, MATCH(F26, 'LDI - Fluxo de Caixa'!$C$161:$C$374, 0)), 0), 0)</f>
        <v>0</v>
      </c>
      <c r="X26" s="390">
        <f>IFERROR(W26/INDEX(Indicadores!$B:$B, MATCH(Obra!F26, Indicadores!$A:$A, 0)), 0)</f>
        <v>0</v>
      </c>
      <c r="Y26" s="390">
        <f t="shared" ca="1" si="7"/>
        <v>0</v>
      </c>
      <c r="Z26" s="390">
        <f t="shared" ca="1" si="8"/>
        <v>0</v>
      </c>
      <c r="AA26" s="390">
        <f t="shared" si="9"/>
        <v>0</v>
      </c>
      <c r="AB26" s="236">
        <f t="shared" ca="1" si="10"/>
        <v>0</v>
      </c>
      <c r="AD26" s="200">
        <v>0</v>
      </c>
    </row>
    <row r="27" spans="2:30" x14ac:dyDescent="0.25">
      <c r="E27">
        <f t="shared" si="12"/>
        <v>26</v>
      </c>
      <c r="F27" s="197">
        <f t="shared" si="11"/>
        <v>43862</v>
      </c>
      <c r="G27" s="389">
        <f>INDEX('Fluxo Projeto'!B:B, MATCH(Obra!F27, 'Fluxo Projeto'!A:A, 0))</f>
        <v>782.33600000000001</v>
      </c>
      <c r="I27" s="393">
        <v>0</v>
      </c>
      <c r="K27" s="239">
        <v>0</v>
      </c>
      <c r="M27" s="430">
        <v>-1131647</v>
      </c>
      <c r="N27" s="390">
        <f t="shared" si="0"/>
        <v>-1521.3049124439081</v>
      </c>
      <c r="O27" s="236">
        <f t="shared" si="1"/>
        <v>2.9100005281807034E-2</v>
      </c>
      <c r="Q27" s="397">
        <f t="shared" si="2"/>
        <v>0</v>
      </c>
      <c r="R27" s="390">
        <f t="shared" si="3"/>
        <v>0</v>
      </c>
      <c r="S27" s="390">
        <f t="shared" si="4"/>
        <v>0</v>
      </c>
      <c r="T27" s="390">
        <f t="shared" si="5"/>
        <v>0</v>
      </c>
      <c r="U27" s="236">
        <f t="shared" si="6"/>
        <v>0</v>
      </c>
      <c r="W27" s="397">
        <f>-IFERROR(IF(F27&lt;=baseData, INDEX('LDI - Fluxo de Caixa'!$L$161:$L$374, MATCH(F27, 'LDI - Fluxo de Caixa'!$C$161:$C$374, 0)), 0), 0)</f>
        <v>0</v>
      </c>
      <c r="X27" s="390">
        <f>IFERROR(W27/INDEX(Indicadores!$B:$B, MATCH(Obra!F27, Indicadores!$A:$A, 0)), 0)</f>
        <v>0</v>
      </c>
      <c r="Y27" s="390">
        <f t="shared" ca="1" si="7"/>
        <v>0</v>
      </c>
      <c r="Z27" s="390">
        <f t="shared" ca="1" si="8"/>
        <v>0</v>
      </c>
      <c r="AA27" s="390">
        <f t="shared" si="9"/>
        <v>0</v>
      </c>
      <c r="AB27" s="236">
        <f t="shared" ca="1" si="10"/>
        <v>0</v>
      </c>
      <c r="AD27" s="200">
        <v>0</v>
      </c>
    </row>
    <row r="28" spans="2:30" x14ac:dyDescent="0.25">
      <c r="E28">
        <f t="shared" si="12"/>
        <v>27</v>
      </c>
      <c r="F28" s="197">
        <f t="shared" si="11"/>
        <v>43891</v>
      </c>
      <c r="G28" s="389">
        <f>INDEX('Fluxo Projeto'!B:B, MATCH(Obra!F28, 'Fluxo Projeto'!A:A, 0))</f>
        <v>784.33799999999997</v>
      </c>
      <c r="I28" s="393">
        <v>0</v>
      </c>
      <c r="K28" s="239">
        <v>0</v>
      </c>
      <c r="M28" s="430">
        <v>-836096</v>
      </c>
      <c r="N28" s="390">
        <f t="shared" si="0"/>
        <v>-1123.9873848246862</v>
      </c>
      <c r="O28" s="236">
        <f t="shared" si="1"/>
        <v>2.1499988968377712E-2</v>
      </c>
      <c r="Q28" s="397">
        <f t="shared" si="2"/>
        <v>0</v>
      </c>
      <c r="R28" s="390">
        <f t="shared" si="3"/>
        <v>0</v>
      </c>
      <c r="S28" s="390">
        <f t="shared" si="4"/>
        <v>0</v>
      </c>
      <c r="T28" s="390">
        <f t="shared" si="5"/>
        <v>0</v>
      </c>
      <c r="U28" s="236">
        <f t="shared" si="6"/>
        <v>0</v>
      </c>
      <c r="W28" s="397">
        <f>-IFERROR(IF(F28&lt;=baseData, INDEX('LDI - Fluxo de Caixa'!$L$161:$L$374, MATCH(F28, 'LDI - Fluxo de Caixa'!$C$161:$C$374, 0)), 0), 0)</f>
        <v>0</v>
      </c>
      <c r="X28" s="390">
        <f>IFERROR(W28/INDEX(Indicadores!$B:$B, MATCH(Obra!F28, Indicadores!$A:$A, 0)), 0)</f>
        <v>0</v>
      </c>
      <c r="Y28" s="390">
        <f t="shared" ca="1" si="7"/>
        <v>0</v>
      </c>
      <c r="Z28" s="390">
        <f t="shared" ca="1" si="8"/>
        <v>0</v>
      </c>
      <c r="AA28" s="390">
        <f t="shared" si="9"/>
        <v>0</v>
      </c>
      <c r="AB28" s="236">
        <f t="shared" ca="1" si="10"/>
        <v>0</v>
      </c>
      <c r="AD28" s="200">
        <v>0</v>
      </c>
    </row>
    <row r="29" spans="2:30" x14ac:dyDescent="0.25">
      <c r="C29" s="336"/>
      <c r="E29">
        <f t="shared" si="12"/>
        <v>28</v>
      </c>
      <c r="F29" s="197">
        <f t="shared" si="11"/>
        <v>43922</v>
      </c>
      <c r="G29" s="389">
        <f>INDEX('Fluxo Projeto'!B:B, MATCH(Obra!F29, 'Fluxo Projeto'!A:A, 0))</f>
        <v>786.07</v>
      </c>
      <c r="I29" s="393">
        <v>0</v>
      </c>
      <c r="K29" s="239">
        <v>0</v>
      </c>
      <c r="M29" s="430">
        <v>-719432</v>
      </c>
      <c r="N29" s="390">
        <f t="shared" si="0"/>
        <v>-967.15268610206681</v>
      </c>
      <c r="O29" s="236">
        <f t="shared" si="1"/>
        <v>1.8500004860085344E-2</v>
      </c>
      <c r="Q29" s="397">
        <f t="shared" si="2"/>
        <v>0</v>
      </c>
      <c r="R29" s="390">
        <f t="shared" si="3"/>
        <v>0</v>
      </c>
      <c r="S29" s="390">
        <f t="shared" si="4"/>
        <v>0</v>
      </c>
      <c r="T29" s="390">
        <f t="shared" si="5"/>
        <v>0</v>
      </c>
      <c r="U29" s="236">
        <f t="shared" si="6"/>
        <v>0</v>
      </c>
      <c r="W29" s="397">
        <f>-IFERROR(IF(F29&lt;=baseData, INDEX('LDI - Fluxo de Caixa'!$L$161:$L$374, MATCH(F29, 'LDI - Fluxo de Caixa'!$C$161:$C$374, 0)), 0), 0)</f>
        <v>0</v>
      </c>
      <c r="X29" s="390">
        <f>IFERROR(W29/INDEX(Indicadores!$B:$B, MATCH(Obra!F29, Indicadores!$A:$A, 0)), 0)</f>
        <v>0</v>
      </c>
      <c r="Y29" s="390">
        <f t="shared" ca="1" si="7"/>
        <v>0</v>
      </c>
      <c r="Z29" s="390">
        <f t="shared" ca="1" si="8"/>
        <v>0</v>
      </c>
      <c r="AA29" s="390">
        <f t="shared" si="9"/>
        <v>0</v>
      </c>
      <c r="AB29" s="236">
        <f t="shared" ca="1" si="10"/>
        <v>0</v>
      </c>
      <c r="AD29" s="200">
        <v>0</v>
      </c>
    </row>
    <row r="30" spans="2:30" x14ac:dyDescent="0.25">
      <c r="E30">
        <f t="shared" si="12"/>
        <v>29</v>
      </c>
      <c r="F30" s="197">
        <f t="shared" si="11"/>
        <v>43952</v>
      </c>
      <c r="G30" s="389">
        <f>INDEX('Fluxo Projeto'!B:B, MATCH(Obra!F30, 'Fluxo Projeto'!A:A, 0))</f>
        <v>787.66600000000005</v>
      </c>
      <c r="I30" s="393">
        <v>0</v>
      </c>
      <c r="K30" s="239">
        <v>0</v>
      </c>
      <c r="M30" s="430">
        <v>-657211</v>
      </c>
      <c r="N30" s="390">
        <f t="shared" si="0"/>
        <v>-883.50724458437412</v>
      </c>
      <c r="O30" s="236">
        <f t="shared" si="1"/>
        <v>1.6900008192715293E-2</v>
      </c>
      <c r="Q30" s="397">
        <f t="shared" si="2"/>
        <v>0</v>
      </c>
      <c r="R30" s="390">
        <f t="shared" si="3"/>
        <v>0</v>
      </c>
      <c r="S30" s="390">
        <f t="shared" si="4"/>
        <v>0</v>
      </c>
      <c r="T30" s="390">
        <f t="shared" si="5"/>
        <v>0</v>
      </c>
      <c r="U30" s="236">
        <f t="shared" si="6"/>
        <v>0</v>
      </c>
      <c r="W30" s="397">
        <f>-IFERROR(IF(F30&lt;=baseData, INDEX('LDI - Fluxo de Caixa'!$L$161:$L$374, MATCH(F30, 'LDI - Fluxo de Caixa'!$C$161:$C$374, 0)), 0), 0)</f>
        <v>0</v>
      </c>
      <c r="X30" s="390">
        <f>IFERROR(W30/INDEX(Indicadores!$B:$B, MATCH(Obra!F30, Indicadores!$A:$A, 0)), 0)</f>
        <v>0</v>
      </c>
      <c r="Y30" s="390">
        <f t="shared" ca="1" si="7"/>
        <v>0</v>
      </c>
      <c r="Z30" s="390">
        <f t="shared" ca="1" si="8"/>
        <v>0</v>
      </c>
      <c r="AA30" s="390">
        <f t="shared" si="9"/>
        <v>0</v>
      </c>
      <c r="AB30" s="236">
        <f t="shared" ca="1" si="10"/>
        <v>0</v>
      </c>
      <c r="AD30" s="200">
        <v>0</v>
      </c>
    </row>
    <row r="31" spans="2:30" x14ac:dyDescent="0.25">
      <c r="E31">
        <f t="shared" si="12"/>
        <v>30</v>
      </c>
      <c r="F31" s="197">
        <f t="shared" si="11"/>
        <v>43983</v>
      </c>
      <c r="G31" s="389">
        <f>INDEX('Fluxo Projeto'!B:B, MATCH(Obra!F31, 'Fluxo Projeto'!A:A, 0))</f>
        <v>790.33100000000002</v>
      </c>
      <c r="I31" s="393">
        <v>0</v>
      </c>
      <c r="K31" s="239">
        <v>0</v>
      </c>
      <c r="M31" s="430">
        <v>-762209</v>
      </c>
      <c r="N31" s="390">
        <f t="shared" si="0"/>
        <v>-1024.6590111659896</v>
      </c>
      <c r="O31" s="236">
        <f t="shared" si="1"/>
        <v>1.960000417607333E-2</v>
      </c>
      <c r="Q31" s="397">
        <f t="shared" si="2"/>
        <v>0</v>
      </c>
      <c r="R31" s="390">
        <f t="shared" si="3"/>
        <v>0</v>
      </c>
      <c r="S31" s="390">
        <f t="shared" si="4"/>
        <v>0</v>
      </c>
      <c r="T31" s="390">
        <f t="shared" si="5"/>
        <v>0</v>
      </c>
      <c r="U31" s="236">
        <f t="shared" si="6"/>
        <v>0</v>
      </c>
      <c r="W31" s="397">
        <f>-IFERROR(IF(F31&lt;=baseData, INDEX('LDI - Fluxo de Caixa'!$L$161:$L$374, MATCH(F31, 'LDI - Fluxo de Caixa'!$C$161:$C$374, 0)), 0), 0)</f>
        <v>0</v>
      </c>
      <c r="X31" s="390">
        <f>IFERROR(W31/INDEX(Indicadores!$B:$B, MATCH(Obra!F31, Indicadores!$A:$A, 0)), 0)</f>
        <v>0</v>
      </c>
      <c r="Y31" s="390">
        <f t="shared" ca="1" si="7"/>
        <v>0</v>
      </c>
      <c r="Z31" s="390">
        <f t="shared" ca="1" si="8"/>
        <v>0</v>
      </c>
      <c r="AA31" s="390">
        <f t="shared" si="9"/>
        <v>0</v>
      </c>
      <c r="AB31" s="236">
        <f t="shared" ca="1" si="10"/>
        <v>0</v>
      </c>
      <c r="AD31" s="200">
        <v>0</v>
      </c>
    </row>
    <row r="32" spans="2:30" x14ac:dyDescent="0.25">
      <c r="E32">
        <f t="shared" si="12"/>
        <v>31</v>
      </c>
      <c r="F32" s="197">
        <f t="shared" si="11"/>
        <v>44013</v>
      </c>
      <c r="G32" s="389">
        <f>INDEX('Fluxo Projeto'!B:B, MATCH(Obra!F32, 'Fluxo Projeto'!A:A, 0))</f>
        <v>799.58900000000006</v>
      </c>
      <c r="I32" s="393">
        <v>0</v>
      </c>
      <c r="K32" s="239">
        <v>0</v>
      </c>
      <c r="M32" s="430">
        <v>-1100536</v>
      </c>
      <c r="N32" s="390">
        <f t="shared" si="0"/>
        <v>-1479.481519520989</v>
      </c>
      <c r="O32" s="236">
        <f t="shared" si="1"/>
        <v>2.8299994090753375E-2</v>
      </c>
      <c r="Q32" s="397">
        <f t="shared" si="2"/>
        <v>0</v>
      </c>
      <c r="R32" s="390">
        <f t="shared" si="3"/>
        <v>0</v>
      </c>
      <c r="S32" s="390">
        <f t="shared" si="4"/>
        <v>0</v>
      </c>
      <c r="T32" s="390">
        <f t="shared" si="5"/>
        <v>0</v>
      </c>
      <c r="U32" s="236">
        <f t="shared" si="6"/>
        <v>0</v>
      </c>
      <c r="W32" s="397">
        <f>-IFERROR(IF(F32&lt;=baseData, INDEX('LDI - Fluxo de Caixa'!$L$161:$L$374, MATCH(F32, 'LDI - Fluxo de Caixa'!$C$161:$C$374, 0)), 0), 0)</f>
        <v>-3003.2</v>
      </c>
      <c r="X32" s="390">
        <f>IFERROR(W32/INDEX(Indicadores!$B:$B, MATCH(Obra!F32, Indicadores!$A:$A, 0)), 0)</f>
        <v>-3.7559296088365395</v>
      </c>
      <c r="Y32" s="390">
        <f t="shared" ca="1" si="7"/>
        <v>-3.7559296088365395</v>
      </c>
      <c r="Z32" s="390">
        <f t="shared" ca="1" si="8"/>
        <v>-3.7559296088365395</v>
      </c>
      <c r="AA32" s="390">
        <f t="shared" si="9"/>
        <v>-3003.2</v>
      </c>
      <c r="AB32" s="236">
        <f t="shared" ca="1" si="10"/>
        <v>8.0806983574216429E-5</v>
      </c>
      <c r="AD32" s="200">
        <v>0</v>
      </c>
    </row>
    <row r="33" spans="5:30" x14ac:dyDescent="0.25">
      <c r="E33">
        <f t="shared" si="12"/>
        <v>32</v>
      </c>
      <c r="F33" s="197">
        <f t="shared" si="11"/>
        <v>44044</v>
      </c>
      <c r="G33" s="389">
        <f>INDEX('Fluxo Projeto'!B:B, MATCH(Obra!F33, 'Fluxo Projeto'!A:A, 0))</f>
        <v>805.35599999999999</v>
      </c>
      <c r="I33" s="393">
        <v>0</v>
      </c>
      <c r="K33" s="239">
        <v>0</v>
      </c>
      <c r="M33" s="430">
        <v>-1380531</v>
      </c>
      <c r="N33" s="390">
        <f t="shared" si="0"/>
        <v>-1855.8866785146788</v>
      </c>
      <c r="O33" s="236">
        <f t="shared" si="1"/>
        <v>3.5499991951287238E-2</v>
      </c>
      <c r="Q33" s="397">
        <f t="shared" si="2"/>
        <v>0</v>
      </c>
      <c r="R33" s="390">
        <f t="shared" si="3"/>
        <v>0</v>
      </c>
      <c r="S33" s="390">
        <f t="shared" si="4"/>
        <v>0</v>
      </c>
      <c r="T33" s="390">
        <f t="shared" si="5"/>
        <v>0</v>
      </c>
      <c r="U33" s="236">
        <f t="shared" si="6"/>
        <v>0</v>
      </c>
      <c r="W33" s="397">
        <f>-IFERROR(IF(F33&lt;=baseData, INDEX('LDI - Fluxo de Caixa'!$L$161:$L$374, MATCH(F33, 'LDI - Fluxo de Caixa'!$C$161:$C$374, 0)), 0), 0)</f>
        <v>-3200</v>
      </c>
      <c r="X33" s="390">
        <f>IFERROR(W33/INDEX(Indicadores!$B:$B, MATCH(Obra!F33, Indicadores!$A:$A, 0)), 0)</f>
        <v>-3.9733980997223588</v>
      </c>
      <c r="Y33" s="390">
        <f t="shared" ca="1" si="7"/>
        <v>-3.9733980997223588</v>
      </c>
      <c r="Z33" s="390">
        <f t="shared" ca="1" si="8"/>
        <v>-3.9733980997223588</v>
      </c>
      <c r="AA33" s="390">
        <f t="shared" si="9"/>
        <v>-3200</v>
      </c>
      <c r="AB33" s="236">
        <f t="shared" ca="1" si="10"/>
        <v>8.5485711506064853E-5</v>
      </c>
      <c r="AD33" s="200">
        <v>0</v>
      </c>
    </row>
    <row r="34" spans="5:30" x14ac:dyDescent="0.25">
      <c r="E34">
        <f t="shared" si="12"/>
        <v>33</v>
      </c>
      <c r="F34" s="197">
        <f t="shared" si="11"/>
        <v>44075</v>
      </c>
      <c r="G34" s="389">
        <f>INDEX('Fluxo Projeto'!B:B, MATCH(Obra!F34, 'Fluxo Projeto'!A:A, 0))</f>
        <v>814.70100000000002</v>
      </c>
      <c r="I34" s="393">
        <v>0</v>
      </c>
      <c r="K34" s="239">
        <v>0</v>
      </c>
      <c r="M34" s="430">
        <v>-1481641</v>
      </c>
      <c r="N34" s="390">
        <f t="shared" ref="N34:N65" si="13">M34/$C$20</f>
        <v>-1991.8116972680564</v>
      </c>
      <c r="O34" s="236">
        <f t="shared" ref="O34:O65" si="14">-M34/$C$21</f>
        <v>3.8100009036158677E-2</v>
      </c>
      <c r="Q34" s="397">
        <f t="shared" ref="Q34:Q65" si="15">-custoRaso*K34</f>
        <v>0</v>
      </c>
      <c r="R34" s="390">
        <f t="shared" ref="R34:R65" si="16">Q34/inccObra</f>
        <v>0</v>
      </c>
      <c r="S34" s="390">
        <f t="shared" ref="S34:S65" si="17">R34*(1+toleranciaObra*premissaToleranciaObra)</f>
        <v>0</v>
      </c>
      <c r="T34" s="390">
        <f t="shared" ref="T34:T65" si="18">R34*inccD2</f>
        <v>0</v>
      </c>
      <c r="U34" s="236">
        <f t="shared" ref="U34:U65" si="19">-Q34/$C$13</f>
        <v>0</v>
      </c>
      <c r="W34" s="397">
        <f>-IFERROR(IF(F34&lt;=baseData, INDEX('LDI - Fluxo de Caixa'!$L$161:$L$374, MATCH(F34, 'LDI - Fluxo de Caixa'!$C$161:$C$374, 0)), 0), 0)</f>
        <v>-196.8</v>
      </c>
      <c r="X34" s="390">
        <f>IFERROR(W34/INDEX(Indicadores!$B:$B, MATCH(Obra!F34, Indicadores!$A:$A, 0)), 0)</f>
        <v>-0.24156101440896721</v>
      </c>
      <c r="Y34" s="390">
        <f t="shared" ref="Y34:Y65" ca="1" si="20">IFERROR(IF(F34&lt;=baseData, X34, OFFSET(R34, -DATEDIF($F$35, inicioObra, "m"), 0)-SUM(X:X)/SUM(R:R)*OFFSET(R34, -DATEDIF($F$35, inicioObra, "m"), 0)), 0)</f>
        <v>-0.24156101440896721</v>
      </c>
      <c r="Z34" s="390">
        <f t="shared" ref="Z34:Z65" ca="1" si="21">IFERROR(IF(F34&lt;=baseData, X34, OFFSET(S34, -DATEDIF($F$35, inicioObra, "m"), 0)-SUM(X:X)/SUM(S:S)*OFFSET(S34, -DATEDIF($F$35, inicioObra, "m"), 0)), 0)</f>
        <v>-0.24156101440896721</v>
      </c>
      <c r="AA34" s="390">
        <f t="shared" ref="AA34:AA65" si="22">IF(F34&lt;=baseData, W34, Z34*inccD2)</f>
        <v>-196.8</v>
      </c>
      <c r="AB34" s="236">
        <f t="shared" ref="AB34:AB65" ca="1" si="23">Z34/SUM($Z$2:$Z$85)</f>
        <v>5.1970667601417199E-6</v>
      </c>
      <c r="AD34" s="200">
        <v>0</v>
      </c>
    </row>
    <row r="35" spans="5:30" x14ac:dyDescent="0.25">
      <c r="E35">
        <f t="shared" si="12"/>
        <v>34</v>
      </c>
      <c r="F35" s="197">
        <f t="shared" ref="F35:F66" si="24">DATE(YEAR(F34),MONTH(F34)+1,1)</f>
        <v>44105</v>
      </c>
      <c r="G35" s="389">
        <f>INDEX('Fluxo Projeto'!B:B, MATCH(Obra!F35, 'Fluxo Projeto'!A:A, 0))</f>
        <v>828.77800000000002</v>
      </c>
      <c r="I35" s="393">
        <v>0</v>
      </c>
      <c r="K35" s="239">
        <v>3.7292519690657389E-3</v>
      </c>
      <c r="M35" s="430">
        <v>-1660526</v>
      </c>
      <c r="N35" s="390">
        <f t="shared" si="13"/>
        <v>-2232.2918375083686</v>
      </c>
      <c r="O35" s="236">
        <f t="shared" si="14"/>
        <v>4.2699989811821097E-2</v>
      </c>
      <c r="Q35" s="397">
        <f t="shared" si="15"/>
        <v>-129963.45019671395</v>
      </c>
      <c r="R35" s="390">
        <f t="shared" si="16"/>
        <v>-166.66980888717123</v>
      </c>
      <c r="S35" s="390">
        <f t="shared" si="17"/>
        <v>-173.33660124265808</v>
      </c>
      <c r="T35" s="390">
        <f t="shared" si="18"/>
        <v>-135786.05997018729</v>
      </c>
      <c r="U35" s="236">
        <f t="shared" si="19"/>
        <v>3.7292519690657398E-3</v>
      </c>
      <c r="W35" s="397">
        <f>-IFERROR(IF(F35&lt;=baseData, INDEX('LDI - Fluxo de Caixa'!$L$161:$L$374, MATCH(F35, 'LDI - Fluxo de Caixa'!$C$161:$C$374, 0)), 0), 0)</f>
        <v>0</v>
      </c>
      <c r="X35" s="390">
        <f>IFERROR(W35/INDEX(Indicadores!$B:$B, MATCH(Obra!F35, Indicadores!$A:$A, 0)), 0)</f>
        <v>0</v>
      </c>
      <c r="Y35" s="390">
        <f t="shared" ca="1" si="20"/>
        <v>0</v>
      </c>
      <c r="Z35" s="390">
        <f t="shared" ca="1" si="21"/>
        <v>0</v>
      </c>
      <c r="AA35" s="390">
        <f t="shared" si="22"/>
        <v>0</v>
      </c>
      <c r="AB35" s="236">
        <f t="shared" ca="1" si="23"/>
        <v>0</v>
      </c>
      <c r="AD35" s="200">
        <v>0</v>
      </c>
    </row>
    <row r="36" spans="5:30" x14ac:dyDescent="0.25">
      <c r="E36">
        <f t="shared" ref="E36:E67" si="25">E35+1</f>
        <v>35</v>
      </c>
      <c r="F36" s="198">
        <f t="shared" si="24"/>
        <v>44136</v>
      </c>
      <c r="G36" s="403">
        <f>INDEX('Fluxo Projeto'!B:B, MATCH(Obra!F36, 'Fluxo Projeto'!A:A, 0))</f>
        <v>839.38199999999995</v>
      </c>
      <c r="H36" s="404"/>
      <c r="I36" s="405">
        <v>0</v>
      </c>
      <c r="J36" s="404"/>
      <c r="K36" s="240">
        <v>9.4083428308139056E-3</v>
      </c>
      <c r="L36" s="404"/>
      <c r="M36" s="463">
        <v>-1932744</v>
      </c>
      <c r="N36" s="409">
        <f t="shared" si="13"/>
        <v>-2598.2421565174373</v>
      </c>
      <c r="O36" s="237">
        <f t="shared" si="14"/>
        <v>4.970000416064449E-2</v>
      </c>
      <c r="P36" s="404"/>
      <c r="Q36" s="410">
        <f t="shared" si="15"/>
        <v>-327878.27292678691</v>
      </c>
      <c r="R36" s="409">
        <f t="shared" si="16"/>
        <v>-420.48290503405758</v>
      </c>
      <c r="S36" s="409">
        <f t="shared" si="17"/>
        <v>-437.30222123541989</v>
      </c>
      <c r="T36" s="409">
        <f t="shared" si="18"/>
        <v>-342567.84321415174</v>
      </c>
      <c r="U36" s="237">
        <f t="shared" si="19"/>
        <v>9.4083428308139073E-3</v>
      </c>
      <c r="V36" s="404"/>
      <c r="W36" s="410">
        <f>-IFERROR(IF(F36&lt;=baseData, INDEX('LDI - Fluxo de Caixa'!$L$161:$L$374, MATCH(F36, 'LDI - Fluxo de Caixa'!$C$161:$C$374, 0)), 0), 0)</f>
        <v>-301595.32</v>
      </c>
      <c r="X36" s="409">
        <f>IFERROR(W36/INDEX(Indicadores!$B:$B, MATCH(Obra!F36, Indicadores!$A:$A, 0)), 0)</f>
        <v>-359.3063944664051</v>
      </c>
      <c r="Y36" s="409">
        <f t="shared" ca="1" si="20"/>
        <v>-359.3063944664051</v>
      </c>
      <c r="Z36" s="409">
        <f t="shared" ca="1" si="21"/>
        <v>-359.3063944664051</v>
      </c>
      <c r="AA36" s="409">
        <f t="shared" si="22"/>
        <v>-301595.32</v>
      </c>
      <c r="AB36" s="237">
        <f t="shared" ca="1" si="23"/>
        <v>7.7303008681122816E-3</v>
      </c>
      <c r="AC36" s="404"/>
      <c r="AD36" s="201">
        <v>0</v>
      </c>
    </row>
    <row r="37" spans="5:30" x14ac:dyDescent="0.25">
      <c r="E37">
        <f t="shared" si="25"/>
        <v>36</v>
      </c>
      <c r="F37" s="197">
        <f t="shared" si="24"/>
        <v>44166</v>
      </c>
      <c r="G37" s="389">
        <f>INDEX('Fluxo Projeto'!B:B, MATCH(Obra!F37, 'Fluxo Projeto'!A:A, 0))</f>
        <v>839.38199999999995</v>
      </c>
      <c r="I37" s="393">
        <v>0</v>
      </c>
      <c r="K37" s="202">
        <v>3.1994623773930517E-2</v>
      </c>
      <c r="M37" s="464">
        <v>-2142740</v>
      </c>
      <c r="N37" s="415">
        <f t="shared" si="13"/>
        <v>-2880.5456896806681</v>
      </c>
      <c r="O37" s="238">
        <f t="shared" si="14"/>
        <v>5.5099996127360565E-2</v>
      </c>
      <c r="Q37" s="400">
        <f t="shared" si="15"/>
        <v>-1115004.2228032995</v>
      </c>
      <c r="R37" s="415">
        <f t="shared" si="16"/>
        <v>-1429.9215698085061</v>
      </c>
      <c r="S37" s="415">
        <f t="shared" si="17"/>
        <v>-1487.1184326008463</v>
      </c>
      <c r="T37" s="415">
        <f t="shared" si="18"/>
        <v>-1164958.5328445598</v>
      </c>
      <c r="U37" s="238">
        <f t="shared" si="19"/>
        <v>3.1994623773930524E-2</v>
      </c>
      <c r="W37" s="400">
        <f>-IFERROR(IF(F37&lt;=baseData, INDEX('LDI - Fluxo de Caixa'!$L$161:$L$374, MATCH(F37, 'LDI - Fluxo de Caixa'!$C$161:$C$374, 0)), 0), 0)</f>
        <v>0</v>
      </c>
      <c r="X37" s="415">
        <f>IFERROR(W37/INDEX(Indicadores!$B:$B, MATCH(Obra!F37, Indicadores!$A:$A, 0)), 0)</f>
        <v>0</v>
      </c>
      <c r="Y37" s="415">
        <f t="shared" ca="1" si="20"/>
        <v>-165.30013935564415</v>
      </c>
      <c r="Z37" s="415">
        <f t="shared" ca="1" si="21"/>
        <v>-171.966931711131</v>
      </c>
      <c r="AA37" s="415">
        <f t="shared" ca="1" si="22"/>
        <v>-140101.63123199015</v>
      </c>
      <c r="AB37" s="238">
        <f t="shared" ca="1" si="23"/>
        <v>3.6997842007998423E-3</v>
      </c>
      <c r="AD37" s="241">
        <v>0</v>
      </c>
    </row>
    <row r="38" spans="5:30" x14ac:dyDescent="0.25">
      <c r="E38">
        <f t="shared" si="25"/>
        <v>37</v>
      </c>
      <c r="F38" s="197">
        <f t="shared" si="24"/>
        <v>44197</v>
      </c>
      <c r="G38" s="389">
        <f>INDEX('Fluxo Projeto'!B:B, MATCH(Obra!F38, 'Fluxo Projeto'!A:A, 0))</f>
        <v>839.38199999999995</v>
      </c>
      <c r="I38" s="393">
        <v>0</v>
      </c>
      <c r="K38" s="202">
        <v>4.3521014539765417E-2</v>
      </c>
      <c r="M38" s="464">
        <v>-2146629</v>
      </c>
      <c r="N38" s="415">
        <f t="shared" si="13"/>
        <v>-2885.7737818370515</v>
      </c>
      <c r="O38" s="238">
        <f t="shared" si="14"/>
        <v>5.5200000740584433E-2</v>
      </c>
      <c r="Q38" s="400">
        <f t="shared" si="15"/>
        <v>-1516695.9091440144</v>
      </c>
      <c r="R38" s="415">
        <f t="shared" si="16"/>
        <v>-1945.0654544363495</v>
      </c>
      <c r="S38" s="415">
        <f t="shared" si="17"/>
        <v>-2022.8680726138034</v>
      </c>
      <c r="T38" s="415">
        <f t="shared" si="18"/>
        <v>-1584646.7707947483</v>
      </c>
      <c r="U38" s="238">
        <f t="shared" si="19"/>
        <v>4.3521014539765424E-2</v>
      </c>
      <c r="W38" s="400">
        <f>-IFERROR(IF(F38&lt;=baseData, INDEX('LDI - Fluxo de Caixa'!$L$161:$L$374, MATCH(F38, 'LDI - Fluxo de Caixa'!$C$161:$C$374, 0)), 0), 0)</f>
        <v>0</v>
      </c>
      <c r="X38" s="415">
        <f>IFERROR(W38/INDEX(Indicadores!$B:$B, MATCH(Obra!F38, Indicadores!$A:$A, 0)), 0)</f>
        <v>0</v>
      </c>
      <c r="Y38" s="415">
        <f t="shared" ca="1" si="20"/>
        <v>-417.02743443984201</v>
      </c>
      <c r="Z38" s="415">
        <f t="shared" ca="1" si="21"/>
        <v>-433.84675064120432</v>
      </c>
      <c r="AA38" s="415">
        <f t="shared" ca="1" si="22"/>
        <v>-353455.38159413979</v>
      </c>
      <c r="AB38" s="238">
        <f t="shared" ca="1" si="23"/>
        <v>9.3340000755899964E-3</v>
      </c>
      <c r="AD38" s="241">
        <v>0</v>
      </c>
    </row>
    <row r="39" spans="5:30" x14ac:dyDescent="0.25">
      <c r="E39">
        <f t="shared" si="25"/>
        <v>38</v>
      </c>
      <c r="F39" s="197">
        <f t="shared" si="24"/>
        <v>44228</v>
      </c>
      <c r="G39" s="389">
        <f>INDEX('Fluxo Projeto'!B:B, MATCH(Obra!F39, 'Fluxo Projeto'!A:A, 0))</f>
        <v>839.38199999999995</v>
      </c>
      <c r="I39" s="393">
        <v>0</v>
      </c>
      <c r="K39" s="202">
        <v>2.316847763875661E-2</v>
      </c>
      <c r="M39" s="464">
        <v>-1843301</v>
      </c>
      <c r="N39" s="415">
        <f t="shared" si="13"/>
        <v>-2478.0014142332088</v>
      </c>
      <c r="O39" s="238">
        <f t="shared" si="14"/>
        <v>4.7400000915444648E-2</v>
      </c>
      <c r="Q39" s="400">
        <f t="shared" si="15"/>
        <v>-807415.35158123472</v>
      </c>
      <c r="R39" s="415">
        <f t="shared" si="16"/>
        <v>-1035.4585241998686</v>
      </c>
      <c r="S39" s="415">
        <f t="shared" si="17"/>
        <v>-1076.8768651678633</v>
      </c>
      <c r="T39" s="415">
        <f t="shared" si="18"/>
        <v>-843589.09512415715</v>
      </c>
      <c r="U39" s="238">
        <f t="shared" si="19"/>
        <v>2.3168477638756613E-2</v>
      </c>
      <c r="W39" s="400">
        <f>-IFERROR(IF(F39&lt;=baseData, INDEX('LDI - Fluxo de Caixa'!$L$161:$L$374, MATCH(F39, 'LDI - Fluxo de Caixa'!$C$161:$C$374, 0)), 0), 0)</f>
        <v>0</v>
      </c>
      <c r="X39" s="415">
        <f>IFERROR(W39/INDEX(Indicadores!$B:$B, MATCH(Obra!F39, Indicadores!$A:$A, 0)), 0)</f>
        <v>0</v>
      </c>
      <c r="Y39" s="415">
        <f t="shared" ca="1" si="20"/>
        <v>-1418.1706713121507</v>
      </c>
      <c r="Z39" s="415">
        <f t="shared" ca="1" si="21"/>
        <v>-1475.3675341044909</v>
      </c>
      <c r="AA39" s="415">
        <f t="shared" ca="1" si="22"/>
        <v>-1201983.4054024629</v>
      </c>
      <c r="AB39" s="238">
        <f t="shared" ca="1" si="23"/>
        <v>3.1741808955584802E-2</v>
      </c>
      <c r="AD39" s="241">
        <v>0</v>
      </c>
    </row>
    <row r="40" spans="5:30" x14ac:dyDescent="0.25">
      <c r="E40">
        <f t="shared" si="25"/>
        <v>39</v>
      </c>
      <c r="F40" s="197">
        <f t="shared" si="24"/>
        <v>44256</v>
      </c>
      <c r="G40" s="389">
        <f>INDEX('Fluxo Projeto'!B:B, MATCH(Obra!F40, 'Fluxo Projeto'!A:A, 0))</f>
        <v>839.38199999999995</v>
      </c>
      <c r="I40" s="393">
        <v>0</v>
      </c>
      <c r="K40" s="202">
        <v>2.5164751815928189E-2</v>
      </c>
      <c r="M40" s="464">
        <v>-1851079</v>
      </c>
      <c r="N40" s="415">
        <f t="shared" si="13"/>
        <v>-2488.4575985459746</v>
      </c>
      <c r="O40" s="238">
        <f t="shared" si="14"/>
        <v>4.7600010141892378E-2</v>
      </c>
      <c r="Q40" s="400">
        <f t="shared" si="15"/>
        <v>-876984.98156491772</v>
      </c>
      <c r="R40" s="415">
        <f t="shared" si="16"/>
        <v>-1124.6771230919503</v>
      </c>
      <c r="S40" s="415">
        <f t="shared" si="17"/>
        <v>-1169.6642080156284</v>
      </c>
      <c r="T40" s="415">
        <f t="shared" si="18"/>
        <v>-916275.57686013507</v>
      </c>
      <c r="U40" s="238">
        <f t="shared" si="19"/>
        <v>2.5164751815928192E-2</v>
      </c>
      <c r="W40" s="400">
        <f>-IFERROR(IF(F40&lt;=baseData, INDEX('LDI - Fluxo de Caixa'!$L$161:$L$374, MATCH(F40, 'LDI - Fluxo de Caixa'!$C$161:$C$374, 0)), 0), 0)</f>
        <v>0</v>
      </c>
      <c r="X40" s="415">
        <f>IFERROR(W40/INDEX(Indicadores!$B:$B, MATCH(Obra!F40, Indicadores!$A:$A, 0)), 0)</f>
        <v>0</v>
      </c>
      <c r="Y40" s="415">
        <f t="shared" ca="1" si="20"/>
        <v>-1929.0811744545392</v>
      </c>
      <c r="Z40" s="415">
        <f t="shared" ca="1" si="21"/>
        <v>-2006.8837926319932</v>
      </c>
      <c r="AA40" s="415">
        <f t="shared" ca="1" si="22"/>
        <v>-1635010.2327410774</v>
      </c>
      <c r="AB40" s="238">
        <f t="shared" ca="1" si="23"/>
        <v>4.3177120594869056E-2</v>
      </c>
      <c r="AD40" s="241">
        <v>0</v>
      </c>
    </row>
    <row r="41" spans="5:30" x14ac:dyDescent="0.25">
      <c r="E41">
        <f t="shared" si="25"/>
        <v>40</v>
      </c>
      <c r="F41" s="197">
        <f t="shared" si="24"/>
        <v>44287</v>
      </c>
      <c r="G41" s="389">
        <f>INDEX('Fluxo Projeto'!B:B, MATCH(Obra!F41, 'Fluxo Projeto'!A:A, 0))</f>
        <v>839.38199999999995</v>
      </c>
      <c r="I41" s="393">
        <v>0</v>
      </c>
      <c r="K41" s="202">
        <v>2.3270708563733072E-2</v>
      </c>
      <c r="M41" s="464">
        <v>-2041631</v>
      </c>
      <c r="N41" s="415">
        <f t="shared" si="13"/>
        <v>-2744.6220152554361</v>
      </c>
      <c r="O41" s="238">
        <f t="shared" si="14"/>
        <v>5.2500004757226396E-2</v>
      </c>
      <c r="Q41" s="400">
        <f t="shared" si="15"/>
        <v>-810978.07242631377</v>
      </c>
      <c r="R41" s="415">
        <f t="shared" si="16"/>
        <v>-1040.0274857153477</v>
      </c>
      <c r="S41" s="415">
        <f t="shared" si="17"/>
        <v>-1081.6285851439616</v>
      </c>
      <c r="T41" s="415">
        <f t="shared" si="18"/>
        <v>-847311.43263977952</v>
      </c>
      <c r="U41" s="238">
        <f t="shared" si="19"/>
        <v>2.3270708563733079E-2</v>
      </c>
      <c r="W41" s="400">
        <f>-IFERROR(IF(F41&lt;=baseData, INDEX('LDI - Fluxo de Caixa'!$L$161:$L$374, MATCH(F41, 'LDI - Fluxo de Caixa'!$C$161:$C$374, 0)), 0), 0)</f>
        <v>0</v>
      </c>
      <c r="X41" s="415">
        <f>IFERROR(W41/INDEX(Indicadores!$B:$B, MATCH(Obra!F41, Indicadores!$A:$A, 0)), 0)</f>
        <v>0</v>
      </c>
      <c r="Y41" s="415">
        <f t="shared" ca="1" si="20"/>
        <v>-1026.9492686770723</v>
      </c>
      <c r="Z41" s="415">
        <f t="shared" ca="1" si="21"/>
        <v>-1068.367609645067</v>
      </c>
      <c r="AA41" s="415">
        <f t="shared" ca="1" si="22"/>
        <v>-870400.15994544572</v>
      </c>
      <c r="AB41" s="238">
        <f t="shared" ca="1" si="23"/>
        <v>2.2985405179240408E-2</v>
      </c>
      <c r="AD41" s="241">
        <v>0</v>
      </c>
    </row>
    <row r="42" spans="5:30" x14ac:dyDescent="0.25">
      <c r="E42">
        <f t="shared" si="25"/>
        <v>41</v>
      </c>
      <c r="F42" s="197">
        <f t="shared" si="24"/>
        <v>44317</v>
      </c>
      <c r="G42" s="389">
        <f>INDEX('Fluxo Projeto'!B:B, MATCH(Obra!F42, 'Fluxo Projeto'!A:A, 0))</f>
        <v>839.38199999999995</v>
      </c>
      <c r="I42" s="393">
        <v>0</v>
      </c>
      <c r="K42" s="202">
        <v>1.9546257580780851E-2</v>
      </c>
      <c r="M42" s="464">
        <v>-2679397</v>
      </c>
      <c r="N42" s="415">
        <f t="shared" si="13"/>
        <v>-3601.988799057895</v>
      </c>
      <c r="O42" s="238">
        <f t="shared" si="14"/>
        <v>6.8899989883822357E-2</v>
      </c>
      <c r="Q42" s="400">
        <f t="shared" si="15"/>
        <v>-681181.93533282669</v>
      </c>
      <c r="R42" s="415">
        <f t="shared" si="16"/>
        <v>-873.57224517717714</v>
      </c>
      <c r="S42" s="415">
        <f t="shared" si="17"/>
        <v>-908.51513498426425</v>
      </c>
      <c r="T42" s="415">
        <f t="shared" si="18"/>
        <v>-711700.18171809136</v>
      </c>
      <c r="U42" s="238">
        <f t="shared" si="19"/>
        <v>1.9546257580780855E-2</v>
      </c>
      <c r="W42" s="400">
        <f>-IFERROR(IF(F42&lt;=baseData, INDEX('LDI - Fluxo de Caixa'!$L$161:$L$374, MATCH(F42, 'LDI - Fluxo de Caixa'!$C$161:$C$374, 0)), 0), 0)</f>
        <v>0</v>
      </c>
      <c r="X42" s="415">
        <f>IFERROR(W42/INDEX(Indicadores!$B:$B, MATCH(Obra!F42, Indicadores!$A:$A, 0)), 0)</f>
        <v>0</v>
      </c>
      <c r="Y42" s="415">
        <f t="shared" ca="1" si="20"/>
        <v>-1115.4346814128614</v>
      </c>
      <c r="Z42" s="415">
        <f t="shared" ca="1" si="21"/>
        <v>-1160.4217663365396</v>
      </c>
      <c r="AA42" s="415">
        <f t="shared" ca="1" si="22"/>
        <v>-945396.77345614519</v>
      </c>
      <c r="AB42" s="238">
        <f t="shared" ca="1" si="23"/>
        <v>2.4965905215824001E-2</v>
      </c>
      <c r="AD42" s="241">
        <v>0</v>
      </c>
    </row>
    <row r="43" spans="5:30" x14ac:dyDescent="0.25">
      <c r="E43">
        <f t="shared" si="25"/>
        <v>42</v>
      </c>
      <c r="F43" s="197">
        <f t="shared" si="24"/>
        <v>44348</v>
      </c>
      <c r="G43" s="389">
        <f>INDEX('Fluxo Projeto'!B:B, MATCH(Obra!F43, 'Fluxo Projeto'!A:A, 0))</f>
        <v>839.38199999999995</v>
      </c>
      <c r="I43" s="393">
        <v>0</v>
      </c>
      <c r="K43" s="202">
        <v>2.1083268446573381E-2</v>
      </c>
      <c r="M43" s="464">
        <v>-2586066</v>
      </c>
      <c r="N43" s="415">
        <f t="shared" si="13"/>
        <v>-3476.5213089454282</v>
      </c>
      <c r="O43" s="238">
        <f t="shared" si="14"/>
        <v>6.6500007740135911E-2</v>
      </c>
      <c r="Q43" s="400">
        <f t="shared" si="15"/>
        <v>-734746.35971745173</v>
      </c>
      <c r="R43" s="415">
        <f t="shared" si="16"/>
        <v>-942.26519201587621</v>
      </c>
      <c r="S43" s="415">
        <f t="shared" si="17"/>
        <v>-979.95579969651124</v>
      </c>
      <c r="T43" s="415">
        <f t="shared" si="18"/>
        <v>-767664.39420052641</v>
      </c>
      <c r="U43" s="238">
        <f t="shared" si="19"/>
        <v>2.1083268446573388E-2</v>
      </c>
      <c r="W43" s="400">
        <f>-IFERROR(IF(F43&lt;=baseData, INDEX('LDI - Fluxo de Caixa'!$L$161:$L$374, MATCH(F43, 'LDI - Fluxo de Caixa'!$C$161:$C$374, 0)), 0), 0)</f>
        <v>0</v>
      </c>
      <c r="X43" s="415">
        <f>IFERROR(W43/INDEX(Indicadores!$B:$B, MATCH(Obra!F43, Indicadores!$A:$A, 0)), 0)</f>
        <v>0</v>
      </c>
      <c r="Y43" s="415">
        <f t="shared" ca="1" si="20"/>
        <v>-1031.4806830961681</v>
      </c>
      <c r="Z43" s="415">
        <f t="shared" ca="1" si="21"/>
        <v>-1073.0817825247821</v>
      </c>
      <c r="AA43" s="415">
        <f t="shared" ca="1" si="22"/>
        <v>-874240.80130472244</v>
      </c>
      <c r="AB43" s="238">
        <f t="shared" ca="1" si="23"/>
        <v>2.3086828296851804E-2</v>
      </c>
      <c r="AD43" s="241">
        <v>0</v>
      </c>
    </row>
    <row r="44" spans="5:30" x14ac:dyDescent="0.25">
      <c r="E44">
        <f t="shared" si="25"/>
        <v>43</v>
      </c>
      <c r="F44" s="197">
        <f t="shared" si="24"/>
        <v>44378</v>
      </c>
      <c r="G44" s="389">
        <f>INDEX('Fluxo Projeto'!B:B, MATCH(Obra!F44, 'Fluxo Projeto'!A:A, 0))</f>
        <v>839.38199999999995</v>
      </c>
      <c r="I44" s="393">
        <v>0</v>
      </c>
      <c r="K44" s="202">
        <v>2.2555092199517641E-2</v>
      </c>
      <c r="M44" s="464">
        <v>-2119407</v>
      </c>
      <c r="N44" s="415">
        <f t="shared" si="13"/>
        <v>-2849.1784810705153</v>
      </c>
      <c r="O44" s="238">
        <f t="shared" si="14"/>
        <v>5.4499994162754639E-2</v>
      </c>
      <c r="Q44" s="400">
        <f t="shared" si="15"/>
        <v>-786039.0303658318</v>
      </c>
      <c r="R44" s="415">
        <f t="shared" si="16"/>
        <v>-1008.0447600508766</v>
      </c>
      <c r="S44" s="415">
        <f t="shared" si="17"/>
        <v>-1048.3665504529117</v>
      </c>
      <c r="T44" s="415">
        <f t="shared" si="18"/>
        <v>-821255.0740582092</v>
      </c>
      <c r="U44" s="238">
        <f t="shared" si="19"/>
        <v>2.2555092199517648E-2</v>
      </c>
      <c r="W44" s="400">
        <f>-IFERROR(IF(F44&lt;=baseData, INDEX('LDI - Fluxo de Caixa'!$L$161:$L$374, MATCH(F44, 'LDI - Fluxo de Caixa'!$C$161:$C$374, 0)), 0), 0)</f>
        <v>0</v>
      </c>
      <c r="X44" s="415">
        <f>IFERROR(W44/INDEX(Indicadores!$B:$B, MATCH(Obra!F44, Indicadores!$A:$A, 0)), 0)</f>
        <v>0</v>
      </c>
      <c r="Y44" s="415">
        <f t="shared" ca="1" si="20"/>
        <v>-866.3933487963883</v>
      </c>
      <c r="Z44" s="415">
        <f t="shared" ca="1" si="21"/>
        <v>-901.33623860347541</v>
      </c>
      <c r="AA44" s="415">
        <f t="shared" ca="1" si="22"/>
        <v>-734319.53492649004</v>
      </c>
      <c r="AB44" s="238">
        <f t="shared" ca="1" si="23"/>
        <v>1.9391807145778393E-2</v>
      </c>
      <c r="AD44" s="241">
        <v>0</v>
      </c>
    </row>
    <row r="45" spans="5:30" x14ac:dyDescent="0.25">
      <c r="E45">
        <f t="shared" si="25"/>
        <v>44</v>
      </c>
      <c r="F45" s="197">
        <f t="shared" si="24"/>
        <v>44409</v>
      </c>
      <c r="G45" s="389">
        <f>INDEX('Fluxo Projeto'!B:B, MATCH(Obra!F45, 'Fluxo Projeto'!A:A, 0))</f>
        <v>839.38199999999995</v>
      </c>
      <c r="I45" s="393">
        <v>0</v>
      </c>
      <c r="K45" s="202">
        <v>2.5306964595080271E-2</v>
      </c>
      <c r="M45" s="464">
        <v>-1819968</v>
      </c>
      <c r="N45" s="415">
        <f t="shared" si="13"/>
        <v>-2446.634205623056</v>
      </c>
      <c r="O45" s="238">
        <f t="shared" si="14"/>
        <v>4.6799998950838723E-2</v>
      </c>
      <c r="Q45" s="400">
        <f t="shared" si="15"/>
        <v>-881941.05951137468</v>
      </c>
      <c r="R45" s="415">
        <f t="shared" si="16"/>
        <v>-1131.0329759330039</v>
      </c>
      <c r="S45" s="415">
        <f t="shared" si="17"/>
        <v>-1176.274294970324</v>
      </c>
      <c r="T45" s="415">
        <f t="shared" si="18"/>
        <v>-921453.69652559422</v>
      </c>
      <c r="U45" s="238">
        <f t="shared" si="19"/>
        <v>2.5306964595080274E-2</v>
      </c>
      <c r="W45" s="400">
        <f>-IFERROR(IF(F45&lt;=baseData, INDEX('LDI - Fluxo de Caixa'!$L$161:$L$374, MATCH(F45, 'LDI - Fluxo de Caixa'!$C$161:$C$374, 0)), 0), 0)</f>
        <v>0</v>
      </c>
      <c r="X45" s="415">
        <f>IFERROR(W45/INDEX(Indicadores!$B:$B, MATCH(Obra!F45, Indicadores!$A:$A, 0)), 0)</f>
        <v>0</v>
      </c>
      <c r="Y45" s="415">
        <f t="shared" ca="1" si="20"/>
        <v>-934.52178646006655</v>
      </c>
      <c r="Z45" s="415">
        <f t="shared" ca="1" si="21"/>
        <v>-972.21239414070158</v>
      </c>
      <c r="AA45" s="415">
        <f t="shared" ca="1" si="22"/>
        <v>-792062.40971882374</v>
      </c>
      <c r="AB45" s="238">
        <f t="shared" ca="1" si="23"/>
        <v>2.0916672873513467E-2</v>
      </c>
      <c r="AD45" s="241">
        <v>0</v>
      </c>
    </row>
    <row r="46" spans="5:30" x14ac:dyDescent="0.25">
      <c r="E46">
        <f t="shared" si="25"/>
        <v>45</v>
      </c>
      <c r="F46" s="197">
        <f t="shared" si="24"/>
        <v>44440</v>
      </c>
      <c r="G46" s="389">
        <f>INDEX('Fluxo Projeto'!B:B, MATCH(Obra!F46, 'Fluxo Projeto'!A:A, 0))</f>
        <v>839.38199999999995</v>
      </c>
      <c r="I46" s="393">
        <v>0</v>
      </c>
      <c r="K46" s="202">
        <v>3.9524732688664507E-2</v>
      </c>
      <c r="M46" s="464">
        <v>-1306644</v>
      </c>
      <c r="N46" s="415">
        <f t="shared" si="13"/>
        <v>-1756.5583048559822</v>
      </c>
      <c r="O46" s="238">
        <f t="shared" si="14"/>
        <v>3.3600007158982856E-2</v>
      </c>
      <c r="Q46" s="400">
        <f t="shared" si="15"/>
        <v>-1377426.5377966824</v>
      </c>
      <c r="R46" s="415">
        <f t="shared" si="16"/>
        <v>-1766.4613971328354</v>
      </c>
      <c r="S46" s="415">
        <f t="shared" si="17"/>
        <v>-1837.1198530181489</v>
      </c>
      <c r="T46" s="415">
        <f t="shared" si="18"/>
        <v>-1439137.8667055182</v>
      </c>
      <c r="U46" s="238">
        <f t="shared" si="19"/>
        <v>3.9524732688664514E-2</v>
      </c>
      <c r="W46" s="400">
        <f>-IFERROR(IF(F46&lt;=baseData, INDEX('LDI - Fluxo de Caixa'!$L$161:$L$374, MATCH(F46, 'LDI - Fluxo de Caixa'!$C$161:$C$374, 0)), 0), 0)</f>
        <v>0</v>
      </c>
      <c r="X46" s="415">
        <f>IFERROR(W46/INDEX(Indicadores!$B:$B, MATCH(Obra!F46, Indicadores!$A:$A, 0)), 0)</f>
        <v>0</v>
      </c>
      <c r="Y46" s="415">
        <f t="shared" ca="1" si="20"/>
        <v>-999.76078706575186</v>
      </c>
      <c r="Z46" s="415">
        <f t="shared" ca="1" si="21"/>
        <v>-1040.0825774677871</v>
      </c>
      <c r="AA46" s="415">
        <f t="shared" ca="1" si="22"/>
        <v>-847356.31594558363</v>
      </c>
      <c r="AB46" s="238">
        <f t="shared" ca="1" si="23"/>
        <v>2.2376866583317775E-2</v>
      </c>
      <c r="AD46" s="241">
        <v>0</v>
      </c>
    </row>
    <row r="47" spans="5:30" x14ac:dyDescent="0.25">
      <c r="E47">
        <f t="shared" si="25"/>
        <v>46</v>
      </c>
      <c r="F47" s="197">
        <f t="shared" si="24"/>
        <v>44470</v>
      </c>
      <c r="G47" s="389">
        <f>INDEX('Fluxo Projeto'!B:B, MATCH(Obra!F47, 'Fluxo Projeto'!A:A, 0))</f>
        <v>839.38199999999995</v>
      </c>
      <c r="I47" s="393">
        <v>0</v>
      </c>
      <c r="K47" s="202">
        <v>4.7020939629537337E-2</v>
      </c>
      <c r="M47" s="464">
        <v>-1310532</v>
      </c>
      <c r="N47" s="415">
        <f t="shared" si="13"/>
        <v>-1761.7850526842201</v>
      </c>
      <c r="O47" s="238">
        <f t="shared" si="14"/>
        <v>3.3699986057469454E-2</v>
      </c>
      <c r="Q47" s="400">
        <f t="shared" si="15"/>
        <v>-1638667.3779184227</v>
      </c>
      <c r="R47" s="415">
        <f t="shared" si="16"/>
        <v>-2101.4860585334868</v>
      </c>
      <c r="S47" s="415">
        <f t="shared" si="17"/>
        <v>-2185.5455008748263</v>
      </c>
      <c r="T47" s="415">
        <f t="shared" si="18"/>
        <v>-1712082.7933732902</v>
      </c>
      <c r="U47" s="238">
        <f t="shared" si="19"/>
        <v>4.7020939629537344E-2</v>
      </c>
      <c r="W47" s="400">
        <f>-IFERROR(IF(F47&lt;=baseData, INDEX('LDI - Fluxo de Caixa'!$L$161:$L$374, MATCH(F47, 'LDI - Fluxo de Caixa'!$C$161:$C$374, 0)), 0), 0)</f>
        <v>0</v>
      </c>
      <c r="X47" s="415">
        <f>IFERROR(W47/INDEX(Indicadores!$B:$B, MATCH(Obra!F47, Indicadores!$A:$A, 0)), 0)</f>
        <v>0</v>
      </c>
      <c r="Y47" s="415">
        <f t="shared" ca="1" si="20"/>
        <v>-1121.738302730753</v>
      </c>
      <c r="Z47" s="415">
        <f t="shared" ca="1" si="21"/>
        <v>-1166.9796217680732</v>
      </c>
      <c r="AA47" s="415">
        <f t="shared" ca="1" si="22"/>
        <v>-950739.464834071</v>
      </c>
      <c r="AB47" s="238">
        <f t="shared" ca="1" si="23"/>
        <v>2.5106994259370314E-2</v>
      </c>
      <c r="AD47" s="241">
        <v>0</v>
      </c>
    </row>
    <row r="48" spans="5:30" x14ac:dyDescent="0.25">
      <c r="E48">
        <f t="shared" si="25"/>
        <v>47</v>
      </c>
      <c r="F48" s="197">
        <f t="shared" si="24"/>
        <v>44501</v>
      </c>
      <c r="G48" s="389">
        <f>INDEX('Fluxo Projeto'!B:B, MATCH(Obra!F48, 'Fluxo Projeto'!A:A, 0))</f>
        <v>839.38199999999995</v>
      </c>
      <c r="I48" s="393">
        <v>0</v>
      </c>
      <c r="K48" s="202">
        <v>4.82281216827724E-2</v>
      </c>
      <c r="M48" s="464">
        <v>-789431</v>
      </c>
      <c r="N48" s="415">
        <f t="shared" si="13"/>
        <v>-1061.2543119325255</v>
      </c>
      <c r="O48" s="238">
        <f t="shared" si="14"/>
        <v>2.0300010753903124E-2</v>
      </c>
      <c r="Q48" s="400">
        <f t="shared" si="15"/>
        <v>-1680737.3549420687</v>
      </c>
      <c r="R48" s="415">
        <f t="shared" si="16"/>
        <v>-2155.4381121285987</v>
      </c>
      <c r="S48" s="415">
        <f t="shared" si="17"/>
        <v>-2241.6556366137429</v>
      </c>
      <c r="T48" s="415">
        <f t="shared" si="18"/>
        <v>-1756037.5853892816</v>
      </c>
      <c r="U48" s="238">
        <f t="shared" si="19"/>
        <v>4.8228121682772414E-2</v>
      </c>
      <c r="W48" s="400">
        <f>-IFERROR(IF(F48&lt;=baseData, INDEX('LDI - Fluxo de Caixa'!$L$161:$L$374, MATCH(F48, 'LDI - Fluxo de Caixa'!$C$161:$C$374, 0)), 0), 0)</f>
        <v>0</v>
      </c>
      <c r="X48" s="415">
        <f>IFERROR(W48/INDEX(Indicadores!$B:$B, MATCH(Obra!F48, Indicadores!$A:$A, 0)), 0)</f>
        <v>0</v>
      </c>
      <c r="Y48" s="415">
        <f t="shared" ca="1" si="20"/>
        <v>-1751.9448606921565</v>
      </c>
      <c r="Z48" s="415">
        <f t="shared" ca="1" si="21"/>
        <v>-1822.60331657747</v>
      </c>
      <c r="AA48" s="415">
        <f t="shared" ca="1" si="22"/>
        <v>-1484876.7446189814</v>
      </c>
      <c r="AB48" s="238">
        <f t="shared" ca="1" si="23"/>
        <v>3.9212416526253825E-2</v>
      </c>
      <c r="AD48" s="241">
        <v>0</v>
      </c>
    </row>
    <row r="49" spans="5:30" x14ac:dyDescent="0.25">
      <c r="E49">
        <f t="shared" si="25"/>
        <v>48</v>
      </c>
      <c r="F49" s="197">
        <f t="shared" si="24"/>
        <v>44531</v>
      </c>
      <c r="G49" s="389">
        <f>INDEX('Fluxo Projeto'!B:B, MATCH(Obra!F49, 'Fluxo Projeto'!A:A, 0))</f>
        <v>839.38199999999995</v>
      </c>
      <c r="I49" s="393">
        <v>0</v>
      </c>
      <c r="K49" s="202">
        <v>4.2637334239185053E-2</v>
      </c>
      <c r="M49" s="464">
        <v>-509435</v>
      </c>
      <c r="N49" s="415">
        <f t="shared" si="13"/>
        <v>-684.84780861069066</v>
      </c>
      <c r="O49" s="238">
        <f t="shared" si="14"/>
        <v>1.3099987178632E-2</v>
      </c>
      <c r="Q49" s="400">
        <f t="shared" si="15"/>
        <v>-1485899.8831079768</v>
      </c>
      <c r="R49" s="415">
        <f t="shared" si="16"/>
        <v>-1905.5715215949103</v>
      </c>
      <c r="S49" s="415">
        <f t="shared" si="17"/>
        <v>-1981.7943824587069</v>
      </c>
      <c r="T49" s="415">
        <f t="shared" si="18"/>
        <v>-1552471.024214895</v>
      </c>
      <c r="U49" s="238">
        <f t="shared" si="19"/>
        <v>4.2637334239185067E-2</v>
      </c>
      <c r="W49" s="400">
        <f>-IFERROR(IF(F49&lt;=baseData, INDEX('LDI - Fluxo de Caixa'!$L$161:$L$374, MATCH(F49, 'LDI - Fluxo de Caixa'!$C$161:$C$374, 0)), 0), 0)</f>
        <v>0</v>
      </c>
      <c r="X49" s="415">
        <f>IFERROR(W49/INDEX(Indicadores!$B:$B, MATCH(Obra!F49, Indicadores!$A:$A, 0)), 0)</f>
        <v>0</v>
      </c>
      <c r="Y49" s="415">
        <f t="shared" ca="1" si="20"/>
        <v>-2084.2163355733387</v>
      </c>
      <c r="Z49" s="415">
        <f t="shared" ca="1" si="21"/>
        <v>-2168.2757779146782</v>
      </c>
      <c r="AA49" s="415">
        <f t="shared" ca="1" si="22"/>
        <v>-1766496.4445428662</v>
      </c>
      <c r="AB49" s="238">
        <f t="shared" ca="1" si="23"/>
        <v>4.664939000936108E-2</v>
      </c>
      <c r="AD49" s="241">
        <v>0</v>
      </c>
    </row>
    <row r="50" spans="5:30" x14ac:dyDescent="0.25">
      <c r="E50">
        <f t="shared" si="25"/>
        <v>49</v>
      </c>
      <c r="F50" s="197">
        <f t="shared" si="24"/>
        <v>44562</v>
      </c>
      <c r="G50" s="389">
        <f>INDEX('Fluxo Projeto'!B:B, MATCH(Obra!F50, 'Fluxo Projeto'!A:A, 0))</f>
        <v>839.38199999999995</v>
      </c>
      <c r="I50" s="393">
        <v>0</v>
      </c>
      <c r="K50" s="202">
        <v>4.8824055568856869E-2</v>
      </c>
      <c r="M50" s="464">
        <v>0</v>
      </c>
      <c r="N50" s="415">
        <f t="shared" si="13"/>
        <v>0</v>
      </c>
      <c r="O50" s="238">
        <f t="shared" si="14"/>
        <v>0</v>
      </c>
      <c r="Q50" s="400">
        <f t="shared" si="15"/>
        <v>-1701505.4941204132</v>
      </c>
      <c r="R50" s="415">
        <f t="shared" si="16"/>
        <v>-2182.0719217308952</v>
      </c>
      <c r="S50" s="415">
        <f t="shared" si="17"/>
        <v>-2269.3547986001308</v>
      </c>
      <c r="T50" s="415">
        <f t="shared" si="18"/>
        <v>-1777736.176706082</v>
      </c>
      <c r="U50" s="238">
        <f t="shared" si="19"/>
        <v>4.8824055568856876E-2</v>
      </c>
      <c r="W50" s="400">
        <f>-IFERROR(IF(F50&lt;=baseData, INDEX('LDI - Fluxo de Caixa'!$L$161:$L$374, MATCH(F50, 'LDI - Fluxo de Caixa'!$C$161:$C$374, 0)), 0), 0)</f>
        <v>0</v>
      </c>
      <c r="X50" s="415">
        <f>IFERROR(W50/INDEX(Indicadores!$B:$B, MATCH(Obra!F50, Indicadores!$A:$A, 0)), 0)</f>
        <v>0</v>
      </c>
      <c r="Y50" s="415">
        <f t="shared" ca="1" si="20"/>
        <v>-2137.7250186236238</v>
      </c>
      <c r="Z50" s="415">
        <f t="shared" ca="1" si="21"/>
        <v>-2223.9425431087679</v>
      </c>
      <c r="AA50" s="415">
        <f t="shared" ca="1" si="22"/>
        <v>-1811848.2138132565</v>
      </c>
      <c r="AB50" s="238">
        <f t="shared" ca="1" si="23"/>
        <v>4.7847033162759262E-2</v>
      </c>
      <c r="AD50" s="241">
        <v>0</v>
      </c>
    </row>
    <row r="51" spans="5:30" x14ac:dyDescent="0.25">
      <c r="E51">
        <f t="shared" si="25"/>
        <v>50</v>
      </c>
      <c r="F51" s="197">
        <f t="shared" si="24"/>
        <v>44593</v>
      </c>
      <c r="G51" s="389">
        <f>INDEX('Fluxo Projeto'!B:B, MATCH(Obra!F51, 'Fluxo Projeto'!A:A, 0))</f>
        <v>839.38199999999995</v>
      </c>
      <c r="I51" s="393">
        <v>0</v>
      </c>
      <c r="K51" s="202">
        <v>5.0896034774145803E-2</v>
      </c>
      <c r="M51" s="464">
        <v>0</v>
      </c>
      <c r="N51" s="415">
        <f t="shared" si="13"/>
        <v>0</v>
      </c>
      <c r="O51" s="238">
        <f t="shared" si="14"/>
        <v>0</v>
      </c>
      <c r="Q51" s="400">
        <f t="shared" si="15"/>
        <v>-1773713.4244208848</v>
      </c>
      <c r="R51" s="415">
        <f t="shared" si="16"/>
        <v>-2274.6739719619536</v>
      </c>
      <c r="S51" s="415">
        <f t="shared" si="17"/>
        <v>-2365.6609308404318</v>
      </c>
      <c r="T51" s="415">
        <f t="shared" si="18"/>
        <v>-1853179.1596313757</v>
      </c>
      <c r="U51" s="238">
        <f t="shared" si="19"/>
        <v>5.089603477414581E-2</v>
      </c>
      <c r="W51" s="400">
        <f>-IFERROR(IF(F51&lt;=baseData, INDEX('LDI - Fluxo de Caixa'!$L$161:$L$374, MATCH(F51, 'LDI - Fluxo de Caixa'!$C$161:$C$374, 0)), 0), 0)</f>
        <v>0</v>
      </c>
      <c r="X51" s="415">
        <f>IFERROR(W51/INDEX(Indicadores!$B:$B, MATCH(Obra!F51, Indicadores!$A:$A, 0)), 0)</f>
        <v>0</v>
      </c>
      <c r="Y51" s="415">
        <f t="shared" ca="1" si="20"/>
        <v>-1889.9117973131051</v>
      </c>
      <c r="Z51" s="415">
        <f t="shared" ca="1" si="21"/>
        <v>-1966.1346581769017</v>
      </c>
      <c r="AA51" s="415">
        <f t="shared" ca="1" si="22"/>
        <v>-1601811.8721513799</v>
      </c>
      <c r="AB51" s="238">
        <f t="shared" ca="1" si="23"/>
        <v>4.23004229510077E-2</v>
      </c>
      <c r="AD51" s="241">
        <v>0</v>
      </c>
    </row>
    <row r="52" spans="5:30" x14ac:dyDescent="0.25">
      <c r="E52">
        <f t="shared" si="25"/>
        <v>51</v>
      </c>
      <c r="F52" s="197">
        <f t="shared" si="24"/>
        <v>44621</v>
      </c>
      <c r="G52" s="389">
        <f>INDEX('Fluxo Projeto'!B:B, MATCH(Obra!F52, 'Fluxo Projeto'!A:A, 0))</f>
        <v>839.38199999999995</v>
      </c>
      <c r="I52" s="393">
        <v>0</v>
      </c>
      <c r="K52" s="202">
        <v>4.4886595787182237E-2</v>
      </c>
      <c r="M52" s="464">
        <v>0</v>
      </c>
      <c r="N52" s="415">
        <f t="shared" si="13"/>
        <v>0</v>
      </c>
      <c r="O52" s="238">
        <f t="shared" si="14"/>
        <v>0</v>
      </c>
      <c r="Q52" s="400">
        <f t="shared" si="15"/>
        <v>-1564286.0564203016</v>
      </c>
      <c r="R52" s="415">
        <f t="shared" si="16"/>
        <v>-2006.0967731605399</v>
      </c>
      <c r="S52" s="415">
        <f t="shared" si="17"/>
        <v>-2086.3406440869617</v>
      </c>
      <c r="T52" s="415">
        <f t="shared" si="18"/>
        <v>-1634369.047190665</v>
      </c>
      <c r="U52" s="238">
        <f t="shared" si="19"/>
        <v>4.4886595787182244E-2</v>
      </c>
      <c r="W52" s="400">
        <f>-IFERROR(IF(F52&lt;=baseData, INDEX('LDI - Fluxo de Caixa'!$L$161:$L$374, MATCH(F52, 'LDI - Fluxo de Caixa'!$C$161:$C$374, 0)), 0), 0)</f>
        <v>0</v>
      </c>
      <c r="X52" s="415">
        <f>IFERROR(W52/INDEX(Indicadores!$B:$B, MATCH(Obra!F52, Indicadores!$A:$A, 0)), 0)</f>
        <v>0</v>
      </c>
      <c r="Y52" s="415">
        <f t="shared" ca="1" si="20"/>
        <v>-2164.1399552472785</v>
      </c>
      <c r="Z52" s="415">
        <f t="shared" ca="1" si="21"/>
        <v>-2251.4228321165142</v>
      </c>
      <c r="AA52" s="415">
        <f t="shared" ca="1" si="22"/>
        <v>-1834236.4327481564</v>
      </c>
      <c r="AB52" s="238">
        <f t="shared" ca="1" si="23"/>
        <v>4.8438258104046575E-2</v>
      </c>
      <c r="AD52" s="241">
        <v>0</v>
      </c>
    </row>
    <row r="53" spans="5:30" x14ac:dyDescent="0.25">
      <c r="E53">
        <f t="shared" si="25"/>
        <v>52</v>
      </c>
      <c r="F53" s="197">
        <f t="shared" si="24"/>
        <v>44652</v>
      </c>
      <c r="G53" s="389">
        <f>INDEX('Fluxo Projeto'!B:B, MATCH(Obra!F53, 'Fluxo Projeto'!A:A, 0))</f>
        <v>839.38199999999995</v>
      </c>
      <c r="I53" s="393">
        <v>0</v>
      </c>
      <c r="K53" s="202">
        <v>4.4269701347351351E-2</v>
      </c>
      <c r="M53" s="464">
        <v>0</v>
      </c>
      <c r="N53" s="415">
        <f t="shared" si="13"/>
        <v>0</v>
      </c>
      <c r="O53" s="238">
        <f t="shared" si="14"/>
        <v>0</v>
      </c>
      <c r="Q53" s="400">
        <f t="shared" si="15"/>
        <v>-1542787.4474572616</v>
      </c>
      <c r="R53" s="415">
        <f t="shared" si="16"/>
        <v>-1978.5261828000473</v>
      </c>
      <c r="S53" s="415">
        <f t="shared" si="17"/>
        <v>-2057.6672301120493</v>
      </c>
      <c r="T53" s="415">
        <f t="shared" si="18"/>
        <v>-1611907.2596533813</v>
      </c>
      <c r="U53" s="238">
        <f t="shared" si="19"/>
        <v>4.4269701347351365E-2</v>
      </c>
      <c r="W53" s="400">
        <f>-IFERROR(IF(F53&lt;=baseData, INDEX('LDI - Fluxo de Caixa'!$L$161:$L$374, MATCH(F53, 'LDI - Fluxo de Caixa'!$C$161:$C$374, 0)), 0), 0)</f>
        <v>0</v>
      </c>
      <c r="X53" s="415">
        <f>IFERROR(W53/INDEX(Indicadores!$B:$B, MATCH(Obra!F53, Indicadores!$A:$A, 0)), 0)</f>
        <v>0</v>
      </c>
      <c r="Y53" s="415">
        <f t="shared" ca="1" si="20"/>
        <v>-2255.9810145849933</v>
      </c>
      <c r="Z53" s="415">
        <f t="shared" ca="1" si="21"/>
        <v>-2346.9679734634715</v>
      </c>
      <c r="AA53" s="415">
        <f t="shared" ca="1" si="22"/>
        <v>-1912077.1549486637</v>
      </c>
      <c r="AB53" s="238">
        <f t="shared" ca="1" si="23"/>
        <v>5.0493864963465696E-2</v>
      </c>
      <c r="AD53" s="241">
        <v>0</v>
      </c>
    </row>
    <row r="54" spans="5:30" x14ac:dyDescent="0.25">
      <c r="E54">
        <f t="shared" si="25"/>
        <v>53</v>
      </c>
      <c r="F54" s="197">
        <f t="shared" si="24"/>
        <v>44682</v>
      </c>
      <c r="G54" s="389">
        <f>INDEX('Fluxo Projeto'!B:B, MATCH(Obra!F54, 'Fluxo Projeto'!A:A, 0))</f>
        <v>839.38199999999995</v>
      </c>
      <c r="I54" s="393">
        <v>0</v>
      </c>
      <c r="K54" s="202">
        <v>4.5599121963704352E-2</v>
      </c>
      <c r="M54" s="464">
        <v>0</v>
      </c>
      <c r="N54" s="415">
        <f t="shared" si="13"/>
        <v>0</v>
      </c>
      <c r="O54" s="238">
        <f t="shared" si="14"/>
        <v>0</v>
      </c>
      <c r="Q54" s="400">
        <f t="shared" si="15"/>
        <v>-1589117.4062525001</v>
      </c>
      <c r="R54" s="415">
        <f t="shared" si="16"/>
        <v>-2037.9413904331559</v>
      </c>
      <c r="S54" s="415">
        <f t="shared" si="17"/>
        <v>-2119.4590460504824</v>
      </c>
      <c r="T54" s="415">
        <f t="shared" si="18"/>
        <v>-1660312.8887272826</v>
      </c>
      <c r="U54" s="238">
        <f t="shared" si="19"/>
        <v>4.5599121963704359E-2</v>
      </c>
      <c r="W54" s="400">
        <f>-IFERROR(IF(F54&lt;=baseData, INDEX('LDI - Fluxo de Caixa'!$L$161:$L$374, MATCH(F54, 'LDI - Fluxo de Caixa'!$C$161:$C$374, 0)), 0), 0)</f>
        <v>0</v>
      </c>
      <c r="X54" s="415">
        <f>IFERROR(W54/INDEX(Indicadores!$B:$B, MATCH(Obra!F54, Indicadores!$A:$A, 0)), 0)</f>
        <v>0</v>
      </c>
      <c r="Y54" s="415">
        <f t="shared" ca="1" si="20"/>
        <v>-1989.610946208204</v>
      </c>
      <c r="Z54" s="415">
        <f t="shared" ca="1" si="21"/>
        <v>-2069.854817134626</v>
      </c>
      <c r="AA54" s="415">
        <f t="shared" ca="1" si="22"/>
        <v>-1686312.7893743969</v>
      </c>
      <c r="AB54" s="238">
        <f t="shared" ca="1" si="23"/>
        <v>4.453191130518061E-2</v>
      </c>
      <c r="AD54" s="241">
        <v>0</v>
      </c>
    </row>
    <row r="55" spans="5:30" x14ac:dyDescent="0.25">
      <c r="E55">
        <f t="shared" si="25"/>
        <v>54</v>
      </c>
      <c r="F55" s="197">
        <f t="shared" si="24"/>
        <v>44713</v>
      </c>
      <c r="G55" s="389">
        <f>INDEX('Fluxo Projeto'!B:B, MATCH(Obra!F55, 'Fluxo Projeto'!A:A, 0))</f>
        <v>839.38199999999995</v>
      </c>
      <c r="I55" s="393">
        <v>0</v>
      </c>
      <c r="K55" s="202">
        <v>5.2631970941411872E-2</v>
      </c>
      <c r="M55" s="464">
        <v>0</v>
      </c>
      <c r="N55" s="415">
        <f t="shared" si="13"/>
        <v>0</v>
      </c>
      <c r="O55" s="238">
        <f t="shared" si="14"/>
        <v>0</v>
      </c>
      <c r="Q55" s="400">
        <f t="shared" si="15"/>
        <v>-1834210.3432374694</v>
      </c>
      <c r="R55" s="415">
        <f t="shared" si="16"/>
        <v>-2352.2573993191158</v>
      </c>
      <c r="S55" s="415">
        <f t="shared" si="17"/>
        <v>-2446.3476952918804</v>
      </c>
      <c r="T55" s="415">
        <f t="shared" si="18"/>
        <v>-1916386.4554826831</v>
      </c>
      <c r="U55" s="238">
        <f t="shared" si="19"/>
        <v>5.2631970941411879E-2</v>
      </c>
      <c r="W55" s="400">
        <f>-IFERROR(IF(F55&lt;=baseData, INDEX('LDI - Fluxo de Caixa'!$L$161:$L$374, MATCH(F55, 'LDI - Fluxo de Caixa'!$C$161:$C$374, 0)), 0), 0)</f>
        <v>0</v>
      </c>
      <c r="X55" s="415">
        <f>IFERROR(W55/INDEX(Indicadores!$B:$B, MATCH(Obra!F55, Indicadores!$A:$A, 0)), 0)</f>
        <v>0</v>
      </c>
      <c r="Y55" s="415">
        <f t="shared" ca="1" si="20"/>
        <v>-1962.2669271615871</v>
      </c>
      <c r="Z55" s="415">
        <f t="shared" ca="1" si="21"/>
        <v>-2041.4079744735891</v>
      </c>
      <c r="AA55" s="415">
        <f t="shared" ca="1" si="22"/>
        <v>-1663137.1182116074</v>
      </c>
      <c r="AB55" s="238">
        <f t="shared" ca="1" si="23"/>
        <v>4.3919891436054043E-2</v>
      </c>
      <c r="AD55" s="241">
        <v>0</v>
      </c>
    </row>
    <row r="56" spans="5:30" x14ac:dyDescent="0.25">
      <c r="E56">
        <f t="shared" si="25"/>
        <v>55</v>
      </c>
      <c r="F56" s="197">
        <f t="shared" si="24"/>
        <v>44743</v>
      </c>
      <c r="G56" s="389">
        <f>INDEX('Fluxo Projeto'!B:B, MATCH(Obra!F56, 'Fluxo Projeto'!A:A, 0))</f>
        <v>839.38199999999995</v>
      </c>
      <c r="I56" s="393">
        <v>0</v>
      </c>
      <c r="K56" s="202">
        <v>6.5888553464648933E-2</v>
      </c>
      <c r="M56" s="464">
        <v>0</v>
      </c>
      <c r="N56" s="415">
        <f t="shared" si="13"/>
        <v>0</v>
      </c>
      <c r="O56" s="238">
        <f t="shared" si="14"/>
        <v>0</v>
      </c>
      <c r="Q56" s="400">
        <f t="shared" si="15"/>
        <v>-2296198.7572219945</v>
      </c>
      <c r="R56" s="415">
        <f t="shared" si="16"/>
        <v>-2944.727978934699</v>
      </c>
      <c r="S56" s="415">
        <f t="shared" si="17"/>
        <v>-3062.5170980920871</v>
      </c>
      <c r="T56" s="415">
        <f t="shared" si="18"/>
        <v>-2399072.8291660785</v>
      </c>
      <c r="U56" s="238">
        <f t="shared" si="19"/>
        <v>6.5888553464648947E-2</v>
      </c>
      <c r="W56" s="400">
        <f>-IFERROR(IF(F56&lt;=baseData, INDEX('LDI - Fluxo de Caixa'!$L$161:$L$374, MATCH(F56, 'LDI - Fluxo de Caixa'!$C$161:$C$374, 0)), 0), 0)</f>
        <v>0</v>
      </c>
      <c r="X56" s="415">
        <f>IFERROR(W56/INDEX(Indicadores!$B:$B, MATCH(Obra!F56, Indicadores!$A:$A, 0)), 0)</f>
        <v>0</v>
      </c>
      <c r="Y56" s="415">
        <f t="shared" ca="1" si="20"/>
        <v>-2021.1938688025057</v>
      </c>
      <c r="Z56" s="415">
        <f t="shared" ca="1" si="21"/>
        <v>-2102.7115244198321</v>
      </c>
      <c r="AA56" s="415">
        <f t="shared" ca="1" si="22"/>
        <v>-1713081.1816563618</v>
      </c>
      <c r="AB56" s="238">
        <f t="shared" ca="1" si="23"/>
        <v>4.5238807249037484E-2</v>
      </c>
      <c r="AD56" s="241">
        <v>0</v>
      </c>
    </row>
    <row r="57" spans="5:30" x14ac:dyDescent="0.25">
      <c r="E57">
        <f t="shared" si="25"/>
        <v>56</v>
      </c>
      <c r="F57" s="197">
        <f t="shared" si="24"/>
        <v>44774</v>
      </c>
      <c r="G57" s="389">
        <f>INDEX('Fluxo Projeto'!B:B, MATCH(Obra!F57, 'Fluxo Projeto'!A:A, 0))</f>
        <v>839.38199999999995</v>
      </c>
      <c r="I57" s="393">
        <v>0</v>
      </c>
      <c r="K57" s="202">
        <v>5.5037987556035659E-2</v>
      </c>
      <c r="M57" s="464">
        <v>0</v>
      </c>
      <c r="N57" s="415">
        <f t="shared" si="13"/>
        <v>0</v>
      </c>
      <c r="O57" s="238">
        <f t="shared" si="14"/>
        <v>0</v>
      </c>
      <c r="Q57" s="400">
        <f t="shared" si="15"/>
        <v>-1918059.3893896022</v>
      </c>
      <c r="R57" s="415">
        <f t="shared" si="16"/>
        <v>-2459.7884357481635</v>
      </c>
      <c r="S57" s="415">
        <f t="shared" si="17"/>
        <v>-2558.1799731780902</v>
      </c>
      <c r="T57" s="415">
        <f t="shared" si="18"/>
        <v>-2003992.0983924647</v>
      </c>
      <c r="U57" s="238">
        <f t="shared" si="19"/>
        <v>5.5037987556035672E-2</v>
      </c>
      <c r="W57" s="400">
        <f>-IFERROR(IF(F57&lt;=baseData, INDEX('LDI - Fluxo de Caixa'!$L$161:$L$374, MATCH(F57, 'LDI - Fluxo de Caixa'!$C$161:$C$374, 0)), 0), 0)</f>
        <v>0</v>
      </c>
      <c r="X57" s="415">
        <f>IFERROR(W57/INDEX(Indicadores!$B:$B, MATCH(Obra!F57, Indicadores!$A:$A, 0)), 0)</f>
        <v>0</v>
      </c>
      <c r="Y57" s="415">
        <f t="shared" ca="1" si="20"/>
        <v>-2332.926872022852</v>
      </c>
      <c r="Z57" s="415">
        <f t="shared" ca="1" si="21"/>
        <v>-2427.0171679956165</v>
      </c>
      <c r="AA57" s="415">
        <f t="shared" ca="1" si="22"/>
        <v>-1977293.3137831967</v>
      </c>
      <c r="AB57" s="238">
        <f t="shared" ca="1" si="23"/>
        <v>5.2216084126591074E-2</v>
      </c>
      <c r="AD57" s="241">
        <v>0</v>
      </c>
    </row>
    <row r="58" spans="5:30" x14ac:dyDescent="0.25">
      <c r="E58">
        <f t="shared" si="25"/>
        <v>57</v>
      </c>
      <c r="F58" s="197">
        <f t="shared" si="24"/>
        <v>44805</v>
      </c>
      <c r="G58" s="389">
        <f>INDEX('Fluxo Projeto'!B:B, MATCH(Obra!F58, 'Fluxo Projeto'!A:A, 0))</f>
        <v>839.38199999999995</v>
      </c>
      <c r="I58" s="393">
        <v>0</v>
      </c>
      <c r="K58" s="202">
        <v>5.3761909076648913E-2</v>
      </c>
      <c r="M58" s="464">
        <v>0</v>
      </c>
      <c r="N58" s="415">
        <f t="shared" si="13"/>
        <v>0</v>
      </c>
      <c r="O58" s="238">
        <f t="shared" si="14"/>
        <v>0</v>
      </c>
      <c r="Q58" s="400">
        <f t="shared" si="15"/>
        <v>-1873588.390036768</v>
      </c>
      <c r="R58" s="415">
        <f t="shared" si="16"/>
        <v>-2402.757224650431</v>
      </c>
      <c r="S58" s="415">
        <f t="shared" si="17"/>
        <v>-2498.8675136364482</v>
      </c>
      <c r="T58" s="415">
        <f t="shared" si="18"/>
        <v>-1957528.7136799309</v>
      </c>
      <c r="U58" s="238">
        <f t="shared" si="19"/>
        <v>5.3761909076648927E-2</v>
      </c>
      <c r="W58" s="400">
        <f>-IFERROR(IF(F58&lt;=baseData, INDEX('LDI - Fluxo de Caixa'!$L$161:$L$374, MATCH(F58, 'LDI - Fluxo de Caixa'!$C$161:$C$374, 0)), 0), 0)</f>
        <v>0</v>
      </c>
      <c r="X58" s="415">
        <f>IFERROR(W58/INDEX(Indicadores!$B:$B, MATCH(Obra!F58, Indicadores!$A:$A, 0)), 0)</f>
        <v>0</v>
      </c>
      <c r="Y58" s="415">
        <f t="shared" ca="1" si="20"/>
        <v>-2920.528610024925</v>
      </c>
      <c r="Z58" s="415">
        <f t="shared" ca="1" si="21"/>
        <v>-3038.3177291823131</v>
      </c>
      <c r="AA58" s="415">
        <f t="shared" ca="1" si="22"/>
        <v>-2475320.4922825596</v>
      </c>
      <c r="AB58" s="238">
        <f t="shared" ca="1" si="23"/>
        <v>6.5367915910260824E-2</v>
      </c>
      <c r="AD58" s="241">
        <v>0</v>
      </c>
    </row>
    <row r="59" spans="5:30" x14ac:dyDescent="0.25">
      <c r="E59">
        <f t="shared" si="25"/>
        <v>58</v>
      </c>
      <c r="F59" s="197">
        <f t="shared" si="24"/>
        <v>44835</v>
      </c>
      <c r="G59" s="389">
        <f>INDEX('Fluxo Projeto'!B:B, MATCH(Obra!F59, 'Fluxo Projeto'!A:A, 0))</f>
        <v>839.38199999999995</v>
      </c>
      <c r="I59" s="393">
        <v>0</v>
      </c>
      <c r="K59" s="202">
        <v>4.1524758395255157E-2</v>
      </c>
      <c r="M59" s="464">
        <v>0</v>
      </c>
      <c r="N59" s="415">
        <f t="shared" si="13"/>
        <v>0</v>
      </c>
      <c r="O59" s="238">
        <f t="shared" si="14"/>
        <v>0</v>
      </c>
      <c r="Q59" s="400">
        <f t="shared" si="15"/>
        <v>-1447126.9075938351</v>
      </c>
      <c r="R59" s="415">
        <f t="shared" si="16"/>
        <v>-1855.8476614700246</v>
      </c>
      <c r="S59" s="415">
        <f t="shared" si="17"/>
        <v>-1930.0815679288257</v>
      </c>
      <c r="T59" s="415">
        <f t="shared" si="18"/>
        <v>-1511960.9456472904</v>
      </c>
      <c r="U59" s="238">
        <f t="shared" si="19"/>
        <v>4.1524758395255164E-2</v>
      </c>
      <c r="W59" s="400">
        <f>-IFERROR(IF(F59&lt;=baseData, INDEX('LDI - Fluxo de Caixa'!$L$161:$L$374, MATCH(F59, 'LDI - Fluxo de Caixa'!$C$161:$C$374, 0)), 0), 0)</f>
        <v>0</v>
      </c>
      <c r="X59" s="415">
        <f>IFERROR(W59/INDEX(Indicadores!$B:$B, MATCH(Obra!F59, Indicadores!$A:$A, 0)), 0)</f>
        <v>0</v>
      </c>
      <c r="Y59" s="415">
        <f t="shared" ca="1" si="20"/>
        <v>-2439.5742332063724</v>
      </c>
      <c r="Z59" s="415">
        <f t="shared" ca="1" si="21"/>
        <v>-2537.9657706362991</v>
      </c>
      <c r="AA59" s="415">
        <f t="shared" ca="1" si="22"/>
        <v>-2067683.2513031636</v>
      </c>
      <c r="AB59" s="238">
        <f t="shared" ca="1" si="23"/>
        <v>5.4603088901673931E-2</v>
      </c>
      <c r="AD59" s="241">
        <v>0</v>
      </c>
    </row>
    <row r="60" spans="5:30" x14ac:dyDescent="0.25">
      <c r="E60">
        <f t="shared" si="25"/>
        <v>59</v>
      </c>
      <c r="F60" s="197">
        <f t="shared" si="24"/>
        <v>44866</v>
      </c>
      <c r="G60" s="389">
        <f>INDEX('Fluxo Projeto'!B:B, MATCH(Obra!F60, 'Fluxo Projeto'!A:A, 0))</f>
        <v>839.38199999999995</v>
      </c>
      <c r="I60" s="393">
        <v>0</v>
      </c>
      <c r="K60" s="202">
        <v>3.3880636786569607E-2</v>
      </c>
      <c r="M60" s="464">
        <v>0</v>
      </c>
      <c r="N60" s="415">
        <f t="shared" si="13"/>
        <v>0</v>
      </c>
      <c r="O60" s="238">
        <f t="shared" si="14"/>
        <v>0</v>
      </c>
      <c r="Q60" s="400">
        <f t="shared" si="15"/>
        <v>-1180731.2802056132</v>
      </c>
      <c r="R60" s="415">
        <f t="shared" si="16"/>
        <v>-1514.2123152402301</v>
      </c>
      <c r="S60" s="415">
        <f t="shared" si="17"/>
        <v>-1574.7808078498392</v>
      </c>
      <c r="T60" s="415">
        <f t="shared" si="18"/>
        <v>-1233630.2874385307</v>
      </c>
      <c r="U60" s="238">
        <f t="shared" si="19"/>
        <v>3.3880636786569614E-2</v>
      </c>
      <c r="W60" s="400">
        <f>-IFERROR(IF(F60&lt;=baseData, INDEX('LDI - Fluxo de Caixa'!$L$161:$L$374, MATCH(F60, 'LDI - Fluxo de Caixa'!$C$161:$C$374, 0)), 0), 0)</f>
        <v>0</v>
      </c>
      <c r="X60" s="415">
        <f>IFERROR(W60/INDEX(Indicadores!$B:$B, MATCH(Obra!F60, Indicadores!$A:$A, 0)), 0)</f>
        <v>0</v>
      </c>
      <c r="Y60" s="415">
        <f t="shared" ca="1" si="20"/>
        <v>-2383.0116967456852</v>
      </c>
      <c r="Z60" s="415">
        <f t="shared" ca="1" si="21"/>
        <v>-2479.1219857317024</v>
      </c>
      <c r="AA60" s="415">
        <f t="shared" ca="1" si="22"/>
        <v>-2019743.1608976037</v>
      </c>
      <c r="AB60" s="238">
        <f t="shared" ca="1" si="23"/>
        <v>5.3337093727258665E-2</v>
      </c>
      <c r="AD60" s="241">
        <v>0</v>
      </c>
    </row>
    <row r="61" spans="5:30" x14ac:dyDescent="0.25">
      <c r="E61">
        <f t="shared" si="25"/>
        <v>60</v>
      </c>
      <c r="F61" s="197">
        <f t="shared" si="24"/>
        <v>44896</v>
      </c>
      <c r="G61" s="389">
        <f>INDEX('Fluxo Projeto'!B:B, MATCH(Obra!F61, 'Fluxo Projeto'!A:A, 0))</f>
        <v>839.38199999999995</v>
      </c>
      <c r="I61" s="393">
        <v>0</v>
      </c>
      <c r="K61" s="202">
        <v>2.3222654013975531E-2</v>
      </c>
      <c r="M61" s="464">
        <v>0</v>
      </c>
      <c r="N61" s="415">
        <f t="shared" si="13"/>
        <v>0</v>
      </c>
      <c r="O61" s="238">
        <f t="shared" si="14"/>
        <v>0</v>
      </c>
      <c r="Q61" s="400">
        <f t="shared" si="15"/>
        <v>-809303.38400731049</v>
      </c>
      <c r="R61" s="415">
        <f t="shared" si="16"/>
        <v>-1037.8798049765064</v>
      </c>
      <c r="S61" s="415">
        <f t="shared" si="17"/>
        <v>-1079.3949971755667</v>
      </c>
      <c r="T61" s="415">
        <f t="shared" si="18"/>
        <v>-845561.71499416477</v>
      </c>
      <c r="U61" s="238">
        <f t="shared" si="19"/>
        <v>2.3222654013975538E-2</v>
      </c>
      <c r="W61" s="400">
        <f>-IFERROR(IF(F61&lt;=baseData, INDEX('LDI - Fluxo de Caixa'!$L$161:$L$374, MATCH(F61, 'LDI - Fluxo de Caixa'!$C$161:$C$374, 0)), 0), 0)</f>
        <v>0</v>
      </c>
      <c r="X61" s="415">
        <f>IFERROR(W61/INDEX(Indicadores!$B:$B, MATCH(Obra!F61, Indicadores!$A:$A, 0)), 0)</f>
        <v>0</v>
      </c>
      <c r="Y61" s="415">
        <f t="shared" ca="1" si="20"/>
        <v>-1840.5965610215201</v>
      </c>
      <c r="Z61" s="415">
        <f t="shared" ca="1" si="21"/>
        <v>-1914.8304674803212</v>
      </c>
      <c r="AA61" s="415">
        <f t="shared" ca="1" si="22"/>
        <v>-1560014.2966866852</v>
      </c>
      <c r="AB61" s="238">
        <f t="shared" ca="1" si="23"/>
        <v>4.1196638448456474E-2</v>
      </c>
      <c r="AD61" s="241">
        <v>0</v>
      </c>
    </row>
    <row r="62" spans="5:30" x14ac:dyDescent="0.25">
      <c r="E62">
        <f t="shared" si="25"/>
        <v>61</v>
      </c>
      <c r="F62" s="197">
        <f t="shared" si="24"/>
        <v>44927</v>
      </c>
      <c r="G62" s="389">
        <f>INDEX('Fluxo Projeto'!B:B, MATCH(Obra!F62, 'Fluxo Projeto'!A:A, 0))</f>
        <v>839.38199999999995</v>
      </c>
      <c r="I62" s="393">
        <v>0</v>
      </c>
      <c r="K62" s="202">
        <v>1.0665956586761021E-2</v>
      </c>
      <c r="M62" s="464">
        <v>0</v>
      </c>
      <c r="N62" s="415">
        <f t="shared" si="13"/>
        <v>0</v>
      </c>
      <c r="O62" s="238">
        <f t="shared" si="14"/>
        <v>0</v>
      </c>
      <c r="Q62" s="400">
        <f t="shared" si="15"/>
        <v>-371705.78152462549</v>
      </c>
      <c r="R62" s="415">
        <f t="shared" si="16"/>
        <v>-476.68888041364397</v>
      </c>
      <c r="S62" s="415">
        <f t="shared" si="17"/>
        <v>-495.75643563018974</v>
      </c>
      <c r="T62" s="415">
        <f t="shared" si="18"/>
        <v>-388358.90756187617</v>
      </c>
      <c r="U62" s="238">
        <f t="shared" si="19"/>
        <v>1.0665956586761022E-2</v>
      </c>
      <c r="W62" s="400">
        <f>-IFERROR(IF(F62&lt;=baseData, INDEX('LDI - Fluxo de Caixa'!$L$161:$L$374, MATCH(F62, 'LDI - Fluxo de Caixa'!$C$161:$C$374, 0)), 0), 0)</f>
        <v>0</v>
      </c>
      <c r="X62" s="415">
        <f>IFERROR(W62/INDEX(Indicadores!$B:$B, MATCH(Obra!F62, Indicadores!$A:$A, 0)), 0)</f>
        <v>0</v>
      </c>
      <c r="Y62" s="415">
        <f t="shared" ca="1" si="20"/>
        <v>-1501.7687270085328</v>
      </c>
      <c r="Z62" s="415">
        <f t="shared" ca="1" si="21"/>
        <v>-1562.3372196181419</v>
      </c>
      <c r="AA62" s="415">
        <f t="shared" ca="1" si="22"/>
        <v>-1272837.6951601198</v>
      </c>
      <c r="AB62" s="238">
        <f t="shared" ca="1" si="23"/>
        <v>3.3612919088272651E-2</v>
      </c>
      <c r="AD62" s="241">
        <v>0</v>
      </c>
    </row>
    <row r="63" spans="5:30" x14ac:dyDescent="0.25">
      <c r="E63">
        <f t="shared" si="25"/>
        <v>62</v>
      </c>
      <c r="F63" s="197">
        <f t="shared" si="24"/>
        <v>44958</v>
      </c>
      <c r="G63" s="389">
        <f>INDEX('Fluxo Projeto'!B:B, MATCH(Obra!F63, 'Fluxo Projeto'!A:A, 0))</f>
        <v>839.38199999999995</v>
      </c>
      <c r="I63" s="393">
        <v>0</v>
      </c>
      <c r="K63" s="202">
        <v>2.7501815433476542E-3</v>
      </c>
      <c r="M63" s="464">
        <v>0</v>
      </c>
      <c r="N63" s="415">
        <f t="shared" si="13"/>
        <v>0</v>
      </c>
      <c r="O63" s="238">
        <f t="shared" si="14"/>
        <v>0</v>
      </c>
      <c r="Q63" s="400">
        <f t="shared" si="15"/>
        <v>-95843.103390604971</v>
      </c>
      <c r="R63" s="415">
        <f t="shared" si="16"/>
        <v>-122.91264737191025</v>
      </c>
      <c r="S63" s="415">
        <f t="shared" si="17"/>
        <v>-127.82915326678666</v>
      </c>
      <c r="T63" s="415">
        <f t="shared" si="18"/>
        <v>-100137.05672654267</v>
      </c>
      <c r="U63" s="238">
        <f t="shared" si="19"/>
        <v>2.750181543347655E-3</v>
      </c>
      <c r="W63" s="400">
        <f>-IFERROR(IF(F63&lt;=baseData, INDEX('LDI - Fluxo de Caixa'!$L$161:$L$374, MATCH(F63, 'LDI - Fluxo de Caixa'!$C$161:$C$374, 0)), 0), 0)</f>
        <v>0</v>
      </c>
      <c r="X63" s="415">
        <f>IFERROR(W63/INDEX(Indicadores!$B:$B, MATCH(Obra!F63, Indicadores!$A:$A, 0)), 0)</f>
        <v>0</v>
      </c>
      <c r="Y63" s="415">
        <f t="shared" ca="1" si="20"/>
        <v>-1029.3506517018068</v>
      </c>
      <c r="Z63" s="415">
        <f t="shared" ca="1" si="21"/>
        <v>-1070.865843900867</v>
      </c>
      <c r="AA63" s="415">
        <f t="shared" ca="1" si="22"/>
        <v>-872435.47389188036</v>
      </c>
      <c r="AB63" s="238">
        <f t="shared" ca="1" si="23"/>
        <v>2.3039153464085266E-2</v>
      </c>
      <c r="AD63" s="241">
        <v>0</v>
      </c>
    </row>
    <row r="64" spans="5:30" x14ac:dyDescent="0.25">
      <c r="E64">
        <f t="shared" si="25"/>
        <v>63</v>
      </c>
      <c r="F64" s="197">
        <f t="shared" si="24"/>
        <v>44986</v>
      </c>
      <c r="G64" s="389">
        <f>INDEX('Fluxo Projeto'!B:B, MATCH(Obra!F64, 'Fluxo Projeto'!A:A, 0))</f>
        <v>839.38199999999995</v>
      </c>
      <c r="I64" s="393">
        <v>0</v>
      </c>
      <c r="K64" s="202">
        <v>0</v>
      </c>
      <c r="M64" s="464">
        <v>0</v>
      </c>
      <c r="N64" s="415">
        <f t="shared" si="13"/>
        <v>0</v>
      </c>
      <c r="O64" s="238">
        <f t="shared" si="14"/>
        <v>0</v>
      </c>
      <c r="Q64" s="400">
        <f t="shared" si="15"/>
        <v>0</v>
      </c>
      <c r="R64" s="415">
        <f t="shared" si="16"/>
        <v>0</v>
      </c>
      <c r="S64" s="415">
        <f t="shared" si="17"/>
        <v>0</v>
      </c>
      <c r="T64" s="415">
        <f t="shared" si="18"/>
        <v>0</v>
      </c>
      <c r="U64" s="238">
        <f t="shared" si="19"/>
        <v>0</v>
      </c>
      <c r="W64" s="400">
        <f>-IFERROR(IF(F64&lt;=baseData, INDEX('LDI - Fluxo de Caixa'!$L$161:$L$374, MATCH(F64, 'LDI - Fluxo de Caixa'!$C$161:$C$374, 0)), 0), 0)</f>
        <v>0</v>
      </c>
      <c r="X64" s="415">
        <f>IFERROR(W64/INDEX(Indicadores!$B:$B, MATCH(Obra!F64, Indicadores!$A:$A, 0)), 0)</f>
        <v>0</v>
      </c>
      <c r="Y64" s="415">
        <f t="shared" ca="1" si="20"/>
        <v>-472.77151685584261</v>
      </c>
      <c r="Z64" s="415">
        <f t="shared" ca="1" si="21"/>
        <v>-491.83907207238838</v>
      </c>
      <c r="AA64" s="415">
        <f t="shared" ca="1" si="22"/>
        <v>-400701.78385644691</v>
      </c>
      <c r="AB64" s="238">
        <f t="shared" ca="1" si="23"/>
        <v>1.0581676430944268E-2</v>
      </c>
      <c r="AD64" s="241">
        <v>0</v>
      </c>
    </row>
    <row r="65" spans="5:30" x14ac:dyDescent="0.25">
      <c r="E65">
        <f t="shared" si="25"/>
        <v>64</v>
      </c>
      <c r="F65" s="197">
        <f t="shared" si="24"/>
        <v>45017</v>
      </c>
      <c r="G65" s="389">
        <f>INDEX('Fluxo Projeto'!B:B, MATCH(Obra!F65, 'Fluxo Projeto'!A:A, 0))</f>
        <v>839.38199999999995</v>
      </c>
      <c r="I65" s="393">
        <v>0</v>
      </c>
      <c r="K65" s="202">
        <v>0</v>
      </c>
      <c r="M65" s="464">
        <v>0</v>
      </c>
      <c r="N65" s="415">
        <f t="shared" si="13"/>
        <v>0</v>
      </c>
      <c r="O65" s="238">
        <f t="shared" si="14"/>
        <v>0</v>
      </c>
      <c r="Q65" s="400">
        <f t="shared" si="15"/>
        <v>0</v>
      </c>
      <c r="R65" s="415">
        <f t="shared" si="16"/>
        <v>0</v>
      </c>
      <c r="S65" s="415">
        <f t="shared" si="17"/>
        <v>0</v>
      </c>
      <c r="T65" s="415">
        <f t="shared" si="18"/>
        <v>0</v>
      </c>
      <c r="U65" s="238">
        <f t="shared" si="19"/>
        <v>0</v>
      </c>
      <c r="W65" s="400">
        <f>-IFERROR(IF(F65&lt;=baseData, INDEX('LDI - Fluxo de Caixa'!$L$161:$L$374, MATCH(F65, 'LDI - Fluxo de Caixa'!$C$161:$C$374, 0)), 0), 0)</f>
        <v>0</v>
      </c>
      <c r="X65" s="415">
        <f>IFERROR(W65/INDEX(Indicadores!$B:$B, MATCH(Obra!F65, Indicadores!$A:$A, 0)), 0)</f>
        <v>0</v>
      </c>
      <c r="Y65" s="415">
        <f t="shared" ca="1" si="20"/>
        <v>-121.90256816639197</v>
      </c>
      <c r="Z65" s="415">
        <f t="shared" ca="1" si="21"/>
        <v>-126.81907406126838</v>
      </c>
      <c r="AA65" s="415">
        <f t="shared" ca="1" si="22"/>
        <v>-103319.62645678941</v>
      </c>
      <c r="AB65" s="238">
        <f t="shared" ca="1" si="23"/>
        <v>2.7284501845977606E-3</v>
      </c>
      <c r="AD65" s="241">
        <v>0</v>
      </c>
    </row>
    <row r="66" spans="5:30" x14ac:dyDescent="0.25">
      <c r="E66">
        <f t="shared" si="25"/>
        <v>65</v>
      </c>
      <c r="F66" s="197">
        <f t="shared" si="24"/>
        <v>45047</v>
      </c>
      <c r="G66" s="389">
        <f>INDEX('Fluxo Projeto'!B:B, MATCH(Obra!F66, 'Fluxo Projeto'!A:A, 0))</f>
        <v>839.38199999999995</v>
      </c>
      <c r="I66" s="393">
        <v>0</v>
      </c>
      <c r="K66" s="202">
        <v>0</v>
      </c>
      <c r="M66" s="464">
        <v>0</v>
      </c>
      <c r="N66" s="415">
        <f t="shared" ref="N66:N97" si="26">M66/$C$20</f>
        <v>0</v>
      </c>
      <c r="O66" s="238">
        <f t="shared" ref="O66:O85" si="27">-M66/$C$21</f>
        <v>0</v>
      </c>
      <c r="Q66" s="400">
        <f t="shared" ref="Q66:Q85" si="28">-custoRaso*K66</f>
        <v>0</v>
      </c>
      <c r="R66" s="415">
        <f t="shared" ref="R66:R97" si="29">Q66/inccObra</f>
        <v>0</v>
      </c>
      <c r="S66" s="415">
        <f t="shared" ref="S66:S97" si="30">R66*(1+toleranciaObra*premissaToleranciaObra)</f>
        <v>0</v>
      </c>
      <c r="T66" s="415">
        <f t="shared" ref="T66:T85" si="31">R66*inccD2</f>
        <v>0</v>
      </c>
      <c r="U66" s="238">
        <f t="shared" ref="U66:U85" si="32">-Q66/$C$13</f>
        <v>0</v>
      </c>
      <c r="W66" s="400">
        <f>-IFERROR(IF(F66&lt;=baseData, INDEX('LDI - Fluxo de Caixa'!$L$161:$L$374, MATCH(F66, 'LDI - Fluxo de Caixa'!$C$161:$C$374, 0)), 0), 0)</f>
        <v>0</v>
      </c>
      <c r="X66" s="415">
        <f>IFERROR(W66/INDEX(Indicadores!$B:$B, MATCH(Obra!F66, Indicadores!$A:$A, 0)), 0)</f>
        <v>0</v>
      </c>
      <c r="Y66" s="415">
        <f t="shared" ref="Y66:Y97" ca="1" si="33">IFERROR(IF(F66&lt;=baseData, X66, OFFSET(R66, -DATEDIF($F$35, inicioObra, "m"), 0)-SUM(X:X)/SUM(R:R)*OFFSET(R66, -DATEDIF($F$35, inicioObra, "m"), 0)), 0)</f>
        <v>0</v>
      </c>
      <c r="Z66" s="415">
        <f t="shared" ref="Z66:Z85" ca="1" si="34">IFERROR(IF(F66&lt;=baseData, X66, OFFSET(S66, -DATEDIF($F$35, inicioObra, "m"), 0)-SUM(X:X)/SUM(S:S)*OFFSET(S66, -DATEDIF($F$35, inicioObra, "m"), 0)), 0)</f>
        <v>0</v>
      </c>
      <c r="AA66" s="415">
        <f t="shared" ref="AA66:AA97" ca="1" si="35">IF(F66&lt;=baseData, W66, Z66*inccD2)</f>
        <v>0</v>
      </c>
      <c r="AB66" s="238">
        <f t="shared" ref="AB66:AB85" ca="1" si="36">Z66/SUM($Z$2:$Z$85)</f>
        <v>0</v>
      </c>
      <c r="AD66" s="241">
        <v>0</v>
      </c>
    </row>
    <row r="67" spans="5:30" x14ac:dyDescent="0.25">
      <c r="E67">
        <f t="shared" si="25"/>
        <v>66</v>
      </c>
      <c r="F67" s="197">
        <f t="shared" ref="F67:F85" si="37">DATE(YEAR(F66),MONTH(F66)+1,1)</f>
        <v>45078</v>
      </c>
      <c r="G67" s="389">
        <f>INDEX('Fluxo Projeto'!B:B, MATCH(Obra!F67, 'Fluxo Projeto'!A:A, 0))</f>
        <v>839.38199999999995</v>
      </c>
      <c r="I67" s="393">
        <v>0</v>
      </c>
      <c r="K67" s="202">
        <v>0</v>
      </c>
      <c r="M67" s="464">
        <v>0</v>
      </c>
      <c r="N67" s="415">
        <f t="shared" si="26"/>
        <v>0</v>
      </c>
      <c r="O67" s="238">
        <f t="shared" si="27"/>
        <v>0</v>
      </c>
      <c r="Q67" s="400">
        <f t="shared" si="28"/>
        <v>0</v>
      </c>
      <c r="R67" s="415">
        <f t="shared" si="29"/>
        <v>0</v>
      </c>
      <c r="S67" s="415">
        <f t="shared" si="30"/>
        <v>0</v>
      </c>
      <c r="T67" s="415">
        <f t="shared" si="31"/>
        <v>0</v>
      </c>
      <c r="U67" s="238">
        <f t="shared" si="32"/>
        <v>0</v>
      </c>
      <c r="W67" s="400">
        <f>-IFERROR(IF(F67&lt;=baseData, INDEX('LDI - Fluxo de Caixa'!$L$161:$L$374, MATCH(F67, 'LDI - Fluxo de Caixa'!$C$161:$C$374, 0)), 0), 0)</f>
        <v>0</v>
      </c>
      <c r="X67" s="415">
        <f>IFERROR(W67/INDEX(Indicadores!$B:$B, MATCH(Obra!F67, Indicadores!$A:$A, 0)), 0)</f>
        <v>0</v>
      </c>
      <c r="Y67" s="415">
        <f t="shared" ca="1" si="33"/>
        <v>0</v>
      </c>
      <c r="Z67" s="415">
        <f t="shared" ca="1" si="34"/>
        <v>0</v>
      </c>
      <c r="AA67" s="415">
        <f t="shared" ca="1" si="35"/>
        <v>0</v>
      </c>
      <c r="AB67" s="238">
        <f t="shared" ca="1" si="36"/>
        <v>0</v>
      </c>
      <c r="AD67" s="241">
        <v>0</v>
      </c>
    </row>
    <row r="68" spans="5:30" x14ac:dyDescent="0.25">
      <c r="E68">
        <f t="shared" ref="E68:E85" si="38">E67+1</f>
        <v>67</v>
      </c>
      <c r="F68" s="197">
        <f t="shared" si="37"/>
        <v>45108</v>
      </c>
      <c r="G68" s="389">
        <f>INDEX('Fluxo Projeto'!B:B, MATCH(Obra!F68, 'Fluxo Projeto'!A:A, 0))</f>
        <v>839.38199999999995</v>
      </c>
      <c r="I68" s="393">
        <v>0</v>
      </c>
      <c r="K68" s="202">
        <v>0</v>
      </c>
      <c r="M68" s="464">
        <v>0</v>
      </c>
      <c r="N68" s="415">
        <f t="shared" si="26"/>
        <v>0</v>
      </c>
      <c r="O68" s="238">
        <f t="shared" si="27"/>
        <v>0</v>
      </c>
      <c r="Q68" s="400">
        <f t="shared" si="28"/>
        <v>0</v>
      </c>
      <c r="R68" s="415">
        <f t="shared" si="29"/>
        <v>0</v>
      </c>
      <c r="S68" s="415">
        <f t="shared" si="30"/>
        <v>0</v>
      </c>
      <c r="T68" s="415">
        <f t="shared" si="31"/>
        <v>0</v>
      </c>
      <c r="U68" s="238">
        <f t="shared" si="32"/>
        <v>0</v>
      </c>
      <c r="W68" s="400">
        <f>-IFERROR(IF(F68&lt;=baseData, INDEX('LDI - Fluxo de Caixa'!$L$161:$L$374, MATCH(F68, 'LDI - Fluxo de Caixa'!$C$161:$C$374, 0)), 0), 0)</f>
        <v>0</v>
      </c>
      <c r="X68" s="415">
        <f>IFERROR(W68/INDEX(Indicadores!$B:$B, MATCH(Obra!F68, Indicadores!$A:$A, 0)), 0)</f>
        <v>0</v>
      </c>
      <c r="Y68" s="415">
        <f t="shared" ca="1" si="33"/>
        <v>0</v>
      </c>
      <c r="Z68" s="415">
        <f t="shared" ca="1" si="34"/>
        <v>0</v>
      </c>
      <c r="AA68" s="415">
        <f t="shared" ca="1" si="35"/>
        <v>0</v>
      </c>
      <c r="AB68" s="238">
        <f t="shared" ca="1" si="36"/>
        <v>0</v>
      </c>
      <c r="AD68" s="241">
        <v>0</v>
      </c>
    </row>
    <row r="69" spans="5:30" x14ac:dyDescent="0.25">
      <c r="E69">
        <f t="shared" si="38"/>
        <v>68</v>
      </c>
      <c r="F69" s="197">
        <f t="shared" si="37"/>
        <v>45139</v>
      </c>
      <c r="G69" s="389">
        <f>INDEX('Fluxo Projeto'!B:B, MATCH(Obra!F69, 'Fluxo Projeto'!A:A, 0))</f>
        <v>839.38199999999995</v>
      </c>
      <c r="I69" s="393">
        <v>0</v>
      </c>
      <c r="K69" s="202">
        <v>0</v>
      </c>
      <c r="M69" s="464">
        <v>0</v>
      </c>
      <c r="N69" s="415">
        <f t="shared" si="26"/>
        <v>0</v>
      </c>
      <c r="O69" s="238">
        <f t="shared" si="27"/>
        <v>0</v>
      </c>
      <c r="Q69" s="400">
        <f t="shared" si="28"/>
        <v>0</v>
      </c>
      <c r="R69" s="415">
        <f t="shared" si="29"/>
        <v>0</v>
      </c>
      <c r="S69" s="415">
        <f t="shared" si="30"/>
        <v>0</v>
      </c>
      <c r="T69" s="415">
        <f t="shared" si="31"/>
        <v>0</v>
      </c>
      <c r="U69" s="238">
        <f t="shared" si="32"/>
        <v>0</v>
      </c>
      <c r="W69" s="400">
        <f>-IFERROR(IF(F69&lt;=baseData, INDEX('LDI - Fluxo de Caixa'!$L$161:$L$374, MATCH(F69, 'LDI - Fluxo de Caixa'!$C$161:$C$374, 0)), 0), 0)</f>
        <v>0</v>
      </c>
      <c r="X69" s="415">
        <f>IFERROR(W69/INDEX(Indicadores!$B:$B, MATCH(Obra!F69, Indicadores!$A:$A, 0)), 0)</f>
        <v>0</v>
      </c>
      <c r="Y69" s="415">
        <f t="shared" ca="1" si="33"/>
        <v>0</v>
      </c>
      <c r="Z69" s="415">
        <f t="shared" ca="1" si="34"/>
        <v>0</v>
      </c>
      <c r="AA69" s="415">
        <f t="shared" ca="1" si="35"/>
        <v>0</v>
      </c>
      <c r="AB69" s="238">
        <f t="shared" ca="1" si="36"/>
        <v>0</v>
      </c>
      <c r="AD69" s="241">
        <v>0</v>
      </c>
    </row>
    <row r="70" spans="5:30" x14ac:dyDescent="0.25">
      <c r="E70">
        <f t="shared" si="38"/>
        <v>69</v>
      </c>
      <c r="F70" s="197">
        <f t="shared" si="37"/>
        <v>45170</v>
      </c>
      <c r="G70" s="389">
        <f>INDEX('Fluxo Projeto'!B:B, MATCH(Obra!F70, 'Fluxo Projeto'!A:A, 0))</f>
        <v>839.38199999999995</v>
      </c>
      <c r="I70" s="393">
        <v>0</v>
      </c>
      <c r="K70" s="202">
        <v>0</v>
      </c>
      <c r="M70" s="464">
        <v>0</v>
      </c>
      <c r="N70" s="415">
        <f t="shared" si="26"/>
        <v>0</v>
      </c>
      <c r="O70" s="238">
        <f t="shared" si="27"/>
        <v>0</v>
      </c>
      <c r="Q70" s="400">
        <f t="shared" si="28"/>
        <v>0</v>
      </c>
      <c r="R70" s="415">
        <f t="shared" si="29"/>
        <v>0</v>
      </c>
      <c r="S70" s="415">
        <f t="shared" si="30"/>
        <v>0</v>
      </c>
      <c r="T70" s="415">
        <f t="shared" si="31"/>
        <v>0</v>
      </c>
      <c r="U70" s="238">
        <f t="shared" si="32"/>
        <v>0</v>
      </c>
      <c r="W70" s="400">
        <f>-IFERROR(IF(F70&lt;=baseData, INDEX('LDI - Fluxo de Caixa'!$L$161:$L$374, MATCH(F70, 'LDI - Fluxo de Caixa'!$C$161:$C$374, 0)), 0), 0)</f>
        <v>0</v>
      </c>
      <c r="X70" s="415">
        <f>IFERROR(W70/INDEX(Indicadores!$B:$B, MATCH(Obra!F70, Indicadores!$A:$A, 0)), 0)</f>
        <v>0</v>
      </c>
      <c r="Y70" s="415">
        <f t="shared" ca="1" si="33"/>
        <v>0</v>
      </c>
      <c r="Z70" s="415">
        <f t="shared" ca="1" si="34"/>
        <v>0</v>
      </c>
      <c r="AA70" s="415">
        <f t="shared" ca="1" si="35"/>
        <v>0</v>
      </c>
      <c r="AB70" s="238">
        <f t="shared" ca="1" si="36"/>
        <v>0</v>
      </c>
      <c r="AD70" s="241">
        <v>0</v>
      </c>
    </row>
    <row r="71" spans="5:30" x14ac:dyDescent="0.25">
      <c r="E71">
        <f t="shared" si="38"/>
        <v>70</v>
      </c>
      <c r="F71" s="197">
        <f t="shared" si="37"/>
        <v>45200</v>
      </c>
      <c r="G71" s="389">
        <f>INDEX('Fluxo Projeto'!B:B, MATCH(Obra!F71, 'Fluxo Projeto'!A:A, 0))</f>
        <v>839.38199999999995</v>
      </c>
      <c r="I71" s="393">
        <v>0</v>
      </c>
      <c r="K71" s="202">
        <v>0</v>
      </c>
      <c r="M71" s="464">
        <v>0</v>
      </c>
      <c r="N71" s="415">
        <f t="shared" si="26"/>
        <v>0</v>
      </c>
      <c r="O71" s="238">
        <f t="shared" si="27"/>
        <v>0</v>
      </c>
      <c r="Q71" s="400">
        <f t="shared" si="28"/>
        <v>0</v>
      </c>
      <c r="R71" s="415">
        <f t="shared" si="29"/>
        <v>0</v>
      </c>
      <c r="S71" s="415">
        <f t="shared" si="30"/>
        <v>0</v>
      </c>
      <c r="T71" s="415">
        <f t="shared" si="31"/>
        <v>0</v>
      </c>
      <c r="U71" s="238">
        <f t="shared" si="32"/>
        <v>0</v>
      </c>
      <c r="W71" s="400">
        <f>-IFERROR(IF(F71&lt;=baseData, INDEX('LDI - Fluxo de Caixa'!$L$161:$L$374, MATCH(F71, 'LDI - Fluxo de Caixa'!$C$161:$C$374, 0)), 0), 0)</f>
        <v>0</v>
      </c>
      <c r="X71" s="415">
        <f>IFERROR(W71/INDEX(Indicadores!$B:$B, MATCH(Obra!F71, Indicadores!$A:$A, 0)), 0)</f>
        <v>0</v>
      </c>
      <c r="Y71" s="415">
        <f t="shared" ca="1" si="33"/>
        <v>0</v>
      </c>
      <c r="Z71" s="415">
        <f t="shared" ca="1" si="34"/>
        <v>0</v>
      </c>
      <c r="AA71" s="415">
        <f t="shared" ca="1" si="35"/>
        <v>0</v>
      </c>
      <c r="AB71" s="238">
        <f t="shared" ca="1" si="36"/>
        <v>0</v>
      </c>
      <c r="AD71" s="241">
        <v>0</v>
      </c>
    </row>
    <row r="72" spans="5:30" x14ac:dyDescent="0.25">
      <c r="E72">
        <f t="shared" si="38"/>
        <v>71</v>
      </c>
      <c r="F72" s="197">
        <f t="shared" si="37"/>
        <v>45231</v>
      </c>
      <c r="G72" s="389">
        <f>INDEX('Fluxo Projeto'!B:B, MATCH(Obra!F72, 'Fluxo Projeto'!A:A, 0))</f>
        <v>839.38199999999995</v>
      </c>
      <c r="I72" s="393">
        <v>0</v>
      </c>
      <c r="K72" s="202">
        <v>0</v>
      </c>
      <c r="M72" s="464">
        <v>0</v>
      </c>
      <c r="N72" s="415">
        <f t="shared" si="26"/>
        <v>0</v>
      </c>
      <c r="O72" s="238">
        <f t="shared" si="27"/>
        <v>0</v>
      </c>
      <c r="Q72" s="400">
        <f t="shared" si="28"/>
        <v>0</v>
      </c>
      <c r="R72" s="415">
        <f t="shared" si="29"/>
        <v>0</v>
      </c>
      <c r="S72" s="415">
        <f t="shared" si="30"/>
        <v>0</v>
      </c>
      <c r="T72" s="415">
        <f t="shared" si="31"/>
        <v>0</v>
      </c>
      <c r="U72" s="238">
        <f t="shared" si="32"/>
        <v>0</v>
      </c>
      <c r="W72" s="400">
        <f>-IFERROR(IF(F72&lt;=baseData, INDEX('LDI - Fluxo de Caixa'!$L$161:$L$374, MATCH(F72, 'LDI - Fluxo de Caixa'!$C$161:$C$374, 0)), 0), 0)</f>
        <v>0</v>
      </c>
      <c r="X72" s="415">
        <f>IFERROR(W72/INDEX(Indicadores!$B:$B, MATCH(Obra!F72, Indicadores!$A:$A, 0)), 0)</f>
        <v>0</v>
      </c>
      <c r="Y72" s="415">
        <f t="shared" ca="1" si="33"/>
        <v>0</v>
      </c>
      <c r="Z72" s="415">
        <f t="shared" ca="1" si="34"/>
        <v>0</v>
      </c>
      <c r="AA72" s="415">
        <f t="shared" ca="1" si="35"/>
        <v>0</v>
      </c>
      <c r="AB72" s="238">
        <f t="shared" ca="1" si="36"/>
        <v>0</v>
      </c>
      <c r="AD72" s="241">
        <v>0</v>
      </c>
    </row>
    <row r="73" spans="5:30" x14ac:dyDescent="0.25">
      <c r="E73">
        <f t="shared" si="38"/>
        <v>72</v>
      </c>
      <c r="F73" s="197">
        <f t="shared" si="37"/>
        <v>45261</v>
      </c>
      <c r="G73" s="389">
        <f>INDEX('Fluxo Projeto'!B:B, MATCH(Obra!F73, 'Fluxo Projeto'!A:A, 0))</f>
        <v>839.38199999999995</v>
      </c>
      <c r="I73" s="393">
        <v>0</v>
      </c>
      <c r="K73" s="202">
        <v>0</v>
      </c>
      <c r="M73" s="464">
        <v>0</v>
      </c>
      <c r="N73" s="415">
        <f t="shared" si="26"/>
        <v>0</v>
      </c>
      <c r="O73" s="238">
        <f t="shared" si="27"/>
        <v>0</v>
      </c>
      <c r="Q73" s="400">
        <f t="shared" si="28"/>
        <v>0</v>
      </c>
      <c r="R73" s="415">
        <f t="shared" si="29"/>
        <v>0</v>
      </c>
      <c r="S73" s="415">
        <f t="shared" si="30"/>
        <v>0</v>
      </c>
      <c r="T73" s="415">
        <f t="shared" si="31"/>
        <v>0</v>
      </c>
      <c r="U73" s="238">
        <f t="shared" si="32"/>
        <v>0</v>
      </c>
      <c r="W73" s="400">
        <f>-IFERROR(IF(F73&lt;=baseData, INDEX('LDI - Fluxo de Caixa'!$L$161:$L$374, MATCH(F73, 'LDI - Fluxo de Caixa'!$C$161:$C$374, 0)), 0), 0)</f>
        <v>0</v>
      </c>
      <c r="X73" s="415">
        <f>IFERROR(W73/INDEX(Indicadores!$B:$B, MATCH(Obra!F73, Indicadores!$A:$A, 0)), 0)</f>
        <v>0</v>
      </c>
      <c r="Y73" s="415">
        <f t="shared" ca="1" si="33"/>
        <v>0</v>
      </c>
      <c r="Z73" s="415">
        <f t="shared" ca="1" si="34"/>
        <v>0</v>
      </c>
      <c r="AA73" s="415">
        <f t="shared" ca="1" si="35"/>
        <v>0</v>
      </c>
      <c r="AB73" s="238">
        <f t="shared" ca="1" si="36"/>
        <v>0</v>
      </c>
      <c r="AD73" s="241">
        <v>0</v>
      </c>
    </row>
    <row r="74" spans="5:30" x14ac:dyDescent="0.25">
      <c r="E74">
        <f t="shared" si="38"/>
        <v>73</v>
      </c>
      <c r="F74" s="197">
        <f t="shared" si="37"/>
        <v>45292</v>
      </c>
      <c r="G74" s="389">
        <f>INDEX('Fluxo Projeto'!B:B, MATCH(Obra!F74, 'Fluxo Projeto'!A:A, 0))</f>
        <v>839.38199999999995</v>
      </c>
      <c r="I74" s="393">
        <v>0</v>
      </c>
      <c r="K74" s="202">
        <v>0</v>
      </c>
      <c r="M74" s="464">
        <v>0</v>
      </c>
      <c r="N74" s="415">
        <f t="shared" si="26"/>
        <v>0</v>
      </c>
      <c r="O74" s="238">
        <f t="shared" si="27"/>
        <v>0</v>
      </c>
      <c r="Q74" s="400">
        <f t="shared" si="28"/>
        <v>0</v>
      </c>
      <c r="R74" s="415">
        <f t="shared" si="29"/>
        <v>0</v>
      </c>
      <c r="S74" s="415">
        <f t="shared" si="30"/>
        <v>0</v>
      </c>
      <c r="T74" s="415">
        <f t="shared" si="31"/>
        <v>0</v>
      </c>
      <c r="U74" s="238">
        <f t="shared" si="32"/>
        <v>0</v>
      </c>
      <c r="W74" s="400">
        <f>-IFERROR(IF(F74&lt;=baseData, INDEX('LDI - Fluxo de Caixa'!$L$161:$L$374, MATCH(F74, 'LDI - Fluxo de Caixa'!$C$161:$C$374, 0)), 0), 0)</f>
        <v>0</v>
      </c>
      <c r="X74" s="415">
        <f>IFERROR(W74/INDEX(Indicadores!$B:$B, MATCH(Obra!F74, Indicadores!$A:$A, 0)), 0)</f>
        <v>0</v>
      </c>
      <c r="Y74" s="415">
        <f t="shared" ca="1" si="33"/>
        <v>0</v>
      </c>
      <c r="Z74" s="415">
        <f t="shared" ca="1" si="34"/>
        <v>0</v>
      </c>
      <c r="AA74" s="415">
        <f t="shared" ca="1" si="35"/>
        <v>0</v>
      </c>
      <c r="AB74" s="238">
        <f t="shared" ca="1" si="36"/>
        <v>0</v>
      </c>
      <c r="AD74" s="241">
        <v>0</v>
      </c>
    </row>
    <row r="75" spans="5:30" x14ac:dyDescent="0.25">
      <c r="E75">
        <f t="shared" si="38"/>
        <v>74</v>
      </c>
      <c r="F75" s="197">
        <f t="shared" si="37"/>
        <v>45323</v>
      </c>
      <c r="G75" s="389">
        <f>INDEX('Fluxo Projeto'!B:B, MATCH(Obra!F75, 'Fluxo Projeto'!A:A, 0))</f>
        <v>839.38199999999995</v>
      </c>
      <c r="I75" s="393">
        <v>0</v>
      </c>
      <c r="K75" s="202">
        <v>0</v>
      </c>
      <c r="M75" s="464">
        <v>0</v>
      </c>
      <c r="N75" s="415">
        <f t="shared" si="26"/>
        <v>0</v>
      </c>
      <c r="O75" s="238">
        <f t="shared" si="27"/>
        <v>0</v>
      </c>
      <c r="Q75" s="400">
        <f t="shared" si="28"/>
        <v>0</v>
      </c>
      <c r="R75" s="415">
        <f t="shared" si="29"/>
        <v>0</v>
      </c>
      <c r="S75" s="415">
        <f t="shared" si="30"/>
        <v>0</v>
      </c>
      <c r="T75" s="415">
        <f t="shared" si="31"/>
        <v>0</v>
      </c>
      <c r="U75" s="238">
        <f t="shared" si="32"/>
        <v>0</v>
      </c>
      <c r="W75" s="400">
        <f>-IFERROR(IF(F75&lt;=baseData, INDEX('LDI - Fluxo de Caixa'!$L$161:$L$374, MATCH(F75, 'LDI - Fluxo de Caixa'!$C$161:$C$374, 0)), 0), 0)</f>
        <v>0</v>
      </c>
      <c r="X75" s="415">
        <f>IFERROR(W75/INDEX(Indicadores!$B:$B, MATCH(Obra!F75, Indicadores!$A:$A, 0)), 0)</f>
        <v>0</v>
      </c>
      <c r="Y75" s="415">
        <f t="shared" ca="1" si="33"/>
        <v>0</v>
      </c>
      <c r="Z75" s="415">
        <f t="shared" ca="1" si="34"/>
        <v>0</v>
      </c>
      <c r="AA75" s="415">
        <f t="shared" ca="1" si="35"/>
        <v>0</v>
      </c>
      <c r="AB75" s="238">
        <f t="shared" ca="1" si="36"/>
        <v>0</v>
      </c>
      <c r="AD75" s="241">
        <v>0</v>
      </c>
    </row>
    <row r="76" spans="5:30" x14ac:dyDescent="0.25">
      <c r="E76">
        <f t="shared" si="38"/>
        <v>75</v>
      </c>
      <c r="F76" s="197">
        <f t="shared" si="37"/>
        <v>45352</v>
      </c>
      <c r="G76" s="389">
        <f>INDEX('Fluxo Projeto'!B:B, MATCH(Obra!F76, 'Fluxo Projeto'!A:A, 0))</f>
        <v>839.38199999999995</v>
      </c>
      <c r="I76" s="393">
        <v>0</v>
      </c>
      <c r="K76" s="202">
        <v>0</v>
      </c>
      <c r="M76" s="464">
        <v>0</v>
      </c>
      <c r="N76" s="415">
        <f t="shared" si="26"/>
        <v>0</v>
      </c>
      <c r="O76" s="238">
        <f t="shared" si="27"/>
        <v>0</v>
      </c>
      <c r="Q76" s="400">
        <f t="shared" si="28"/>
        <v>0</v>
      </c>
      <c r="R76" s="415">
        <f t="shared" si="29"/>
        <v>0</v>
      </c>
      <c r="S76" s="415">
        <f t="shared" si="30"/>
        <v>0</v>
      </c>
      <c r="T76" s="415">
        <f t="shared" si="31"/>
        <v>0</v>
      </c>
      <c r="U76" s="238">
        <f t="shared" si="32"/>
        <v>0</v>
      </c>
      <c r="W76" s="400">
        <f>-IFERROR(IF(F76&lt;=baseData, INDEX('LDI - Fluxo de Caixa'!$L$161:$L$374, MATCH(F76, 'LDI - Fluxo de Caixa'!$C$161:$C$374, 0)), 0), 0)</f>
        <v>0</v>
      </c>
      <c r="X76" s="415">
        <f>IFERROR(W76/INDEX(Indicadores!$B:$B, MATCH(Obra!F76, Indicadores!$A:$A, 0)), 0)</f>
        <v>0</v>
      </c>
      <c r="Y76" s="415">
        <f t="shared" ca="1" si="33"/>
        <v>0</v>
      </c>
      <c r="Z76" s="415">
        <f t="shared" ca="1" si="34"/>
        <v>0</v>
      </c>
      <c r="AA76" s="415">
        <f t="shared" ca="1" si="35"/>
        <v>0</v>
      </c>
      <c r="AB76" s="238">
        <f t="shared" ca="1" si="36"/>
        <v>0</v>
      </c>
      <c r="AD76" s="241">
        <v>0</v>
      </c>
    </row>
    <row r="77" spans="5:30" x14ac:dyDescent="0.25">
      <c r="E77">
        <f t="shared" si="38"/>
        <v>76</v>
      </c>
      <c r="F77" s="197">
        <f t="shared" si="37"/>
        <v>45383</v>
      </c>
      <c r="G77" s="389">
        <f>INDEX('Fluxo Projeto'!B:B, MATCH(Obra!F77, 'Fluxo Projeto'!A:A, 0))</f>
        <v>839.38199999999995</v>
      </c>
      <c r="I77" s="393">
        <v>0</v>
      </c>
      <c r="K77" s="202">
        <v>0</v>
      </c>
      <c r="M77" s="464">
        <v>0</v>
      </c>
      <c r="N77" s="415">
        <f t="shared" si="26"/>
        <v>0</v>
      </c>
      <c r="O77" s="238">
        <f t="shared" si="27"/>
        <v>0</v>
      </c>
      <c r="Q77" s="400">
        <f t="shared" si="28"/>
        <v>0</v>
      </c>
      <c r="R77" s="415">
        <f t="shared" si="29"/>
        <v>0</v>
      </c>
      <c r="S77" s="415">
        <f t="shared" si="30"/>
        <v>0</v>
      </c>
      <c r="T77" s="415">
        <f t="shared" si="31"/>
        <v>0</v>
      </c>
      <c r="U77" s="238">
        <f t="shared" si="32"/>
        <v>0</v>
      </c>
      <c r="W77" s="400">
        <f>-IFERROR(IF(F77&lt;=baseData, INDEX('LDI - Fluxo de Caixa'!$L$161:$L$374, MATCH(F77, 'LDI - Fluxo de Caixa'!$C$161:$C$374, 0)), 0), 0)</f>
        <v>0</v>
      </c>
      <c r="X77" s="415">
        <f>IFERROR(W77/INDEX(Indicadores!$B:$B, MATCH(Obra!F77, Indicadores!$A:$A, 0)), 0)</f>
        <v>0</v>
      </c>
      <c r="Y77" s="415">
        <f t="shared" ca="1" si="33"/>
        <v>0</v>
      </c>
      <c r="Z77" s="415">
        <f t="shared" ca="1" si="34"/>
        <v>0</v>
      </c>
      <c r="AA77" s="415">
        <f t="shared" ca="1" si="35"/>
        <v>0</v>
      </c>
      <c r="AB77" s="238">
        <f t="shared" ca="1" si="36"/>
        <v>0</v>
      </c>
      <c r="AD77" s="241">
        <v>0</v>
      </c>
    </row>
    <row r="78" spans="5:30" x14ac:dyDescent="0.25">
      <c r="E78">
        <f t="shared" si="38"/>
        <v>77</v>
      </c>
      <c r="F78" s="197">
        <f t="shared" si="37"/>
        <v>45413</v>
      </c>
      <c r="G78" s="389">
        <f>INDEX('Fluxo Projeto'!B:B, MATCH(Obra!F78, 'Fluxo Projeto'!A:A, 0))</f>
        <v>839.38199999999995</v>
      </c>
      <c r="I78" s="393">
        <v>0</v>
      </c>
      <c r="K78" s="202">
        <v>0</v>
      </c>
      <c r="M78" s="464">
        <v>0</v>
      </c>
      <c r="N78" s="415">
        <f t="shared" si="26"/>
        <v>0</v>
      </c>
      <c r="O78" s="238">
        <f t="shared" si="27"/>
        <v>0</v>
      </c>
      <c r="Q78" s="400">
        <f t="shared" si="28"/>
        <v>0</v>
      </c>
      <c r="R78" s="415">
        <f t="shared" si="29"/>
        <v>0</v>
      </c>
      <c r="S78" s="415">
        <f t="shared" si="30"/>
        <v>0</v>
      </c>
      <c r="T78" s="415">
        <f t="shared" si="31"/>
        <v>0</v>
      </c>
      <c r="U78" s="238">
        <f t="shared" si="32"/>
        <v>0</v>
      </c>
      <c r="W78" s="400">
        <f>-IFERROR(IF(F78&lt;=baseData, INDEX('LDI - Fluxo de Caixa'!$L$161:$L$374, MATCH(F78, 'LDI - Fluxo de Caixa'!$C$161:$C$374, 0)), 0), 0)</f>
        <v>0</v>
      </c>
      <c r="X78" s="415">
        <f>IFERROR(W78/INDEX(Indicadores!$B:$B, MATCH(Obra!F78, Indicadores!$A:$A, 0)), 0)</f>
        <v>0</v>
      </c>
      <c r="Y78" s="415">
        <f t="shared" ca="1" si="33"/>
        <v>0</v>
      </c>
      <c r="Z78" s="415">
        <f t="shared" ca="1" si="34"/>
        <v>0</v>
      </c>
      <c r="AA78" s="415">
        <f t="shared" ca="1" si="35"/>
        <v>0</v>
      </c>
      <c r="AB78" s="238">
        <f t="shared" ca="1" si="36"/>
        <v>0</v>
      </c>
      <c r="AD78" s="241">
        <v>0</v>
      </c>
    </row>
    <row r="79" spans="5:30" x14ac:dyDescent="0.25">
      <c r="E79">
        <f t="shared" si="38"/>
        <v>78</v>
      </c>
      <c r="F79" s="197">
        <f t="shared" si="37"/>
        <v>45444</v>
      </c>
      <c r="G79" s="389">
        <f>INDEX('Fluxo Projeto'!B:B, MATCH(Obra!F79, 'Fluxo Projeto'!A:A, 0))</f>
        <v>839.38199999999995</v>
      </c>
      <c r="I79" s="393">
        <v>0</v>
      </c>
      <c r="K79" s="202">
        <v>0</v>
      </c>
      <c r="M79" s="464">
        <v>0</v>
      </c>
      <c r="N79" s="415">
        <f t="shared" si="26"/>
        <v>0</v>
      </c>
      <c r="O79" s="238">
        <f t="shared" si="27"/>
        <v>0</v>
      </c>
      <c r="Q79" s="400">
        <f t="shared" si="28"/>
        <v>0</v>
      </c>
      <c r="R79" s="415">
        <f t="shared" si="29"/>
        <v>0</v>
      </c>
      <c r="S79" s="415">
        <f t="shared" si="30"/>
        <v>0</v>
      </c>
      <c r="T79" s="415">
        <f t="shared" si="31"/>
        <v>0</v>
      </c>
      <c r="U79" s="238">
        <f t="shared" si="32"/>
        <v>0</v>
      </c>
      <c r="W79" s="400">
        <f>-IFERROR(IF(F79&lt;=baseData, INDEX('LDI - Fluxo de Caixa'!$L$161:$L$374, MATCH(F79, 'LDI - Fluxo de Caixa'!$C$161:$C$374, 0)), 0), 0)</f>
        <v>0</v>
      </c>
      <c r="X79" s="415">
        <f>IFERROR(W79/INDEX(Indicadores!$B:$B, MATCH(Obra!F79, Indicadores!$A:$A, 0)), 0)</f>
        <v>0</v>
      </c>
      <c r="Y79" s="415">
        <f t="shared" ca="1" si="33"/>
        <v>0</v>
      </c>
      <c r="Z79" s="415">
        <f t="shared" ca="1" si="34"/>
        <v>0</v>
      </c>
      <c r="AA79" s="415">
        <f t="shared" ca="1" si="35"/>
        <v>0</v>
      </c>
      <c r="AB79" s="238">
        <f t="shared" ca="1" si="36"/>
        <v>0</v>
      </c>
      <c r="AD79" s="241">
        <v>0</v>
      </c>
    </row>
    <row r="80" spans="5:30" x14ac:dyDescent="0.25">
      <c r="E80">
        <f t="shared" si="38"/>
        <v>79</v>
      </c>
      <c r="F80" s="197">
        <f t="shared" si="37"/>
        <v>45474</v>
      </c>
      <c r="G80" s="389">
        <f>INDEX('Fluxo Projeto'!B:B, MATCH(Obra!F80, 'Fluxo Projeto'!A:A, 0))</f>
        <v>839.38199999999995</v>
      </c>
      <c r="I80" s="393">
        <v>0</v>
      </c>
      <c r="K80" s="202">
        <v>0</v>
      </c>
      <c r="M80" s="464">
        <v>0</v>
      </c>
      <c r="N80" s="415">
        <f t="shared" si="26"/>
        <v>0</v>
      </c>
      <c r="O80" s="238">
        <f t="shared" si="27"/>
        <v>0</v>
      </c>
      <c r="Q80" s="400">
        <f t="shared" si="28"/>
        <v>0</v>
      </c>
      <c r="R80" s="415">
        <f t="shared" si="29"/>
        <v>0</v>
      </c>
      <c r="S80" s="415">
        <f t="shared" si="30"/>
        <v>0</v>
      </c>
      <c r="T80" s="415">
        <f t="shared" si="31"/>
        <v>0</v>
      </c>
      <c r="U80" s="238">
        <f t="shared" si="32"/>
        <v>0</v>
      </c>
      <c r="W80" s="400">
        <f>-IFERROR(IF(F80&lt;=baseData, INDEX('LDI - Fluxo de Caixa'!$L$161:$L$374, MATCH(F80, 'LDI - Fluxo de Caixa'!$C$161:$C$374, 0)), 0), 0)</f>
        <v>0</v>
      </c>
      <c r="X80" s="415">
        <f>IFERROR(W80/INDEX(Indicadores!$B:$B, MATCH(Obra!F80, Indicadores!$A:$A, 0)), 0)</f>
        <v>0</v>
      </c>
      <c r="Y80" s="415">
        <f t="shared" ca="1" si="33"/>
        <v>0</v>
      </c>
      <c r="Z80" s="415">
        <f t="shared" ca="1" si="34"/>
        <v>0</v>
      </c>
      <c r="AA80" s="415">
        <f t="shared" ca="1" si="35"/>
        <v>0</v>
      </c>
      <c r="AB80" s="238">
        <f t="shared" ca="1" si="36"/>
        <v>0</v>
      </c>
      <c r="AD80" s="241">
        <v>0</v>
      </c>
    </row>
    <row r="81" spans="5:30" x14ac:dyDescent="0.25">
      <c r="E81">
        <f t="shared" si="38"/>
        <v>80</v>
      </c>
      <c r="F81" s="197">
        <f t="shared" si="37"/>
        <v>45505</v>
      </c>
      <c r="G81" s="389">
        <f>INDEX('Fluxo Projeto'!B:B, MATCH(Obra!F81, 'Fluxo Projeto'!A:A, 0))</f>
        <v>839.38199999999995</v>
      </c>
      <c r="I81" s="393">
        <v>0</v>
      </c>
      <c r="K81" s="202">
        <v>0</v>
      </c>
      <c r="M81" s="464">
        <v>0</v>
      </c>
      <c r="N81" s="415">
        <f t="shared" si="26"/>
        <v>0</v>
      </c>
      <c r="O81" s="238">
        <f t="shared" si="27"/>
        <v>0</v>
      </c>
      <c r="Q81" s="400">
        <f t="shared" si="28"/>
        <v>0</v>
      </c>
      <c r="R81" s="415">
        <f t="shared" si="29"/>
        <v>0</v>
      </c>
      <c r="S81" s="415">
        <f t="shared" si="30"/>
        <v>0</v>
      </c>
      <c r="T81" s="415">
        <f t="shared" si="31"/>
        <v>0</v>
      </c>
      <c r="U81" s="238">
        <f t="shared" si="32"/>
        <v>0</v>
      </c>
      <c r="W81" s="400">
        <f>-IFERROR(IF(F81&lt;=baseData, INDEX('LDI - Fluxo de Caixa'!$L$161:$L$374, MATCH(F81, 'LDI - Fluxo de Caixa'!$C$161:$C$374, 0)), 0), 0)</f>
        <v>0</v>
      </c>
      <c r="X81" s="415">
        <f>IFERROR(W81/INDEX(Indicadores!$B:$B, MATCH(Obra!F81, Indicadores!$A:$A, 0)), 0)</f>
        <v>0</v>
      </c>
      <c r="Y81" s="415">
        <f t="shared" ca="1" si="33"/>
        <v>0</v>
      </c>
      <c r="Z81" s="415">
        <f t="shared" ca="1" si="34"/>
        <v>0</v>
      </c>
      <c r="AA81" s="415">
        <f t="shared" ca="1" si="35"/>
        <v>0</v>
      </c>
      <c r="AB81" s="238">
        <f t="shared" ca="1" si="36"/>
        <v>0</v>
      </c>
      <c r="AD81" s="241">
        <v>0</v>
      </c>
    </row>
    <row r="82" spans="5:30" x14ac:dyDescent="0.25">
      <c r="E82">
        <f t="shared" si="38"/>
        <v>81</v>
      </c>
      <c r="F82" s="197">
        <f t="shared" si="37"/>
        <v>45536</v>
      </c>
      <c r="G82" s="389">
        <f>INDEX('Fluxo Projeto'!B:B, MATCH(Obra!F82, 'Fluxo Projeto'!A:A, 0))</f>
        <v>839.38199999999995</v>
      </c>
      <c r="I82" s="393">
        <v>0</v>
      </c>
      <c r="K82" s="202">
        <v>0</v>
      </c>
      <c r="M82" s="464">
        <v>0</v>
      </c>
      <c r="N82" s="415">
        <f t="shared" si="26"/>
        <v>0</v>
      </c>
      <c r="O82" s="238">
        <f t="shared" si="27"/>
        <v>0</v>
      </c>
      <c r="Q82" s="400">
        <f t="shared" si="28"/>
        <v>0</v>
      </c>
      <c r="R82" s="415">
        <f t="shared" si="29"/>
        <v>0</v>
      </c>
      <c r="S82" s="415">
        <f t="shared" si="30"/>
        <v>0</v>
      </c>
      <c r="T82" s="415">
        <f t="shared" si="31"/>
        <v>0</v>
      </c>
      <c r="U82" s="238">
        <f t="shared" si="32"/>
        <v>0</v>
      </c>
      <c r="W82" s="400">
        <f>-IFERROR(IF(F82&lt;=baseData, INDEX('LDI - Fluxo de Caixa'!$L$161:$L$374, MATCH(F82, 'LDI - Fluxo de Caixa'!$C$161:$C$374, 0)), 0), 0)</f>
        <v>0</v>
      </c>
      <c r="X82" s="415">
        <f>IFERROR(W82/INDEX(Indicadores!$B:$B, MATCH(Obra!F82, Indicadores!$A:$A, 0)), 0)</f>
        <v>0</v>
      </c>
      <c r="Y82" s="415">
        <f t="shared" ca="1" si="33"/>
        <v>0</v>
      </c>
      <c r="Z82" s="415">
        <f t="shared" ca="1" si="34"/>
        <v>0</v>
      </c>
      <c r="AA82" s="415">
        <f t="shared" ca="1" si="35"/>
        <v>0</v>
      </c>
      <c r="AB82" s="238">
        <f t="shared" ca="1" si="36"/>
        <v>0</v>
      </c>
      <c r="AD82" s="241">
        <v>0</v>
      </c>
    </row>
    <row r="83" spans="5:30" x14ac:dyDescent="0.25">
      <c r="E83">
        <f t="shared" si="38"/>
        <v>82</v>
      </c>
      <c r="F83" s="197">
        <f t="shared" si="37"/>
        <v>45566</v>
      </c>
      <c r="G83" s="389">
        <f>INDEX('Fluxo Projeto'!B:B, MATCH(Obra!F83, 'Fluxo Projeto'!A:A, 0))</f>
        <v>839.38199999999995</v>
      </c>
      <c r="I83" s="393">
        <v>0</v>
      </c>
      <c r="K83" s="202">
        <v>0</v>
      </c>
      <c r="M83" s="464">
        <v>0</v>
      </c>
      <c r="N83" s="415">
        <f t="shared" si="26"/>
        <v>0</v>
      </c>
      <c r="O83" s="238">
        <f t="shared" si="27"/>
        <v>0</v>
      </c>
      <c r="Q83" s="400">
        <f t="shared" si="28"/>
        <v>0</v>
      </c>
      <c r="R83" s="415">
        <f t="shared" si="29"/>
        <v>0</v>
      </c>
      <c r="S83" s="415">
        <f t="shared" si="30"/>
        <v>0</v>
      </c>
      <c r="T83" s="415">
        <f t="shared" si="31"/>
        <v>0</v>
      </c>
      <c r="U83" s="238">
        <f t="shared" si="32"/>
        <v>0</v>
      </c>
      <c r="W83" s="400">
        <f>-IFERROR(IF(F83&lt;=baseData, INDEX('LDI - Fluxo de Caixa'!$L$161:$L$374, MATCH(F83, 'LDI - Fluxo de Caixa'!$C$161:$C$374, 0)), 0), 0)</f>
        <v>0</v>
      </c>
      <c r="X83" s="415">
        <f>IFERROR(W83/INDEX(Indicadores!$B:$B, MATCH(Obra!F83, Indicadores!$A:$A, 0)), 0)</f>
        <v>0</v>
      </c>
      <c r="Y83" s="415">
        <f t="shared" ca="1" si="33"/>
        <v>0</v>
      </c>
      <c r="Z83" s="415">
        <f t="shared" ca="1" si="34"/>
        <v>0</v>
      </c>
      <c r="AA83" s="415">
        <f t="shared" ca="1" si="35"/>
        <v>0</v>
      </c>
      <c r="AB83" s="238">
        <f t="shared" ca="1" si="36"/>
        <v>0</v>
      </c>
      <c r="AD83" s="241">
        <v>0</v>
      </c>
    </row>
    <row r="84" spans="5:30" x14ac:dyDescent="0.25">
      <c r="E84">
        <f t="shared" si="38"/>
        <v>83</v>
      </c>
      <c r="F84" s="197">
        <f t="shared" si="37"/>
        <v>45597</v>
      </c>
      <c r="G84" s="389">
        <f>INDEX('Fluxo Projeto'!B:B, MATCH(Obra!F84, 'Fluxo Projeto'!A:A, 0))</f>
        <v>839.38199999999995</v>
      </c>
      <c r="I84" s="393">
        <v>0</v>
      </c>
      <c r="K84" s="202">
        <v>0</v>
      </c>
      <c r="M84" s="464">
        <v>0</v>
      </c>
      <c r="N84" s="415">
        <f t="shared" si="26"/>
        <v>0</v>
      </c>
      <c r="O84" s="238">
        <f t="shared" si="27"/>
        <v>0</v>
      </c>
      <c r="Q84" s="400">
        <f t="shared" si="28"/>
        <v>0</v>
      </c>
      <c r="R84" s="415">
        <f t="shared" si="29"/>
        <v>0</v>
      </c>
      <c r="S84" s="415">
        <f t="shared" si="30"/>
        <v>0</v>
      </c>
      <c r="T84" s="415">
        <f t="shared" si="31"/>
        <v>0</v>
      </c>
      <c r="U84" s="238">
        <f t="shared" si="32"/>
        <v>0</v>
      </c>
      <c r="W84" s="400">
        <f>-IFERROR(IF(F84&lt;=baseData, INDEX('LDI - Fluxo de Caixa'!$L$161:$L$374, MATCH(F84, 'LDI - Fluxo de Caixa'!$C$161:$C$374, 0)), 0), 0)</f>
        <v>0</v>
      </c>
      <c r="X84" s="415">
        <f>IFERROR(W84/INDEX(Indicadores!$B:$B, MATCH(Obra!F84, Indicadores!$A:$A, 0)), 0)</f>
        <v>0</v>
      </c>
      <c r="Y84" s="415">
        <f t="shared" ca="1" si="33"/>
        <v>0</v>
      </c>
      <c r="Z84" s="415">
        <f t="shared" ca="1" si="34"/>
        <v>0</v>
      </c>
      <c r="AA84" s="415">
        <f t="shared" ca="1" si="35"/>
        <v>0</v>
      </c>
      <c r="AB84" s="238">
        <f t="shared" ca="1" si="36"/>
        <v>0</v>
      </c>
      <c r="AD84" s="241">
        <v>0</v>
      </c>
    </row>
    <row r="85" spans="5:30" x14ac:dyDescent="0.25">
      <c r="E85">
        <f t="shared" si="38"/>
        <v>84</v>
      </c>
      <c r="F85" s="197">
        <f t="shared" si="37"/>
        <v>45627</v>
      </c>
      <c r="G85" s="389">
        <f>INDEX('Fluxo Projeto'!B:B, MATCH(Obra!F85, 'Fluxo Projeto'!A:A, 0))</f>
        <v>839.38199999999995</v>
      </c>
      <c r="I85" s="393">
        <v>0</v>
      </c>
      <c r="K85" s="202">
        <v>0</v>
      </c>
      <c r="M85" s="464">
        <v>0</v>
      </c>
      <c r="N85" s="415">
        <f t="shared" si="26"/>
        <v>0</v>
      </c>
      <c r="O85" s="238">
        <f t="shared" si="27"/>
        <v>0</v>
      </c>
      <c r="Q85" s="400">
        <f t="shared" si="28"/>
        <v>0</v>
      </c>
      <c r="R85" s="415">
        <f t="shared" si="29"/>
        <v>0</v>
      </c>
      <c r="S85" s="415">
        <f t="shared" si="30"/>
        <v>0</v>
      </c>
      <c r="T85" s="415">
        <f t="shared" si="31"/>
        <v>0</v>
      </c>
      <c r="U85" s="238">
        <f t="shared" si="32"/>
        <v>0</v>
      </c>
      <c r="W85" s="400">
        <f>-IFERROR(IF(F85&lt;=baseData, INDEX('LDI - Fluxo de Caixa'!$L$161:$L$374, MATCH(F85, 'LDI - Fluxo de Caixa'!$C$161:$C$374, 0)), 0), 0)</f>
        <v>0</v>
      </c>
      <c r="X85" s="415">
        <f>IFERROR(W85/INDEX(Indicadores!$B:$B, MATCH(Obra!F85, Indicadores!$A:$A, 0)), 0)</f>
        <v>0</v>
      </c>
      <c r="Y85" s="415">
        <f t="shared" ca="1" si="33"/>
        <v>0</v>
      </c>
      <c r="Z85" s="415">
        <f t="shared" ca="1" si="34"/>
        <v>0</v>
      </c>
      <c r="AA85" s="415">
        <f t="shared" ca="1" si="35"/>
        <v>0</v>
      </c>
      <c r="AB85" s="238">
        <f t="shared" ca="1" si="36"/>
        <v>0</v>
      </c>
      <c r="AD85" s="241">
        <v>0</v>
      </c>
    </row>
    <row r="87" spans="5:30" x14ac:dyDescent="0.25">
      <c r="R87" s="372"/>
      <c r="S87" s="372"/>
    </row>
    <row r="88" spans="5:30" x14ac:dyDescent="0.25">
      <c r="Y88" s="372">
        <f ca="1">SUM(Y2:Y85)</f>
        <v>-44692.557721951329</v>
      </c>
      <c r="Z88" s="372">
        <f ca="1">SUM(Z2:Z85)</f>
        <v>-46480.260030829399</v>
      </c>
      <c r="AA88" s="372">
        <f ca="1">SUM(AA2:AA85)</f>
        <v>-37876288.477485061</v>
      </c>
    </row>
    <row r="89" spans="5:30" x14ac:dyDescent="0.25">
      <c r="R89" s="371"/>
      <c r="S89" s="371"/>
    </row>
  </sheetData>
  <conditionalFormatting sqref="M2:N3">
    <cfRule type="expression" dxfId="3142" priority="3346">
      <formula>#REF!="TO"</formula>
    </cfRule>
    <cfRule type="expression" dxfId="3141" priority="3347">
      <formula>#REF!="IO"</formula>
    </cfRule>
    <cfRule type="expression" dxfId="3140" priority="3348">
      <formula>#REF!="L"</formula>
    </cfRule>
  </conditionalFormatting>
  <conditionalFormatting sqref="M35:N35 M22:N28 M37:N40">
    <cfRule type="expression" dxfId="3139" priority="3343">
      <formula>#REF!="TO"</formula>
    </cfRule>
    <cfRule type="expression" dxfId="3138" priority="3344">
      <formula>#REF!="IO"</formula>
    </cfRule>
    <cfRule type="expression" dxfId="3137" priority="3345">
      <formula>#REF!="L"</formula>
    </cfRule>
  </conditionalFormatting>
  <conditionalFormatting sqref="M4:N4">
    <cfRule type="expression" dxfId="3136" priority="3340">
      <formula>#REF!="TO"</formula>
    </cfRule>
    <cfRule type="expression" dxfId="3135" priority="3341">
      <formula>#REF!="IO"</formula>
    </cfRule>
    <cfRule type="expression" dxfId="3134" priority="3342">
      <formula>#REF!="L"</formula>
    </cfRule>
  </conditionalFormatting>
  <conditionalFormatting sqref="M5:N5">
    <cfRule type="expression" dxfId="3133" priority="3337">
      <formula>#REF!="TO"</formula>
    </cfRule>
    <cfRule type="expression" dxfId="3132" priority="3338">
      <formula>#REF!="IO"</formula>
    </cfRule>
    <cfRule type="expression" dxfId="3131" priority="3339">
      <formula>#REF!="L"</formula>
    </cfRule>
  </conditionalFormatting>
  <conditionalFormatting sqref="M6:N6">
    <cfRule type="expression" dxfId="3130" priority="3334">
      <formula>#REF!="TO"</formula>
    </cfRule>
    <cfRule type="expression" dxfId="3129" priority="3335">
      <formula>#REF!="IO"</formula>
    </cfRule>
    <cfRule type="expression" dxfId="3128" priority="3336">
      <formula>#REF!="L"</formula>
    </cfRule>
  </conditionalFormatting>
  <conditionalFormatting sqref="M7:N7">
    <cfRule type="expression" dxfId="3127" priority="3331">
      <formula>#REF!="TO"</formula>
    </cfRule>
    <cfRule type="expression" dxfId="3126" priority="3332">
      <formula>#REF!="IO"</formula>
    </cfRule>
    <cfRule type="expression" dxfId="3125" priority="3333">
      <formula>#REF!="L"</formula>
    </cfRule>
  </conditionalFormatting>
  <conditionalFormatting sqref="M8:N11">
    <cfRule type="expression" dxfId="3124" priority="3328">
      <formula>#REF!="TO"</formula>
    </cfRule>
    <cfRule type="expression" dxfId="3123" priority="3329">
      <formula>#REF!="IO"</formula>
    </cfRule>
    <cfRule type="expression" dxfId="3122" priority="3330">
      <formula>#REF!="L"</formula>
    </cfRule>
  </conditionalFormatting>
  <conditionalFormatting sqref="M13:N13">
    <cfRule type="expression" dxfId="3121" priority="3322">
      <formula>#REF!="TO"</formula>
    </cfRule>
    <cfRule type="expression" dxfId="3120" priority="3323">
      <formula>#REF!="IO"</formula>
    </cfRule>
    <cfRule type="expression" dxfId="3119" priority="3324">
      <formula>#REF!="L"</formula>
    </cfRule>
  </conditionalFormatting>
  <conditionalFormatting sqref="M12:N12">
    <cfRule type="expression" dxfId="3118" priority="3325">
      <formula>#REF!="TO"</formula>
    </cfRule>
    <cfRule type="expression" dxfId="3117" priority="3326">
      <formula>#REF!="IO"</formula>
    </cfRule>
    <cfRule type="expression" dxfId="3116" priority="3327">
      <formula>#REF!="L"</formula>
    </cfRule>
  </conditionalFormatting>
  <conditionalFormatting sqref="M14:N14">
    <cfRule type="expression" dxfId="3115" priority="3319">
      <formula>#REF!="TO"</formula>
    </cfRule>
    <cfRule type="expression" dxfId="3114" priority="3320">
      <formula>#REF!="IO"</formula>
    </cfRule>
    <cfRule type="expression" dxfId="3113" priority="3321">
      <formula>#REF!="L"</formula>
    </cfRule>
  </conditionalFormatting>
  <conditionalFormatting sqref="M15:N15">
    <cfRule type="expression" dxfId="3112" priority="3316">
      <formula>#REF!="TO"</formula>
    </cfRule>
    <cfRule type="expression" dxfId="3111" priority="3317">
      <formula>#REF!="IO"</formula>
    </cfRule>
    <cfRule type="expression" dxfId="3110" priority="3318">
      <formula>#REF!="L"</formula>
    </cfRule>
  </conditionalFormatting>
  <conditionalFormatting sqref="M19:N19">
    <cfRule type="expression" dxfId="3109" priority="3304">
      <formula>#REF!="TO"</formula>
    </cfRule>
    <cfRule type="expression" dxfId="3108" priority="3305">
      <formula>#REF!="IO"</formula>
    </cfRule>
    <cfRule type="expression" dxfId="3107" priority="3306">
      <formula>#REF!="L"</formula>
    </cfRule>
  </conditionalFormatting>
  <conditionalFormatting sqref="M16:N16">
    <cfRule type="expression" dxfId="3106" priority="3313">
      <formula>#REF!="TO"</formula>
    </cfRule>
    <cfRule type="expression" dxfId="3105" priority="3314">
      <formula>#REF!="IO"</formula>
    </cfRule>
    <cfRule type="expression" dxfId="3104" priority="3315">
      <formula>#REF!="L"</formula>
    </cfRule>
  </conditionalFormatting>
  <conditionalFormatting sqref="M17:N17">
    <cfRule type="expression" dxfId="3103" priority="3310">
      <formula>#REF!="TO"</formula>
    </cfRule>
    <cfRule type="expression" dxfId="3102" priority="3311">
      <formula>#REF!="IO"</formula>
    </cfRule>
    <cfRule type="expression" dxfId="3101" priority="3312">
      <formula>#REF!="L"</formula>
    </cfRule>
  </conditionalFormatting>
  <conditionalFormatting sqref="M18:N18">
    <cfRule type="expression" dxfId="3100" priority="3307">
      <formula>#REF!="TO"</formula>
    </cfRule>
    <cfRule type="expression" dxfId="3099" priority="3308">
      <formula>#REF!="IO"</formula>
    </cfRule>
    <cfRule type="expression" dxfId="3098" priority="3309">
      <formula>#REF!="L"</formula>
    </cfRule>
  </conditionalFormatting>
  <conditionalFormatting sqref="M20:N20">
    <cfRule type="expression" dxfId="3097" priority="3301">
      <formula>#REF!="TO"</formula>
    </cfRule>
    <cfRule type="expression" dxfId="3096" priority="3302">
      <formula>#REF!="IO"</formula>
    </cfRule>
    <cfRule type="expression" dxfId="3095" priority="3303">
      <formula>#REF!="L"</formula>
    </cfRule>
  </conditionalFormatting>
  <conditionalFormatting sqref="M21:N28">
    <cfRule type="expression" dxfId="3094" priority="3298">
      <formula>#REF!="TO"</formula>
    </cfRule>
    <cfRule type="expression" dxfId="3093" priority="3299">
      <formula>#REF!="IO"</formula>
    </cfRule>
    <cfRule type="expression" dxfId="3092" priority="3300">
      <formula>#REF!="L"</formula>
    </cfRule>
  </conditionalFormatting>
  <conditionalFormatting sqref="M41:N41">
    <cfRule type="expression" dxfId="3091" priority="3295">
      <formula>#REF!="TO"</formula>
    </cfRule>
    <cfRule type="expression" dxfId="3090" priority="3296">
      <formula>#REF!="IO"</formula>
    </cfRule>
    <cfRule type="expression" dxfId="3089" priority="3297">
      <formula>#REF!="L"</formula>
    </cfRule>
  </conditionalFormatting>
  <conditionalFormatting sqref="M42:N42">
    <cfRule type="expression" dxfId="3088" priority="3292">
      <formula>#REF!="TO"</formula>
    </cfRule>
    <cfRule type="expression" dxfId="3087" priority="3293">
      <formula>#REF!="IO"</formula>
    </cfRule>
    <cfRule type="expression" dxfId="3086" priority="3294">
      <formula>#REF!="L"</formula>
    </cfRule>
  </conditionalFormatting>
  <conditionalFormatting sqref="M43:N43">
    <cfRule type="expression" dxfId="3085" priority="3289">
      <formula>#REF!="TO"</formula>
    </cfRule>
    <cfRule type="expression" dxfId="3084" priority="3290">
      <formula>#REF!="IO"</formula>
    </cfRule>
    <cfRule type="expression" dxfId="3083" priority="3291">
      <formula>#REF!="L"</formula>
    </cfRule>
  </conditionalFormatting>
  <conditionalFormatting sqref="M44:N44">
    <cfRule type="expression" dxfId="3082" priority="3286">
      <formula>#REF!="TO"</formula>
    </cfRule>
    <cfRule type="expression" dxfId="3081" priority="3287">
      <formula>#REF!="IO"</formula>
    </cfRule>
    <cfRule type="expression" dxfId="3080" priority="3288">
      <formula>#REF!="L"</formula>
    </cfRule>
  </conditionalFormatting>
  <conditionalFormatting sqref="M45:N45">
    <cfRule type="expression" dxfId="3079" priority="3283">
      <formula>#REF!="TO"</formula>
    </cfRule>
    <cfRule type="expression" dxfId="3078" priority="3284">
      <formula>#REF!="IO"</formula>
    </cfRule>
    <cfRule type="expression" dxfId="3077" priority="3285">
      <formula>#REF!="L"</formula>
    </cfRule>
  </conditionalFormatting>
  <conditionalFormatting sqref="M46:N46">
    <cfRule type="expression" dxfId="3076" priority="3280">
      <formula>#REF!="TO"</formula>
    </cfRule>
    <cfRule type="expression" dxfId="3075" priority="3281">
      <formula>#REF!="IO"</formula>
    </cfRule>
    <cfRule type="expression" dxfId="3074" priority="3282">
      <formula>#REF!="L"</formula>
    </cfRule>
  </conditionalFormatting>
  <conditionalFormatting sqref="M47:N47">
    <cfRule type="expression" dxfId="3073" priority="3277">
      <formula>#REF!="TO"</formula>
    </cfRule>
    <cfRule type="expression" dxfId="3072" priority="3278">
      <formula>#REF!="IO"</formula>
    </cfRule>
    <cfRule type="expression" dxfId="3071" priority="3279">
      <formula>#REF!="L"</formula>
    </cfRule>
  </conditionalFormatting>
  <conditionalFormatting sqref="M48:N48">
    <cfRule type="expression" dxfId="3070" priority="3274">
      <formula>#REF!="TO"</formula>
    </cfRule>
    <cfRule type="expression" dxfId="3069" priority="3275">
      <formula>#REF!="IO"</formula>
    </cfRule>
    <cfRule type="expression" dxfId="3068" priority="3276">
      <formula>#REF!="L"</formula>
    </cfRule>
  </conditionalFormatting>
  <conditionalFormatting sqref="M49:N49">
    <cfRule type="expression" dxfId="3067" priority="3271">
      <formula>#REF!="TO"</formula>
    </cfRule>
    <cfRule type="expression" dxfId="3066" priority="3272">
      <formula>#REF!="IO"</formula>
    </cfRule>
    <cfRule type="expression" dxfId="3065" priority="3273">
      <formula>#REF!="L"</formula>
    </cfRule>
  </conditionalFormatting>
  <conditionalFormatting sqref="M50:N85">
    <cfRule type="expression" dxfId="3064" priority="3268">
      <formula>#REF!="TO"</formula>
    </cfRule>
    <cfRule type="expression" dxfId="3063" priority="3269">
      <formula>#REF!="IO"</formula>
    </cfRule>
    <cfRule type="expression" dxfId="3062" priority="3270">
      <formula>#REF!="L"</formula>
    </cfRule>
  </conditionalFormatting>
  <conditionalFormatting sqref="M27:N28">
    <cfRule type="expression" dxfId="3061" priority="3262">
      <formula>#REF!="TO"</formula>
    </cfRule>
    <cfRule type="expression" dxfId="3060" priority="3263">
      <formula>#REF!="IO"</formula>
    </cfRule>
    <cfRule type="expression" dxfId="3059" priority="3264">
      <formula>#REF!="L"</formula>
    </cfRule>
    <cfRule type="expression" dxfId="3058" priority="3259">
      <formula>#REF!="TO"</formula>
    </cfRule>
    <cfRule type="expression" dxfId="3057" priority="3260">
      <formula>#REF!="IO"</formula>
    </cfRule>
    <cfRule type="expression" dxfId="3056" priority="3261">
      <formula>#REF!="L"</formula>
    </cfRule>
  </conditionalFormatting>
  <conditionalFormatting sqref="O2:O3">
    <cfRule type="expression" dxfId="3055" priority="2890">
      <formula>#REF!="TO"</formula>
    </cfRule>
    <cfRule type="expression" dxfId="3054" priority="2891">
      <formula>#REF!="IO"</formula>
    </cfRule>
    <cfRule type="expression" dxfId="3053" priority="2892">
      <formula>#REF!="L"</formula>
    </cfRule>
  </conditionalFormatting>
  <conditionalFormatting sqref="O35 O22:O28 O37:O40">
    <cfRule type="expression" dxfId="3052" priority="2887">
      <formula>#REF!="TO"</formula>
    </cfRule>
    <cfRule type="expression" dxfId="3051" priority="2888">
      <formula>#REF!="IO"</formula>
    </cfRule>
    <cfRule type="expression" dxfId="3050" priority="2889">
      <formula>#REF!="L"</formula>
    </cfRule>
  </conditionalFormatting>
  <conditionalFormatting sqref="O4">
    <cfRule type="expression" dxfId="3049" priority="2884">
      <formula>#REF!="TO"</formula>
    </cfRule>
    <cfRule type="expression" dxfId="3048" priority="2885">
      <formula>#REF!="IO"</formula>
    </cfRule>
    <cfRule type="expression" dxfId="3047" priority="2886">
      <formula>#REF!="L"</formula>
    </cfRule>
  </conditionalFormatting>
  <conditionalFormatting sqref="O5">
    <cfRule type="expression" dxfId="3046" priority="2881">
      <formula>#REF!="TO"</formula>
    </cfRule>
    <cfRule type="expression" dxfId="3045" priority="2882">
      <formula>#REF!="IO"</formula>
    </cfRule>
    <cfRule type="expression" dxfId="3044" priority="2883">
      <formula>#REF!="L"</formula>
    </cfRule>
  </conditionalFormatting>
  <conditionalFormatting sqref="O6">
    <cfRule type="expression" dxfId="3043" priority="2878">
      <formula>#REF!="TO"</formula>
    </cfRule>
    <cfRule type="expression" dxfId="3042" priority="2879">
      <formula>#REF!="IO"</formula>
    </cfRule>
    <cfRule type="expression" dxfId="3041" priority="2880">
      <formula>#REF!="L"</formula>
    </cfRule>
  </conditionalFormatting>
  <conditionalFormatting sqref="O7">
    <cfRule type="expression" dxfId="3040" priority="2875">
      <formula>#REF!="TO"</formula>
    </cfRule>
    <cfRule type="expression" dxfId="3039" priority="2876">
      <formula>#REF!="IO"</formula>
    </cfRule>
    <cfRule type="expression" dxfId="3038" priority="2877">
      <formula>#REF!="L"</formula>
    </cfRule>
  </conditionalFormatting>
  <conditionalFormatting sqref="O8:O11">
    <cfRule type="expression" dxfId="3037" priority="2872">
      <formula>#REF!="TO"</formula>
    </cfRule>
    <cfRule type="expression" dxfId="3036" priority="2873">
      <formula>#REF!="IO"</formula>
    </cfRule>
    <cfRule type="expression" dxfId="3035" priority="2874">
      <formula>#REF!="L"</formula>
    </cfRule>
  </conditionalFormatting>
  <conditionalFormatting sqref="O13">
    <cfRule type="expression" dxfId="3034" priority="2866">
      <formula>#REF!="TO"</formula>
    </cfRule>
    <cfRule type="expression" dxfId="3033" priority="2867">
      <formula>#REF!="IO"</formula>
    </cfRule>
    <cfRule type="expression" dxfId="3032" priority="2868">
      <formula>#REF!="L"</formula>
    </cfRule>
  </conditionalFormatting>
  <conditionalFormatting sqref="O12">
    <cfRule type="expression" dxfId="3031" priority="2869">
      <formula>#REF!="TO"</formula>
    </cfRule>
    <cfRule type="expression" dxfId="3030" priority="2870">
      <formula>#REF!="IO"</formula>
    </cfRule>
    <cfRule type="expression" dxfId="3029" priority="2871">
      <formula>#REF!="L"</formula>
    </cfRule>
  </conditionalFormatting>
  <conditionalFormatting sqref="O14">
    <cfRule type="expression" dxfId="3028" priority="2863">
      <formula>#REF!="TO"</formula>
    </cfRule>
    <cfRule type="expression" dxfId="3027" priority="2864">
      <formula>#REF!="IO"</formula>
    </cfRule>
    <cfRule type="expression" dxfId="3026" priority="2865">
      <formula>#REF!="L"</formula>
    </cfRule>
  </conditionalFormatting>
  <conditionalFormatting sqref="O15">
    <cfRule type="expression" dxfId="3025" priority="2860">
      <formula>#REF!="TO"</formula>
    </cfRule>
    <cfRule type="expression" dxfId="3024" priority="2861">
      <formula>#REF!="IO"</formula>
    </cfRule>
    <cfRule type="expression" dxfId="3023" priority="2862">
      <formula>#REF!="L"</formula>
    </cfRule>
  </conditionalFormatting>
  <conditionalFormatting sqref="O19">
    <cfRule type="expression" dxfId="3022" priority="2848">
      <formula>#REF!="TO"</formula>
    </cfRule>
    <cfRule type="expression" dxfId="3021" priority="2849">
      <formula>#REF!="IO"</formula>
    </cfRule>
    <cfRule type="expression" dxfId="3020" priority="2850">
      <formula>#REF!="L"</formula>
    </cfRule>
  </conditionalFormatting>
  <conditionalFormatting sqref="O16">
    <cfRule type="expression" dxfId="3019" priority="2857">
      <formula>#REF!="TO"</formula>
    </cfRule>
    <cfRule type="expression" dxfId="3018" priority="2858">
      <formula>#REF!="IO"</formula>
    </cfRule>
    <cfRule type="expression" dxfId="3017" priority="2859">
      <formula>#REF!="L"</formula>
    </cfRule>
  </conditionalFormatting>
  <conditionalFormatting sqref="O17">
    <cfRule type="expression" dxfId="3016" priority="2854">
      <formula>#REF!="TO"</formula>
    </cfRule>
    <cfRule type="expression" dxfId="3015" priority="2855">
      <formula>#REF!="IO"</formula>
    </cfRule>
    <cfRule type="expression" dxfId="3014" priority="2856">
      <formula>#REF!="L"</formula>
    </cfRule>
  </conditionalFormatting>
  <conditionalFormatting sqref="O18">
    <cfRule type="expression" dxfId="3013" priority="2851">
      <formula>#REF!="TO"</formula>
    </cfRule>
    <cfRule type="expression" dxfId="3012" priority="2852">
      <formula>#REF!="IO"</formula>
    </cfRule>
    <cfRule type="expression" dxfId="3011" priority="2853">
      <formula>#REF!="L"</formula>
    </cfRule>
  </conditionalFormatting>
  <conditionalFormatting sqref="O20">
    <cfRule type="expression" dxfId="3010" priority="2845">
      <formula>#REF!="TO"</formula>
    </cfRule>
    <cfRule type="expression" dxfId="3009" priority="2846">
      <formula>#REF!="IO"</formula>
    </cfRule>
    <cfRule type="expression" dxfId="3008" priority="2847">
      <formula>#REF!="L"</formula>
    </cfRule>
  </conditionalFormatting>
  <conditionalFormatting sqref="O21:O28">
    <cfRule type="expression" dxfId="3007" priority="2842">
      <formula>#REF!="TO"</formula>
    </cfRule>
    <cfRule type="expression" dxfId="3006" priority="2843">
      <formula>#REF!="IO"</formula>
    </cfRule>
    <cfRule type="expression" dxfId="3005" priority="2844">
      <formula>#REF!="L"</formula>
    </cfRule>
  </conditionalFormatting>
  <conditionalFormatting sqref="O41">
    <cfRule type="expression" dxfId="3004" priority="2839">
      <formula>#REF!="TO"</formula>
    </cfRule>
    <cfRule type="expression" dxfId="3003" priority="2840">
      <formula>#REF!="IO"</formula>
    </cfRule>
    <cfRule type="expression" dxfId="3002" priority="2841">
      <formula>#REF!="L"</formula>
    </cfRule>
  </conditionalFormatting>
  <conditionalFormatting sqref="O42">
    <cfRule type="expression" dxfId="3001" priority="2836">
      <formula>#REF!="TO"</formula>
    </cfRule>
    <cfRule type="expression" dxfId="3000" priority="2837">
      <formula>#REF!="IO"</formula>
    </cfRule>
    <cfRule type="expression" dxfId="2999" priority="2838">
      <formula>#REF!="L"</formula>
    </cfRule>
  </conditionalFormatting>
  <conditionalFormatting sqref="O43">
    <cfRule type="expression" dxfId="2998" priority="2833">
      <formula>#REF!="TO"</formula>
    </cfRule>
    <cfRule type="expression" dxfId="2997" priority="2834">
      <formula>#REF!="IO"</formula>
    </cfRule>
    <cfRule type="expression" dxfId="2996" priority="2835">
      <formula>#REF!="L"</formula>
    </cfRule>
  </conditionalFormatting>
  <conditionalFormatting sqref="O44">
    <cfRule type="expression" dxfId="2995" priority="2830">
      <formula>#REF!="TO"</formula>
    </cfRule>
    <cfRule type="expression" dxfId="2994" priority="2831">
      <formula>#REF!="IO"</formula>
    </cfRule>
    <cfRule type="expression" dxfId="2993" priority="2832">
      <formula>#REF!="L"</formula>
    </cfRule>
  </conditionalFormatting>
  <conditionalFormatting sqref="O45">
    <cfRule type="expression" dxfId="2992" priority="2827">
      <formula>#REF!="TO"</formula>
    </cfRule>
    <cfRule type="expression" dxfId="2991" priority="2828">
      <formula>#REF!="IO"</formula>
    </cfRule>
    <cfRule type="expression" dxfId="2990" priority="2829">
      <formula>#REF!="L"</formula>
    </cfRule>
  </conditionalFormatting>
  <conditionalFormatting sqref="O46">
    <cfRule type="expression" dxfId="2989" priority="2824">
      <formula>#REF!="TO"</formula>
    </cfRule>
    <cfRule type="expression" dxfId="2988" priority="2825">
      <formula>#REF!="IO"</formula>
    </cfRule>
    <cfRule type="expression" dxfId="2987" priority="2826">
      <formula>#REF!="L"</formula>
    </cfRule>
  </conditionalFormatting>
  <conditionalFormatting sqref="O47">
    <cfRule type="expression" dxfId="2986" priority="2821">
      <formula>#REF!="TO"</formula>
    </cfRule>
    <cfRule type="expression" dxfId="2985" priority="2822">
      <formula>#REF!="IO"</formula>
    </cfRule>
    <cfRule type="expression" dxfId="2984" priority="2823">
      <formula>#REF!="L"</formula>
    </cfRule>
  </conditionalFormatting>
  <conditionalFormatting sqref="O48">
    <cfRule type="expression" dxfId="2983" priority="2818">
      <formula>#REF!="TO"</formula>
    </cfRule>
    <cfRule type="expression" dxfId="2982" priority="2819">
      <formula>#REF!="IO"</formula>
    </cfRule>
    <cfRule type="expression" dxfId="2981" priority="2820">
      <formula>#REF!="L"</formula>
    </cfRule>
  </conditionalFormatting>
  <conditionalFormatting sqref="O49">
    <cfRule type="expression" dxfId="2980" priority="2815">
      <formula>#REF!="TO"</formula>
    </cfRule>
    <cfRule type="expression" dxfId="2979" priority="2816">
      <formula>#REF!="IO"</formula>
    </cfRule>
    <cfRule type="expression" dxfId="2978" priority="2817">
      <formula>#REF!="L"</formula>
    </cfRule>
  </conditionalFormatting>
  <conditionalFormatting sqref="O50:O85">
    <cfRule type="expression" dxfId="2977" priority="2812">
      <formula>#REF!="TO"</formula>
    </cfRule>
    <cfRule type="expression" dxfId="2976" priority="2813">
      <formula>#REF!="IO"</formula>
    </cfRule>
    <cfRule type="expression" dxfId="2975" priority="2814">
      <formula>#REF!="L"</formula>
    </cfRule>
  </conditionalFormatting>
  <conditionalFormatting sqref="O27:O28">
    <cfRule type="expression" dxfId="2974" priority="2806">
      <formula>#REF!="TO"</formula>
    </cfRule>
    <cfRule type="expression" dxfId="2973" priority="2807">
      <formula>#REF!="IO"</formula>
    </cfRule>
    <cfRule type="expression" dxfId="2972" priority="2808">
      <formula>#REF!="L"</formula>
    </cfRule>
    <cfRule type="expression" dxfId="2971" priority="2803">
      <formula>#REF!="TO"</formula>
    </cfRule>
    <cfRule type="expression" dxfId="2970" priority="2804">
      <formula>#REF!="IO"</formula>
    </cfRule>
    <cfRule type="expression" dxfId="2969" priority="2805">
      <formula>#REF!="L"</formula>
    </cfRule>
  </conditionalFormatting>
  <conditionalFormatting sqref="H2:H3 L2:L3 J2:J3">
    <cfRule type="expression" dxfId="2968" priority="2326">
      <formula>#REF!="TO"</formula>
    </cfRule>
    <cfRule type="expression" dxfId="2967" priority="2327">
      <formula>#REF!="IO"</formula>
    </cfRule>
    <cfRule type="expression" dxfId="2966" priority="2328">
      <formula>#REF!="L"</formula>
    </cfRule>
  </conditionalFormatting>
  <conditionalFormatting sqref="H4 L4 J4">
    <cfRule type="expression" dxfId="2965" priority="2320">
      <formula>#REF!="TO"</formula>
    </cfRule>
    <cfRule type="expression" dxfId="2964" priority="2321">
      <formula>#REF!="IO"</formula>
    </cfRule>
    <cfRule type="expression" dxfId="2963" priority="2322">
      <formula>#REF!="L"</formula>
    </cfRule>
    <cfRule type="expression" dxfId="2962" priority="2323">
      <formula>#REF!="TO"</formula>
    </cfRule>
    <cfRule type="expression" dxfId="2961" priority="2324">
      <formula>#REF!="IO"</formula>
    </cfRule>
    <cfRule type="expression" dxfId="2960" priority="2325">
      <formula>#REF!="L"</formula>
    </cfRule>
  </conditionalFormatting>
  <conditionalFormatting sqref="H5 L5 J5">
    <cfRule type="expression" dxfId="2959" priority="2314">
      <formula>#REF!="TO"</formula>
    </cfRule>
    <cfRule type="expression" dxfId="2958" priority="2315">
      <formula>#REF!="IO"</formula>
    </cfRule>
    <cfRule type="expression" dxfId="2957" priority="2316">
      <formula>#REF!="L"</formula>
    </cfRule>
    <cfRule type="expression" dxfId="2956" priority="2317">
      <formula>#REF!="TO"</formula>
    </cfRule>
    <cfRule type="expression" dxfId="2955" priority="2318">
      <formula>#REF!="IO"</formula>
    </cfRule>
    <cfRule type="expression" dxfId="2954" priority="2319">
      <formula>#REF!="L"</formula>
    </cfRule>
  </conditionalFormatting>
  <conditionalFormatting sqref="H6 L6 J6">
    <cfRule type="expression" dxfId="2953" priority="2308">
      <formula>#REF!="TO"</formula>
    </cfRule>
    <cfRule type="expression" dxfId="2952" priority="2309">
      <formula>#REF!="IO"</formula>
    </cfRule>
    <cfRule type="expression" dxfId="2951" priority="2310">
      <formula>#REF!="L"</formula>
    </cfRule>
    <cfRule type="expression" dxfId="2950" priority="2311">
      <formula>#REF!="TO"</formula>
    </cfRule>
    <cfRule type="expression" dxfId="2949" priority="2312">
      <formula>#REF!="IO"</formula>
    </cfRule>
    <cfRule type="expression" dxfId="2948" priority="2313">
      <formula>#REF!="L"</formula>
    </cfRule>
  </conditionalFormatting>
  <conditionalFormatting sqref="H7 L7 J7">
    <cfRule type="expression" dxfId="2947" priority="2302">
      <formula>#REF!="TO"</formula>
    </cfRule>
    <cfRule type="expression" dxfId="2946" priority="2303">
      <formula>#REF!="IO"</formula>
    </cfRule>
    <cfRule type="expression" dxfId="2945" priority="2304">
      <formula>#REF!="L"</formula>
    </cfRule>
    <cfRule type="expression" dxfId="2944" priority="2305">
      <formula>#REF!="TO"</formula>
    </cfRule>
    <cfRule type="expression" dxfId="2943" priority="2306">
      <formula>#REF!="IO"</formula>
    </cfRule>
    <cfRule type="expression" dxfId="2942" priority="2307">
      <formula>#REF!="L"</formula>
    </cfRule>
  </conditionalFormatting>
  <conditionalFormatting sqref="H8:H11 L8:L11 J8:J11">
    <cfRule type="expression" dxfId="2941" priority="2296">
      <formula>#REF!="TO"</formula>
    </cfRule>
    <cfRule type="expression" dxfId="2940" priority="2297">
      <formula>#REF!="IO"</formula>
    </cfRule>
    <cfRule type="expression" dxfId="2939" priority="2298">
      <formula>#REF!="L"</formula>
    </cfRule>
    <cfRule type="expression" dxfId="2938" priority="2299">
      <formula>#REF!="TO"</formula>
    </cfRule>
    <cfRule type="expression" dxfId="2937" priority="2300">
      <formula>#REF!="IO"</formula>
    </cfRule>
    <cfRule type="expression" dxfId="2936" priority="2301">
      <formula>#REF!="L"</formula>
    </cfRule>
  </conditionalFormatting>
  <conditionalFormatting sqref="H13 L13 J13">
    <cfRule type="expression" dxfId="2935" priority="2287">
      <formula>#REF!="TO"</formula>
    </cfRule>
    <cfRule type="expression" dxfId="2934" priority="2288">
      <formula>#REF!="IO"</formula>
    </cfRule>
    <cfRule type="expression" dxfId="2933" priority="2289">
      <formula>#REF!="L"</formula>
    </cfRule>
    <cfRule type="expression" dxfId="2932" priority="2284">
      <formula>#REF!="TO"</formula>
    </cfRule>
    <cfRule type="expression" dxfId="2931" priority="2285">
      <formula>#REF!="IO"</formula>
    </cfRule>
    <cfRule type="expression" dxfId="2930" priority="2286">
      <formula>#REF!="L"</formula>
    </cfRule>
  </conditionalFormatting>
  <conditionalFormatting sqref="H12 L12 J12">
    <cfRule type="expression" dxfId="2929" priority="2290">
      <formula>#REF!="TO"</formula>
    </cfRule>
    <cfRule type="expression" dxfId="2928" priority="2291">
      <formula>#REF!="IO"</formula>
    </cfRule>
    <cfRule type="expression" dxfId="2927" priority="2292">
      <formula>#REF!="L"</formula>
    </cfRule>
    <cfRule type="expression" dxfId="2926" priority="2293">
      <formula>#REF!="TO"</formula>
    </cfRule>
    <cfRule type="expression" dxfId="2925" priority="2294">
      <formula>#REF!="IO"</formula>
    </cfRule>
    <cfRule type="expression" dxfId="2924" priority="2295">
      <formula>#REF!="L"</formula>
    </cfRule>
  </conditionalFormatting>
  <conditionalFormatting sqref="H14 L14 J14">
    <cfRule type="expression" dxfId="2923" priority="2278">
      <formula>#REF!="TO"</formula>
    </cfRule>
    <cfRule type="expression" dxfId="2922" priority="2279">
      <formula>#REF!="IO"</formula>
    </cfRule>
    <cfRule type="expression" dxfId="2921" priority="2280">
      <formula>#REF!="L"</formula>
    </cfRule>
    <cfRule type="expression" dxfId="2920" priority="2281">
      <formula>#REF!="TO"</formula>
    </cfRule>
    <cfRule type="expression" dxfId="2919" priority="2282">
      <formula>#REF!="IO"</formula>
    </cfRule>
    <cfRule type="expression" dxfId="2918" priority="2283">
      <formula>#REF!="L"</formula>
    </cfRule>
  </conditionalFormatting>
  <conditionalFormatting sqref="H15 L15 J15">
    <cfRule type="expression" dxfId="2917" priority="2272">
      <formula>#REF!="TO"</formula>
    </cfRule>
    <cfRule type="expression" dxfId="2916" priority="2273">
      <formula>#REF!="IO"</formula>
    </cfRule>
    <cfRule type="expression" dxfId="2915" priority="2274">
      <formula>#REF!="L"</formula>
    </cfRule>
    <cfRule type="expression" dxfId="2914" priority="2275">
      <formula>#REF!="TO"</formula>
    </cfRule>
    <cfRule type="expression" dxfId="2913" priority="2276">
      <formula>#REF!="IO"</formula>
    </cfRule>
    <cfRule type="expression" dxfId="2912" priority="2277">
      <formula>#REF!="L"</formula>
    </cfRule>
  </conditionalFormatting>
  <conditionalFormatting sqref="H19 L19 J19">
    <cfRule type="expression" dxfId="2911" priority="2251">
      <formula>#REF!="TO"</formula>
    </cfRule>
    <cfRule type="expression" dxfId="2910" priority="2252">
      <formula>#REF!="IO"</formula>
    </cfRule>
    <cfRule type="expression" dxfId="2909" priority="2253">
      <formula>#REF!="L"</formula>
    </cfRule>
    <cfRule type="expression" dxfId="2908" priority="2248">
      <formula>#REF!="TO"</formula>
    </cfRule>
    <cfRule type="expression" dxfId="2907" priority="2249">
      <formula>#REF!="IO"</formula>
    </cfRule>
    <cfRule type="expression" dxfId="2906" priority="2250">
      <formula>#REF!="L"</formula>
    </cfRule>
  </conditionalFormatting>
  <conditionalFormatting sqref="H16 L16 J16">
    <cfRule type="expression" dxfId="2905" priority="2266">
      <formula>#REF!="TO"</formula>
    </cfRule>
    <cfRule type="expression" dxfId="2904" priority="2267">
      <formula>#REF!="IO"</formula>
    </cfRule>
    <cfRule type="expression" dxfId="2903" priority="2268">
      <formula>#REF!="L"</formula>
    </cfRule>
    <cfRule type="expression" dxfId="2902" priority="2269">
      <formula>#REF!="TO"</formula>
    </cfRule>
    <cfRule type="expression" dxfId="2901" priority="2270">
      <formula>#REF!="IO"</formula>
    </cfRule>
    <cfRule type="expression" dxfId="2900" priority="2271">
      <formula>#REF!="L"</formula>
    </cfRule>
  </conditionalFormatting>
  <conditionalFormatting sqref="H17 L17 J17">
    <cfRule type="expression" dxfId="2899" priority="2260">
      <formula>#REF!="TO"</formula>
    </cfRule>
    <cfRule type="expression" dxfId="2898" priority="2261">
      <formula>#REF!="IO"</formula>
    </cfRule>
    <cfRule type="expression" dxfId="2897" priority="2262">
      <formula>#REF!="L"</formula>
    </cfRule>
    <cfRule type="expression" dxfId="2896" priority="2263">
      <formula>#REF!="TO"</formula>
    </cfRule>
    <cfRule type="expression" dxfId="2895" priority="2264">
      <formula>#REF!="IO"</formula>
    </cfRule>
    <cfRule type="expression" dxfId="2894" priority="2265">
      <formula>#REF!="L"</formula>
    </cfRule>
  </conditionalFormatting>
  <conditionalFormatting sqref="H18 L18 J18">
    <cfRule type="expression" dxfId="2893" priority="2254">
      <formula>#REF!="TO"</formula>
    </cfRule>
    <cfRule type="expression" dxfId="2892" priority="2255">
      <formula>#REF!="IO"</formula>
    </cfRule>
    <cfRule type="expression" dxfId="2891" priority="2256">
      <formula>#REF!="L"</formula>
    </cfRule>
    <cfRule type="expression" dxfId="2890" priority="2257">
      <formula>#REF!="TO"</formula>
    </cfRule>
    <cfRule type="expression" dxfId="2889" priority="2258">
      <formula>#REF!="IO"</formula>
    </cfRule>
    <cfRule type="expression" dxfId="2888" priority="2259">
      <formula>#REF!="L"</formula>
    </cfRule>
  </conditionalFormatting>
  <conditionalFormatting sqref="H20 L20 J20">
    <cfRule type="expression" dxfId="2887" priority="2242">
      <formula>#REF!="TO"</formula>
    </cfRule>
    <cfRule type="expression" dxfId="2886" priority="2243">
      <formula>#REF!="IO"</formula>
    </cfRule>
    <cfRule type="expression" dxfId="2885" priority="2244">
      <formula>#REF!="L"</formula>
    </cfRule>
    <cfRule type="expression" dxfId="2884" priority="2245">
      <formula>#REF!="TO"</formula>
    </cfRule>
    <cfRule type="expression" dxfId="2883" priority="2246">
      <formula>#REF!="IO"</formula>
    </cfRule>
    <cfRule type="expression" dxfId="2882" priority="2247">
      <formula>#REF!="L"</formula>
    </cfRule>
  </conditionalFormatting>
  <conditionalFormatting sqref="H21 L21 J21">
    <cfRule type="expression" dxfId="2881" priority="2239">
      <formula>#REF!="TO"</formula>
    </cfRule>
    <cfRule type="expression" dxfId="2880" priority="2240">
      <formula>#REF!="IO"</formula>
    </cfRule>
    <cfRule type="expression" dxfId="2879" priority="2241">
      <formula>#REF!="L"</formula>
    </cfRule>
    <cfRule type="expression" dxfId="2878" priority="2236">
      <formula>#REF!="TO"</formula>
    </cfRule>
    <cfRule type="expression" dxfId="2877" priority="2237">
      <formula>#REF!="IO"</formula>
    </cfRule>
    <cfRule type="expression" dxfId="2876" priority="2238">
      <formula>#REF!="L"</formula>
    </cfRule>
  </conditionalFormatting>
  <conditionalFormatting sqref="K2:K3">
    <cfRule type="expression" dxfId="2875" priority="2227">
      <formula>#REF!="TO"</formula>
    </cfRule>
    <cfRule type="expression" dxfId="2874" priority="2228">
      <formula>#REF!="IO"</formula>
    </cfRule>
    <cfRule type="expression" dxfId="2873" priority="2229">
      <formula>#REF!="L"</formula>
    </cfRule>
  </conditionalFormatting>
  <conditionalFormatting sqref="K35 K22:K28 K37:K40">
    <cfRule type="expression" dxfId="2872" priority="2224">
      <formula>#REF!="TO"</formula>
    </cfRule>
    <cfRule type="expression" dxfId="2871" priority="2225">
      <formula>#REF!="IO"</formula>
    </cfRule>
    <cfRule type="expression" dxfId="2870" priority="2226">
      <formula>#REF!="L"</formula>
    </cfRule>
  </conditionalFormatting>
  <conditionalFormatting sqref="K4">
    <cfRule type="expression" dxfId="2869" priority="2221">
      <formula>#REF!="TO"</formula>
    </cfRule>
    <cfRule type="expression" dxfId="2868" priority="2222">
      <formula>#REF!="IO"</formula>
    </cfRule>
    <cfRule type="expression" dxfId="2867" priority="2223">
      <formula>#REF!="L"</formula>
    </cfRule>
  </conditionalFormatting>
  <conditionalFormatting sqref="K5">
    <cfRule type="expression" dxfId="2866" priority="2218">
      <formula>#REF!="TO"</formula>
    </cfRule>
    <cfRule type="expression" dxfId="2865" priority="2219">
      <formula>#REF!="IO"</formula>
    </cfRule>
    <cfRule type="expression" dxfId="2864" priority="2220">
      <formula>#REF!="L"</formula>
    </cfRule>
  </conditionalFormatting>
  <conditionalFormatting sqref="K6">
    <cfRule type="expression" dxfId="2863" priority="2215">
      <formula>#REF!="TO"</formula>
    </cfRule>
    <cfRule type="expression" dxfId="2862" priority="2216">
      <formula>#REF!="IO"</formula>
    </cfRule>
    <cfRule type="expression" dxfId="2861" priority="2217">
      <formula>#REF!="L"</formula>
    </cfRule>
  </conditionalFormatting>
  <conditionalFormatting sqref="K7">
    <cfRule type="expression" dxfId="2860" priority="2212">
      <formula>#REF!="TO"</formula>
    </cfRule>
    <cfRule type="expression" dxfId="2859" priority="2213">
      <formula>#REF!="IO"</formula>
    </cfRule>
    <cfRule type="expression" dxfId="2858" priority="2214">
      <formula>#REF!="L"</formula>
    </cfRule>
  </conditionalFormatting>
  <conditionalFormatting sqref="K8:K11">
    <cfRule type="expression" dxfId="2857" priority="2209">
      <formula>#REF!="TO"</formula>
    </cfRule>
    <cfRule type="expression" dxfId="2856" priority="2210">
      <formula>#REF!="IO"</formula>
    </cfRule>
    <cfRule type="expression" dxfId="2855" priority="2211">
      <formula>#REF!="L"</formula>
    </cfRule>
  </conditionalFormatting>
  <conditionalFormatting sqref="K13">
    <cfRule type="expression" dxfId="2854" priority="2203">
      <formula>#REF!="TO"</formula>
    </cfRule>
    <cfRule type="expression" dxfId="2853" priority="2204">
      <formula>#REF!="IO"</formula>
    </cfRule>
    <cfRule type="expression" dxfId="2852" priority="2205">
      <formula>#REF!="L"</formula>
    </cfRule>
  </conditionalFormatting>
  <conditionalFormatting sqref="K12">
    <cfRule type="expression" dxfId="2851" priority="2206">
      <formula>#REF!="TO"</formula>
    </cfRule>
    <cfRule type="expression" dxfId="2850" priority="2207">
      <formula>#REF!="IO"</formula>
    </cfRule>
    <cfRule type="expression" dxfId="2849" priority="2208">
      <formula>#REF!="L"</formula>
    </cfRule>
  </conditionalFormatting>
  <conditionalFormatting sqref="K14">
    <cfRule type="expression" dxfId="2848" priority="2200">
      <formula>#REF!="TO"</formula>
    </cfRule>
    <cfRule type="expression" dxfId="2847" priority="2201">
      <formula>#REF!="IO"</formula>
    </cfRule>
    <cfRule type="expression" dxfId="2846" priority="2202">
      <formula>#REF!="L"</formula>
    </cfRule>
  </conditionalFormatting>
  <conditionalFormatting sqref="K15">
    <cfRule type="expression" dxfId="2845" priority="2197">
      <formula>#REF!="TO"</formula>
    </cfRule>
    <cfRule type="expression" dxfId="2844" priority="2198">
      <formula>#REF!="IO"</formula>
    </cfRule>
    <cfRule type="expression" dxfId="2843" priority="2199">
      <formula>#REF!="L"</formula>
    </cfRule>
  </conditionalFormatting>
  <conditionalFormatting sqref="K19">
    <cfRule type="expression" dxfId="2842" priority="2185">
      <formula>#REF!="TO"</formula>
    </cfRule>
    <cfRule type="expression" dxfId="2841" priority="2186">
      <formula>#REF!="IO"</formula>
    </cfRule>
    <cfRule type="expression" dxfId="2840" priority="2187">
      <formula>#REF!="L"</formula>
    </cfRule>
  </conditionalFormatting>
  <conditionalFormatting sqref="K16">
    <cfRule type="expression" dxfId="2839" priority="2194">
      <formula>#REF!="TO"</formula>
    </cfRule>
    <cfRule type="expression" dxfId="2838" priority="2195">
      <formula>#REF!="IO"</formula>
    </cfRule>
    <cfRule type="expression" dxfId="2837" priority="2196">
      <formula>#REF!="L"</formula>
    </cfRule>
  </conditionalFormatting>
  <conditionalFormatting sqref="K17">
    <cfRule type="expression" dxfId="2836" priority="2191">
      <formula>#REF!="TO"</formula>
    </cfRule>
    <cfRule type="expression" dxfId="2835" priority="2192">
      <formula>#REF!="IO"</formula>
    </cfRule>
    <cfRule type="expression" dxfId="2834" priority="2193">
      <formula>#REF!="L"</formula>
    </cfRule>
  </conditionalFormatting>
  <conditionalFormatting sqref="K18">
    <cfRule type="expression" dxfId="2833" priority="2188">
      <formula>#REF!="TO"</formula>
    </cfRule>
    <cfRule type="expression" dxfId="2832" priority="2189">
      <formula>#REF!="IO"</formula>
    </cfRule>
    <cfRule type="expression" dxfId="2831" priority="2190">
      <formula>#REF!="L"</formula>
    </cfRule>
  </conditionalFormatting>
  <conditionalFormatting sqref="K20">
    <cfRule type="expression" dxfId="2830" priority="2182">
      <formula>#REF!="TO"</formula>
    </cfRule>
    <cfRule type="expression" dxfId="2829" priority="2183">
      <formula>#REF!="IO"</formula>
    </cfRule>
    <cfRule type="expression" dxfId="2828" priority="2184">
      <formula>#REF!="L"</formula>
    </cfRule>
  </conditionalFormatting>
  <conditionalFormatting sqref="K21:K28">
    <cfRule type="expression" dxfId="2827" priority="2179">
      <formula>#REF!="TO"</formula>
    </cfRule>
    <cfRule type="expression" dxfId="2826" priority="2180">
      <formula>#REF!="IO"</formula>
    </cfRule>
    <cfRule type="expression" dxfId="2825" priority="2181">
      <formula>#REF!="L"</formula>
    </cfRule>
  </conditionalFormatting>
  <conditionalFormatting sqref="K41">
    <cfRule type="expression" dxfId="2824" priority="2176">
      <formula>#REF!="TO"</formula>
    </cfRule>
    <cfRule type="expression" dxfId="2823" priority="2177">
      <formula>#REF!="IO"</formula>
    </cfRule>
    <cfRule type="expression" dxfId="2822" priority="2178">
      <formula>#REF!="L"</formula>
    </cfRule>
  </conditionalFormatting>
  <conditionalFormatting sqref="K42">
    <cfRule type="expression" dxfId="2821" priority="2173">
      <formula>#REF!="TO"</formula>
    </cfRule>
    <cfRule type="expression" dxfId="2820" priority="2174">
      <formula>#REF!="IO"</formula>
    </cfRule>
    <cfRule type="expression" dxfId="2819" priority="2175">
      <formula>#REF!="L"</formula>
    </cfRule>
  </conditionalFormatting>
  <conditionalFormatting sqref="K43">
    <cfRule type="expression" dxfId="2818" priority="2170">
      <formula>#REF!="TO"</formula>
    </cfRule>
    <cfRule type="expression" dxfId="2817" priority="2171">
      <formula>#REF!="IO"</formula>
    </cfRule>
    <cfRule type="expression" dxfId="2816" priority="2172">
      <formula>#REF!="L"</formula>
    </cfRule>
  </conditionalFormatting>
  <conditionalFormatting sqref="K44">
    <cfRule type="expression" dxfId="2815" priority="2167">
      <formula>#REF!="TO"</formula>
    </cfRule>
    <cfRule type="expression" dxfId="2814" priority="2168">
      <formula>#REF!="IO"</formula>
    </cfRule>
    <cfRule type="expression" dxfId="2813" priority="2169">
      <formula>#REF!="L"</formula>
    </cfRule>
  </conditionalFormatting>
  <conditionalFormatting sqref="K45">
    <cfRule type="expression" dxfId="2812" priority="2164">
      <formula>#REF!="TO"</formula>
    </cfRule>
    <cfRule type="expression" dxfId="2811" priority="2165">
      <formula>#REF!="IO"</formula>
    </cfRule>
    <cfRule type="expression" dxfId="2810" priority="2166">
      <formula>#REF!="L"</formula>
    </cfRule>
  </conditionalFormatting>
  <conditionalFormatting sqref="K46">
    <cfRule type="expression" dxfId="2809" priority="2161">
      <formula>#REF!="TO"</formula>
    </cfRule>
    <cfRule type="expression" dxfId="2808" priority="2162">
      <formula>#REF!="IO"</formula>
    </cfRule>
    <cfRule type="expression" dxfId="2807" priority="2163">
      <formula>#REF!="L"</formula>
    </cfRule>
  </conditionalFormatting>
  <conditionalFormatting sqref="K47">
    <cfRule type="expression" dxfId="2806" priority="2158">
      <formula>#REF!="TO"</formula>
    </cfRule>
    <cfRule type="expression" dxfId="2805" priority="2159">
      <formula>#REF!="IO"</formula>
    </cfRule>
    <cfRule type="expression" dxfId="2804" priority="2160">
      <formula>#REF!="L"</formula>
    </cfRule>
  </conditionalFormatting>
  <conditionalFormatting sqref="K48">
    <cfRule type="expression" dxfId="2803" priority="2155">
      <formula>#REF!="TO"</formula>
    </cfRule>
    <cfRule type="expression" dxfId="2802" priority="2156">
      <formula>#REF!="IO"</formula>
    </cfRule>
    <cfRule type="expression" dxfId="2801" priority="2157">
      <formula>#REF!="L"</formula>
    </cfRule>
  </conditionalFormatting>
  <conditionalFormatting sqref="K49">
    <cfRule type="expression" dxfId="2800" priority="2152">
      <formula>#REF!="TO"</formula>
    </cfRule>
    <cfRule type="expression" dxfId="2799" priority="2153">
      <formula>#REF!="IO"</formula>
    </cfRule>
    <cfRule type="expression" dxfId="2798" priority="2154">
      <formula>#REF!="L"</formula>
    </cfRule>
  </conditionalFormatting>
  <conditionalFormatting sqref="K50:K85">
    <cfRule type="expression" dxfId="2797" priority="2149">
      <formula>#REF!="TO"</formula>
    </cfRule>
    <cfRule type="expression" dxfId="2796" priority="2150">
      <formula>#REF!="IO"</formula>
    </cfRule>
    <cfRule type="expression" dxfId="2795" priority="2151">
      <formula>#REF!="L"</formula>
    </cfRule>
  </conditionalFormatting>
  <conditionalFormatting sqref="K27:K28">
    <cfRule type="expression" dxfId="2794" priority="2143">
      <formula>#REF!="TO"</formula>
    </cfRule>
    <cfRule type="expression" dxfId="2793" priority="2144">
      <formula>#REF!="IO"</formula>
    </cfRule>
    <cfRule type="expression" dxfId="2792" priority="2145">
      <formula>#REF!="L"</formula>
    </cfRule>
    <cfRule type="expression" dxfId="2791" priority="2140">
      <formula>#REF!="TO"</formula>
    </cfRule>
    <cfRule type="expression" dxfId="2790" priority="2141">
      <formula>#REF!="IO"</formula>
    </cfRule>
    <cfRule type="expression" dxfId="2789" priority="2142">
      <formula>#REF!="L"</formula>
    </cfRule>
  </conditionalFormatting>
  <conditionalFormatting sqref="P13">
    <cfRule type="expression" dxfId="2788" priority="1888">
      <formula>#REF!="TO"</formula>
    </cfRule>
    <cfRule type="expression" dxfId="2787" priority="1889">
      <formula>#REF!="IO"</formula>
    </cfRule>
    <cfRule type="expression" dxfId="2786" priority="1890">
      <formula>#REF!="L"</formula>
    </cfRule>
    <cfRule type="expression" dxfId="2785" priority="1885">
      <formula>#REF!="TO"</formula>
    </cfRule>
    <cfRule type="expression" dxfId="2784" priority="1886">
      <formula>#REF!="IO"</formula>
    </cfRule>
    <cfRule type="expression" dxfId="2783" priority="1887">
      <formula>#REF!="L"</formula>
    </cfRule>
  </conditionalFormatting>
  <conditionalFormatting sqref="I2:I28">
    <cfRule type="expression" dxfId="2782" priority="2137">
      <formula>#REF!="TO"</formula>
    </cfRule>
    <cfRule type="expression" dxfId="2781" priority="2138">
      <formula>#REF!="IO"</formula>
    </cfRule>
    <cfRule type="expression" dxfId="2780" priority="2139">
      <formula>#REF!="L"</formula>
    </cfRule>
  </conditionalFormatting>
  <conditionalFormatting sqref="I35 I37:I40">
    <cfRule type="expression" dxfId="2779" priority="2050">
      <formula>#REF!="TO"</formula>
    </cfRule>
    <cfRule type="expression" dxfId="2778" priority="2051">
      <formula>#REF!="IO"</formula>
    </cfRule>
    <cfRule type="expression" dxfId="2777" priority="2052">
      <formula>#REF!="L"</formula>
    </cfRule>
  </conditionalFormatting>
  <conditionalFormatting sqref="I41">
    <cfRule type="expression" dxfId="2776" priority="2047">
      <formula>#REF!="TO"</formula>
    </cfRule>
    <cfRule type="expression" dxfId="2775" priority="2048">
      <formula>#REF!="IO"</formula>
    </cfRule>
    <cfRule type="expression" dxfId="2774" priority="2049">
      <formula>#REF!="L"</formula>
    </cfRule>
  </conditionalFormatting>
  <conditionalFormatting sqref="I42">
    <cfRule type="expression" dxfId="2773" priority="2044">
      <formula>#REF!="TO"</formula>
    </cfRule>
    <cfRule type="expression" dxfId="2772" priority="2045">
      <formula>#REF!="IO"</formula>
    </cfRule>
    <cfRule type="expression" dxfId="2771" priority="2046">
      <formula>#REF!="L"</formula>
    </cfRule>
  </conditionalFormatting>
  <conditionalFormatting sqref="I43">
    <cfRule type="expression" dxfId="2770" priority="2041">
      <formula>#REF!="TO"</formula>
    </cfRule>
    <cfRule type="expression" dxfId="2769" priority="2042">
      <formula>#REF!="IO"</formula>
    </cfRule>
    <cfRule type="expression" dxfId="2768" priority="2043">
      <formula>#REF!="L"</formula>
    </cfRule>
  </conditionalFormatting>
  <conditionalFormatting sqref="I44">
    <cfRule type="expression" dxfId="2767" priority="2038">
      <formula>#REF!="TO"</formula>
    </cfRule>
    <cfRule type="expression" dxfId="2766" priority="2039">
      <formula>#REF!="IO"</formula>
    </cfRule>
    <cfRule type="expression" dxfId="2765" priority="2040">
      <formula>#REF!="L"</formula>
    </cfRule>
  </conditionalFormatting>
  <conditionalFormatting sqref="I45">
    <cfRule type="expression" dxfId="2764" priority="2035">
      <formula>#REF!="TO"</formula>
    </cfRule>
    <cfRule type="expression" dxfId="2763" priority="2036">
      <formula>#REF!="IO"</formula>
    </cfRule>
    <cfRule type="expression" dxfId="2762" priority="2037">
      <formula>#REF!="L"</formula>
    </cfRule>
  </conditionalFormatting>
  <conditionalFormatting sqref="I46">
    <cfRule type="expression" dxfId="2761" priority="2032">
      <formula>#REF!="TO"</formula>
    </cfRule>
    <cfRule type="expression" dxfId="2760" priority="2033">
      <formula>#REF!="IO"</formula>
    </cfRule>
    <cfRule type="expression" dxfId="2759" priority="2034">
      <formula>#REF!="L"</formula>
    </cfRule>
  </conditionalFormatting>
  <conditionalFormatting sqref="I47">
    <cfRule type="expression" dxfId="2758" priority="2029">
      <formula>#REF!="TO"</formula>
    </cfRule>
    <cfRule type="expression" dxfId="2757" priority="2030">
      <formula>#REF!="IO"</formula>
    </cfRule>
    <cfRule type="expression" dxfId="2756" priority="2031">
      <formula>#REF!="L"</formula>
    </cfRule>
  </conditionalFormatting>
  <conditionalFormatting sqref="I48">
    <cfRule type="expression" dxfId="2755" priority="2026">
      <formula>#REF!="TO"</formula>
    </cfRule>
    <cfRule type="expression" dxfId="2754" priority="2027">
      <formula>#REF!="IO"</formula>
    </cfRule>
    <cfRule type="expression" dxfId="2753" priority="2028">
      <formula>#REF!="L"</formula>
    </cfRule>
  </conditionalFormatting>
  <conditionalFormatting sqref="I49">
    <cfRule type="expression" dxfId="2752" priority="2023">
      <formula>#REF!="TO"</formula>
    </cfRule>
    <cfRule type="expression" dxfId="2751" priority="2024">
      <formula>#REF!="IO"</formula>
    </cfRule>
    <cfRule type="expression" dxfId="2750" priority="2025">
      <formula>#REF!="L"</formula>
    </cfRule>
  </conditionalFormatting>
  <conditionalFormatting sqref="I50:I85">
    <cfRule type="expression" dxfId="2749" priority="2020">
      <formula>#REF!="TO"</formula>
    </cfRule>
    <cfRule type="expression" dxfId="2748" priority="2021">
      <formula>#REF!="IO"</formula>
    </cfRule>
    <cfRule type="expression" dxfId="2747" priority="2022">
      <formula>#REF!="L"</formula>
    </cfRule>
  </conditionalFormatting>
  <conditionalFormatting sqref="Q13:T13">
    <cfRule type="expression" dxfId="2746" priority="1990">
      <formula>#REF!="TO"</formula>
    </cfRule>
    <cfRule type="expression" dxfId="2745" priority="1991">
      <formula>#REF!="IO"</formula>
    </cfRule>
    <cfRule type="expression" dxfId="2744" priority="1992">
      <formula>#REF!="L"</formula>
    </cfRule>
  </conditionalFormatting>
  <conditionalFormatting sqref="Q12:T12">
    <cfRule type="expression" dxfId="2743" priority="1993">
      <formula>#REF!="TO"</formula>
    </cfRule>
    <cfRule type="expression" dxfId="2742" priority="1994">
      <formula>#REF!="IO"</formula>
    </cfRule>
    <cfRule type="expression" dxfId="2741" priority="1995">
      <formula>#REF!="L"</formula>
    </cfRule>
  </conditionalFormatting>
  <conditionalFormatting sqref="Q15:T15">
    <cfRule type="expression" dxfId="2740" priority="1984">
      <formula>#REF!="TO"</formula>
    </cfRule>
    <cfRule type="expression" dxfId="2739" priority="1985">
      <formula>#REF!="IO"</formula>
    </cfRule>
    <cfRule type="expression" dxfId="2738" priority="1986">
      <formula>#REF!="L"</formula>
    </cfRule>
  </conditionalFormatting>
  <conditionalFormatting sqref="Q17:T17">
    <cfRule type="expression" dxfId="2737" priority="1978">
      <formula>#REF!="TO"</formula>
    </cfRule>
    <cfRule type="expression" dxfId="2736" priority="1979">
      <formula>#REF!="IO"</formula>
    </cfRule>
    <cfRule type="expression" dxfId="2735" priority="1980">
      <formula>#REF!="L"</formula>
    </cfRule>
  </conditionalFormatting>
  <conditionalFormatting sqref="Q19:T19">
    <cfRule type="expression" dxfId="2734" priority="1972">
      <formula>#REF!="TO"</formula>
    </cfRule>
    <cfRule type="expression" dxfId="2733" priority="1973">
      <formula>#REF!="IO"</formula>
    </cfRule>
    <cfRule type="expression" dxfId="2732" priority="1974">
      <formula>#REF!="L"</formula>
    </cfRule>
  </conditionalFormatting>
  <conditionalFormatting sqref="Q18:T18">
    <cfRule type="expression" dxfId="2731" priority="1975">
      <formula>#REF!="TO"</formula>
    </cfRule>
    <cfRule type="expression" dxfId="2730" priority="1976">
      <formula>#REF!="IO"</formula>
    </cfRule>
    <cfRule type="expression" dxfId="2729" priority="1977">
      <formula>#REF!="L"</formula>
    </cfRule>
  </conditionalFormatting>
  <conditionalFormatting sqref="Q21:T28">
    <cfRule type="expression" dxfId="2728" priority="1966">
      <formula>#REF!="TO"</formula>
    </cfRule>
    <cfRule type="expression" dxfId="2727" priority="1967">
      <formula>#REF!="IO"</formula>
    </cfRule>
    <cfRule type="expression" dxfId="2726" priority="1968">
      <formula>#REF!="L"</formula>
    </cfRule>
  </conditionalFormatting>
  <conditionalFormatting sqref="Q20:T20">
    <cfRule type="expression" dxfId="2725" priority="1969">
      <formula>#REF!="TO"</formula>
    </cfRule>
    <cfRule type="expression" dxfId="2724" priority="1970">
      <formula>#REF!="IO"</formula>
    </cfRule>
    <cfRule type="expression" dxfId="2723" priority="1971">
      <formula>#REF!="L"</formula>
    </cfRule>
  </conditionalFormatting>
  <conditionalFormatting sqref="Q43:T43">
    <cfRule type="expression" dxfId="2722" priority="1957">
      <formula>#REF!="TO"</formula>
    </cfRule>
    <cfRule type="expression" dxfId="2721" priority="1958">
      <formula>#REF!="IO"</formula>
    </cfRule>
    <cfRule type="expression" dxfId="2720" priority="1959">
      <formula>#REF!="L"</formula>
    </cfRule>
  </conditionalFormatting>
  <conditionalFormatting sqref="Q44:T44">
    <cfRule type="expression" dxfId="2719" priority="1954">
      <formula>#REF!="TO"</formula>
    </cfRule>
    <cfRule type="expression" dxfId="2718" priority="1955">
      <formula>#REF!="IO"</formula>
    </cfRule>
    <cfRule type="expression" dxfId="2717" priority="1956">
      <formula>#REF!="L"</formula>
    </cfRule>
  </conditionalFormatting>
  <conditionalFormatting sqref="Q42:T42">
    <cfRule type="expression" dxfId="2716" priority="1960">
      <formula>#REF!="TO"</formula>
    </cfRule>
    <cfRule type="expression" dxfId="2715" priority="1961">
      <formula>#REF!="IO"</formula>
    </cfRule>
    <cfRule type="expression" dxfId="2714" priority="1962">
      <formula>#REF!="L"</formula>
    </cfRule>
  </conditionalFormatting>
  <conditionalFormatting sqref="Q41:T41">
    <cfRule type="expression" dxfId="2713" priority="1963">
      <formula>#REF!="TO"</formula>
    </cfRule>
    <cfRule type="expression" dxfId="2712" priority="1964">
      <formula>#REF!="IO"</formula>
    </cfRule>
    <cfRule type="expression" dxfId="2711" priority="1965">
      <formula>#REF!="L"</formula>
    </cfRule>
  </conditionalFormatting>
  <conditionalFormatting sqref="Q46:T46">
    <cfRule type="expression" dxfId="2710" priority="1948">
      <formula>#REF!="TO"</formula>
    </cfRule>
    <cfRule type="expression" dxfId="2709" priority="1949">
      <formula>#REF!="IO"</formula>
    </cfRule>
    <cfRule type="expression" dxfId="2708" priority="1950">
      <formula>#REF!="L"</formula>
    </cfRule>
  </conditionalFormatting>
  <conditionalFormatting sqref="Q45:T45">
    <cfRule type="expression" dxfId="2707" priority="1951">
      <formula>#REF!="TO"</formula>
    </cfRule>
    <cfRule type="expression" dxfId="2706" priority="1952">
      <formula>#REF!="IO"</formula>
    </cfRule>
    <cfRule type="expression" dxfId="2705" priority="1953">
      <formula>#REF!="L"</formula>
    </cfRule>
  </conditionalFormatting>
  <conditionalFormatting sqref="Q48:T48">
    <cfRule type="expression" dxfId="2704" priority="1942">
      <formula>#REF!="TO"</formula>
    </cfRule>
    <cfRule type="expression" dxfId="2703" priority="1943">
      <formula>#REF!="IO"</formula>
    </cfRule>
    <cfRule type="expression" dxfId="2702" priority="1944">
      <formula>#REF!="L"</formula>
    </cfRule>
  </conditionalFormatting>
  <conditionalFormatting sqref="Q47:T47">
    <cfRule type="expression" dxfId="2701" priority="1945">
      <formula>#REF!="TO"</formula>
    </cfRule>
    <cfRule type="expression" dxfId="2700" priority="1946">
      <formula>#REF!="IO"</formula>
    </cfRule>
    <cfRule type="expression" dxfId="2699" priority="1947">
      <formula>#REF!="L"</formula>
    </cfRule>
  </conditionalFormatting>
  <conditionalFormatting sqref="P4">
    <cfRule type="expression" dxfId="2698" priority="1921">
      <formula>#REF!="TO"</formula>
    </cfRule>
    <cfRule type="expression" dxfId="2697" priority="1922">
      <formula>#REF!="IO"</formula>
    </cfRule>
    <cfRule type="expression" dxfId="2696" priority="1923">
      <formula>#REF!="L"</formula>
    </cfRule>
    <cfRule type="expression" dxfId="2695" priority="1924">
      <formula>#REF!="TO"</formula>
    </cfRule>
    <cfRule type="expression" dxfId="2694" priority="1925">
      <formula>#REF!="IO"</formula>
    </cfRule>
    <cfRule type="expression" dxfId="2693" priority="1926">
      <formula>#REF!="L"</formula>
    </cfRule>
  </conditionalFormatting>
  <conditionalFormatting sqref="Q50:T85">
    <cfRule type="expression" dxfId="2692" priority="1936">
      <formula>#REF!="TO"</formula>
    </cfRule>
    <cfRule type="expression" dxfId="2691" priority="1937">
      <formula>#REF!="IO"</formula>
    </cfRule>
    <cfRule type="expression" dxfId="2690" priority="1938">
      <formula>#REF!="L"</formula>
    </cfRule>
  </conditionalFormatting>
  <conditionalFormatting sqref="Q27:T28">
    <cfRule type="expression" dxfId="2689" priority="1930">
      <formula>#REF!="TO"</formula>
    </cfRule>
    <cfRule type="expression" dxfId="2688" priority="1931">
      <formula>#REF!="IO"</formula>
    </cfRule>
    <cfRule type="expression" dxfId="2687" priority="1932">
      <formula>#REF!="L"</formula>
    </cfRule>
    <cfRule type="expression" dxfId="2686" priority="1927">
      <formula>#REF!="TO"</formula>
    </cfRule>
    <cfRule type="expression" dxfId="2685" priority="1928">
      <formula>#REF!="IO"</formula>
    </cfRule>
    <cfRule type="expression" dxfId="2684" priority="1929">
      <formula>#REF!="L"</formula>
    </cfRule>
  </conditionalFormatting>
  <conditionalFormatting sqref="U13">
    <cfRule type="expression" dxfId="2683" priority="1804">
      <formula>#REF!="TO"</formula>
    </cfRule>
    <cfRule type="expression" dxfId="2682" priority="1805">
      <formula>#REF!="IO"</formula>
    </cfRule>
    <cfRule type="expression" dxfId="2681" priority="1806">
      <formula>#REF!="L"</formula>
    </cfRule>
  </conditionalFormatting>
  <conditionalFormatting sqref="P5">
    <cfRule type="expression" dxfId="2680" priority="1915">
      <formula>#REF!="TO"</formula>
    </cfRule>
    <cfRule type="expression" dxfId="2679" priority="1916">
      <formula>#REF!="IO"</formula>
    </cfRule>
    <cfRule type="expression" dxfId="2678" priority="1917">
      <formula>#REF!="L"</formula>
    </cfRule>
    <cfRule type="expression" dxfId="2677" priority="1918">
      <formula>#REF!="TO"</formula>
    </cfRule>
    <cfRule type="expression" dxfId="2676" priority="1919">
      <formula>#REF!="IO"</formula>
    </cfRule>
    <cfRule type="expression" dxfId="2675" priority="1920">
      <formula>#REF!="L"</formula>
    </cfRule>
  </conditionalFormatting>
  <conditionalFormatting sqref="P6">
    <cfRule type="expression" dxfId="2674" priority="1909">
      <formula>#REF!="TO"</formula>
    </cfRule>
    <cfRule type="expression" dxfId="2673" priority="1910">
      <formula>#REF!="IO"</formula>
    </cfRule>
    <cfRule type="expression" dxfId="2672" priority="1911">
      <formula>#REF!="L"</formula>
    </cfRule>
    <cfRule type="expression" dxfId="2671" priority="1912">
      <formula>#REF!="TO"</formula>
    </cfRule>
    <cfRule type="expression" dxfId="2670" priority="1913">
      <formula>#REF!="IO"</formula>
    </cfRule>
    <cfRule type="expression" dxfId="2669" priority="1914">
      <formula>#REF!="L"</formula>
    </cfRule>
  </conditionalFormatting>
  <conditionalFormatting sqref="P7">
    <cfRule type="expression" dxfId="2668" priority="1906">
      <formula>#REF!="TO"</formula>
    </cfRule>
    <cfRule type="expression" dxfId="2667" priority="1907">
      <formula>#REF!="IO"</formula>
    </cfRule>
    <cfRule type="expression" dxfId="2666" priority="1908">
      <formula>#REF!="L"</formula>
    </cfRule>
    <cfRule type="expression" dxfId="2665" priority="1903">
      <formula>#REF!="TO"</formula>
    </cfRule>
    <cfRule type="expression" dxfId="2664" priority="1904">
      <formula>#REF!="IO"</formula>
    </cfRule>
    <cfRule type="expression" dxfId="2663" priority="1905">
      <formula>#REF!="L"</formula>
    </cfRule>
  </conditionalFormatting>
  <conditionalFormatting sqref="P8:P11">
    <cfRule type="expression" dxfId="2662" priority="1900">
      <formula>#REF!="TO"</formula>
    </cfRule>
    <cfRule type="expression" dxfId="2661" priority="1901">
      <formula>#REF!="IO"</formula>
    </cfRule>
    <cfRule type="expression" dxfId="2660" priority="1902">
      <formula>#REF!="L"</formula>
    </cfRule>
    <cfRule type="expression" dxfId="2659" priority="1897">
      <formula>#REF!="TO"</formula>
    </cfRule>
    <cfRule type="expression" dxfId="2658" priority="1898">
      <formula>#REF!="IO"</formula>
    </cfRule>
    <cfRule type="expression" dxfId="2657" priority="1899">
      <formula>#REF!="L"</formula>
    </cfRule>
  </conditionalFormatting>
  <conditionalFormatting sqref="P2:T3">
    <cfRule type="expression" dxfId="2656" priority="2014">
      <formula>#REF!="TO"</formula>
    </cfRule>
    <cfRule type="expression" dxfId="2655" priority="2015">
      <formula>#REF!="IO"</formula>
    </cfRule>
    <cfRule type="expression" dxfId="2654" priority="2016">
      <formula>#REF!="L"</formula>
    </cfRule>
  </conditionalFormatting>
  <conditionalFormatting sqref="Q35:T35 Q22:T28 Q37:T40">
    <cfRule type="expression" dxfId="2653" priority="2011">
      <formula>#REF!="TO"</formula>
    </cfRule>
    <cfRule type="expression" dxfId="2652" priority="2012">
      <formula>#REF!="IO"</formula>
    </cfRule>
    <cfRule type="expression" dxfId="2651" priority="2013">
      <formula>#REF!="L"</formula>
    </cfRule>
  </conditionalFormatting>
  <conditionalFormatting sqref="Q4:T4">
    <cfRule type="expression" dxfId="2650" priority="2008">
      <formula>#REF!="TO"</formula>
    </cfRule>
    <cfRule type="expression" dxfId="2649" priority="2009">
      <formula>#REF!="IO"</formula>
    </cfRule>
    <cfRule type="expression" dxfId="2648" priority="2010">
      <formula>#REF!="L"</formula>
    </cfRule>
  </conditionalFormatting>
  <conditionalFormatting sqref="Q5:T5">
    <cfRule type="expression" dxfId="2647" priority="2005">
      <formula>#REF!="TO"</formula>
    </cfRule>
    <cfRule type="expression" dxfId="2646" priority="2006">
      <formula>#REF!="IO"</formula>
    </cfRule>
    <cfRule type="expression" dxfId="2645" priority="2007">
      <formula>#REF!="L"</formula>
    </cfRule>
  </conditionalFormatting>
  <conditionalFormatting sqref="Q6:T6">
    <cfRule type="expression" dxfId="2644" priority="2002">
      <formula>#REF!="TO"</formula>
    </cfRule>
    <cfRule type="expression" dxfId="2643" priority="2003">
      <formula>#REF!="IO"</formula>
    </cfRule>
    <cfRule type="expression" dxfId="2642" priority="2004">
      <formula>#REF!="L"</formula>
    </cfRule>
  </conditionalFormatting>
  <conditionalFormatting sqref="Q7:T7">
    <cfRule type="expression" dxfId="2641" priority="1999">
      <formula>#REF!="TO"</formula>
    </cfRule>
    <cfRule type="expression" dxfId="2640" priority="2000">
      <formula>#REF!="IO"</formula>
    </cfRule>
    <cfRule type="expression" dxfId="2639" priority="2001">
      <formula>#REF!="L"</formula>
    </cfRule>
  </conditionalFormatting>
  <conditionalFormatting sqref="Q8:T11">
    <cfRule type="expression" dxfId="2638" priority="1996">
      <formula>#REF!="TO"</formula>
    </cfRule>
    <cfRule type="expression" dxfId="2637" priority="1997">
      <formula>#REF!="IO"</formula>
    </cfRule>
    <cfRule type="expression" dxfId="2636" priority="1998">
      <formula>#REF!="L"</formula>
    </cfRule>
  </conditionalFormatting>
  <conditionalFormatting sqref="Q14:T14">
    <cfRule type="expression" dxfId="2635" priority="1987">
      <formula>#REF!="TO"</formula>
    </cfRule>
    <cfRule type="expression" dxfId="2634" priority="1988">
      <formula>#REF!="IO"</formula>
    </cfRule>
    <cfRule type="expression" dxfId="2633" priority="1989">
      <formula>#REF!="L"</formula>
    </cfRule>
  </conditionalFormatting>
  <conditionalFormatting sqref="Q16:T16">
    <cfRule type="expression" dxfId="2632" priority="1981">
      <formula>#REF!="TO"</formula>
    </cfRule>
    <cfRule type="expression" dxfId="2631" priority="1982">
      <formula>#REF!="IO"</formula>
    </cfRule>
    <cfRule type="expression" dxfId="2630" priority="1983">
      <formula>#REF!="L"</formula>
    </cfRule>
  </conditionalFormatting>
  <conditionalFormatting sqref="Q49:T49">
    <cfRule type="expression" dxfId="2629" priority="1939">
      <formula>#REF!="TO"</formula>
    </cfRule>
    <cfRule type="expression" dxfId="2628" priority="1940">
      <formula>#REF!="IO"</formula>
    </cfRule>
    <cfRule type="expression" dxfId="2627" priority="1941">
      <formula>#REF!="L"</formula>
    </cfRule>
  </conditionalFormatting>
  <conditionalFormatting sqref="P12">
    <cfRule type="expression" dxfId="2626" priority="1891">
      <formula>#REF!="TO"</formula>
    </cfRule>
    <cfRule type="expression" dxfId="2625" priority="1892">
      <formula>#REF!="IO"</formula>
    </cfRule>
    <cfRule type="expression" dxfId="2624" priority="1893">
      <formula>#REF!="L"</formula>
    </cfRule>
    <cfRule type="expression" dxfId="2623" priority="1894">
      <formula>#REF!="TO"</formula>
    </cfRule>
    <cfRule type="expression" dxfId="2622" priority="1895">
      <formula>#REF!="IO"</formula>
    </cfRule>
    <cfRule type="expression" dxfId="2621" priority="1896">
      <formula>#REF!="L"</formula>
    </cfRule>
  </conditionalFormatting>
  <conditionalFormatting sqref="P14">
    <cfRule type="expression" dxfId="2620" priority="1879">
      <formula>#REF!="TO"</formula>
    </cfRule>
    <cfRule type="expression" dxfId="2619" priority="1880">
      <formula>#REF!="IO"</formula>
    </cfRule>
    <cfRule type="expression" dxfId="2618" priority="1881">
      <formula>#REF!="L"</formula>
    </cfRule>
    <cfRule type="expression" dxfId="2617" priority="1882">
      <formula>#REF!="TO"</formula>
    </cfRule>
    <cfRule type="expression" dxfId="2616" priority="1883">
      <formula>#REF!="IO"</formula>
    </cfRule>
    <cfRule type="expression" dxfId="2615" priority="1884">
      <formula>#REF!="L"</formula>
    </cfRule>
  </conditionalFormatting>
  <conditionalFormatting sqref="P15">
    <cfRule type="expression" dxfId="2614" priority="1873">
      <formula>#REF!="TO"</formula>
    </cfRule>
    <cfRule type="expression" dxfId="2613" priority="1874">
      <formula>#REF!="IO"</formula>
    </cfRule>
    <cfRule type="expression" dxfId="2612" priority="1875">
      <formula>#REF!="L"</formula>
    </cfRule>
    <cfRule type="expression" dxfId="2611" priority="1876">
      <formula>#REF!="TO"</formula>
    </cfRule>
    <cfRule type="expression" dxfId="2610" priority="1877">
      <formula>#REF!="IO"</formula>
    </cfRule>
    <cfRule type="expression" dxfId="2609" priority="1878">
      <formula>#REF!="L"</formula>
    </cfRule>
  </conditionalFormatting>
  <conditionalFormatting sqref="P19">
    <cfRule type="expression" dxfId="2608" priority="1852">
      <formula>#REF!="TO"</formula>
    </cfRule>
    <cfRule type="expression" dxfId="2607" priority="1853">
      <formula>#REF!="IO"</formula>
    </cfRule>
    <cfRule type="expression" dxfId="2606" priority="1854">
      <formula>#REF!="L"</formula>
    </cfRule>
    <cfRule type="expression" dxfId="2605" priority="1849">
      <formula>#REF!="TO"</formula>
    </cfRule>
    <cfRule type="expression" dxfId="2604" priority="1850">
      <formula>#REF!="IO"</formula>
    </cfRule>
    <cfRule type="expression" dxfId="2603" priority="1851">
      <formula>#REF!="L"</formula>
    </cfRule>
  </conditionalFormatting>
  <conditionalFormatting sqref="P16">
    <cfRule type="expression" dxfId="2602" priority="1867">
      <formula>#REF!="TO"</formula>
    </cfRule>
    <cfRule type="expression" dxfId="2601" priority="1868">
      <formula>#REF!="IO"</formula>
    </cfRule>
    <cfRule type="expression" dxfId="2600" priority="1869">
      <formula>#REF!="L"</formula>
    </cfRule>
    <cfRule type="expression" dxfId="2599" priority="1870">
      <formula>#REF!="TO"</formula>
    </cfRule>
    <cfRule type="expression" dxfId="2598" priority="1871">
      <formula>#REF!="IO"</formula>
    </cfRule>
    <cfRule type="expression" dxfId="2597" priority="1872">
      <formula>#REF!="L"</formula>
    </cfRule>
  </conditionalFormatting>
  <conditionalFormatting sqref="P17">
    <cfRule type="expression" dxfId="2596" priority="1861">
      <formula>#REF!="TO"</formula>
    </cfRule>
    <cfRule type="expression" dxfId="2595" priority="1862">
      <formula>#REF!="IO"</formula>
    </cfRule>
    <cfRule type="expression" dxfId="2594" priority="1863">
      <formula>#REF!="L"</formula>
    </cfRule>
    <cfRule type="expression" dxfId="2593" priority="1864">
      <formula>#REF!="TO"</formula>
    </cfRule>
    <cfRule type="expression" dxfId="2592" priority="1865">
      <formula>#REF!="IO"</formula>
    </cfRule>
    <cfRule type="expression" dxfId="2591" priority="1866">
      <formula>#REF!="L"</formula>
    </cfRule>
  </conditionalFormatting>
  <conditionalFormatting sqref="P18">
    <cfRule type="expression" dxfId="2590" priority="1855">
      <formula>#REF!="TO"</formula>
    </cfRule>
    <cfRule type="expression" dxfId="2589" priority="1856">
      <formula>#REF!="IO"</formula>
    </cfRule>
    <cfRule type="expression" dxfId="2588" priority="1857">
      <formula>#REF!="L"</formula>
    </cfRule>
    <cfRule type="expression" dxfId="2587" priority="1858">
      <formula>#REF!="TO"</formula>
    </cfRule>
    <cfRule type="expression" dxfId="2586" priority="1859">
      <formula>#REF!="IO"</formula>
    </cfRule>
    <cfRule type="expression" dxfId="2585" priority="1860">
      <formula>#REF!="L"</formula>
    </cfRule>
  </conditionalFormatting>
  <conditionalFormatting sqref="P20">
    <cfRule type="expression" dxfId="2584" priority="1843">
      <formula>#REF!="TO"</formula>
    </cfRule>
    <cfRule type="expression" dxfId="2583" priority="1844">
      <formula>#REF!="IO"</formula>
    </cfRule>
    <cfRule type="expression" dxfId="2582" priority="1845">
      <formula>#REF!="L"</formula>
    </cfRule>
    <cfRule type="expression" dxfId="2581" priority="1846">
      <formula>#REF!="TO"</formula>
    </cfRule>
    <cfRule type="expression" dxfId="2580" priority="1847">
      <formula>#REF!="IO"</formula>
    </cfRule>
    <cfRule type="expression" dxfId="2579" priority="1848">
      <formula>#REF!="L"</formula>
    </cfRule>
  </conditionalFormatting>
  <conditionalFormatting sqref="P21">
    <cfRule type="expression" dxfId="2578" priority="1840">
      <formula>#REF!="TO"</formula>
    </cfRule>
    <cfRule type="expression" dxfId="2577" priority="1841">
      <formula>#REF!="IO"</formula>
    </cfRule>
    <cfRule type="expression" dxfId="2576" priority="1842">
      <formula>#REF!="L"</formula>
    </cfRule>
    <cfRule type="expression" dxfId="2575" priority="1837">
      <formula>#REF!="TO"</formula>
    </cfRule>
    <cfRule type="expression" dxfId="2574" priority="1838">
      <formula>#REF!="IO"</formula>
    </cfRule>
    <cfRule type="expression" dxfId="2573" priority="1839">
      <formula>#REF!="L"</formula>
    </cfRule>
  </conditionalFormatting>
  <conditionalFormatting sqref="U2:U3">
    <cfRule type="expression" dxfId="2572" priority="1828">
      <formula>#REF!="TO"</formula>
    </cfRule>
    <cfRule type="expression" dxfId="2571" priority="1829">
      <formula>#REF!="IO"</formula>
    </cfRule>
    <cfRule type="expression" dxfId="2570" priority="1830">
      <formula>#REF!="L"</formula>
    </cfRule>
  </conditionalFormatting>
  <conditionalFormatting sqref="U35 U22:U28 U37:U40">
    <cfRule type="expression" dxfId="2569" priority="1825">
      <formula>#REF!="TO"</formula>
    </cfRule>
    <cfRule type="expression" dxfId="2568" priority="1826">
      <formula>#REF!="IO"</formula>
    </cfRule>
    <cfRule type="expression" dxfId="2567" priority="1827">
      <formula>#REF!="L"</formula>
    </cfRule>
  </conditionalFormatting>
  <conditionalFormatting sqref="U4">
    <cfRule type="expression" dxfId="2566" priority="1822">
      <formula>#REF!="TO"</formula>
    </cfRule>
    <cfRule type="expression" dxfId="2565" priority="1823">
      <formula>#REF!="IO"</formula>
    </cfRule>
    <cfRule type="expression" dxfId="2564" priority="1824">
      <formula>#REF!="L"</formula>
    </cfRule>
  </conditionalFormatting>
  <conditionalFormatting sqref="U5">
    <cfRule type="expression" dxfId="2563" priority="1819">
      <formula>#REF!="TO"</formula>
    </cfRule>
    <cfRule type="expression" dxfId="2562" priority="1820">
      <formula>#REF!="IO"</formula>
    </cfRule>
    <cfRule type="expression" dxfId="2561" priority="1821">
      <formula>#REF!="L"</formula>
    </cfRule>
  </conditionalFormatting>
  <conditionalFormatting sqref="U6">
    <cfRule type="expression" dxfId="2560" priority="1816">
      <formula>#REF!="TO"</formula>
    </cfRule>
    <cfRule type="expression" dxfId="2559" priority="1817">
      <formula>#REF!="IO"</formula>
    </cfRule>
    <cfRule type="expression" dxfId="2558" priority="1818">
      <formula>#REF!="L"</formula>
    </cfRule>
  </conditionalFormatting>
  <conditionalFormatting sqref="U7">
    <cfRule type="expression" dxfId="2557" priority="1813">
      <formula>#REF!="TO"</formula>
    </cfRule>
    <cfRule type="expression" dxfId="2556" priority="1814">
      <formula>#REF!="IO"</formula>
    </cfRule>
    <cfRule type="expression" dxfId="2555" priority="1815">
      <formula>#REF!="L"</formula>
    </cfRule>
  </conditionalFormatting>
  <conditionalFormatting sqref="U8:U11">
    <cfRule type="expression" dxfId="2554" priority="1810">
      <formula>#REF!="TO"</formula>
    </cfRule>
    <cfRule type="expression" dxfId="2553" priority="1811">
      <formula>#REF!="IO"</formula>
    </cfRule>
    <cfRule type="expression" dxfId="2552" priority="1812">
      <formula>#REF!="L"</formula>
    </cfRule>
  </conditionalFormatting>
  <conditionalFormatting sqref="U12">
    <cfRule type="expression" dxfId="2551" priority="1807">
      <formula>#REF!="TO"</formula>
    </cfRule>
    <cfRule type="expression" dxfId="2550" priority="1808">
      <formula>#REF!="IO"</formula>
    </cfRule>
    <cfRule type="expression" dxfId="2549" priority="1809">
      <formula>#REF!="L"</formula>
    </cfRule>
  </conditionalFormatting>
  <conditionalFormatting sqref="U14">
    <cfRule type="expression" dxfId="2548" priority="1801">
      <formula>#REF!="TO"</formula>
    </cfRule>
    <cfRule type="expression" dxfId="2547" priority="1802">
      <formula>#REF!="IO"</formula>
    </cfRule>
    <cfRule type="expression" dxfId="2546" priority="1803">
      <formula>#REF!="L"</formula>
    </cfRule>
  </conditionalFormatting>
  <conditionalFormatting sqref="U15">
    <cfRule type="expression" dxfId="2545" priority="1798">
      <formula>#REF!="TO"</formula>
    </cfRule>
    <cfRule type="expression" dxfId="2544" priority="1799">
      <formula>#REF!="IO"</formula>
    </cfRule>
    <cfRule type="expression" dxfId="2543" priority="1800">
      <formula>#REF!="L"</formula>
    </cfRule>
  </conditionalFormatting>
  <conditionalFormatting sqref="U19">
    <cfRule type="expression" dxfId="2542" priority="1786">
      <formula>#REF!="TO"</formula>
    </cfRule>
    <cfRule type="expression" dxfId="2541" priority="1787">
      <formula>#REF!="IO"</formula>
    </cfRule>
    <cfRule type="expression" dxfId="2540" priority="1788">
      <formula>#REF!="L"</formula>
    </cfRule>
  </conditionalFormatting>
  <conditionalFormatting sqref="U16">
    <cfRule type="expression" dxfId="2539" priority="1795">
      <formula>#REF!="TO"</formula>
    </cfRule>
    <cfRule type="expression" dxfId="2538" priority="1796">
      <formula>#REF!="IO"</formula>
    </cfRule>
    <cfRule type="expression" dxfId="2537" priority="1797">
      <formula>#REF!="L"</formula>
    </cfRule>
  </conditionalFormatting>
  <conditionalFormatting sqref="U17">
    <cfRule type="expression" dxfId="2536" priority="1792">
      <formula>#REF!="TO"</formula>
    </cfRule>
    <cfRule type="expression" dxfId="2535" priority="1793">
      <formula>#REF!="IO"</formula>
    </cfRule>
    <cfRule type="expression" dxfId="2534" priority="1794">
      <formula>#REF!="L"</formula>
    </cfRule>
  </conditionalFormatting>
  <conditionalFormatting sqref="U18">
    <cfRule type="expression" dxfId="2533" priority="1789">
      <formula>#REF!="TO"</formula>
    </cfRule>
    <cfRule type="expression" dxfId="2532" priority="1790">
      <formula>#REF!="IO"</formula>
    </cfRule>
    <cfRule type="expression" dxfId="2531" priority="1791">
      <formula>#REF!="L"</formula>
    </cfRule>
  </conditionalFormatting>
  <conditionalFormatting sqref="U20">
    <cfRule type="expression" dxfId="2530" priority="1783">
      <formula>#REF!="TO"</formula>
    </cfRule>
    <cfRule type="expression" dxfId="2529" priority="1784">
      <formula>#REF!="IO"</formula>
    </cfRule>
    <cfRule type="expression" dxfId="2528" priority="1785">
      <formula>#REF!="L"</formula>
    </cfRule>
  </conditionalFormatting>
  <conditionalFormatting sqref="U21:U28">
    <cfRule type="expression" dxfId="2527" priority="1780">
      <formula>#REF!="TO"</formula>
    </cfRule>
    <cfRule type="expression" dxfId="2526" priority="1781">
      <formula>#REF!="IO"</formula>
    </cfRule>
    <cfRule type="expression" dxfId="2525" priority="1782">
      <formula>#REF!="L"</formula>
    </cfRule>
  </conditionalFormatting>
  <conditionalFormatting sqref="U41">
    <cfRule type="expression" dxfId="2524" priority="1777">
      <formula>#REF!="TO"</formula>
    </cfRule>
    <cfRule type="expression" dxfId="2523" priority="1778">
      <formula>#REF!="IO"</formula>
    </cfRule>
    <cfRule type="expression" dxfId="2522" priority="1779">
      <formula>#REF!="L"</formula>
    </cfRule>
  </conditionalFormatting>
  <conditionalFormatting sqref="U42">
    <cfRule type="expression" dxfId="2521" priority="1774">
      <formula>#REF!="TO"</formula>
    </cfRule>
    <cfRule type="expression" dxfId="2520" priority="1775">
      <formula>#REF!="IO"</formula>
    </cfRule>
    <cfRule type="expression" dxfId="2519" priority="1776">
      <formula>#REF!="L"</formula>
    </cfRule>
  </conditionalFormatting>
  <conditionalFormatting sqref="U43">
    <cfRule type="expression" dxfId="2518" priority="1771">
      <formula>#REF!="TO"</formula>
    </cfRule>
    <cfRule type="expression" dxfId="2517" priority="1772">
      <formula>#REF!="IO"</formula>
    </cfRule>
    <cfRule type="expression" dxfId="2516" priority="1773">
      <formula>#REF!="L"</formula>
    </cfRule>
  </conditionalFormatting>
  <conditionalFormatting sqref="U44">
    <cfRule type="expression" dxfId="2515" priority="1768">
      <formula>#REF!="TO"</formula>
    </cfRule>
    <cfRule type="expression" dxfId="2514" priority="1769">
      <formula>#REF!="IO"</formula>
    </cfRule>
    <cfRule type="expression" dxfId="2513" priority="1770">
      <formula>#REF!="L"</formula>
    </cfRule>
  </conditionalFormatting>
  <conditionalFormatting sqref="U45">
    <cfRule type="expression" dxfId="2512" priority="1765">
      <formula>#REF!="TO"</formula>
    </cfRule>
    <cfRule type="expression" dxfId="2511" priority="1766">
      <formula>#REF!="IO"</formula>
    </cfRule>
    <cfRule type="expression" dxfId="2510" priority="1767">
      <formula>#REF!="L"</formula>
    </cfRule>
  </conditionalFormatting>
  <conditionalFormatting sqref="U46">
    <cfRule type="expression" dxfId="2509" priority="1762">
      <formula>#REF!="TO"</formula>
    </cfRule>
    <cfRule type="expression" dxfId="2508" priority="1763">
      <formula>#REF!="IO"</formula>
    </cfRule>
    <cfRule type="expression" dxfId="2507" priority="1764">
      <formula>#REF!="L"</formula>
    </cfRule>
  </conditionalFormatting>
  <conditionalFormatting sqref="U47">
    <cfRule type="expression" dxfId="2506" priority="1759">
      <formula>#REF!="TO"</formula>
    </cfRule>
    <cfRule type="expression" dxfId="2505" priority="1760">
      <formula>#REF!="IO"</formula>
    </cfRule>
    <cfRule type="expression" dxfId="2504" priority="1761">
      <formula>#REF!="L"</formula>
    </cfRule>
  </conditionalFormatting>
  <conditionalFormatting sqref="U48">
    <cfRule type="expression" dxfId="2503" priority="1756">
      <formula>#REF!="TO"</formula>
    </cfRule>
    <cfRule type="expression" dxfId="2502" priority="1757">
      <formula>#REF!="IO"</formula>
    </cfRule>
    <cfRule type="expression" dxfId="2501" priority="1758">
      <formula>#REF!="L"</formula>
    </cfRule>
  </conditionalFormatting>
  <conditionalFormatting sqref="U49">
    <cfRule type="expression" dxfId="2500" priority="1753">
      <formula>#REF!="TO"</formula>
    </cfRule>
    <cfRule type="expression" dxfId="2499" priority="1754">
      <formula>#REF!="IO"</formula>
    </cfRule>
    <cfRule type="expression" dxfId="2498" priority="1755">
      <formula>#REF!="L"</formula>
    </cfRule>
  </conditionalFormatting>
  <conditionalFormatting sqref="U50:U85">
    <cfRule type="expression" dxfId="2497" priority="1750">
      <formula>#REF!="TO"</formula>
    </cfRule>
    <cfRule type="expression" dxfId="2496" priority="1751">
      <formula>#REF!="IO"</formula>
    </cfRule>
    <cfRule type="expression" dxfId="2495" priority="1752">
      <formula>#REF!="L"</formula>
    </cfRule>
  </conditionalFormatting>
  <conditionalFormatting sqref="AB15">
    <cfRule type="expression" dxfId="2494" priority="1618">
      <formula>#REF!="TO"</formula>
    </cfRule>
    <cfRule type="expression" dxfId="2493" priority="1619">
      <formula>#REF!="IO"</formula>
    </cfRule>
    <cfRule type="expression" dxfId="2492" priority="1620">
      <formula>#REF!="L"</formula>
    </cfRule>
  </conditionalFormatting>
  <conditionalFormatting sqref="U27:U28">
    <cfRule type="expression" dxfId="2491" priority="1744">
      <formula>#REF!="TO"</formula>
    </cfRule>
    <cfRule type="expression" dxfId="2490" priority="1745">
      <formula>#REF!="IO"</formula>
    </cfRule>
    <cfRule type="expression" dxfId="2489" priority="1746">
      <formula>#REF!="L"</formula>
    </cfRule>
    <cfRule type="expression" dxfId="2488" priority="1741">
      <formula>#REF!="TO"</formula>
    </cfRule>
    <cfRule type="expression" dxfId="2487" priority="1742">
      <formula>#REF!="IO"</formula>
    </cfRule>
    <cfRule type="expression" dxfId="2486" priority="1743">
      <formula>#REF!="L"</formula>
    </cfRule>
  </conditionalFormatting>
  <conditionalFormatting sqref="V8:V11">
    <cfRule type="expression" dxfId="2485" priority="1528">
      <formula>#REF!="TO"</formula>
    </cfRule>
    <cfRule type="expression" dxfId="2484" priority="1529">
      <formula>#REF!="IO"</formula>
    </cfRule>
    <cfRule type="expression" dxfId="2483" priority="1530">
      <formula>#REF!="L"</formula>
    </cfRule>
    <cfRule type="expression" dxfId="2482" priority="1531">
      <formula>#REF!="TO"</formula>
    </cfRule>
    <cfRule type="expression" dxfId="2481" priority="1532">
      <formula>#REF!="IO"</formula>
    </cfRule>
    <cfRule type="expression" dxfId="2480" priority="1533">
      <formula>#REF!="L"</formula>
    </cfRule>
  </conditionalFormatting>
  <conditionalFormatting sqref="AB2:AB3">
    <cfRule type="expression" dxfId="2479" priority="1648">
      <formula>#REF!="TO"</formula>
    </cfRule>
    <cfRule type="expression" dxfId="2478" priority="1649">
      <formula>#REF!="IO"</formula>
    </cfRule>
    <cfRule type="expression" dxfId="2477" priority="1650">
      <formula>#REF!="L"</formula>
    </cfRule>
  </conditionalFormatting>
  <conditionalFormatting sqref="AB35 AB22:AB28 AB37:AB40">
    <cfRule type="expression" dxfId="2476" priority="1645">
      <formula>#REF!="TO"</formula>
    </cfRule>
    <cfRule type="expression" dxfId="2475" priority="1646">
      <formula>#REF!="IO"</formula>
    </cfRule>
    <cfRule type="expression" dxfId="2474" priority="1647">
      <formula>#REF!="L"</formula>
    </cfRule>
  </conditionalFormatting>
  <conditionalFormatting sqref="AB4">
    <cfRule type="expression" dxfId="2473" priority="1642">
      <formula>#REF!="TO"</formula>
    </cfRule>
    <cfRule type="expression" dxfId="2472" priority="1643">
      <formula>#REF!="IO"</formula>
    </cfRule>
    <cfRule type="expression" dxfId="2471" priority="1644">
      <formula>#REF!="L"</formula>
    </cfRule>
  </conditionalFormatting>
  <conditionalFormatting sqref="AB5">
    <cfRule type="expression" dxfId="2470" priority="1639">
      <formula>#REF!="TO"</formula>
    </cfRule>
    <cfRule type="expression" dxfId="2469" priority="1640">
      <formula>#REF!="IO"</formula>
    </cfRule>
    <cfRule type="expression" dxfId="2468" priority="1641">
      <formula>#REF!="L"</formula>
    </cfRule>
  </conditionalFormatting>
  <conditionalFormatting sqref="AB6">
    <cfRule type="expression" dxfId="2467" priority="1636">
      <formula>#REF!="TO"</formula>
    </cfRule>
    <cfRule type="expression" dxfId="2466" priority="1637">
      <formula>#REF!="IO"</formula>
    </cfRule>
    <cfRule type="expression" dxfId="2465" priority="1638">
      <formula>#REF!="L"</formula>
    </cfRule>
  </conditionalFormatting>
  <conditionalFormatting sqref="AB7">
    <cfRule type="expression" dxfId="2464" priority="1633">
      <formula>#REF!="TO"</formula>
    </cfRule>
    <cfRule type="expression" dxfId="2463" priority="1634">
      <formula>#REF!="IO"</formula>
    </cfRule>
    <cfRule type="expression" dxfId="2462" priority="1635">
      <formula>#REF!="L"</formula>
    </cfRule>
  </conditionalFormatting>
  <conditionalFormatting sqref="AB8:AB11">
    <cfRule type="expression" dxfId="2461" priority="1630">
      <formula>#REF!="TO"</formula>
    </cfRule>
    <cfRule type="expression" dxfId="2460" priority="1631">
      <formula>#REF!="IO"</formula>
    </cfRule>
    <cfRule type="expression" dxfId="2459" priority="1632">
      <formula>#REF!="L"</formula>
    </cfRule>
  </conditionalFormatting>
  <conditionalFormatting sqref="AB13">
    <cfRule type="expression" dxfId="2458" priority="1624">
      <formula>#REF!="TO"</formula>
    </cfRule>
    <cfRule type="expression" dxfId="2457" priority="1625">
      <formula>#REF!="IO"</formula>
    </cfRule>
    <cfRule type="expression" dxfId="2456" priority="1626">
      <formula>#REF!="L"</formula>
    </cfRule>
  </conditionalFormatting>
  <conditionalFormatting sqref="AB12">
    <cfRule type="expression" dxfId="2455" priority="1627">
      <formula>#REF!="TO"</formula>
    </cfRule>
    <cfRule type="expression" dxfId="2454" priority="1628">
      <formula>#REF!="IO"</formula>
    </cfRule>
    <cfRule type="expression" dxfId="2453" priority="1629">
      <formula>#REF!="L"</formula>
    </cfRule>
  </conditionalFormatting>
  <conditionalFormatting sqref="AB14">
    <cfRule type="expression" dxfId="2452" priority="1621">
      <formula>#REF!="TO"</formula>
    </cfRule>
    <cfRule type="expression" dxfId="2451" priority="1622">
      <formula>#REF!="IO"</formula>
    </cfRule>
    <cfRule type="expression" dxfId="2450" priority="1623">
      <formula>#REF!="L"</formula>
    </cfRule>
  </conditionalFormatting>
  <conditionalFormatting sqref="AB19">
    <cfRule type="expression" dxfId="2449" priority="1606">
      <formula>#REF!="TO"</formula>
    </cfRule>
    <cfRule type="expression" dxfId="2448" priority="1607">
      <formula>#REF!="IO"</formula>
    </cfRule>
    <cfRule type="expression" dxfId="2447" priority="1608">
      <formula>#REF!="L"</formula>
    </cfRule>
  </conditionalFormatting>
  <conditionalFormatting sqref="AB16">
    <cfRule type="expression" dxfId="2446" priority="1615">
      <formula>#REF!="TO"</formula>
    </cfRule>
    <cfRule type="expression" dxfId="2445" priority="1616">
      <formula>#REF!="IO"</formula>
    </cfRule>
    <cfRule type="expression" dxfId="2444" priority="1617">
      <formula>#REF!="L"</formula>
    </cfRule>
  </conditionalFormatting>
  <conditionalFormatting sqref="AB17">
    <cfRule type="expression" dxfId="2443" priority="1612">
      <formula>#REF!="TO"</formula>
    </cfRule>
    <cfRule type="expression" dxfId="2442" priority="1613">
      <formula>#REF!="IO"</formula>
    </cfRule>
    <cfRule type="expression" dxfId="2441" priority="1614">
      <formula>#REF!="L"</formula>
    </cfRule>
  </conditionalFormatting>
  <conditionalFormatting sqref="AB18">
    <cfRule type="expression" dxfId="2440" priority="1609">
      <formula>#REF!="TO"</formula>
    </cfRule>
    <cfRule type="expression" dxfId="2439" priority="1610">
      <formula>#REF!="IO"</formula>
    </cfRule>
    <cfRule type="expression" dxfId="2438" priority="1611">
      <formula>#REF!="L"</formula>
    </cfRule>
  </conditionalFormatting>
  <conditionalFormatting sqref="AB20">
    <cfRule type="expression" dxfId="2437" priority="1603">
      <formula>#REF!="TO"</formula>
    </cfRule>
    <cfRule type="expression" dxfId="2436" priority="1604">
      <formula>#REF!="IO"</formula>
    </cfRule>
    <cfRule type="expression" dxfId="2435" priority="1605">
      <formula>#REF!="L"</formula>
    </cfRule>
  </conditionalFormatting>
  <conditionalFormatting sqref="AB21:AB28">
    <cfRule type="expression" dxfId="2434" priority="1600">
      <formula>#REF!="TO"</formula>
    </cfRule>
    <cfRule type="expression" dxfId="2433" priority="1601">
      <formula>#REF!="IO"</formula>
    </cfRule>
    <cfRule type="expression" dxfId="2432" priority="1602">
      <formula>#REF!="L"</formula>
    </cfRule>
  </conditionalFormatting>
  <conditionalFormatting sqref="AB41">
    <cfRule type="expression" dxfId="2431" priority="1597">
      <formula>#REF!="TO"</formula>
    </cfRule>
    <cfRule type="expression" dxfId="2430" priority="1598">
      <formula>#REF!="IO"</formula>
    </cfRule>
    <cfRule type="expression" dxfId="2429" priority="1599">
      <formula>#REF!="L"</formula>
    </cfRule>
  </conditionalFormatting>
  <conditionalFormatting sqref="AB42">
    <cfRule type="expression" dxfId="2428" priority="1594">
      <formula>#REF!="TO"</formula>
    </cfRule>
    <cfRule type="expression" dxfId="2427" priority="1595">
      <formula>#REF!="IO"</formula>
    </cfRule>
    <cfRule type="expression" dxfId="2426" priority="1596">
      <formula>#REF!="L"</formula>
    </cfRule>
  </conditionalFormatting>
  <conditionalFormatting sqref="AB43">
    <cfRule type="expression" dxfId="2425" priority="1591">
      <formula>#REF!="TO"</formula>
    </cfRule>
    <cfRule type="expression" dxfId="2424" priority="1592">
      <formula>#REF!="IO"</formula>
    </cfRule>
    <cfRule type="expression" dxfId="2423" priority="1593">
      <formula>#REF!="L"</formula>
    </cfRule>
  </conditionalFormatting>
  <conditionalFormatting sqref="AB44">
    <cfRule type="expression" dxfId="2422" priority="1588">
      <formula>#REF!="TO"</formula>
    </cfRule>
    <cfRule type="expression" dxfId="2421" priority="1589">
      <formula>#REF!="IO"</formula>
    </cfRule>
    <cfRule type="expression" dxfId="2420" priority="1590">
      <formula>#REF!="L"</formula>
    </cfRule>
  </conditionalFormatting>
  <conditionalFormatting sqref="AB45">
    <cfRule type="expression" dxfId="2419" priority="1585">
      <formula>#REF!="TO"</formula>
    </cfRule>
    <cfRule type="expression" dxfId="2418" priority="1586">
      <formula>#REF!="IO"</formula>
    </cfRule>
    <cfRule type="expression" dxfId="2417" priority="1587">
      <formula>#REF!="L"</formula>
    </cfRule>
  </conditionalFormatting>
  <conditionalFormatting sqref="AB46">
    <cfRule type="expression" dxfId="2416" priority="1582">
      <formula>#REF!="TO"</formula>
    </cfRule>
    <cfRule type="expression" dxfId="2415" priority="1583">
      <formula>#REF!="IO"</formula>
    </cfRule>
    <cfRule type="expression" dxfId="2414" priority="1584">
      <formula>#REF!="L"</formula>
    </cfRule>
  </conditionalFormatting>
  <conditionalFormatting sqref="AB47">
    <cfRule type="expression" dxfId="2413" priority="1579">
      <formula>#REF!="TO"</formula>
    </cfRule>
    <cfRule type="expression" dxfId="2412" priority="1580">
      <formula>#REF!="IO"</formula>
    </cfRule>
    <cfRule type="expression" dxfId="2411" priority="1581">
      <formula>#REF!="L"</formula>
    </cfRule>
  </conditionalFormatting>
  <conditionalFormatting sqref="AB48">
    <cfRule type="expression" dxfId="2410" priority="1576">
      <formula>#REF!="TO"</formula>
    </cfRule>
    <cfRule type="expression" dxfId="2409" priority="1577">
      <formula>#REF!="IO"</formula>
    </cfRule>
    <cfRule type="expression" dxfId="2408" priority="1578">
      <formula>#REF!="L"</formula>
    </cfRule>
  </conditionalFormatting>
  <conditionalFormatting sqref="AB49">
    <cfRule type="expression" dxfId="2407" priority="1573">
      <formula>#REF!="TO"</formula>
    </cfRule>
    <cfRule type="expression" dxfId="2406" priority="1574">
      <formula>#REF!="IO"</formula>
    </cfRule>
    <cfRule type="expression" dxfId="2405" priority="1575">
      <formula>#REF!="L"</formula>
    </cfRule>
  </conditionalFormatting>
  <conditionalFormatting sqref="AB50:AB85">
    <cfRule type="expression" dxfId="2404" priority="1570">
      <formula>#REF!="TO"</formula>
    </cfRule>
    <cfRule type="expression" dxfId="2403" priority="1571">
      <formula>#REF!="IO"</formula>
    </cfRule>
    <cfRule type="expression" dxfId="2402" priority="1572">
      <formula>#REF!="L"</formula>
    </cfRule>
  </conditionalFormatting>
  <conditionalFormatting sqref="AD47">
    <cfRule type="expression" dxfId="2401" priority="1300">
      <formula>#REF!="TO"</formula>
    </cfRule>
    <cfRule type="expression" dxfId="2400" priority="1301">
      <formula>#REF!="IO"</formula>
    </cfRule>
    <cfRule type="expression" dxfId="2399" priority="1302">
      <formula>#REF!="L"</formula>
    </cfRule>
  </conditionalFormatting>
  <conditionalFormatting sqref="AB27:AB28">
    <cfRule type="expression" dxfId="2398" priority="1564">
      <formula>#REF!="TO"</formula>
    </cfRule>
    <cfRule type="expression" dxfId="2397" priority="1565">
      <formula>#REF!="IO"</formula>
    </cfRule>
    <cfRule type="expression" dxfId="2396" priority="1566">
      <formula>#REF!="L"</formula>
    </cfRule>
    <cfRule type="expression" dxfId="2395" priority="1561">
      <formula>#REF!="TO"</formula>
    </cfRule>
    <cfRule type="expression" dxfId="2394" priority="1562">
      <formula>#REF!="IO"</formula>
    </cfRule>
    <cfRule type="expression" dxfId="2393" priority="1563">
      <formula>#REF!="L"</formula>
    </cfRule>
  </conditionalFormatting>
  <conditionalFormatting sqref="V2:V3">
    <cfRule type="expression" dxfId="2392" priority="1558">
      <formula>#REF!="TO"</formula>
    </cfRule>
    <cfRule type="expression" dxfId="2391" priority="1559">
      <formula>#REF!="IO"</formula>
    </cfRule>
    <cfRule type="expression" dxfId="2390" priority="1560">
      <formula>#REF!="L"</formula>
    </cfRule>
  </conditionalFormatting>
  <conditionalFormatting sqref="V4">
    <cfRule type="expression" dxfId="2389" priority="1552">
      <formula>#REF!="TO"</formula>
    </cfRule>
    <cfRule type="expression" dxfId="2388" priority="1553">
      <formula>#REF!="IO"</formula>
    </cfRule>
    <cfRule type="expression" dxfId="2387" priority="1554">
      <formula>#REF!="L"</formula>
    </cfRule>
    <cfRule type="expression" dxfId="2386" priority="1555">
      <formula>#REF!="TO"</formula>
    </cfRule>
    <cfRule type="expression" dxfId="2385" priority="1556">
      <formula>#REF!="IO"</formula>
    </cfRule>
    <cfRule type="expression" dxfId="2384" priority="1557">
      <formula>#REF!="L"</formula>
    </cfRule>
  </conditionalFormatting>
  <conditionalFormatting sqref="V5">
    <cfRule type="expression" dxfId="2383" priority="1546">
      <formula>#REF!="TO"</formula>
    </cfRule>
    <cfRule type="expression" dxfId="2382" priority="1547">
      <formula>#REF!="IO"</formula>
    </cfRule>
    <cfRule type="expression" dxfId="2381" priority="1548">
      <formula>#REF!="L"</formula>
    </cfRule>
    <cfRule type="expression" dxfId="2380" priority="1549">
      <formula>#REF!="TO"</formula>
    </cfRule>
    <cfRule type="expression" dxfId="2379" priority="1550">
      <formula>#REF!="IO"</formula>
    </cfRule>
    <cfRule type="expression" dxfId="2378" priority="1551">
      <formula>#REF!="L"</formula>
    </cfRule>
  </conditionalFormatting>
  <conditionalFormatting sqref="V6">
    <cfRule type="expression" dxfId="2377" priority="1540">
      <formula>#REF!="TO"</formula>
    </cfRule>
    <cfRule type="expression" dxfId="2376" priority="1541">
      <formula>#REF!="IO"</formula>
    </cfRule>
    <cfRule type="expression" dxfId="2375" priority="1542">
      <formula>#REF!="L"</formula>
    </cfRule>
    <cfRule type="expression" dxfId="2374" priority="1543">
      <formula>#REF!="TO"</formula>
    </cfRule>
    <cfRule type="expression" dxfId="2373" priority="1544">
      <formula>#REF!="IO"</formula>
    </cfRule>
    <cfRule type="expression" dxfId="2372" priority="1545">
      <formula>#REF!="L"</formula>
    </cfRule>
  </conditionalFormatting>
  <conditionalFormatting sqref="V7">
    <cfRule type="expression" dxfId="2371" priority="1534">
      <formula>#REF!="TO"</formula>
    </cfRule>
    <cfRule type="expression" dxfId="2370" priority="1535">
      <formula>#REF!="IO"</formula>
    </cfRule>
    <cfRule type="expression" dxfId="2369" priority="1536">
      <formula>#REF!="L"</formula>
    </cfRule>
    <cfRule type="expression" dxfId="2368" priority="1537">
      <formula>#REF!="TO"</formula>
    </cfRule>
    <cfRule type="expression" dxfId="2367" priority="1538">
      <formula>#REF!="IO"</formula>
    </cfRule>
    <cfRule type="expression" dxfId="2366" priority="1539">
      <formula>#REF!="L"</formula>
    </cfRule>
  </conditionalFormatting>
  <conditionalFormatting sqref="V13">
    <cfRule type="expression" dxfId="2365" priority="1519">
      <formula>#REF!="TO"</formula>
    </cfRule>
    <cfRule type="expression" dxfId="2364" priority="1520">
      <formula>#REF!="IO"</formula>
    </cfRule>
    <cfRule type="expression" dxfId="2363" priority="1521">
      <formula>#REF!="L"</formula>
    </cfRule>
    <cfRule type="expression" dxfId="2362" priority="1516">
      <formula>#REF!="TO"</formula>
    </cfRule>
    <cfRule type="expression" dxfId="2361" priority="1517">
      <formula>#REF!="IO"</formula>
    </cfRule>
    <cfRule type="expression" dxfId="2360" priority="1518">
      <formula>#REF!="L"</formula>
    </cfRule>
  </conditionalFormatting>
  <conditionalFormatting sqref="V12">
    <cfRule type="expression" dxfId="2359" priority="1522">
      <formula>#REF!="TO"</formula>
    </cfRule>
    <cfRule type="expression" dxfId="2358" priority="1523">
      <formula>#REF!="IO"</formula>
    </cfRule>
    <cfRule type="expression" dxfId="2357" priority="1524">
      <formula>#REF!="L"</formula>
    </cfRule>
    <cfRule type="expression" dxfId="2356" priority="1525">
      <formula>#REF!="TO"</formula>
    </cfRule>
    <cfRule type="expression" dxfId="2355" priority="1526">
      <formula>#REF!="IO"</formula>
    </cfRule>
    <cfRule type="expression" dxfId="2354" priority="1527">
      <formula>#REF!="L"</formula>
    </cfRule>
  </conditionalFormatting>
  <conditionalFormatting sqref="V14">
    <cfRule type="expression" dxfId="2353" priority="1510">
      <formula>#REF!="TO"</formula>
    </cfRule>
    <cfRule type="expression" dxfId="2352" priority="1511">
      <formula>#REF!="IO"</formula>
    </cfRule>
    <cfRule type="expression" dxfId="2351" priority="1512">
      <formula>#REF!="L"</formula>
    </cfRule>
    <cfRule type="expression" dxfId="2350" priority="1513">
      <formula>#REF!="TO"</formula>
    </cfRule>
    <cfRule type="expression" dxfId="2349" priority="1514">
      <formula>#REF!="IO"</formula>
    </cfRule>
    <cfRule type="expression" dxfId="2348" priority="1515">
      <formula>#REF!="L"</formula>
    </cfRule>
  </conditionalFormatting>
  <conditionalFormatting sqref="V15">
    <cfRule type="expression" dxfId="2347" priority="1504">
      <formula>#REF!="TO"</formula>
    </cfRule>
    <cfRule type="expression" dxfId="2346" priority="1505">
      <formula>#REF!="IO"</formula>
    </cfRule>
    <cfRule type="expression" dxfId="2345" priority="1506">
      <formula>#REF!="L"</formula>
    </cfRule>
    <cfRule type="expression" dxfId="2344" priority="1507">
      <formula>#REF!="TO"</formula>
    </cfRule>
    <cfRule type="expression" dxfId="2343" priority="1508">
      <formula>#REF!="IO"</formula>
    </cfRule>
    <cfRule type="expression" dxfId="2342" priority="1509">
      <formula>#REF!="L"</formula>
    </cfRule>
  </conditionalFormatting>
  <conditionalFormatting sqref="V19">
    <cfRule type="expression" dxfId="2341" priority="1483">
      <formula>#REF!="TO"</formula>
    </cfRule>
    <cfRule type="expression" dxfId="2340" priority="1484">
      <formula>#REF!="IO"</formula>
    </cfRule>
    <cfRule type="expression" dxfId="2339" priority="1485">
      <formula>#REF!="L"</formula>
    </cfRule>
    <cfRule type="expression" dxfId="2338" priority="1480">
      <formula>#REF!="TO"</formula>
    </cfRule>
    <cfRule type="expression" dxfId="2337" priority="1481">
      <formula>#REF!="IO"</formula>
    </cfRule>
    <cfRule type="expression" dxfId="2336" priority="1482">
      <formula>#REF!="L"</formula>
    </cfRule>
  </conditionalFormatting>
  <conditionalFormatting sqref="V16">
    <cfRule type="expression" dxfId="2335" priority="1498">
      <formula>#REF!="TO"</formula>
    </cfRule>
    <cfRule type="expression" dxfId="2334" priority="1499">
      <formula>#REF!="IO"</formula>
    </cfRule>
    <cfRule type="expression" dxfId="2333" priority="1500">
      <formula>#REF!="L"</formula>
    </cfRule>
    <cfRule type="expression" dxfId="2332" priority="1501">
      <formula>#REF!="TO"</formula>
    </cfRule>
    <cfRule type="expression" dxfId="2331" priority="1502">
      <formula>#REF!="IO"</formula>
    </cfRule>
    <cfRule type="expression" dxfId="2330" priority="1503">
      <formula>#REF!="L"</formula>
    </cfRule>
  </conditionalFormatting>
  <conditionalFormatting sqref="V17">
    <cfRule type="expression" dxfId="2329" priority="1492">
      <formula>#REF!="TO"</formula>
    </cfRule>
    <cfRule type="expression" dxfId="2328" priority="1493">
      <formula>#REF!="IO"</formula>
    </cfRule>
    <cfRule type="expression" dxfId="2327" priority="1494">
      <formula>#REF!="L"</formula>
    </cfRule>
    <cfRule type="expression" dxfId="2326" priority="1495">
      <formula>#REF!="TO"</formula>
    </cfRule>
    <cfRule type="expression" dxfId="2325" priority="1496">
      <formula>#REF!="IO"</formula>
    </cfRule>
    <cfRule type="expression" dxfId="2324" priority="1497">
      <formula>#REF!="L"</formula>
    </cfRule>
  </conditionalFormatting>
  <conditionalFormatting sqref="V18">
    <cfRule type="expression" dxfId="2323" priority="1486">
      <formula>#REF!="TO"</formula>
    </cfRule>
    <cfRule type="expression" dxfId="2322" priority="1487">
      <formula>#REF!="IO"</formula>
    </cfRule>
    <cfRule type="expression" dxfId="2321" priority="1488">
      <formula>#REF!="L"</formula>
    </cfRule>
    <cfRule type="expression" dxfId="2320" priority="1489">
      <formula>#REF!="TO"</formula>
    </cfRule>
    <cfRule type="expression" dxfId="2319" priority="1490">
      <formula>#REF!="IO"</formula>
    </cfRule>
    <cfRule type="expression" dxfId="2318" priority="1491">
      <formula>#REF!="L"</formula>
    </cfRule>
  </conditionalFormatting>
  <conditionalFormatting sqref="V20">
    <cfRule type="expression" dxfId="2317" priority="1474">
      <formula>#REF!="TO"</formula>
    </cfRule>
    <cfRule type="expression" dxfId="2316" priority="1475">
      <formula>#REF!="IO"</formula>
    </cfRule>
    <cfRule type="expression" dxfId="2315" priority="1476">
      <formula>#REF!="L"</formula>
    </cfRule>
    <cfRule type="expression" dxfId="2314" priority="1477">
      <formula>#REF!="TO"</formula>
    </cfRule>
    <cfRule type="expression" dxfId="2313" priority="1478">
      <formula>#REF!="IO"</formula>
    </cfRule>
    <cfRule type="expression" dxfId="2312" priority="1479">
      <formula>#REF!="L"</formula>
    </cfRule>
  </conditionalFormatting>
  <conditionalFormatting sqref="V21">
    <cfRule type="expression" dxfId="2311" priority="1471">
      <formula>#REF!="TO"</formula>
    </cfRule>
    <cfRule type="expression" dxfId="2310" priority="1472">
      <formula>#REF!="IO"</formula>
    </cfRule>
    <cfRule type="expression" dxfId="2309" priority="1473">
      <formula>#REF!="L"</formula>
    </cfRule>
    <cfRule type="expression" dxfId="2308" priority="1468">
      <formula>#REF!="TO"</formula>
    </cfRule>
    <cfRule type="expression" dxfId="2307" priority="1469">
      <formula>#REF!="IO"</formula>
    </cfRule>
    <cfRule type="expression" dxfId="2306" priority="1470">
      <formula>#REF!="L"</formula>
    </cfRule>
  </conditionalFormatting>
  <conditionalFormatting sqref="AD17">
    <cfRule type="expression" dxfId="2305" priority="1333">
      <formula>#REF!="TO"</formula>
    </cfRule>
    <cfRule type="expression" dxfId="2304" priority="1334">
      <formula>#REF!="IO"</formula>
    </cfRule>
    <cfRule type="expression" dxfId="2303" priority="1335">
      <formula>#REF!="L"</formula>
    </cfRule>
  </conditionalFormatting>
  <conditionalFormatting sqref="AD16">
    <cfRule type="expression" dxfId="2302" priority="1336">
      <formula>#REF!="TO"</formula>
    </cfRule>
    <cfRule type="expression" dxfId="2301" priority="1337">
      <formula>#REF!="IO"</formula>
    </cfRule>
    <cfRule type="expression" dxfId="2300" priority="1338">
      <formula>#REF!="L"</formula>
    </cfRule>
  </conditionalFormatting>
  <conditionalFormatting sqref="AD48">
    <cfRule type="expression" dxfId="2299" priority="1297">
      <formula>#REF!="TO"</formula>
    </cfRule>
    <cfRule type="expression" dxfId="2298" priority="1298">
      <formula>#REF!="IO"</formula>
    </cfRule>
    <cfRule type="expression" dxfId="2297" priority="1299">
      <formula>#REF!="L"</formula>
    </cfRule>
  </conditionalFormatting>
  <conditionalFormatting sqref="AD50:AD85">
    <cfRule type="expression" dxfId="2296" priority="1291">
      <formula>#REF!="TO"</formula>
    </cfRule>
    <cfRule type="expression" dxfId="2295" priority="1292">
      <formula>#REF!="IO"</formula>
    </cfRule>
    <cfRule type="expression" dxfId="2294" priority="1293">
      <formula>#REF!="L"</formula>
    </cfRule>
  </conditionalFormatting>
  <conditionalFormatting sqref="AD27:AD28">
    <cfRule type="expression" dxfId="2293" priority="1285">
      <formula>#REF!="TO"</formula>
    </cfRule>
    <cfRule type="expression" dxfId="2292" priority="1286">
      <formula>#REF!="IO"</formula>
    </cfRule>
    <cfRule type="expression" dxfId="2291" priority="1287">
      <formula>#REF!="L"</formula>
    </cfRule>
    <cfRule type="expression" dxfId="2290" priority="1282">
      <formula>#REF!="TO"</formula>
    </cfRule>
    <cfRule type="expression" dxfId="2289" priority="1283">
      <formula>#REF!="IO"</formula>
    </cfRule>
    <cfRule type="expression" dxfId="2288" priority="1284">
      <formula>#REF!="L"</formula>
    </cfRule>
  </conditionalFormatting>
  <conditionalFormatting sqref="AD21:AD28">
    <cfRule type="expression" dxfId="2287" priority="1321">
      <formula>#REF!="TO"</formula>
    </cfRule>
    <cfRule type="expression" dxfId="2286" priority="1322">
      <formula>#REF!="IO"</formula>
    </cfRule>
    <cfRule type="expression" dxfId="2285" priority="1323">
      <formula>#REF!="L"</formula>
    </cfRule>
  </conditionalFormatting>
  <conditionalFormatting sqref="AD41">
    <cfRule type="expression" dxfId="2284" priority="1318">
      <formula>#REF!="TO"</formula>
    </cfRule>
    <cfRule type="expression" dxfId="2283" priority="1319">
      <formula>#REF!="IO"</formula>
    </cfRule>
    <cfRule type="expression" dxfId="2282" priority="1320">
      <formula>#REF!="L"</formula>
    </cfRule>
  </conditionalFormatting>
  <conditionalFormatting sqref="AD42">
    <cfRule type="expression" dxfId="2281" priority="1315">
      <formula>#REF!="TO"</formula>
    </cfRule>
    <cfRule type="expression" dxfId="2280" priority="1316">
      <formula>#REF!="IO"</formula>
    </cfRule>
    <cfRule type="expression" dxfId="2279" priority="1317">
      <formula>#REF!="L"</formula>
    </cfRule>
  </conditionalFormatting>
  <conditionalFormatting sqref="AD43">
    <cfRule type="expression" dxfId="2278" priority="1312">
      <formula>#REF!="TO"</formula>
    </cfRule>
    <cfRule type="expression" dxfId="2277" priority="1313">
      <formula>#REF!="IO"</formula>
    </cfRule>
    <cfRule type="expression" dxfId="2276" priority="1314">
      <formula>#REF!="L"</formula>
    </cfRule>
  </conditionalFormatting>
  <conditionalFormatting sqref="AD44">
    <cfRule type="expression" dxfId="2275" priority="1309">
      <formula>#REF!="TO"</formula>
    </cfRule>
    <cfRule type="expression" dxfId="2274" priority="1310">
      <formula>#REF!="IO"</formula>
    </cfRule>
    <cfRule type="expression" dxfId="2273" priority="1311">
      <formula>#REF!="L"</formula>
    </cfRule>
  </conditionalFormatting>
  <conditionalFormatting sqref="AD45">
    <cfRule type="expression" dxfId="2272" priority="1306">
      <formula>#REF!="TO"</formula>
    </cfRule>
    <cfRule type="expression" dxfId="2271" priority="1307">
      <formula>#REF!="IO"</formula>
    </cfRule>
    <cfRule type="expression" dxfId="2270" priority="1308">
      <formula>#REF!="L"</formula>
    </cfRule>
  </conditionalFormatting>
  <conditionalFormatting sqref="AD46">
    <cfRule type="expression" dxfId="2269" priority="1303">
      <formula>#REF!="TO"</formula>
    </cfRule>
    <cfRule type="expression" dxfId="2268" priority="1304">
      <formula>#REF!="IO"</formula>
    </cfRule>
    <cfRule type="expression" dxfId="2267" priority="1305">
      <formula>#REF!="L"</formula>
    </cfRule>
  </conditionalFormatting>
  <conditionalFormatting sqref="AD49">
    <cfRule type="expression" dxfId="2266" priority="1294">
      <formula>#REF!="TO"</formula>
    </cfRule>
    <cfRule type="expression" dxfId="2265" priority="1295">
      <formula>#REF!="IO"</formula>
    </cfRule>
    <cfRule type="expression" dxfId="2264" priority="1296">
      <formula>#REF!="L"</formula>
    </cfRule>
  </conditionalFormatting>
  <conditionalFormatting sqref="AD2:AD3">
    <cfRule type="expression" dxfId="2263" priority="1369">
      <formula>#REF!="TO"</formula>
    </cfRule>
    <cfRule type="expression" dxfId="2262" priority="1370">
      <formula>#REF!="IO"</formula>
    </cfRule>
    <cfRule type="expression" dxfId="2261" priority="1371">
      <formula>#REF!="L"</formula>
    </cfRule>
  </conditionalFormatting>
  <conditionalFormatting sqref="AD35 AD22:AD28 AD37:AD40">
    <cfRule type="expression" dxfId="2260" priority="1366">
      <formula>#REF!="TO"</formula>
    </cfRule>
    <cfRule type="expression" dxfId="2259" priority="1367">
      <formula>#REF!="IO"</formula>
    </cfRule>
    <cfRule type="expression" dxfId="2258" priority="1368">
      <formula>#REF!="L"</formula>
    </cfRule>
  </conditionalFormatting>
  <conditionalFormatting sqref="AD4">
    <cfRule type="expression" dxfId="2257" priority="1363">
      <formula>#REF!="TO"</formula>
    </cfRule>
    <cfRule type="expression" dxfId="2256" priority="1364">
      <formula>#REF!="IO"</formula>
    </cfRule>
    <cfRule type="expression" dxfId="2255" priority="1365">
      <formula>#REF!="L"</formula>
    </cfRule>
  </conditionalFormatting>
  <conditionalFormatting sqref="AD5">
    <cfRule type="expression" dxfId="2254" priority="1360">
      <formula>#REF!="TO"</formula>
    </cfRule>
    <cfRule type="expression" dxfId="2253" priority="1361">
      <formula>#REF!="IO"</formula>
    </cfRule>
    <cfRule type="expression" dxfId="2252" priority="1362">
      <formula>#REF!="L"</formula>
    </cfRule>
  </conditionalFormatting>
  <conditionalFormatting sqref="AD6">
    <cfRule type="expression" dxfId="2251" priority="1357">
      <formula>#REF!="TO"</formula>
    </cfRule>
    <cfRule type="expression" dxfId="2250" priority="1358">
      <formula>#REF!="IO"</formula>
    </cfRule>
    <cfRule type="expression" dxfId="2249" priority="1359">
      <formula>#REF!="L"</formula>
    </cfRule>
  </conditionalFormatting>
  <conditionalFormatting sqref="AD7">
    <cfRule type="expression" dxfId="2248" priority="1354">
      <formula>#REF!="TO"</formula>
    </cfRule>
    <cfRule type="expression" dxfId="2247" priority="1355">
      <formula>#REF!="IO"</formula>
    </cfRule>
    <cfRule type="expression" dxfId="2246" priority="1356">
      <formula>#REF!="L"</formula>
    </cfRule>
  </conditionalFormatting>
  <conditionalFormatting sqref="AD8:AD11">
    <cfRule type="expression" dxfId="2245" priority="1351">
      <formula>#REF!="TO"</formula>
    </cfRule>
    <cfRule type="expression" dxfId="2244" priority="1352">
      <formula>#REF!="IO"</formula>
    </cfRule>
    <cfRule type="expression" dxfId="2243" priority="1353">
      <formula>#REF!="L"</formula>
    </cfRule>
  </conditionalFormatting>
  <conditionalFormatting sqref="AD13">
    <cfRule type="expression" dxfId="2242" priority="1345">
      <formula>#REF!="TO"</formula>
    </cfRule>
    <cfRule type="expression" dxfId="2241" priority="1346">
      <formula>#REF!="IO"</formula>
    </cfRule>
    <cfRule type="expression" dxfId="2240" priority="1347">
      <formula>#REF!="L"</formula>
    </cfRule>
  </conditionalFormatting>
  <conditionalFormatting sqref="AD12">
    <cfRule type="expression" dxfId="2239" priority="1348">
      <formula>#REF!="TO"</formula>
    </cfRule>
    <cfRule type="expression" dxfId="2238" priority="1349">
      <formula>#REF!="IO"</formula>
    </cfRule>
    <cfRule type="expression" dxfId="2237" priority="1350">
      <formula>#REF!="L"</formula>
    </cfRule>
  </conditionalFormatting>
  <conditionalFormatting sqref="AD14">
    <cfRule type="expression" dxfId="2236" priority="1342">
      <formula>#REF!="TO"</formula>
    </cfRule>
    <cfRule type="expression" dxfId="2235" priority="1343">
      <formula>#REF!="IO"</formula>
    </cfRule>
    <cfRule type="expression" dxfId="2234" priority="1344">
      <formula>#REF!="L"</formula>
    </cfRule>
  </conditionalFormatting>
  <conditionalFormatting sqref="AD15">
    <cfRule type="expression" dxfId="2233" priority="1339">
      <formula>#REF!="TO"</formula>
    </cfRule>
    <cfRule type="expression" dxfId="2232" priority="1340">
      <formula>#REF!="IO"</formula>
    </cfRule>
    <cfRule type="expression" dxfId="2231" priority="1341">
      <formula>#REF!="L"</formula>
    </cfRule>
  </conditionalFormatting>
  <conditionalFormatting sqref="AD19">
    <cfRule type="expression" dxfId="2230" priority="1327">
      <formula>#REF!="TO"</formula>
    </cfRule>
    <cfRule type="expression" dxfId="2229" priority="1328">
      <formula>#REF!="IO"</formula>
    </cfRule>
    <cfRule type="expression" dxfId="2228" priority="1329">
      <formula>#REF!="L"</formula>
    </cfRule>
  </conditionalFormatting>
  <conditionalFormatting sqref="AD18">
    <cfRule type="expression" dxfId="2227" priority="1330">
      <formula>#REF!="TO"</formula>
    </cfRule>
    <cfRule type="expression" dxfId="2226" priority="1331">
      <formula>#REF!="IO"</formula>
    </cfRule>
    <cfRule type="expression" dxfId="2225" priority="1332">
      <formula>#REF!="L"</formula>
    </cfRule>
  </conditionalFormatting>
  <conditionalFormatting sqref="AD20">
    <cfRule type="expression" dxfId="2224" priority="1324">
      <formula>#REF!="TO"</formula>
    </cfRule>
    <cfRule type="expression" dxfId="2223" priority="1325">
      <formula>#REF!="IO"</formula>
    </cfRule>
    <cfRule type="expression" dxfId="2222" priority="1326">
      <formula>#REF!="L"</formula>
    </cfRule>
  </conditionalFormatting>
  <conditionalFormatting sqref="I29">
    <cfRule type="expression" dxfId="2221" priority="1159">
      <formula>#REF!="TO"</formula>
    </cfRule>
    <cfRule type="expression" dxfId="2220" priority="1160">
      <formula>#REF!="IO"</formula>
    </cfRule>
    <cfRule type="expression" dxfId="2219" priority="1161">
      <formula>#REF!="L"</formula>
    </cfRule>
  </conditionalFormatting>
  <conditionalFormatting sqref="Q29:T29">
    <cfRule type="expression" dxfId="2218" priority="1147">
      <formula>#REF!="TO"</formula>
    </cfRule>
    <cfRule type="expression" dxfId="2217" priority="1148">
      <formula>#REF!="IO"</formula>
    </cfRule>
    <cfRule type="expression" dxfId="2216" priority="1149">
      <formula>#REF!="L"</formula>
    </cfRule>
    <cfRule type="expression" dxfId="2215" priority="1150">
      <formula>#REF!="TO"</formula>
    </cfRule>
    <cfRule type="expression" dxfId="2214" priority="1151">
      <formula>#REF!="IO"</formula>
    </cfRule>
    <cfRule type="expression" dxfId="2213" priority="1152">
      <formula>#REF!="L"</formula>
    </cfRule>
    <cfRule type="expression" dxfId="2212" priority="1153">
      <formula>#REF!="TO"</formula>
    </cfRule>
    <cfRule type="expression" dxfId="2211" priority="1154">
      <formula>#REF!="IO"</formula>
    </cfRule>
    <cfRule type="expression" dxfId="2210" priority="1155">
      <formula>#REF!="L"</formula>
    </cfRule>
    <cfRule type="expression" dxfId="2209" priority="1156">
      <formula>#REF!="TO"</formula>
    </cfRule>
    <cfRule type="expression" dxfId="2208" priority="1157">
      <formula>#REF!="IO"</formula>
    </cfRule>
    <cfRule type="expression" dxfId="2207" priority="1158">
      <formula>#REF!="L"</formula>
    </cfRule>
  </conditionalFormatting>
  <conditionalFormatting sqref="M29:N29">
    <cfRule type="expression" dxfId="2206" priority="1213">
      <formula>#REF!="TO"</formula>
    </cfRule>
    <cfRule type="expression" dxfId="2205" priority="1214">
      <formula>#REF!="IO"</formula>
    </cfRule>
    <cfRule type="expression" dxfId="2204" priority="1215">
      <formula>#REF!="L"</formula>
    </cfRule>
    <cfRule type="expression" dxfId="2203" priority="1210">
      <formula>#REF!="TO"</formula>
    </cfRule>
    <cfRule type="expression" dxfId="2202" priority="1211">
      <formula>#REF!="IO"</formula>
    </cfRule>
    <cfRule type="expression" dxfId="2201" priority="1212">
      <formula>#REF!="L"</formula>
    </cfRule>
    <cfRule type="expression" dxfId="2200" priority="1207">
      <formula>#REF!="TO"</formula>
    </cfRule>
    <cfRule type="expression" dxfId="2199" priority="1208">
      <formula>#REF!="IO"</formula>
    </cfRule>
    <cfRule type="expression" dxfId="2198" priority="1209">
      <formula>#REF!="L"</formula>
    </cfRule>
    <cfRule type="expression" dxfId="2197" priority="1204">
      <formula>#REF!="TO"</formula>
    </cfRule>
    <cfRule type="expression" dxfId="2196" priority="1205">
      <formula>#REF!="IO"</formula>
    </cfRule>
    <cfRule type="expression" dxfId="2195" priority="1206">
      <formula>#REF!="L"</formula>
    </cfRule>
  </conditionalFormatting>
  <conditionalFormatting sqref="O29">
    <cfRule type="expression" dxfId="2194" priority="1183">
      <formula>#REF!="TO"</formula>
    </cfRule>
    <cfRule type="expression" dxfId="2193" priority="1184">
      <formula>#REF!="IO"</formula>
    </cfRule>
    <cfRule type="expression" dxfId="2192" priority="1185">
      <formula>#REF!="L"</formula>
    </cfRule>
    <cfRule type="expression" dxfId="2191" priority="1180">
      <formula>#REF!="TO"</formula>
    </cfRule>
    <cfRule type="expression" dxfId="2190" priority="1181">
      <formula>#REF!="IO"</formula>
    </cfRule>
    <cfRule type="expression" dxfId="2189" priority="1182">
      <formula>#REF!="L"</formula>
    </cfRule>
    <cfRule type="expression" dxfId="2188" priority="1177">
      <formula>#REF!="TO"</formula>
    </cfRule>
    <cfRule type="expression" dxfId="2187" priority="1178">
      <formula>#REF!="IO"</formula>
    </cfRule>
    <cfRule type="expression" dxfId="2186" priority="1179">
      <formula>#REF!="L"</formula>
    </cfRule>
    <cfRule type="expression" dxfId="2185" priority="1174">
      <formula>#REF!="TO"</formula>
    </cfRule>
    <cfRule type="expression" dxfId="2184" priority="1175">
      <formula>#REF!="IO"</formula>
    </cfRule>
    <cfRule type="expression" dxfId="2183" priority="1176">
      <formula>#REF!="L"</formula>
    </cfRule>
  </conditionalFormatting>
  <conditionalFormatting sqref="K29">
    <cfRule type="expression" dxfId="2182" priority="1171">
      <formula>#REF!="TO"</formula>
    </cfRule>
    <cfRule type="expression" dxfId="2181" priority="1172">
      <formula>#REF!="IO"</formula>
    </cfRule>
    <cfRule type="expression" dxfId="2180" priority="1173">
      <formula>#REF!="L"</formula>
    </cfRule>
    <cfRule type="expression" dxfId="2179" priority="1168">
      <formula>#REF!="TO"</formula>
    </cfRule>
    <cfRule type="expression" dxfId="2178" priority="1169">
      <formula>#REF!="IO"</formula>
    </cfRule>
    <cfRule type="expression" dxfId="2177" priority="1170">
      <formula>#REF!="L"</formula>
    </cfRule>
    <cfRule type="expression" dxfId="2176" priority="1165">
      <formula>#REF!="TO"</formula>
    </cfRule>
    <cfRule type="expression" dxfId="2175" priority="1166">
      <formula>#REF!="IO"</formula>
    </cfRule>
    <cfRule type="expression" dxfId="2174" priority="1167">
      <formula>#REF!="L"</formula>
    </cfRule>
    <cfRule type="expression" dxfId="2173" priority="1162">
      <formula>#REF!="TO"</formula>
    </cfRule>
    <cfRule type="expression" dxfId="2172" priority="1163">
      <formula>#REF!="IO"</formula>
    </cfRule>
    <cfRule type="expression" dxfId="2171" priority="1164">
      <formula>#REF!="L"</formula>
    </cfRule>
  </conditionalFormatting>
  <conditionalFormatting sqref="U29">
    <cfRule type="expression" dxfId="2170" priority="1144">
      <formula>#REF!="TO"</formula>
    </cfRule>
    <cfRule type="expression" dxfId="2169" priority="1145">
      <formula>#REF!="IO"</formula>
    </cfRule>
    <cfRule type="expression" dxfId="2168" priority="1146">
      <formula>#REF!="L"</formula>
    </cfRule>
    <cfRule type="expression" dxfId="2167" priority="1141">
      <formula>#REF!="TO"</formula>
    </cfRule>
    <cfRule type="expression" dxfId="2166" priority="1142">
      <formula>#REF!="IO"</formula>
    </cfRule>
    <cfRule type="expression" dxfId="2165" priority="1143">
      <formula>#REF!="L"</formula>
    </cfRule>
    <cfRule type="expression" dxfId="2164" priority="1138">
      <formula>#REF!="TO"</formula>
    </cfRule>
    <cfRule type="expression" dxfId="2163" priority="1139">
      <formula>#REF!="IO"</formula>
    </cfRule>
    <cfRule type="expression" dxfId="2162" priority="1140">
      <formula>#REF!="L"</formula>
    </cfRule>
    <cfRule type="expression" dxfId="2161" priority="1135">
      <formula>#REF!="TO"</formula>
    </cfRule>
    <cfRule type="expression" dxfId="2160" priority="1136">
      <formula>#REF!="IO"</formula>
    </cfRule>
    <cfRule type="expression" dxfId="2159" priority="1137">
      <formula>#REF!="L"</formula>
    </cfRule>
  </conditionalFormatting>
  <conditionalFormatting sqref="AB29">
    <cfRule type="expression" dxfId="2158" priority="1120">
      <formula>#REF!="TO"</formula>
    </cfRule>
    <cfRule type="expression" dxfId="2157" priority="1121">
      <formula>#REF!="IO"</formula>
    </cfRule>
    <cfRule type="expression" dxfId="2156" priority="1122">
      <formula>#REF!="L"</formula>
    </cfRule>
    <cfRule type="expression" dxfId="2155" priority="1117">
      <formula>#REF!="TO"</formula>
    </cfRule>
    <cfRule type="expression" dxfId="2154" priority="1118">
      <formula>#REF!="IO"</formula>
    </cfRule>
    <cfRule type="expression" dxfId="2153" priority="1119">
      <formula>#REF!="L"</formula>
    </cfRule>
    <cfRule type="expression" dxfId="2152" priority="1114">
      <formula>#REF!="TO"</formula>
    </cfRule>
    <cfRule type="expression" dxfId="2151" priority="1115">
      <formula>#REF!="IO"</formula>
    </cfRule>
    <cfRule type="expression" dxfId="2150" priority="1116">
      <formula>#REF!="L"</formula>
    </cfRule>
    <cfRule type="expression" dxfId="2149" priority="1111">
      <formula>#REF!="TO"</formula>
    </cfRule>
    <cfRule type="expression" dxfId="2148" priority="1112">
      <formula>#REF!="IO"</formula>
    </cfRule>
    <cfRule type="expression" dxfId="2147" priority="1113">
      <formula>#REF!="L"</formula>
    </cfRule>
  </conditionalFormatting>
  <conditionalFormatting sqref="Q30:T30">
    <cfRule type="expression" dxfId="2146" priority="967">
      <formula>#REF!="TO"</formula>
    </cfRule>
    <cfRule type="expression" dxfId="2145" priority="968">
      <formula>#REF!="IO"</formula>
    </cfRule>
    <cfRule type="expression" dxfId="2144" priority="969">
      <formula>#REF!="L"</formula>
    </cfRule>
    <cfRule type="expression" dxfId="2143" priority="964">
      <formula>#REF!="TO"</formula>
    </cfRule>
    <cfRule type="expression" dxfId="2142" priority="965">
      <formula>#REF!="IO"</formula>
    </cfRule>
    <cfRule type="expression" dxfId="2141" priority="966">
      <formula>#REF!="L"</formula>
    </cfRule>
    <cfRule type="expression" dxfId="2140" priority="961">
      <formula>#REF!="TO"</formula>
    </cfRule>
    <cfRule type="expression" dxfId="2139" priority="962">
      <formula>#REF!="IO"</formula>
    </cfRule>
    <cfRule type="expression" dxfId="2138" priority="963">
      <formula>#REF!="L"</formula>
    </cfRule>
    <cfRule type="expression" dxfId="2137" priority="958">
      <formula>#REF!="TO"</formula>
    </cfRule>
    <cfRule type="expression" dxfId="2136" priority="959">
      <formula>#REF!="IO"</formula>
    </cfRule>
    <cfRule type="expression" dxfId="2135" priority="960">
      <formula>#REF!="L"</formula>
    </cfRule>
  </conditionalFormatting>
  <conditionalFormatting sqref="I30">
    <cfRule type="expression" dxfId="2134" priority="970">
      <formula>#REF!="TO"</formula>
    </cfRule>
    <cfRule type="expression" dxfId="2133" priority="971">
      <formula>#REF!="IO"</formula>
    </cfRule>
    <cfRule type="expression" dxfId="2132" priority="972">
      <formula>#REF!="L"</formula>
    </cfRule>
  </conditionalFormatting>
  <conditionalFormatting sqref="AD29">
    <cfRule type="expression" dxfId="2131" priority="1096">
      <formula>#REF!="TO"</formula>
    </cfRule>
    <cfRule type="expression" dxfId="2130" priority="1097">
      <formula>#REF!="IO"</formula>
    </cfRule>
    <cfRule type="expression" dxfId="2129" priority="1098">
      <formula>#REF!="L"</formula>
    </cfRule>
    <cfRule type="expression" dxfId="2128" priority="1093">
      <formula>#REF!="TO"</formula>
    </cfRule>
    <cfRule type="expression" dxfId="2127" priority="1094">
      <formula>#REF!="IO"</formula>
    </cfRule>
    <cfRule type="expression" dxfId="2126" priority="1095">
      <formula>#REF!="L"</formula>
    </cfRule>
    <cfRule type="expression" dxfId="2125" priority="1090">
      <formula>#REF!="TO"</formula>
    </cfRule>
    <cfRule type="expression" dxfId="2124" priority="1091">
      <formula>#REF!="IO"</formula>
    </cfRule>
    <cfRule type="expression" dxfId="2123" priority="1092">
      <formula>#REF!="L"</formula>
    </cfRule>
    <cfRule type="expression" dxfId="2122" priority="1087">
      <formula>#REF!="TO"</formula>
    </cfRule>
    <cfRule type="expression" dxfId="2121" priority="1088">
      <formula>#REF!="IO"</formula>
    </cfRule>
    <cfRule type="expression" dxfId="2120" priority="1089">
      <formula>#REF!="L"</formula>
    </cfRule>
  </conditionalFormatting>
  <conditionalFormatting sqref="AB30">
    <cfRule type="expression" dxfId="2119" priority="931">
      <formula>#REF!="TO"</formula>
    </cfRule>
    <cfRule type="expression" dxfId="2118" priority="932">
      <formula>#REF!="IO"</formula>
    </cfRule>
    <cfRule type="expression" dxfId="2117" priority="933">
      <formula>#REF!="L"</formula>
    </cfRule>
    <cfRule type="expression" dxfId="2116" priority="925">
      <formula>#REF!="TO"</formula>
    </cfRule>
    <cfRule type="expression" dxfId="2115" priority="926">
      <formula>#REF!="IO"</formula>
    </cfRule>
    <cfRule type="expression" dxfId="2114" priority="927">
      <formula>#REF!="L"</formula>
    </cfRule>
    <cfRule type="expression" dxfId="2113" priority="928">
      <formula>#REF!="TO"</formula>
    </cfRule>
    <cfRule type="expression" dxfId="2112" priority="929">
      <formula>#REF!="IO"</formula>
    </cfRule>
    <cfRule type="expression" dxfId="2111" priority="930">
      <formula>#REF!="L"</formula>
    </cfRule>
    <cfRule type="expression" dxfId="2110" priority="922">
      <formula>#REF!="TO"</formula>
    </cfRule>
    <cfRule type="expression" dxfId="2109" priority="923">
      <formula>#REF!="IO"</formula>
    </cfRule>
    <cfRule type="expression" dxfId="2108" priority="924">
      <formula>#REF!="L"</formula>
    </cfRule>
  </conditionalFormatting>
  <conditionalFormatting sqref="U30">
    <cfRule type="expression" dxfId="2107" priority="955">
      <formula>#REF!="TO"</formula>
    </cfRule>
    <cfRule type="expression" dxfId="2106" priority="956">
      <formula>#REF!="IO"</formula>
    </cfRule>
    <cfRule type="expression" dxfId="2105" priority="957">
      <formula>#REF!="L"</formula>
    </cfRule>
    <cfRule type="expression" dxfId="2104" priority="946">
      <formula>#REF!="TO"</formula>
    </cfRule>
    <cfRule type="expression" dxfId="2103" priority="947">
      <formula>#REF!="IO"</formula>
    </cfRule>
    <cfRule type="expression" dxfId="2102" priority="948">
      <formula>#REF!="L"</formula>
    </cfRule>
    <cfRule type="expression" dxfId="2101" priority="952">
      <formula>#REF!="TO"</formula>
    </cfRule>
    <cfRule type="expression" dxfId="2100" priority="953">
      <formula>#REF!="IO"</formula>
    </cfRule>
    <cfRule type="expression" dxfId="2099" priority="954">
      <formula>#REF!="L"</formula>
    </cfRule>
    <cfRule type="expression" dxfId="2098" priority="949">
      <formula>#REF!="TO"</formula>
    </cfRule>
    <cfRule type="expression" dxfId="2097" priority="950">
      <formula>#REF!="IO"</formula>
    </cfRule>
    <cfRule type="expression" dxfId="2096" priority="951">
      <formula>#REF!="L"</formula>
    </cfRule>
  </conditionalFormatting>
  <conditionalFormatting sqref="I31">
    <cfRule type="expression" dxfId="2095" priority="781">
      <formula>#REF!="TO"</formula>
    </cfRule>
    <cfRule type="expression" dxfId="2094" priority="782">
      <formula>#REF!="IO"</formula>
    </cfRule>
    <cfRule type="expression" dxfId="2093" priority="783">
      <formula>#REF!="L"</formula>
    </cfRule>
  </conditionalFormatting>
  <conditionalFormatting sqref="Q31:T31">
    <cfRule type="expression" dxfId="2092" priority="778">
      <formula>#REF!="TO"</formula>
    </cfRule>
    <cfRule type="expression" dxfId="2091" priority="779">
      <formula>#REF!="IO"</formula>
    </cfRule>
    <cfRule type="expression" dxfId="2090" priority="780">
      <formula>#REF!="L"</formula>
    </cfRule>
    <cfRule type="expression" dxfId="2089" priority="772">
      <formula>#REF!="TO"</formula>
    </cfRule>
    <cfRule type="expression" dxfId="2088" priority="773">
      <formula>#REF!="IO"</formula>
    </cfRule>
    <cfRule type="expression" dxfId="2087" priority="774">
      <formula>#REF!="L"</formula>
    </cfRule>
    <cfRule type="expression" dxfId="2086" priority="775">
      <formula>#REF!="TO"</formula>
    </cfRule>
    <cfRule type="expression" dxfId="2085" priority="776">
      <formula>#REF!="IO"</formula>
    </cfRule>
    <cfRule type="expression" dxfId="2084" priority="777">
      <formula>#REF!="L"</formula>
    </cfRule>
    <cfRule type="expression" dxfId="2083" priority="769">
      <formula>#REF!="TO"</formula>
    </cfRule>
    <cfRule type="expression" dxfId="2082" priority="770">
      <formula>#REF!="IO"</formula>
    </cfRule>
    <cfRule type="expression" dxfId="2081" priority="771">
      <formula>#REF!="L"</formula>
    </cfRule>
  </conditionalFormatting>
  <conditionalFormatting sqref="AD30">
    <cfRule type="expression" dxfId="2080" priority="907">
      <formula>#REF!="TO"</formula>
    </cfRule>
    <cfRule type="expression" dxfId="2079" priority="908">
      <formula>#REF!="IO"</formula>
    </cfRule>
    <cfRule type="expression" dxfId="2078" priority="909">
      <formula>#REF!="L"</formula>
    </cfRule>
    <cfRule type="expression" dxfId="2077" priority="904">
      <formula>#REF!="TO"</formula>
    </cfRule>
    <cfRule type="expression" dxfId="2076" priority="905">
      <formula>#REF!="IO"</formula>
    </cfRule>
    <cfRule type="expression" dxfId="2075" priority="906">
      <formula>#REF!="L"</formula>
    </cfRule>
    <cfRule type="expression" dxfId="2074" priority="898">
      <formula>#REF!="TO"</formula>
    </cfRule>
    <cfRule type="expression" dxfId="2073" priority="899">
      <formula>#REF!="IO"</formula>
    </cfRule>
    <cfRule type="expression" dxfId="2072" priority="900">
      <formula>#REF!="L"</formula>
    </cfRule>
    <cfRule type="expression" dxfId="2071" priority="901">
      <formula>#REF!="TO"</formula>
    </cfRule>
    <cfRule type="expression" dxfId="2070" priority="902">
      <formula>#REF!="IO"</formula>
    </cfRule>
    <cfRule type="expression" dxfId="2069" priority="903">
      <formula>#REF!="L"</formula>
    </cfRule>
  </conditionalFormatting>
  <conditionalFormatting sqref="M30:N30">
    <cfRule type="expression" dxfId="2068" priority="1024">
      <formula>#REF!="TO"</formula>
    </cfRule>
    <cfRule type="expression" dxfId="2067" priority="1025">
      <formula>#REF!="IO"</formula>
    </cfRule>
    <cfRule type="expression" dxfId="2066" priority="1026">
      <formula>#REF!="L"</formula>
    </cfRule>
    <cfRule type="expression" dxfId="2065" priority="1021">
      <formula>#REF!="TO"</formula>
    </cfRule>
    <cfRule type="expression" dxfId="2064" priority="1022">
      <formula>#REF!="IO"</formula>
    </cfRule>
    <cfRule type="expression" dxfId="2063" priority="1023">
      <formula>#REF!="L"</formula>
    </cfRule>
    <cfRule type="expression" dxfId="2062" priority="1018">
      <formula>#REF!="TO"</formula>
    </cfRule>
    <cfRule type="expression" dxfId="2061" priority="1019">
      <formula>#REF!="IO"</formula>
    </cfRule>
    <cfRule type="expression" dxfId="2060" priority="1020">
      <formula>#REF!="L"</formula>
    </cfRule>
    <cfRule type="expression" dxfId="2059" priority="1015">
      <formula>#REF!="TO"</formula>
    </cfRule>
    <cfRule type="expression" dxfId="2058" priority="1016">
      <formula>#REF!="IO"</formula>
    </cfRule>
    <cfRule type="expression" dxfId="2057" priority="1017">
      <formula>#REF!="L"</formula>
    </cfRule>
  </conditionalFormatting>
  <conditionalFormatting sqref="O30">
    <cfRule type="expression" dxfId="2056" priority="994">
      <formula>#REF!="TO"</formula>
    </cfRule>
    <cfRule type="expression" dxfId="2055" priority="995">
      <formula>#REF!="IO"</formula>
    </cfRule>
    <cfRule type="expression" dxfId="2054" priority="996">
      <formula>#REF!="L"</formula>
    </cfRule>
    <cfRule type="expression" dxfId="2053" priority="991">
      <formula>#REF!="TO"</formula>
    </cfRule>
    <cfRule type="expression" dxfId="2052" priority="992">
      <formula>#REF!="IO"</formula>
    </cfRule>
    <cfRule type="expression" dxfId="2051" priority="993">
      <formula>#REF!="L"</formula>
    </cfRule>
    <cfRule type="expression" dxfId="2050" priority="988">
      <formula>#REF!="TO"</formula>
    </cfRule>
    <cfRule type="expression" dxfId="2049" priority="989">
      <formula>#REF!="IO"</formula>
    </cfRule>
    <cfRule type="expression" dxfId="2048" priority="990">
      <formula>#REF!="L"</formula>
    </cfRule>
    <cfRule type="expression" dxfId="2047" priority="985">
      <formula>#REF!="TO"</formula>
    </cfRule>
    <cfRule type="expression" dxfId="2046" priority="986">
      <formula>#REF!="IO"</formula>
    </cfRule>
    <cfRule type="expression" dxfId="2045" priority="987">
      <formula>#REF!="L"</formula>
    </cfRule>
  </conditionalFormatting>
  <conditionalFormatting sqref="K30">
    <cfRule type="expression" dxfId="2044" priority="982">
      <formula>#REF!="TO"</formula>
    </cfRule>
    <cfRule type="expression" dxfId="2043" priority="983">
      <formula>#REF!="IO"</formula>
    </cfRule>
    <cfRule type="expression" dxfId="2042" priority="984">
      <formula>#REF!="L"</formula>
    </cfRule>
    <cfRule type="expression" dxfId="2041" priority="979">
      <formula>#REF!="TO"</formula>
    </cfRule>
    <cfRule type="expression" dxfId="2040" priority="980">
      <formula>#REF!="IO"</formula>
    </cfRule>
    <cfRule type="expression" dxfId="2039" priority="981">
      <formula>#REF!="L"</formula>
    </cfRule>
    <cfRule type="expression" dxfId="2038" priority="976">
      <formula>#REF!="TO"</formula>
    </cfRule>
    <cfRule type="expression" dxfId="2037" priority="977">
      <formula>#REF!="IO"</formula>
    </cfRule>
    <cfRule type="expression" dxfId="2036" priority="978">
      <formula>#REF!="L"</formula>
    </cfRule>
    <cfRule type="expression" dxfId="2035" priority="973">
      <formula>#REF!="TO"</formula>
    </cfRule>
    <cfRule type="expression" dxfId="2034" priority="974">
      <formula>#REF!="IO"</formula>
    </cfRule>
    <cfRule type="expression" dxfId="2033" priority="975">
      <formula>#REF!="L"</formula>
    </cfRule>
  </conditionalFormatting>
  <conditionalFormatting sqref="AB31">
    <cfRule type="expression" dxfId="2032" priority="742">
      <formula>#REF!="TO"</formula>
    </cfRule>
    <cfRule type="expression" dxfId="2031" priority="743">
      <formula>#REF!="IO"</formula>
    </cfRule>
    <cfRule type="expression" dxfId="2030" priority="744">
      <formula>#REF!="L"</formula>
    </cfRule>
    <cfRule type="expression" dxfId="2029" priority="736">
      <formula>#REF!="TO"</formula>
    </cfRule>
    <cfRule type="expression" dxfId="2028" priority="737">
      <formula>#REF!="IO"</formula>
    </cfRule>
    <cfRule type="expression" dxfId="2027" priority="738">
      <formula>#REF!="L"</formula>
    </cfRule>
    <cfRule type="expression" dxfId="2026" priority="739">
      <formula>#REF!="TO"</formula>
    </cfRule>
    <cfRule type="expression" dxfId="2025" priority="740">
      <formula>#REF!="IO"</formula>
    </cfRule>
    <cfRule type="expression" dxfId="2024" priority="741">
      <formula>#REF!="L"</formula>
    </cfRule>
    <cfRule type="expression" dxfId="2023" priority="733">
      <formula>#REF!="TO"</formula>
    </cfRule>
    <cfRule type="expression" dxfId="2022" priority="734">
      <formula>#REF!="IO"</formula>
    </cfRule>
    <cfRule type="expression" dxfId="2021" priority="735">
      <formula>#REF!="L"</formula>
    </cfRule>
  </conditionalFormatting>
  <conditionalFormatting sqref="U31">
    <cfRule type="expression" dxfId="2020" priority="766">
      <formula>#REF!="TO"</formula>
    </cfRule>
    <cfRule type="expression" dxfId="2019" priority="767">
      <formula>#REF!="IO"</formula>
    </cfRule>
    <cfRule type="expression" dxfId="2018" priority="768">
      <formula>#REF!="L"</formula>
    </cfRule>
    <cfRule type="expression" dxfId="2017" priority="757">
      <formula>#REF!="TO"</formula>
    </cfRule>
    <cfRule type="expression" dxfId="2016" priority="758">
      <formula>#REF!="IO"</formula>
    </cfRule>
    <cfRule type="expression" dxfId="2015" priority="759">
      <formula>#REF!="L"</formula>
    </cfRule>
    <cfRule type="expression" dxfId="2014" priority="763">
      <formula>#REF!="TO"</formula>
    </cfRule>
    <cfRule type="expression" dxfId="2013" priority="764">
      <formula>#REF!="IO"</formula>
    </cfRule>
    <cfRule type="expression" dxfId="2012" priority="765">
      <formula>#REF!="L"</formula>
    </cfRule>
    <cfRule type="expression" dxfId="2011" priority="760">
      <formula>#REF!="TO"</formula>
    </cfRule>
    <cfRule type="expression" dxfId="2010" priority="761">
      <formula>#REF!="IO"</formula>
    </cfRule>
    <cfRule type="expression" dxfId="2009" priority="762">
      <formula>#REF!="L"</formula>
    </cfRule>
  </conditionalFormatting>
  <conditionalFormatting sqref="I32">
    <cfRule type="expression" dxfId="2008" priority="592">
      <formula>#REF!="TO"</formula>
    </cfRule>
    <cfRule type="expression" dxfId="2007" priority="593">
      <formula>#REF!="IO"</formula>
    </cfRule>
    <cfRule type="expression" dxfId="2006" priority="594">
      <formula>#REF!="L"</formula>
    </cfRule>
  </conditionalFormatting>
  <conditionalFormatting sqref="Q32:T32">
    <cfRule type="expression" dxfId="2005" priority="589">
      <formula>#REF!="TO"</formula>
    </cfRule>
    <cfRule type="expression" dxfId="2004" priority="590">
      <formula>#REF!="IO"</formula>
    </cfRule>
    <cfRule type="expression" dxfId="2003" priority="591">
      <formula>#REF!="L"</formula>
    </cfRule>
    <cfRule type="expression" dxfId="2002" priority="583">
      <formula>#REF!="TO"</formula>
    </cfRule>
    <cfRule type="expression" dxfId="2001" priority="584">
      <formula>#REF!="IO"</formula>
    </cfRule>
    <cfRule type="expression" dxfId="2000" priority="585">
      <formula>#REF!="L"</formula>
    </cfRule>
    <cfRule type="expression" dxfId="1999" priority="586">
      <formula>#REF!="TO"</formula>
    </cfRule>
    <cfRule type="expression" dxfId="1998" priority="587">
      <formula>#REF!="IO"</formula>
    </cfRule>
    <cfRule type="expression" dxfId="1997" priority="588">
      <formula>#REF!="L"</formula>
    </cfRule>
    <cfRule type="expression" dxfId="1996" priority="580">
      <formula>#REF!="TO"</formula>
    </cfRule>
    <cfRule type="expression" dxfId="1995" priority="581">
      <formula>#REF!="IO"</formula>
    </cfRule>
    <cfRule type="expression" dxfId="1994" priority="582">
      <formula>#REF!="L"</formula>
    </cfRule>
  </conditionalFormatting>
  <conditionalFormatting sqref="AD31">
    <cfRule type="expression" dxfId="1993" priority="718">
      <formula>#REF!="TO"</formula>
    </cfRule>
    <cfRule type="expression" dxfId="1992" priority="719">
      <formula>#REF!="IO"</formula>
    </cfRule>
    <cfRule type="expression" dxfId="1991" priority="720">
      <formula>#REF!="L"</formula>
    </cfRule>
    <cfRule type="expression" dxfId="1990" priority="715">
      <formula>#REF!="TO"</formula>
    </cfRule>
    <cfRule type="expression" dxfId="1989" priority="716">
      <formula>#REF!="IO"</formula>
    </cfRule>
    <cfRule type="expression" dxfId="1988" priority="717">
      <formula>#REF!="L"</formula>
    </cfRule>
    <cfRule type="expression" dxfId="1987" priority="709">
      <formula>#REF!="TO"</formula>
    </cfRule>
    <cfRule type="expression" dxfId="1986" priority="710">
      <formula>#REF!="IO"</formula>
    </cfRule>
    <cfRule type="expression" dxfId="1985" priority="711">
      <formula>#REF!="L"</formula>
    </cfRule>
    <cfRule type="expression" dxfId="1984" priority="712">
      <formula>#REF!="TO"</formula>
    </cfRule>
    <cfRule type="expression" dxfId="1983" priority="713">
      <formula>#REF!="IO"</formula>
    </cfRule>
    <cfRule type="expression" dxfId="1982" priority="714">
      <formula>#REF!="L"</formula>
    </cfRule>
  </conditionalFormatting>
  <conditionalFormatting sqref="M31:N31">
    <cfRule type="expression" dxfId="1981" priority="835">
      <formula>#REF!="TO"</formula>
    </cfRule>
    <cfRule type="expression" dxfId="1980" priority="836">
      <formula>#REF!="IO"</formula>
    </cfRule>
    <cfRule type="expression" dxfId="1979" priority="837">
      <formula>#REF!="L"</formula>
    </cfRule>
    <cfRule type="expression" dxfId="1978" priority="832">
      <formula>#REF!="TO"</formula>
    </cfRule>
    <cfRule type="expression" dxfId="1977" priority="833">
      <formula>#REF!="IO"</formula>
    </cfRule>
    <cfRule type="expression" dxfId="1976" priority="834">
      <formula>#REF!="L"</formula>
    </cfRule>
    <cfRule type="expression" dxfId="1975" priority="829">
      <formula>#REF!="TO"</formula>
    </cfRule>
    <cfRule type="expression" dxfId="1974" priority="830">
      <formula>#REF!="IO"</formula>
    </cfRule>
    <cfRule type="expression" dxfId="1973" priority="831">
      <formula>#REF!="L"</formula>
    </cfRule>
    <cfRule type="expression" dxfId="1972" priority="826">
      <formula>#REF!="TO"</formula>
    </cfRule>
    <cfRule type="expression" dxfId="1971" priority="827">
      <formula>#REF!="IO"</formula>
    </cfRule>
    <cfRule type="expression" dxfId="1970" priority="828">
      <formula>#REF!="L"</formula>
    </cfRule>
  </conditionalFormatting>
  <conditionalFormatting sqref="O31">
    <cfRule type="expression" dxfId="1969" priority="805">
      <formula>#REF!="TO"</formula>
    </cfRule>
    <cfRule type="expression" dxfId="1968" priority="806">
      <formula>#REF!="IO"</formula>
    </cfRule>
    <cfRule type="expression" dxfId="1967" priority="807">
      <formula>#REF!="L"</formula>
    </cfRule>
    <cfRule type="expression" dxfId="1966" priority="802">
      <formula>#REF!="TO"</formula>
    </cfRule>
    <cfRule type="expression" dxfId="1965" priority="803">
      <formula>#REF!="IO"</formula>
    </cfRule>
    <cfRule type="expression" dxfId="1964" priority="804">
      <formula>#REF!="L"</formula>
    </cfRule>
    <cfRule type="expression" dxfId="1963" priority="799">
      <formula>#REF!="TO"</formula>
    </cfRule>
    <cfRule type="expression" dxfId="1962" priority="800">
      <formula>#REF!="IO"</formula>
    </cfRule>
    <cfRule type="expression" dxfId="1961" priority="801">
      <formula>#REF!="L"</formula>
    </cfRule>
    <cfRule type="expression" dxfId="1960" priority="796">
      <formula>#REF!="TO"</formula>
    </cfRule>
    <cfRule type="expression" dxfId="1959" priority="797">
      <formula>#REF!="IO"</formula>
    </cfRule>
    <cfRule type="expression" dxfId="1958" priority="798">
      <formula>#REF!="L"</formula>
    </cfRule>
  </conditionalFormatting>
  <conditionalFormatting sqref="K31">
    <cfRule type="expression" dxfId="1957" priority="793">
      <formula>#REF!="TO"</formula>
    </cfRule>
    <cfRule type="expression" dxfId="1956" priority="794">
      <formula>#REF!="IO"</formula>
    </cfRule>
    <cfRule type="expression" dxfId="1955" priority="795">
      <formula>#REF!="L"</formula>
    </cfRule>
    <cfRule type="expression" dxfId="1954" priority="790">
      <formula>#REF!="TO"</formula>
    </cfRule>
    <cfRule type="expression" dxfId="1953" priority="791">
      <formula>#REF!="IO"</formula>
    </cfRule>
    <cfRule type="expression" dxfId="1952" priority="792">
      <formula>#REF!="L"</formula>
    </cfRule>
    <cfRule type="expression" dxfId="1951" priority="787">
      <formula>#REF!="TO"</formula>
    </cfRule>
    <cfRule type="expression" dxfId="1950" priority="788">
      <formula>#REF!="IO"</formula>
    </cfRule>
    <cfRule type="expression" dxfId="1949" priority="789">
      <formula>#REF!="L"</formula>
    </cfRule>
    <cfRule type="expression" dxfId="1948" priority="784">
      <formula>#REF!="TO"</formula>
    </cfRule>
    <cfRule type="expression" dxfId="1947" priority="785">
      <formula>#REF!="IO"</formula>
    </cfRule>
    <cfRule type="expression" dxfId="1946" priority="786">
      <formula>#REF!="L"</formula>
    </cfRule>
  </conditionalFormatting>
  <conditionalFormatting sqref="U32">
    <cfRule type="expression" dxfId="1945" priority="574">
      <formula>#REF!="TO"</formula>
    </cfRule>
    <cfRule type="expression" dxfId="1944" priority="575">
      <formula>#REF!="IO"</formula>
    </cfRule>
    <cfRule type="expression" dxfId="1943" priority="576">
      <formula>#REF!="L"</formula>
    </cfRule>
    <cfRule type="expression" dxfId="1942" priority="577">
      <formula>#REF!="TO"</formula>
    </cfRule>
    <cfRule type="expression" dxfId="1941" priority="578">
      <formula>#REF!="IO"</formula>
    </cfRule>
    <cfRule type="expression" dxfId="1940" priority="579">
      <formula>#REF!="L"</formula>
    </cfRule>
    <cfRule type="expression" dxfId="1939" priority="571">
      <formula>#REF!="TO"</formula>
    </cfRule>
    <cfRule type="expression" dxfId="1938" priority="572">
      <formula>#REF!="IO"</formula>
    </cfRule>
    <cfRule type="expression" dxfId="1937" priority="573">
      <formula>#REF!="L"</formula>
    </cfRule>
    <cfRule type="expression" dxfId="1936" priority="568">
      <formula>#REF!="TO"</formula>
    </cfRule>
    <cfRule type="expression" dxfId="1935" priority="569">
      <formula>#REF!="IO"</formula>
    </cfRule>
    <cfRule type="expression" dxfId="1934" priority="570">
      <formula>#REF!="L"</formula>
    </cfRule>
  </conditionalFormatting>
  <conditionalFormatting sqref="AD32">
    <cfRule type="expression" dxfId="1933" priority="520">
      <formula>#REF!="TO"</formula>
    </cfRule>
    <cfRule type="expression" dxfId="1932" priority="521">
      <formula>#REF!="IO"</formula>
    </cfRule>
    <cfRule type="expression" dxfId="1931" priority="522">
      <formula>#REF!="L"</formula>
    </cfRule>
    <cfRule type="expression" dxfId="1930" priority="529">
      <formula>#REF!="TO"</formula>
    </cfRule>
    <cfRule type="expression" dxfId="1929" priority="530">
      <formula>#REF!="IO"</formula>
    </cfRule>
    <cfRule type="expression" dxfId="1928" priority="531">
      <formula>#REF!="L"</formula>
    </cfRule>
    <cfRule type="expression" dxfId="1927" priority="526">
      <formula>#REF!="TO"</formula>
    </cfRule>
    <cfRule type="expression" dxfId="1926" priority="527">
      <formula>#REF!="IO"</formula>
    </cfRule>
    <cfRule type="expression" dxfId="1925" priority="528">
      <formula>#REF!="L"</formula>
    </cfRule>
    <cfRule type="expression" dxfId="1924" priority="523">
      <formula>#REF!="TO"</formula>
    </cfRule>
    <cfRule type="expression" dxfId="1923" priority="524">
      <formula>#REF!="IO"</formula>
    </cfRule>
    <cfRule type="expression" dxfId="1922" priority="525">
      <formula>#REF!="L"</formula>
    </cfRule>
  </conditionalFormatting>
  <conditionalFormatting sqref="M32:N32">
    <cfRule type="expression" dxfId="1921" priority="646">
      <formula>#REF!="TO"</formula>
    </cfRule>
    <cfRule type="expression" dxfId="1920" priority="647">
      <formula>#REF!="IO"</formula>
    </cfRule>
    <cfRule type="expression" dxfId="1919" priority="648">
      <formula>#REF!="L"</formula>
    </cfRule>
    <cfRule type="expression" dxfId="1918" priority="643">
      <formula>#REF!="TO"</formula>
    </cfRule>
    <cfRule type="expression" dxfId="1917" priority="644">
      <formula>#REF!="IO"</formula>
    </cfRule>
    <cfRule type="expression" dxfId="1916" priority="645">
      <formula>#REF!="L"</formula>
    </cfRule>
    <cfRule type="expression" dxfId="1915" priority="640">
      <formula>#REF!="TO"</formula>
    </cfRule>
    <cfRule type="expression" dxfId="1914" priority="641">
      <formula>#REF!="IO"</formula>
    </cfRule>
    <cfRule type="expression" dxfId="1913" priority="642">
      <formula>#REF!="L"</formula>
    </cfRule>
    <cfRule type="expression" dxfId="1912" priority="637">
      <formula>#REF!="TO"</formula>
    </cfRule>
    <cfRule type="expression" dxfId="1911" priority="638">
      <formula>#REF!="IO"</formula>
    </cfRule>
    <cfRule type="expression" dxfId="1910" priority="639">
      <formula>#REF!="L"</formula>
    </cfRule>
  </conditionalFormatting>
  <conditionalFormatting sqref="O32">
    <cfRule type="expression" dxfId="1909" priority="616">
      <formula>#REF!="TO"</formula>
    </cfRule>
    <cfRule type="expression" dxfId="1908" priority="617">
      <formula>#REF!="IO"</formula>
    </cfRule>
    <cfRule type="expression" dxfId="1907" priority="618">
      <formula>#REF!="L"</formula>
    </cfRule>
    <cfRule type="expression" dxfId="1906" priority="613">
      <formula>#REF!="TO"</formula>
    </cfRule>
    <cfRule type="expression" dxfId="1905" priority="614">
      <formula>#REF!="IO"</formula>
    </cfRule>
    <cfRule type="expression" dxfId="1904" priority="615">
      <formula>#REF!="L"</formula>
    </cfRule>
    <cfRule type="expression" dxfId="1903" priority="610">
      <formula>#REF!="TO"</formula>
    </cfRule>
    <cfRule type="expression" dxfId="1902" priority="611">
      <formula>#REF!="IO"</formula>
    </cfRule>
    <cfRule type="expression" dxfId="1901" priority="612">
      <formula>#REF!="L"</formula>
    </cfRule>
    <cfRule type="expression" dxfId="1900" priority="607">
      <formula>#REF!="TO"</formula>
    </cfRule>
    <cfRule type="expression" dxfId="1899" priority="608">
      <formula>#REF!="IO"</formula>
    </cfRule>
    <cfRule type="expression" dxfId="1898" priority="609">
      <formula>#REF!="L"</formula>
    </cfRule>
  </conditionalFormatting>
  <conditionalFormatting sqref="K32">
    <cfRule type="expression" dxfId="1897" priority="604">
      <formula>#REF!="TO"</formula>
    </cfRule>
    <cfRule type="expression" dxfId="1896" priority="605">
      <formula>#REF!="IO"</formula>
    </cfRule>
    <cfRule type="expression" dxfId="1895" priority="606">
      <formula>#REF!="L"</formula>
    </cfRule>
    <cfRule type="expression" dxfId="1894" priority="601">
      <formula>#REF!="TO"</formula>
    </cfRule>
    <cfRule type="expression" dxfId="1893" priority="602">
      <formula>#REF!="IO"</formula>
    </cfRule>
    <cfRule type="expression" dxfId="1892" priority="603">
      <formula>#REF!="L"</formula>
    </cfRule>
    <cfRule type="expression" dxfId="1891" priority="598">
      <formula>#REF!="TO"</formula>
    </cfRule>
    <cfRule type="expression" dxfId="1890" priority="599">
      <formula>#REF!="IO"</formula>
    </cfRule>
    <cfRule type="expression" dxfId="1889" priority="600">
      <formula>#REF!="L"</formula>
    </cfRule>
    <cfRule type="expression" dxfId="1888" priority="595">
      <formula>#REF!="TO"</formula>
    </cfRule>
    <cfRule type="expression" dxfId="1887" priority="596">
      <formula>#REF!="IO"</formula>
    </cfRule>
    <cfRule type="expression" dxfId="1886" priority="597">
      <formula>#REF!="L"</formula>
    </cfRule>
  </conditionalFormatting>
  <conditionalFormatting sqref="W6:AA6">
    <cfRule type="expression" dxfId="1885" priority="355">
      <formula>#REF!="TO"</formula>
    </cfRule>
    <cfRule type="expression" dxfId="1884" priority="356">
      <formula>#REF!="IO"</formula>
    </cfRule>
    <cfRule type="expression" dxfId="1883" priority="357">
      <formula>#REF!="L"</formula>
    </cfRule>
  </conditionalFormatting>
  <conditionalFormatting sqref="W5:AA5">
    <cfRule type="expression" dxfId="1882" priority="358">
      <formula>#REF!="TO"</formula>
    </cfRule>
    <cfRule type="expression" dxfId="1881" priority="359">
      <formula>#REF!="IO"</formula>
    </cfRule>
    <cfRule type="expression" dxfId="1880" priority="360">
      <formula>#REF!="L"</formula>
    </cfRule>
  </conditionalFormatting>
  <conditionalFormatting sqref="W8:AA11">
    <cfRule type="expression" dxfId="1879" priority="349">
      <formula>#REF!="TO"</formula>
    </cfRule>
    <cfRule type="expression" dxfId="1878" priority="350">
      <formula>#REF!="IO"</formula>
    </cfRule>
    <cfRule type="expression" dxfId="1877" priority="351">
      <formula>#REF!="L"</formula>
    </cfRule>
  </conditionalFormatting>
  <conditionalFormatting sqref="W13:AA13">
    <cfRule type="expression" dxfId="1876" priority="343">
      <formula>#REF!="TO"</formula>
    </cfRule>
    <cfRule type="expression" dxfId="1875" priority="344">
      <formula>#REF!="IO"</formula>
    </cfRule>
    <cfRule type="expression" dxfId="1874" priority="345">
      <formula>#REF!="L"</formula>
    </cfRule>
  </conditionalFormatting>
  <conditionalFormatting sqref="W15:AA15">
    <cfRule type="expression" dxfId="1873" priority="337">
      <formula>#REF!="TO"</formula>
    </cfRule>
    <cfRule type="expression" dxfId="1872" priority="338">
      <formula>#REF!="IO"</formula>
    </cfRule>
    <cfRule type="expression" dxfId="1871" priority="339">
      <formula>#REF!="L"</formula>
    </cfRule>
  </conditionalFormatting>
  <conditionalFormatting sqref="W14:AA14">
    <cfRule type="expression" dxfId="1870" priority="340">
      <formula>#REF!="TO"</formula>
    </cfRule>
    <cfRule type="expression" dxfId="1869" priority="341">
      <formula>#REF!="IO"</formula>
    </cfRule>
    <cfRule type="expression" dxfId="1868" priority="342">
      <formula>#REF!="L"</formula>
    </cfRule>
  </conditionalFormatting>
  <conditionalFormatting sqref="W17:AA17">
    <cfRule type="expression" dxfId="1867" priority="331">
      <formula>#REF!="TO"</formula>
    </cfRule>
    <cfRule type="expression" dxfId="1866" priority="332">
      <formula>#REF!="IO"</formula>
    </cfRule>
    <cfRule type="expression" dxfId="1865" priority="333">
      <formula>#REF!="L"</formula>
    </cfRule>
  </conditionalFormatting>
  <conditionalFormatting sqref="W16:AA16">
    <cfRule type="expression" dxfId="1864" priority="334">
      <formula>#REF!="TO"</formula>
    </cfRule>
    <cfRule type="expression" dxfId="1863" priority="335">
      <formula>#REF!="IO"</formula>
    </cfRule>
    <cfRule type="expression" dxfId="1862" priority="336">
      <formula>#REF!="L"</formula>
    </cfRule>
  </conditionalFormatting>
  <conditionalFormatting sqref="W20:AA20">
    <cfRule type="expression" dxfId="1861" priority="322">
      <formula>#REF!="TO"</formula>
    </cfRule>
    <cfRule type="expression" dxfId="1860" priority="323">
      <formula>#REF!="IO"</formula>
    </cfRule>
    <cfRule type="expression" dxfId="1859" priority="324">
      <formula>#REF!="L"</formula>
    </cfRule>
  </conditionalFormatting>
  <conditionalFormatting sqref="W21:AA28">
    <cfRule type="expression" dxfId="1858" priority="319">
      <formula>#REF!="TO"</formula>
    </cfRule>
    <cfRule type="expression" dxfId="1857" priority="320">
      <formula>#REF!="IO"</formula>
    </cfRule>
    <cfRule type="expression" dxfId="1856" priority="321">
      <formula>#REF!="L"</formula>
    </cfRule>
  </conditionalFormatting>
  <conditionalFormatting sqref="W19:AA19">
    <cfRule type="expression" dxfId="1855" priority="325">
      <formula>#REF!="TO"</formula>
    </cfRule>
    <cfRule type="expression" dxfId="1854" priority="326">
      <formula>#REF!="IO"</formula>
    </cfRule>
    <cfRule type="expression" dxfId="1853" priority="327">
      <formula>#REF!="L"</formula>
    </cfRule>
  </conditionalFormatting>
  <conditionalFormatting sqref="W18:AA18">
    <cfRule type="expression" dxfId="1852" priority="328">
      <formula>#REF!="TO"</formula>
    </cfRule>
    <cfRule type="expression" dxfId="1851" priority="329">
      <formula>#REF!="IO"</formula>
    </cfRule>
    <cfRule type="expression" dxfId="1850" priority="330">
      <formula>#REF!="L"</formula>
    </cfRule>
  </conditionalFormatting>
  <conditionalFormatting sqref="W42:AA42">
    <cfRule type="expression" dxfId="1849" priority="313">
      <formula>#REF!="TO"</formula>
    </cfRule>
    <cfRule type="expression" dxfId="1848" priority="314">
      <formula>#REF!="IO"</formula>
    </cfRule>
    <cfRule type="expression" dxfId="1847" priority="315">
      <formula>#REF!="L"</formula>
    </cfRule>
  </conditionalFormatting>
  <conditionalFormatting sqref="W41:AA41">
    <cfRule type="expression" dxfId="1846" priority="316">
      <formula>#REF!="TO"</formula>
    </cfRule>
    <cfRule type="expression" dxfId="1845" priority="317">
      <formula>#REF!="IO"</formula>
    </cfRule>
    <cfRule type="expression" dxfId="1844" priority="318">
      <formula>#REF!="L"</formula>
    </cfRule>
  </conditionalFormatting>
  <conditionalFormatting sqref="W44:AA44">
    <cfRule type="expression" dxfId="1843" priority="307">
      <formula>#REF!="TO"</formula>
    </cfRule>
    <cfRule type="expression" dxfId="1842" priority="308">
      <formula>#REF!="IO"</formula>
    </cfRule>
    <cfRule type="expression" dxfId="1841" priority="309">
      <formula>#REF!="L"</formula>
    </cfRule>
  </conditionalFormatting>
  <conditionalFormatting sqref="W43:AA43">
    <cfRule type="expression" dxfId="1840" priority="310">
      <formula>#REF!="TO"</formula>
    </cfRule>
    <cfRule type="expression" dxfId="1839" priority="311">
      <formula>#REF!="IO"</formula>
    </cfRule>
    <cfRule type="expression" dxfId="1838" priority="312">
      <formula>#REF!="L"</formula>
    </cfRule>
  </conditionalFormatting>
  <conditionalFormatting sqref="W46:AA46">
    <cfRule type="expression" dxfId="1837" priority="301">
      <formula>#REF!="TO"</formula>
    </cfRule>
    <cfRule type="expression" dxfId="1836" priority="302">
      <formula>#REF!="IO"</formula>
    </cfRule>
    <cfRule type="expression" dxfId="1835" priority="303">
      <formula>#REF!="L"</formula>
    </cfRule>
  </conditionalFormatting>
  <conditionalFormatting sqref="W47:AA47">
    <cfRule type="expression" dxfId="1834" priority="298">
      <formula>#REF!="TO"</formula>
    </cfRule>
    <cfRule type="expression" dxfId="1833" priority="299">
      <formula>#REF!="IO"</formula>
    </cfRule>
    <cfRule type="expression" dxfId="1832" priority="300">
      <formula>#REF!="L"</formula>
    </cfRule>
  </conditionalFormatting>
  <conditionalFormatting sqref="AB32">
    <cfRule type="expression" dxfId="1831" priority="379">
      <formula>#REF!="TO"</formula>
    </cfRule>
    <cfRule type="expression" dxfId="1830" priority="380">
      <formula>#REF!="IO"</formula>
    </cfRule>
    <cfRule type="expression" dxfId="1829" priority="381">
      <formula>#REF!="L"</formula>
    </cfRule>
    <cfRule type="expression" dxfId="1828" priority="376">
      <formula>#REF!="TO"</formula>
    </cfRule>
    <cfRule type="expression" dxfId="1827" priority="377">
      <formula>#REF!="IO"</formula>
    </cfRule>
    <cfRule type="expression" dxfId="1826" priority="378">
      <formula>#REF!="L"</formula>
    </cfRule>
    <cfRule type="expression" dxfId="1825" priority="373">
      <formula>#REF!="TO"</formula>
    </cfRule>
    <cfRule type="expression" dxfId="1824" priority="374">
      <formula>#REF!="IO"</formula>
    </cfRule>
    <cfRule type="expression" dxfId="1823" priority="375">
      <formula>#REF!="L"</formula>
    </cfRule>
    <cfRule type="expression" dxfId="1822" priority="370">
      <formula>#REF!="TO"</formula>
    </cfRule>
    <cfRule type="expression" dxfId="1821" priority="371">
      <formula>#REF!="IO"</formula>
    </cfRule>
    <cfRule type="expression" dxfId="1820" priority="372">
      <formula>#REF!="L"</formula>
    </cfRule>
  </conditionalFormatting>
  <conditionalFormatting sqref="W2:AA3">
    <cfRule type="expression" dxfId="1819" priority="367">
      <formula>#REF!="TO"</formula>
    </cfRule>
    <cfRule type="expression" dxfId="1818" priority="368">
      <formula>#REF!="IO"</formula>
    </cfRule>
    <cfRule type="expression" dxfId="1817" priority="369">
      <formula>#REF!="L"</formula>
    </cfRule>
  </conditionalFormatting>
  <conditionalFormatting sqref="W35:AA35 W22:AA28 W37:AA40">
    <cfRule type="expression" dxfId="1816" priority="364">
      <formula>#REF!="TO"</formula>
    </cfRule>
    <cfRule type="expression" dxfId="1815" priority="365">
      <formula>#REF!="IO"</formula>
    </cfRule>
    <cfRule type="expression" dxfId="1814" priority="366">
      <formula>#REF!="L"</formula>
    </cfRule>
  </conditionalFormatting>
  <conditionalFormatting sqref="W4:AA4">
    <cfRule type="expression" dxfId="1813" priority="361">
      <formula>#REF!="TO"</formula>
    </cfRule>
    <cfRule type="expression" dxfId="1812" priority="362">
      <formula>#REF!="IO"</formula>
    </cfRule>
    <cfRule type="expression" dxfId="1811" priority="363">
      <formula>#REF!="L"</formula>
    </cfRule>
  </conditionalFormatting>
  <conditionalFormatting sqref="W7:AA7">
    <cfRule type="expression" dxfId="1810" priority="352">
      <formula>#REF!="TO"</formula>
    </cfRule>
    <cfRule type="expression" dxfId="1809" priority="353">
      <formula>#REF!="IO"</formula>
    </cfRule>
    <cfRule type="expression" dxfId="1808" priority="354">
      <formula>#REF!="L"</formula>
    </cfRule>
  </conditionalFormatting>
  <conditionalFormatting sqref="W12:AA12">
    <cfRule type="expression" dxfId="1807" priority="346">
      <formula>#REF!="TO"</formula>
    </cfRule>
    <cfRule type="expression" dxfId="1806" priority="347">
      <formula>#REF!="IO"</formula>
    </cfRule>
    <cfRule type="expression" dxfId="1805" priority="348">
      <formula>#REF!="L"</formula>
    </cfRule>
  </conditionalFormatting>
  <conditionalFormatting sqref="W45:AA45">
    <cfRule type="expression" dxfId="1804" priority="304">
      <formula>#REF!="TO"</formula>
    </cfRule>
    <cfRule type="expression" dxfId="1803" priority="305">
      <formula>#REF!="IO"</formula>
    </cfRule>
    <cfRule type="expression" dxfId="1802" priority="306">
      <formula>#REF!="L"</formula>
    </cfRule>
  </conditionalFormatting>
  <conditionalFormatting sqref="W48:AA48">
    <cfRule type="expression" dxfId="1801" priority="295">
      <formula>#REF!="TO"</formula>
    </cfRule>
    <cfRule type="expression" dxfId="1800" priority="296">
      <formula>#REF!="IO"</formula>
    </cfRule>
    <cfRule type="expression" dxfId="1799" priority="297">
      <formula>#REF!="L"</formula>
    </cfRule>
  </conditionalFormatting>
  <conditionalFormatting sqref="W27:AA28">
    <cfRule type="expression" dxfId="1798" priority="283">
      <formula>#REF!="TO"</formula>
    </cfRule>
    <cfRule type="expression" dxfId="1797" priority="284">
      <formula>#REF!="IO"</formula>
    </cfRule>
    <cfRule type="expression" dxfId="1796" priority="285">
      <formula>#REF!="L"</formula>
    </cfRule>
    <cfRule type="expression" dxfId="1795" priority="286">
      <formula>#REF!="TO"</formula>
    </cfRule>
    <cfRule type="expression" dxfId="1794" priority="287">
      <formula>#REF!="IO"</formula>
    </cfRule>
    <cfRule type="expression" dxfId="1793" priority="288">
      <formula>#REF!="L"</formula>
    </cfRule>
  </conditionalFormatting>
  <conditionalFormatting sqref="W50:AA85">
    <cfRule type="expression" dxfId="1792" priority="289">
      <formula>#REF!="TO"</formula>
    </cfRule>
    <cfRule type="expression" dxfId="1791" priority="290">
      <formula>#REF!="IO"</formula>
    </cfRule>
    <cfRule type="expression" dxfId="1790" priority="291">
      <formula>#REF!="L"</formula>
    </cfRule>
  </conditionalFormatting>
  <conditionalFormatting sqref="W49:AA49">
    <cfRule type="expression" dxfId="1789" priority="292">
      <formula>#REF!="TO"</formula>
    </cfRule>
    <cfRule type="expression" dxfId="1788" priority="293">
      <formula>#REF!="IO"</formula>
    </cfRule>
    <cfRule type="expression" dxfId="1787" priority="294">
      <formula>#REF!="L"</formula>
    </cfRule>
  </conditionalFormatting>
  <conditionalFormatting sqref="W29:AA29">
    <cfRule type="expression" dxfId="1786" priority="271">
      <formula>#REF!="TO"</formula>
    </cfRule>
    <cfRule type="expression" dxfId="1785" priority="272">
      <formula>#REF!="IO"</formula>
    </cfRule>
    <cfRule type="expression" dxfId="1784" priority="273">
      <formula>#REF!="L"</formula>
    </cfRule>
    <cfRule type="expression" dxfId="1783" priority="274">
      <formula>#REF!="TO"</formula>
    </cfRule>
    <cfRule type="expression" dxfId="1782" priority="275">
      <formula>#REF!="IO"</formula>
    </cfRule>
    <cfRule type="expression" dxfId="1781" priority="276">
      <formula>#REF!="L"</formula>
    </cfRule>
    <cfRule type="expression" dxfId="1780" priority="277">
      <formula>#REF!="TO"</formula>
    </cfRule>
    <cfRule type="expression" dxfId="1779" priority="278">
      <formula>#REF!="IO"</formula>
    </cfRule>
    <cfRule type="expression" dxfId="1778" priority="279">
      <formula>#REF!="L"</formula>
    </cfRule>
    <cfRule type="expression" dxfId="1777" priority="280">
      <formula>#REF!="TO"</formula>
    </cfRule>
    <cfRule type="expression" dxfId="1776" priority="281">
      <formula>#REF!="IO"</formula>
    </cfRule>
    <cfRule type="expression" dxfId="1775" priority="282">
      <formula>#REF!="L"</formula>
    </cfRule>
  </conditionalFormatting>
  <conditionalFormatting sqref="W30:AA30">
    <cfRule type="expression" dxfId="1774" priority="259">
      <formula>#REF!="TO"</formula>
    </cfRule>
    <cfRule type="expression" dxfId="1773" priority="260">
      <formula>#REF!="IO"</formula>
    </cfRule>
    <cfRule type="expression" dxfId="1772" priority="261">
      <formula>#REF!="L"</formula>
    </cfRule>
    <cfRule type="expression" dxfId="1771" priority="262">
      <formula>#REF!="TO"</formula>
    </cfRule>
    <cfRule type="expression" dxfId="1770" priority="263">
      <formula>#REF!="IO"</formula>
    </cfRule>
    <cfRule type="expression" dxfId="1769" priority="264">
      <formula>#REF!="L"</formula>
    </cfRule>
    <cfRule type="expression" dxfId="1768" priority="265">
      <formula>#REF!="TO"</formula>
    </cfRule>
    <cfRule type="expression" dxfId="1767" priority="266">
      <formula>#REF!="IO"</formula>
    </cfRule>
    <cfRule type="expression" dxfId="1766" priority="267">
      <formula>#REF!="L"</formula>
    </cfRule>
    <cfRule type="expression" dxfId="1765" priority="268">
      <formula>#REF!="TO"</formula>
    </cfRule>
    <cfRule type="expression" dxfId="1764" priority="269">
      <formula>#REF!="IO"</formula>
    </cfRule>
    <cfRule type="expression" dxfId="1763" priority="270">
      <formula>#REF!="L"</formula>
    </cfRule>
  </conditionalFormatting>
  <conditionalFormatting sqref="W31:AA31">
    <cfRule type="expression" dxfId="1762" priority="256">
      <formula>#REF!="TO"</formula>
    </cfRule>
    <cfRule type="expression" dxfId="1761" priority="257">
      <formula>#REF!="IO"</formula>
    </cfRule>
    <cfRule type="expression" dxfId="1760" priority="258">
      <formula>#REF!="L"</formula>
    </cfRule>
    <cfRule type="expression" dxfId="1759" priority="247">
      <formula>#REF!="TO"</formula>
    </cfRule>
    <cfRule type="expression" dxfId="1758" priority="248">
      <formula>#REF!="IO"</formula>
    </cfRule>
    <cfRule type="expression" dxfId="1757" priority="249">
      <formula>#REF!="L"</formula>
    </cfRule>
    <cfRule type="expression" dxfId="1756" priority="250">
      <formula>#REF!="TO"</formula>
    </cfRule>
    <cfRule type="expression" dxfId="1755" priority="251">
      <formula>#REF!="IO"</formula>
    </cfRule>
    <cfRule type="expression" dxfId="1754" priority="252">
      <formula>#REF!="L"</formula>
    </cfRule>
    <cfRule type="expression" dxfId="1753" priority="253">
      <formula>#REF!="TO"</formula>
    </cfRule>
    <cfRule type="expression" dxfId="1752" priority="254">
      <formula>#REF!="IO"</formula>
    </cfRule>
    <cfRule type="expression" dxfId="1751" priority="255">
      <formula>#REF!="L"</formula>
    </cfRule>
  </conditionalFormatting>
  <conditionalFormatting sqref="K33:K35">
    <cfRule type="expression" dxfId="1750" priority="127">
      <formula>#REF!="TO"</formula>
    </cfRule>
    <cfRule type="expression" dxfId="1749" priority="128">
      <formula>#REF!="IO"</formula>
    </cfRule>
    <cfRule type="expression" dxfId="1748" priority="129">
      <formula>#REF!="L"</formula>
    </cfRule>
    <cfRule type="expression" dxfId="1747" priority="130">
      <formula>#REF!="TO"</formula>
    </cfRule>
    <cfRule type="expression" dxfId="1746" priority="131">
      <formula>#REF!="IO"</formula>
    </cfRule>
    <cfRule type="expression" dxfId="1745" priority="132">
      <formula>#REF!="L"</formula>
    </cfRule>
    <cfRule type="expression" dxfId="1744" priority="124">
      <formula>#REF!="TO"</formula>
    </cfRule>
    <cfRule type="expression" dxfId="1743" priority="125">
      <formula>#REF!="IO"</formula>
    </cfRule>
    <cfRule type="expression" dxfId="1742" priority="126">
      <formula>#REF!="L"</formula>
    </cfRule>
    <cfRule type="expression" dxfId="1741" priority="121">
      <formula>#REF!="TO"</formula>
    </cfRule>
    <cfRule type="expression" dxfId="1740" priority="122">
      <formula>#REF!="IO"</formula>
    </cfRule>
    <cfRule type="expression" dxfId="1739" priority="123">
      <formula>#REF!="L"</formula>
    </cfRule>
  </conditionalFormatting>
  <conditionalFormatting sqref="W32:AA32">
    <cfRule type="expression" dxfId="1738" priority="232">
      <formula>#REF!="TO"</formula>
    </cfRule>
    <cfRule type="expression" dxfId="1737" priority="233">
      <formula>#REF!="IO"</formula>
    </cfRule>
    <cfRule type="expression" dxfId="1736" priority="234">
      <formula>#REF!="L"</formula>
    </cfRule>
    <cfRule type="expression" dxfId="1735" priority="235">
      <formula>#REF!="TO"</formula>
    </cfRule>
    <cfRule type="expression" dxfId="1734" priority="236">
      <formula>#REF!="IO"</formula>
    </cfRule>
    <cfRule type="expression" dxfId="1733" priority="237">
      <formula>#REF!="L"</formula>
    </cfRule>
    <cfRule type="expression" dxfId="1732" priority="238">
      <formula>#REF!="TO"</formula>
    </cfRule>
    <cfRule type="expression" dxfId="1731" priority="239">
      <formula>#REF!="IO"</formula>
    </cfRule>
    <cfRule type="expression" dxfId="1730" priority="240">
      <formula>#REF!="L"</formula>
    </cfRule>
    <cfRule type="expression" dxfId="1729" priority="241">
      <formula>#REF!="TO"</formula>
    </cfRule>
    <cfRule type="expression" dxfId="1728" priority="242">
      <formula>#REF!="IO"</formula>
    </cfRule>
    <cfRule type="expression" dxfId="1727" priority="243">
      <formula>#REF!="L"</formula>
    </cfRule>
  </conditionalFormatting>
  <conditionalFormatting sqref="Q34:T34">
    <cfRule type="expression" dxfId="1726" priority="205">
      <formula>#REF!="TO"</formula>
    </cfRule>
    <cfRule type="expression" dxfId="1725" priority="206">
      <formula>#REF!="IO"</formula>
    </cfRule>
    <cfRule type="expression" dxfId="1724" priority="207">
      <formula>#REF!="L"</formula>
    </cfRule>
  </conditionalFormatting>
  <conditionalFormatting sqref="M34:N34">
    <cfRule type="expression" dxfId="1723" priority="229">
      <formula>#REF!="TO"</formula>
    </cfRule>
    <cfRule type="expression" dxfId="1722" priority="230">
      <formula>#REF!="IO"</formula>
    </cfRule>
    <cfRule type="expression" dxfId="1721" priority="231">
      <formula>#REF!="L"</formula>
    </cfRule>
  </conditionalFormatting>
  <conditionalFormatting sqref="O34">
    <cfRule type="expression" dxfId="1720" priority="220">
      <formula>#REF!="TO"</formula>
    </cfRule>
    <cfRule type="expression" dxfId="1719" priority="221">
      <formula>#REF!="IO"</formula>
    </cfRule>
    <cfRule type="expression" dxfId="1718" priority="222">
      <formula>#REF!="L"</formula>
    </cfRule>
  </conditionalFormatting>
  <conditionalFormatting sqref="H34 L34 J34">
    <cfRule type="expression" dxfId="1717" priority="214">
      <formula>#REF!="TO"</formula>
    </cfRule>
    <cfRule type="expression" dxfId="1716" priority="215">
      <formula>#REF!="IO"</formula>
    </cfRule>
    <cfRule type="expression" dxfId="1715" priority="216">
      <formula>#REF!="L"</formula>
    </cfRule>
    <cfRule type="expression" dxfId="1714" priority="217">
      <formula>#REF!="TO"</formula>
    </cfRule>
    <cfRule type="expression" dxfId="1713" priority="218">
      <formula>#REF!="IO"</formula>
    </cfRule>
    <cfRule type="expression" dxfId="1712" priority="219">
      <formula>#REF!="L"</formula>
    </cfRule>
  </conditionalFormatting>
  <conditionalFormatting sqref="K34">
    <cfRule type="expression" dxfId="1711" priority="211">
      <formula>#REF!="TO"</formula>
    </cfRule>
    <cfRule type="expression" dxfId="1710" priority="212">
      <formula>#REF!="IO"</formula>
    </cfRule>
    <cfRule type="expression" dxfId="1709" priority="213">
      <formula>#REF!="L"</formula>
    </cfRule>
  </conditionalFormatting>
  <conditionalFormatting sqref="I34">
    <cfRule type="expression" dxfId="1708" priority="208">
      <formula>#REF!="TO"</formula>
    </cfRule>
    <cfRule type="expression" dxfId="1707" priority="209">
      <formula>#REF!="IO"</formula>
    </cfRule>
    <cfRule type="expression" dxfId="1706" priority="210">
      <formula>#REF!="L"</formula>
    </cfRule>
  </conditionalFormatting>
  <conditionalFormatting sqref="P34">
    <cfRule type="expression" dxfId="1705" priority="199">
      <formula>#REF!="TO"</formula>
    </cfRule>
    <cfRule type="expression" dxfId="1704" priority="200">
      <formula>#REF!="IO"</formula>
    </cfRule>
    <cfRule type="expression" dxfId="1703" priority="201">
      <formula>#REF!="L"</formula>
    </cfRule>
    <cfRule type="expression" dxfId="1702" priority="202">
      <formula>#REF!="TO"</formula>
    </cfRule>
    <cfRule type="expression" dxfId="1701" priority="203">
      <formula>#REF!="IO"</formula>
    </cfRule>
    <cfRule type="expression" dxfId="1700" priority="204">
      <formula>#REF!="L"</formula>
    </cfRule>
  </conditionalFormatting>
  <conditionalFormatting sqref="U34">
    <cfRule type="expression" dxfId="1699" priority="196">
      <formula>#REF!="TO"</formula>
    </cfRule>
    <cfRule type="expression" dxfId="1698" priority="197">
      <formula>#REF!="IO"</formula>
    </cfRule>
    <cfRule type="expression" dxfId="1697" priority="198">
      <formula>#REF!="L"</formula>
    </cfRule>
  </conditionalFormatting>
  <conditionalFormatting sqref="AB34">
    <cfRule type="expression" dxfId="1696" priority="193">
      <formula>#REF!="TO"</formula>
    </cfRule>
    <cfRule type="expression" dxfId="1695" priority="194">
      <formula>#REF!="IO"</formula>
    </cfRule>
    <cfRule type="expression" dxfId="1694" priority="195">
      <formula>#REF!="L"</formula>
    </cfRule>
  </conditionalFormatting>
  <conditionalFormatting sqref="V34">
    <cfRule type="expression" dxfId="1693" priority="187">
      <formula>#REF!="TO"</formula>
    </cfRule>
    <cfRule type="expression" dxfId="1692" priority="188">
      <formula>#REF!="IO"</formula>
    </cfRule>
    <cfRule type="expression" dxfId="1691" priority="189">
      <formula>#REF!="L"</formula>
    </cfRule>
    <cfRule type="expression" dxfId="1690" priority="190">
      <formula>#REF!="TO"</formula>
    </cfRule>
    <cfRule type="expression" dxfId="1689" priority="191">
      <formula>#REF!="IO"</formula>
    </cfRule>
    <cfRule type="expression" dxfId="1688" priority="192">
      <formula>#REF!="L"</formula>
    </cfRule>
  </conditionalFormatting>
  <conditionalFormatting sqref="AD34">
    <cfRule type="expression" dxfId="1687" priority="184">
      <formula>#REF!="TO"</formula>
    </cfRule>
    <cfRule type="expression" dxfId="1686" priority="185">
      <formula>#REF!="IO"</formula>
    </cfRule>
    <cfRule type="expression" dxfId="1685" priority="186">
      <formula>#REF!="L"</formula>
    </cfRule>
  </conditionalFormatting>
  <conditionalFormatting sqref="AC34">
    <cfRule type="expression" dxfId="1684" priority="178">
      <formula>#REF!="TO"</formula>
    </cfRule>
    <cfRule type="expression" dxfId="1683" priority="179">
      <formula>#REF!="IO"</formula>
    </cfRule>
    <cfRule type="expression" dxfId="1682" priority="180">
      <formula>#REF!="L"</formula>
    </cfRule>
    <cfRule type="expression" dxfId="1681" priority="181">
      <formula>#REF!="TO"</formula>
    </cfRule>
    <cfRule type="expression" dxfId="1680" priority="182">
      <formula>#REF!="IO"</formula>
    </cfRule>
    <cfRule type="expression" dxfId="1679" priority="183">
      <formula>#REF!="L"</formula>
    </cfRule>
  </conditionalFormatting>
  <conditionalFormatting sqref="W34:AA34">
    <cfRule type="expression" dxfId="1678" priority="175">
      <formula>#REF!="TO"</formula>
    </cfRule>
    <cfRule type="expression" dxfId="1677" priority="176">
      <formula>#REF!="IO"</formula>
    </cfRule>
    <cfRule type="expression" dxfId="1676" priority="177">
      <formula>#REF!="L"</formula>
    </cfRule>
  </conditionalFormatting>
  <conditionalFormatting sqref="I33:I35">
    <cfRule type="expression" dxfId="1675" priority="118">
      <formula>#REF!="TO"</formula>
    </cfRule>
    <cfRule type="expression" dxfId="1674" priority="119">
      <formula>#REF!="IO"</formula>
    </cfRule>
    <cfRule type="expression" dxfId="1673" priority="120">
      <formula>#REF!="L"</formula>
    </cfRule>
  </conditionalFormatting>
  <conditionalFormatting sqref="Q33:T35">
    <cfRule type="expression" dxfId="1672" priority="115">
      <formula>#REF!="TO"</formula>
    </cfRule>
    <cfRule type="expression" dxfId="1671" priority="116">
      <formula>#REF!="IO"</formula>
    </cfRule>
    <cfRule type="expression" dxfId="1670" priority="117">
      <formula>#REF!="L"</formula>
    </cfRule>
    <cfRule type="expression" dxfId="1669" priority="109">
      <formula>#REF!="TO"</formula>
    </cfRule>
    <cfRule type="expression" dxfId="1668" priority="110">
      <formula>#REF!="IO"</formula>
    </cfRule>
    <cfRule type="expression" dxfId="1667" priority="111">
      <formula>#REF!="L"</formula>
    </cfRule>
    <cfRule type="expression" dxfId="1666" priority="112">
      <formula>#REF!="TO"</formula>
    </cfRule>
    <cfRule type="expression" dxfId="1665" priority="113">
      <formula>#REF!="IO"</formula>
    </cfRule>
    <cfRule type="expression" dxfId="1664" priority="114">
      <formula>#REF!="L"</formula>
    </cfRule>
    <cfRule type="expression" dxfId="1663" priority="106">
      <formula>#REF!="TO"</formula>
    </cfRule>
    <cfRule type="expression" dxfId="1662" priority="107">
      <formula>#REF!="IO"</formula>
    </cfRule>
    <cfRule type="expression" dxfId="1661" priority="108">
      <formula>#REF!="L"</formula>
    </cfRule>
  </conditionalFormatting>
  <conditionalFormatting sqref="AD33:AD35">
    <cfRule type="expression" dxfId="1660" priority="82">
      <formula>#REF!="TO"</formula>
    </cfRule>
    <cfRule type="expression" dxfId="1659" priority="83">
      <formula>#REF!="IO"</formula>
    </cfRule>
    <cfRule type="expression" dxfId="1658" priority="84">
      <formula>#REF!="L"</formula>
    </cfRule>
    <cfRule type="expression" dxfId="1657" priority="91">
      <formula>#REF!="TO"</formula>
    </cfRule>
    <cfRule type="expression" dxfId="1656" priority="92">
      <formula>#REF!="IO"</formula>
    </cfRule>
    <cfRule type="expression" dxfId="1655" priority="93">
      <formula>#REF!="L"</formula>
    </cfRule>
    <cfRule type="expression" dxfId="1654" priority="88">
      <formula>#REF!="TO"</formula>
    </cfRule>
    <cfRule type="expression" dxfId="1653" priority="89">
      <formula>#REF!="IO"</formula>
    </cfRule>
    <cfRule type="expression" dxfId="1652" priority="90">
      <formula>#REF!="L"</formula>
    </cfRule>
    <cfRule type="expression" dxfId="1651" priority="85">
      <formula>#REF!="TO"</formula>
    </cfRule>
    <cfRule type="expression" dxfId="1650" priority="86">
      <formula>#REF!="IO"</formula>
    </cfRule>
    <cfRule type="expression" dxfId="1649" priority="87">
      <formula>#REF!="L"</formula>
    </cfRule>
  </conditionalFormatting>
  <conditionalFormatting sqref="M33:N35">
    <cfRule type="expression" dxfId="1648" priority="172">
      <formula>#REF!="TO"</formula>
    </cfRule>
    <cfRule type="expression" dxfId="1647" priority="173">
      <formula>#REF!="IO"</formula>
    </cfRule>
    <cfRule type="expression" dxfId="1646" priority="174">
      <formula>#REF!="L"</formula>
    </cfRule>
    <cfRule type="expression" dxfId="1645" priority="169">
      <formula>#REF!="TO"</formula>
    </cfRule>
    <cfRule type="expression" dxfId="1644" priority="170">
      <formula>#REF!="IO"</formula>
    </cfRule>
    <cfRule type="expression" dxfId="1643" priority="171">
      <formula>#REF!="L"</formula>
    </cfRule>
    <cfRule type="expression" dxfId="1642" priority="166">
      <formula>#REF!="TO"</formula>
    </cfRule>
    <cfRule type="expression" dxfId="1641" priority="167">
      <formula>#REF!="IO"</formula>
    </cfRule>
    <cfRule type="expression" dxfId="1640" priority="168">
      <formula>#REF!="L"</formula>
    </cfRule>
    <cfRule type="expression" dxfId="1639" priority="163">
      <formula>#REF!="TO"</formula>
    </cfRule>
    <cfRule type="expression" dxfId="1638" priority="164">
      <formula>#REF!="IO"</formula>
    </cfRule>
    <cfRule type="expression" dxfId="1637" priority="165">
      <formula>#REF!="L"</formula>
    </cfRule>
  </conditionalFormatting>
  <conditionalFormatting sqref="O33:O35">
    <cfRule type="expression" dxfId="1636" priority="142">
      <formula>#REF!="TO"</formula>
    </cfRule>
    <cfRule type="expression" dxfId="1635" priority="143">
      <formula>#REF!="IO"</formula>
    </cfRule>
    <cfRule type="expression" dxfId="1634" priority="144">
      <formula>#REF!="L"</formula>
    </cfRule>
    <cfRule type="expression" dxfId="1633" priority="139">
      <formula>#REF!="TO"</formula>
    </cfRule>
    <cfRule type="expression" dxfId="1632" priority="140">
      <formula>#REF!="IO"</formula>
    </cfRule>
    <cfRule type="expression" dxfId="1631" priority="141">
      <formula>#REF!="L"</formula>
    </cfRule>
    <cfRule type="expression" dxfId="1630" priority="136">
      <formula>#REF!="TO"</formula>
    </cfRule>
    <cfRule type="expression" dxfId="1629" priority="137">
      <formula>#REF!="IO"</formula>
    </cfRule>
    <cfRule type="expression" dxfId="1628" priority="138">
      <formula>#REF!="L"</formula>
    </cfRule>
    <cfRule type="expression" dxfId="1627" priority="133">
      <formula>#REF!="TO"</formula>
    </cfRule>
    <cfRule type="expression" dxfId="1626" priority="134">
      <formula>#REF!="IO"</formula>
    </cfRule>
    <cfRule type="expression" dxfId="1625" priority="135">
      <formula>#REF!="L"</formula>
    </cfRule>
  </conditionalFormatting>
  <conditionalFormatting sqref="U33:U35">
    <cfRule type="expression" dxfId="1624" priority="103">
      <formula>#REF!="TO"</formula>
    </cfRule>
    <cfRule type="expression" dxfId="1623" priority="104">
      <formula>#REF!="IO"</formula>
    </cfRule>
    <cfRule type="expression" dxfId="1622" priority="105">
      <formula>#REF!="L"</formula>
    </cfRule>
    <cfRule type="expression" dxfId="1621" priority="100">
      <formula>#REF!="TO"</formula>
    </cfRule>
    <cfRule type="expression" dxfId="1620" priority="101">
      <formula>#REF!="IO"</formula>
    </cfRule>
    <cfRule type="expression" dxfId="1619" priority="102">
      <formula>#REF!="L"</formula>
    </cfRule>
    <cfRule type="expression" dxfId="1618" priority="97">
      <formula>#REF!="TO"</formula>
    </cfRule>
    <cfRule type="expression" dxfId="1617" priority="98">
      <formula>#REF!="IO"</formula>
    </cfRule>
    <cfRule type="expression" dxfId="1616" priority="99">
      <formula>#REF!="L"</formula>
    </cfRule>
    <cfRule type="expression" dxfId="1615" priority="94">
      <formula>#REF!="TO"</formula>
    </cfRule>
    <cfRule type="expression" dxfId="1614" priority="95">
      <formula>#REF!="IO"</formula>
    </cfRule>
    <cfRule type="expression" dxfId="1613" priority="96">
      <formula>#REF!="L"</formula>
    </cfRule>
  </conditionalFormatting>
  <conditionalFormatting sqref="AB33:AB35">
    <cfRule type="expression" dxfId="1612" priority="79">
      <formula>#REF!="TO"</formula>
    </cfRule>
    <cfRule type="expression" dxfId="1611" priority="80">
      <formula>#REF!="IO"</formula>
    </cfRule>
    <cfRule type="expression" dxfId="1610" priority="81">
      <formula>#REF!="L"</formula>
    </cfRule>
    <cfRule type="expression" dxfId="1609" priority="76">
      <formula>#REF!="TO"</formula>
    </cfRule>
    <cfRule type="expression" dxfId="1608" priority="77">
      <formula>#REF!="IO"</formula>
    </cfRule>
    <cfRule type="expression" dxfId="1607" priority="78">
      <formula>#REF!="L"</formula>
    </cfRule>
    <cfRule type="expression" dxfId="1606" priority="73">
      <formula>#REF!="TO"</formula>
    </cfRule>
    <cfRule type="expression" dxfId="1605" priority="74">
      <formula>#REF!="IO"</formula>
    </cfRule>
    <cfRule type="expression" dxfId="1604" priority="75">
      <formula>#REF!="L"</formula>
    </cfRule>
    <cfRule type="expression" dxfId="1603" priority="70">
      <formula>#REF!="TO"</formula>
    </cfRule>
    <cfRule type="expression" dxfId="1602" priority="71">
      <formula>#REF!="IO"</formula>
    </cfRule>
    <cfRule type="expression" dxfId="1601" priority="72">
      <formula>#REF!="L"</formula>
    </cfRule>
  </conditionalFormatting>
  <conditionalFormatting sqref="W33:AA35">
    <cfRule type="expression" dxfId="1600" priority="58">
      <formula>#REF!="TO"</formula>
    </cfRule>
    <cfRule type="expression" dxfId="1599" priority="59">
      <formula>#REF!="IO"</formula>
    </cfRule>
    <cfRule type="expression" dxfId="1598" priority="60">
      <formula>#REF!="L"</formula>
    </cfRule>
    <cfRule type="expression" dxfId="1597" priority="61">
      <formula>#REF!="TO"</formula>
    </cfRule>
    <cfRule type="expression" dxfId="1596" priority="62">
      <formula>#REF!="IO"</formula>
    </cfRule>
    <cfRule type="expression" dxfId="1595" priority="63">
      <formula>#REF!="L"</formula>
    </cfRule>
    <cfRule type="expression" dxfId="1594" priority="64">
      <formula>#REF!="TO"</formula>
    </cfRule>
    <cfRule type="expression" dxfId="1593" priority="65">
      <formula>#REF!="IO"</formula>
    </cfRule>
    <cfRule type="expression" dxfId="1592" priority="66">
      <formula>#REF!="L"</formula>
    </cfRule>
    <cfRule type="expression" dxfId="1591" priority="67">
      <formula>#REF!="TO"</formula>
    </cfRule>
    <cfRule type="expression" dxfId="1590" priority="68">
      <formula>#REF!="IO"</formula>
    </cfRule>
    <cfRule type="expression" dxfId="1589" priority="69">
      <formula>#REF!="L"</formula>
    </cfRule>
  </conditionalFormatting>
  <conditionalFormatting sqref="Q36:T36">
    <cfRule type="expression" dxfId="1588" priority="31">
      <formula>#REF!="TO"</formula>
    </cfRule>
    <cfRule type="expression" dxfId="1587" priority="32">
      <formula>#REF!="IO"</formula>
    </cfRule>
    <cfRule type="expression" dxfId="1586" priority="33">
      <formula>#REF!="L"</formula>
    </cfRule>
  </conditionalFormatting>
  <conditionalFormatting sqref="M36:N36">
    <cfRule type="expression" dxfId="1585" priority="55">
      <formula>#REF!="TO"</formula>
    </cfRule>
    <cfRule type="expression" dxfId="1584" priority="56">
      <formula>#REF!="IO"</formula>
    </cfRule>
    <cfRule type="expression" dxfId="1583" priority="57">
      <formula>#REF!="L"</formula>
    </cfRule>
  </conditionalFormatting>
  <conditionalFormatting sqref="O36">
    <cfRule type="expression" dxfId="1582" priority="46">
      <formula>#REF!="TO"</formula>
    </cfRule>
    <cfRule type="expression" dxfId="1581" priority="47">
      <formula>#REF!="IO"</formula>
    </cfRule>
    <cfRule type="expression" dxfId="1580" priority="48">
      <formula>#REF!="L"</formula>
    </cfRule>
  </conditionalFormatting>
  <conditionalFormatting sqref="H36 L36 J36">
    <cfRule type="expression" dxfId="1579" priority="40">
      <formula>#REF!="TO"</formula>
    </cfRule>
    <cfRule type="expression" dxfId="1578" priority="41">
      <formula>#REF!="IO"</formula>
    </cfRule>
    <cfRule type="expression" dxfId="1577" priority="42">
      <formula>#REF!="L"</formula>
    </cfRule>
    <cfRule type="expression" dxfId="1576" priority="43">
      <formula>#REF!="TO"</formula>
    </cfRule>
    <cfRule type="expression" dxfId="1575" priority="44">
      <formula>#REF!="IO"</formula>
    </cfRule>
    <cfRule type="expression" dxfId="1574" priority="45">
      <formula>#REF!="L"</formula>
    </cfRule>
  </conditionalFormatting>
  <conditionalFormatting sqref="K36">
    <cfRule type="expression" dxfId="1573" priority="37">
      <formula>#REF!="TO"</formula>
    </cfRule>
    <cfRule type="expression" dxfId="1572" priority="38">
      <formula>#REF!="IO"</formula>
    </cfRule>
    <cfRule type="expression" dxfId="1571" priority="39">
      <formula>#REF!="L"</formula>
    </cfRule>
  </conditionalFormatting>
  <conditionalFormatting sqref="I36">
    <cfRule type="expression" dxfId="1570" priority="34">
      <formula>#REF!="TO"</formula>
    </cfRule>
    <cfRule type="expression" dxfId="1569" priority="35">
      <formula>#REF!="IO"</formula>
    </cfRule>
    <cfRule type="expression" dxfId="1568" priority="36">
      <formula>#REF!="L"</formula>
    </cfRule>
  </conditionalFormatting>
  <conditionalFormatting sqref="P36">
    <cfRule type="expression" dxfId="1567" priority="25">
      <formula>#REF!="TO"</formula>
    </cfRule>
    <cfRule type="expression" dxfId="1566" priority="26">
      <formula>#REF!="IO"</formula>
    </cfRule>
    <cfRule type="expression" dxfId="1565" priority="27">
      <formula>#REF!="L"</formula>
    </cfRule>
    <cfRule type="expression" dxfId="1564" priority="28">
      <formula>#REF!="TO"</formula>
    </cfRule>
    <cfRule type="expression" dxfId="1563" priority="29">
      <formula>#REF!="IO"</formula>
    </cfRule>
    <cfRule type="expression" dxfId="1562" priority="30">
      <formula>#REF!="L"</formula>
    </cfRule>
  </conditionalFormatting>
  <conditionalFormatting sqref="U36">
    <cfRule type="expression" dxfId="1561" priority="22">
      <formula>#REF!="TO"</formula>
    </cfRule>
    <cfRule type="expression" dxfId="1560" priority="23">
      <formula>#REF!="IO"</formula>
    </cfRule>
    <cfRule type="expression" dxfId="1559" priority="24">
      <formula>#REF!="L"</formula>
    </cfRule>
  </conditionalFormatting>
  <conditionalFormatting sqref="AB36">
    <cfRule type="expression" dxfId="1558" priority="19">
      <formula>#REF!="TO"</formula>
    </cfRule>
    <cfRule type="expression" dxfId="1557" priority="20">
      <formula>#REF!="IO"</formula>
    </cfRule>
    <cfRule type="expression" dxfId="1556" priority="21">
      <formula>#REF!="L"</formula>
    </cfRule>
  </conditionalFormatting>
  <conditionalFormatting sqref="V36">
    <cfRule type="expression" dxfId="1555" priority="13">
      <formula>#REF!="TO"</formula>
    </cfRule>
    <cfRule type="expression" dxfId="1554" priority="14">
      <formula>#REF!="IO"</formula>
    </cfRule>
    <cfRule type="expression" dxfId="1553" priority="15">
      <formula>#REF!="L"</formula>
    </cfRule>
    <cfRule type="expression" dxfId="1552" priority="16">
      <formula>#REF!="TO"</formula>
    </cfRule>
    <cfRule type="expression" dxfId="1551" priority="17">
      <formula>#REF!="IO"</formula>
    </cfRule>
    <cfRule type="expression" dxfId="1550" priority="18">
      <formula>#REF!="L"</formula>
    </cfRule>
  </conditionalFormatting>
  <conditionalFormatting sqref="AD36">
    <cfRule type="expression" dxfId="1549" priority="10">
      <formula>#REF!="TO"</formula>
    </cfRule>
    <cfRule type="expression" dxfId="1548" priority="11">
      <formula>#REF!="IO"</formula>
    </cfRule>
    <cfRule type="expression" dxfId="1547" priority="12">
      <formula>#REF!="L"</formula>
    </cfRule>
  </conditionalFormatting>
  <conditionalFormatting sqref="AC36">
    <cfRule type="expression" dxfId="1546" priority="4">
      <formula>#REF!="TO"</formula>
    </cfRule>
    <cfRule type="expression" dxfId="1545" priority="5">
      <formula>#REF!="IO"</formula>
    </cfRule>
    <cfRule type="expression" dxfId="1544" priority="6">
      <formula>#REF!="L"</formula>
    </cfRule>
    <cfRule type="expression" dxfId="1543" priority="7">
      <formula>#REF!="TO"</formula>
    </cfRule>
    <cfRule type="expression" dxfId="1542" priority="8">
      <formula>#REF!="IO"</formula>
    </cfRule>
    <cfRule type="expression" dxfId="1541" priority="9">
      <formula>#REF!="L"</formula>
    </cfRule>
  </conditionalFormatting>
  <conditionalFormatting sqref="W36:AA36">
    <cfRule type="expression" dxfId="1540" priority="1">
      <formula>#REF!="TO"</formula>
    </cfRule>
    <cfRule type="expression" dxfId="1539" priority="2">
      <formula>#REF!="IO"</formula>
    </cfRule>
    <cfRule type="expression" dxfId="1538" priority="3">
      <formula>#REF!="L"</formula>
    </cfRule>
  </conditionalFormatting>
  <pageMargins left="0.511811024" right="0.511811024" top="0.78740157499999996" bottom="0.78740157499999996" header="0.31496062000000002" footer="0.31496062000000002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0070C0"/>
  </sheetPr>
  <dimension ref="A1:AI52"/>
  <sheetViews>
    <sheetView showGridLines="0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14" sqref="H14"/>
    </sheetView>
  </sheetViews>
  <sheetFormatPr defaultRowHeight="15" x14ac:dyDescent="0.25"/>
  <cols>
    <col min="1" max="1" width="7" style="186" bestFit="1" customWidth="1"/>
    <col min="2" max="2" width="6.85546875" style="186" bestFit="1" customWidth="1"/>
    <col min="3" max="3" width="6.85546875" style="186" customWidth="1"/>
    <col min="4" max="4" width="6.85546875" style="186" bestFit="1" customWidth="1"/>
    <col min="5" max="5" width="13.42578125" style="186" bestFit="1" customWidth="1"/>
    <col min="6" max="6" width="9.28515625" style="186" bestFit="1" customWidth="1"/>
    <col min="7" max="7" width="8.7109375" style="13" bestFit="1" customWidth="1"/>
    <col min="8" max="8" width="17" style="186" bestFit="1" customWidth="1"/>
    <col min="9" max="9" width="11.5703125" style="186" bestFit="1" customWidth="1"/>
    <col min="10" max="11" width="8.28515625" style="186" customWidth="1"/>
    <col min="12" max="12" width="12" style="186" bestFit="1" customWidth="1"/>
    <col min="13" max="13" width="14.5703125" style="186" bestFit="1" customWidth="1"/>
    <col min="14" max="14" width="14.5703125" style="186" customWidth="1"/>
    <col min="15" max="16" width="14.5703125" style="186" bestFit="1" customWidth="1"/>
    <col min="17" max="17" width="12" style="186" bestFit="1" customWidth="1"/>
    <col min="18" max="21" width="9.42578125" style="186" customWidth="1"/>
    <col min="22" max="22" width="11.5703125" style="186" bestFit="1" customWidth="1"/>
    <col min="23" max="23" width="14.28515625" style="186" bestFit="1" customWidth="1"/>
    <col min="24" max="25" width="18" style="186" bestFit="1" customWidth="1"/>
    <col min="26" max="26" width="7.5703125" style="186" customWidth="1"/>
    <col min="28" max="28" width="13.42578125" style="186" bestFit="1" customWidth="1"/>
    <col min="32" max="32" width="14.5703125" style="186" bestFit="1" customWidth="1"/>
    <col min="33" max="34" width="13.28515625" style="186" bestFit="1" customWidth="1"/>
  </cols>
  <sheetData>
    <row r="1" spans="1:35" ht="15.75" customHeight="1" thickBot="1" x14ac:dyDescent="0.3">
      <c r="A1" s="1" t="s">
        <v>303</v>
      </c>
      <c r="B1" s="1" t="s">
        <v>240</v>
      </c>
      <c r="C1" s="1" t="s">
        <v>304</v>
      </c>
      <c r="D1" s="1" t="s">
        <v>242</v>
      </c>
      <c r="E1" s="8" t="s">
        <v>305</v>
      </c>
      <c r="F1" s="26" t="s">
        <v>306</v>
      </c>
      <c r="G1" s="27" t="s">
        <v>307</v>
      </c>
      <c r="H1" s="28" t="s">
        <v>308</v>
      </c>
      <c r="I1" s="28" t="s">
        <v>309</v>
      </c>
      <c r="J1" s="32" t="s">
        <v>125</v>
      </c>
      <c r="K1" s="32" t="s">
        <v>120</v>
      </c>
      <c r="L1" s="34" t="s">
        <v>310</v>
      </c>
      <c r="M1" s="32" t="s">
        <v>143</v>
      </c>
      <c r="N1" s="32" t="s">
        <v>148</v>
      </c>
      <c r="O1" s="32" t="s">
        <v>139</v>
      </c>
      <c r="P1" s="32" t="s">
        <v>134</v>
      </c>
      <c r="Q1" s="34" t="s">
        <v>311</v>
      </c>
      <c r="R1" s="37" t="s">
        <v>312</v>
      </c>
      <c r="S1" s="37" t="s">
        <v>313</v>
      </c>
      <c r="T1" s="37" t="s">
        <v>314</v>
      </c>
      <c r="U1" s="37" t="s">
        <v>109</v>
      </c>
      <c r="V1" s="34" t="s">
        <v>238</v>
      </c>
      <c r="X1" s="606" t="s">
        <v>315</v>
      </c>
      <c r="Y1" s="607"/>
      <c r="AA1" s="132" t="s">
        <v>316</v>
      </c>
      <c r="AB1" s="32" t="s">
        <v>317</v>
      </c>
      <c r="AC1" s="32" t="s">
        <v>318</v>
      </c>
      <c r="AD1" s="32" t="s">
        <v>319</v>
      </c>
      <c r="AE1" s="32" t="s">
        <v>320</v>
      </c>
      <c r="AF1" s="224" t="s">
        <v>321</v>
      </c>
      <c r="AG1" s="34" t="s">
        <v>27</v>
      </c>
    </row>
    <row r="2" spans="1:35" ht="15.75" customHeight="1" thickBot="1" x14ac:dyDescent="0.3">
      <c r="A2" s="3" t="s">
        <v>322</v>
      </c>
      <c r="B2" s="3">
        <f>INDEX('Base de Unidades'!$B$2:$B$47, MATCH('Tabela Vendas'!A2, 'Base de Unidades'!$A$2:$A$47, 0))</f>
        <v>11</v>
      </c>
      <c r="C2" s="7" t="str">
        <f>INDEX('Base de Unidades'!G:G, MATCH('Tabela Vendas'!A2, 'Base de Unidades'!A:A, 0))</f>
        <v>1</v>
      </c>
      <c r="D2" s="7">
        <f>INDEX('Base de Unidades'!$D$2:$D$47, MATCH('Tabela Vendas'!A2, 'Base de Unidades'!$A$2:$A$47, 0))</f>
        <v>207.51</v>
      </c>
      <c r="E2" s="2" t="str">
        <f>IFERROR(INDEX('Base de Unidades'!Q:Q,MATCH('Tabela Vendas'!A2,'Base de Unidades'!J:J,0)),IFERROR(INDEX('M-Unidades'!$G:$G,MATCH('Tabela Vendas'!$A2,'M-Unidades'!$H:$H,0)),"Disponível"))</f>
        <v>Disponível</v>
      </c>
      <c r="F2" s="29" t="str">
        <f>IF(E2="Vendida",IFERROR(INDEX('M-POS. FIN.'!$E:$E,MATCH('Tabela Vendas'!$A2,'M-POS. FIN.'!$D:$D,0)),"-"),IF(E2="Quitada",IFERROR(INDEX('M-LIQUIDAÇÕES'!$E:$E,MATCH('Tabela Vendas'!$A2,'M-LIQUIDAÇÕES'!$D:$D,0)),"-"),"-"))</f>
        <v>-</v>
      </c>
      <c r="G2" s="30" t="str">
        <f t="shared" ref="G2:G47" si="0">IF(F2&lt;&gt;"-",DATE(YEAR(F2),MONTH(F2),1),"-")</f>
        <v>-</v>
      </c>
      <c r="H2" s="31" t="str">
        <f>IF(E2="Vendida",IFERROR(INDEX('M-POS. FIN.'!$F:$F,MATCH('Tabela Vendas'!$A2,'M-POS. FIN.'!$D:$D,0)),"-"),IF(E2="Quitada",IFERROR(INDEX('M-LIQUIDAÇÕES'!$F:$F,MATCH('Tabela Vendas'!$A2,'M-LIQUIDAÇÕES'!$D:$D,0)),"-"),"-"))</f>
        <v>-</v>
      </c>
      <c r="I2" s="31" t="str">
        <f t="shared" ref="I2:I47" si="1">IFERROR(H2/D2,"-")</f>
        <v>-</v>
      </c>
      <c r="J2" s="33">
        <f t="shared" ref="J2:J47" si="2">IF($E2="Disponível",precoHist,"-")</f>
        <v>20092.757206690792</v>
      </c>
      <c r="K2" s="33">
        <f t="shared" ref="K2:K47" si="3">IF($E2="Disponível", AF2, "-")</f>
        <v>15139.34121978288</v>
      </c>
      <c r="L2" s="35">
        <f t="shared" ref="L2:L47" si="4">INDEX(J2:K2,1,MATCH(tipoPreço,$J$1:$K$1,0))</f>
        <v>15139.34121978288</v>
      </c>
      <c r="M2" s="36">
        <f t="shared" ref="M2:M47" si="5">comissao</f>
        <v>0.05</v>
      </c>
      <c r="N2" s="36">
        <f t="shared" ref="N2:N47" si="6">premio</f>
        <v>0</v>
      </c>
      <c r="O2" s="36">
        <f t="shared" ref="O2:O47" si="7">gordura</f>
        <v>0</v>
      </c>
      <c r="P2" s="36">
        <f t="shared" ref="P2:P47" si="8">desconto</f>
        <v>0.01</v>
      </c>
      <c r="Q2" s="35">
        <f t="shared" ref="Q2:Q47" si="9">IFERROR(L2*(1-O2)*(1-P2)*(1-M2-N2),"-")</f>
        <v>14238.550417205797</v>
      </c>
      <c r="R2" s="38">
        <f t="shared" ref="R2:R47" si="10">IF(E2="Disponível",1,0)</f>
        <v>1</v>
      </c>
      <c r="S2" s="38">
        <f t="shared" ref="S2:S47" si="11">IF(E2="Vendida",1,0)</f>
        <v>0</v>
      </c>
      <c r="T2" s="38">
        <f t="shared" ref="T2:T47" si="12">IF(E2="Quitada",1,0)</f>
        <v>0</v>
      </c>
      <c r="U2" s="38">
        <f t="shared" ref="U2:U47" si="13">IF(LEFT(E2, 7)="Permuta", 1, 0)</f>
        <v>0</v>
      </c>
      <c r="V2" s="35">
        <f t="shared" ref="V2:V47" si="14">IF(E2="Disponível",Q2*D2,H2)</f>
        <v>2954641.597074375</v>
      </c>
      <c r="W2" s="336"/>
      <c r="AA2" s="141">
        <f t="shared" ref="AA2:AA47" si="15">1+(andarTipo-C2)*deltaAndares</f>
        <v>0.95499999999999996</v>
      </c>
      <c r="AB2" s="36">
        <v>0</v>
      </c>
      <c r="AC2" s="36">
        <f t="shared" ref="AC2:AC47" si="16">IF(RIGHT(B2, 1)="1", deltaFinal1, deltaFinal2)</f>
        <v>0</v>
      </c>
      <c r="AD2" s="36">
        <v>-0.04</v>
      </c>
      <c r="AE2" s="36">
        <f t="shared" ref="AE2:AE47" si="17">IF(C2="1", IF(RIGHT(B2, 1)="1", deltaGarden1, deltaGarden2), 0)</f>
        <v>-0.9</v>
      </c>
      <c r="AF2" s="465">
        <f t="shared" ref="AF2:AF47" si="18">inputTabela*(AA2+AB2)*(1+AC2)*(1+AD2)*(1+IFERROR(INDEX($Y$12:$Y$13, MATCH(B2, $X$12:$X$13, 0))*AE2/D2, 0))</f>
        <v>15139.34121978288</v>
      </c>
      <c r="AG2" s="140">
        <f t="shared" ref="AG2:AG47" si="19">AF2*D2</f>
        <v>3141564.6965171453</v>
      </c>
      <c r="AH2" s="336"/>
      <c r="AI2" s="342"/>
    </row>
    <row r="3" spans="1:35" x14ac:dyDescent="0.25">
      <c r="A3" s="3" t="s">
        <v>323</v>
      </c>
      <c r="B3" s="3">
        <f>INDEX('Base de Unidades'!$B$2:$B$47, MATCH('Tabela Vendas'!A3, 'Base de Unidades'!$A$2:$A$47, 0))</f>
        <v>12</v>
      </c>
      <c r="C3" s="7" t="str">
        <f>INDEX('Base de Unidades'!G:G, MATCH('Tabela Vendas'!A3, 'Base de Unidades'!A:A, 0))</f>
        <v>1</v>
      </c>
      <c r="D3" s="7">
        <f>INDEX('Base de Unidades'!$D$2:$D$47, MATCH('Tabela Vendas'!A3, 'Base de Unidades'!$A$2:$A$47, 0))</f>
        <v>207.5</v>
      </c>
      <c r="E3" s="2" t="str">
        <f>IFERROR(INDEX('Base de Unidades'!Q:Q,MATCH('Tabela Vendas'!A3,'Base de Unidades'!J:J,0)),IFERROR(INDEX('M-Unidades'!$G:$G,MATCH('Tabela Vendas'!$A3,'M-Unidades'!$H:$H,0)),"Disponível"))</f>
        <v>Vendida</v>
      </c>
      <c r="F3" s="29">
        <f>IF(E3="Vendida",IFERROR(INDEX('M-POS. FIN.'!$E:$E,MATCH('Tabela Vendas'!$A3,'M-POS. FIN.'!$D:$D,0)),"-"),IF(E3="Quitada",IFERROR(INDEX('M-LIQUIDAÇÕES'!$E:$E,MATCH('Tabela Vendas'!$A3,'M-LIQUIDAÇÕES'!$D:$D,0)),"-"),"-"))</f>
        <v>44004</v>
      </c>
      <c r="G3" s="30">
        <f t="shared" si="0"/>
        <v>43983</v>
      </c>
      <c r="H3" s="31">
        <f>IF(E3="Vendida",IFERROR(INDEX('M-POS. FIN.'!$F:$F,MATCH('Tabela Vendas'!$A3,'M-POS. FIN.'!$D:$D,0)),"-"),IF(E3="Quitada",IFERROR(INDEX('M-LIQUIDAÇÕES'!$F:$F,MATCH('Tabela Vendas'!$A3,'M-LIQUIDAÇÕES'!$D:$D,0)),"-"),"-"))</f>
        <v>3163500</v>
      </c>
      <c r="I3" s="31">
        <f t="shared" si="1"/>
        <v>15245.783132530121</v>
      </c>
      <c r="J3" s="33" t="str">
        <f t="shared" si="2"/>
        <v>-</v>
      </c>
      <c r="K3" s="33" t="str">
        <f t="shared" si="3"/>
        <v>-</v>
      </c>
      <c r="L3" s="35" t="str">
        <f t="shared" si="4"/>
        <v>-</v>
      </c>
      <c r="M3" s="36">
        <f t="shared" si="5"/>
        <v>0.05</v>
      </c>
      <c r="N3" s="36">
        <f t="shared" si="6"/>
        <v>0</v>
      </c>
      <c r="O3" s="36">
        <f t="shared" si="7"/>
        <v>0</v>
      </c>
      <c r="P3" s="36">
        <f t="shared" si="8"/>
        <v>0.01</v>
      </c>
      <c r="Q3" s="35" t="str">
        <f t="shared" si="9"/>
        <v>-</v>
      </c>
      <c r="R3" s="38">
        <f t="shared" si="10"/>
        <v>0</v>
      </c>
      <c r="S3" s="38">
        <f t="shared" si="11"/>
        <v>1</v>
      </c>
      <c r="T3" s="38">
        <f t="shared" si="12"/>
        <v>0</v>
      </c>
      <c r="U3" s="38">
        <f t="shared" si="13"/>
        <v>0</v>
      </c>
      <c r="V3" s="35">
        <f t="shared" si="14"/>
        <v>3163500</v>
      </c>
      <c r="X3" s="608" t="s">
        <v>324</v>
      </c>
      <c r="Y3" s="609"/>
      <c r="AA3" s="142">
        <f t="shared" si="15"/>
        <v>0.95499999999999996</v>
      </c>
      <c r="AB3" s="36">
        <v>0</v>
      </c>
      <c r="AC3" s="36">
        <f t="shared" si="16"/>
        <v>0</v>
      </c>
      <c r="AD3" s="36">
        <v>-0.02</v>
      </c>
      <c r="AE3" s="36">
        <f t="shared" si="17"/>
        <v>-0.4</v>
      </c>
      <c r="AF3" s="466">
        <f t="shared" si="18"/>
        <v>18468.10185765136</v>
      </c>
      <c r="AG3" s="140">
        <f t="shared" si="19"/>
        <v>3832131.1354626571</v>
      </c>
      <c r="AH3" s="336"/>
    </row>
    <row r="4" spans="1:35" x14ac:dyDescent="0.25">
      <c r="A4" s="3" t="s">
        <v>325</v>
      </c>
      <c r="B4" s="3">
        <f>INDEX('Base de Unidades'!$B$2:$B$47, MATCH('Tabela Vendas'!A4, 'Base de Unidades'!$A$2:$A$47, 0))</f>
        <v>21</v>
      </c>
      <c r="C4" s="7" t="str">
        <f>INDEX('Base de Unidades'!G:G, MATCH('Tabela Vendas'!A4, 'Base de Unidades'!A:A, 0))</f>
        <v>2</v>
      </c>
      <c r="D4" s="7">
        <f>INDEX('Base de Unidades'!$D$2:$D$47, MATCH('Tabela Vendas'!A4, 'Base de Unidades'!$A$2:$A$47, 0))</f>
        <v>147.61000000000001</v>
      </c>
      <c r="E4" s="2" t="str">
        <f>IFERROR(INDEX('Base de Unidades'!Q:Q,MATCH('Tabela Vendas'!A4,'Base de Unidades'!J:J,0)),IFERROR(INDEX('M-Unidades'!$G:$G,MATCH('Tabela Vendas'!$A4,'M-Unidades'!$H:$H,0)),"Disponível"))</f>
        <v>Disponível</v>
      </c>
      <c r="F4" s="29" t="str">
        <f>IF(E4="Vendida",IFERROR(INDEX('M-POS. FIN.'!$E:$E,MATCH('Tabela Vendas'!$A4,'M-POS. FIN.'!$D:$D,0)),"-"),IF(E4="Quitada",IFERROR(INDEX('M-LIQUIDAÇÕES'!$E:$E,MATCH('Tabela Vendas'!$A4,'M-LIQUIDAÇÕES'!$D:$D,0)),"-"),"-"))</f>
        <v>-</v>
      </c>
      <c r="G4" s="30" t="str">
        <f t="shared" si="0"/>
        <v>-</v>
      </c>
      <c r="H4" s="31" t="str">
        <f>IF(E4="Vendida",IFERROR(INDEX('M-POS. FIN.'!$F:$F,MATCH('Tabela Vendas'!$A4,'M-POS. FIN.'!$D:$D,0)),"-"),IF(E4="Quitada",IFERROR(INDEX('M-LIQUIDAÇÕES'!$F:$F,MATCH('Tabela Vendas'!$A4,'M-LIQUIDAÇÕES'!$D:$D,0)),"-"),"-"))</f>
        <v>-</v>
      </c>
      <c r="I4" s="31" t="str">
        <f t="shared" si="1"/>
        <v>-</v>
      </c>
      <c r="J4" s="33">
        <f t="shared" si="2"/>
        <v>20092.757206690792</v>
      </c>
      <c r="K4" s="33">
        <f t="shared" si="3"/>
        <v>20559.978380347806</v>
      </c>
      <c r="L4" s="35">
        <f t="shared" si="4"/>
        <v>20559.978380347806</v>
      </c>
      <c r="M4" s="36">
        <f t="shared" si="5"/>
        <v>0.05</v>
      </c>
      <c r="N4" s="36">
        <f t="shared" si="6"/>
        <v>0</v>
      </c>
      <c r="O4" s="36">
        <f t="shared" si="7"/>
        <v>0</v>
      </c>
      <c r="P4" s="36">
        <f t="shared" si="8"/>
        <v>0.01</v>
      </c>
      <c r="Q4" s="35">
        <f t="shared" si="9"/>
        <v>19336.659666717111</v>
      </c>
      <c r="R4" s="38">
        <f t="shared" si="10"/>
        <v>1</v>
      </c>
      <c r="S4" s="38">
        <f t="shared" si="11"/>
        <v>0</v>
      </c>
      <c r="T4" s="38">
        <f t="shared" si="12"/>
        <v>0</v>
      </c>
      <c r="U4" s="38">
        <f t="shared" si="13"/>
        <v>0</v>
      </c>
      <c r="V4" s="35">
        <f t="shared" si="14"/>
        <v>2854284.3334041131</v>
      </c>
      <c r="W4" s="336"/>
      <c r="X4" s="137" t="s">
        <v>326</v>
      </c>
      <c r="Y4" s="138">
        <v>10</v>
      </c>
      <c r="AA4" s="142">
        <f t="shared" si="15"/>
        <v>0.96</v>
      </c>
      <c r="AB4" s="36">
        <v>0</v>
      </c>
      <c r="AC4" s="36">
        <f t="shared" si="16"/>
        <v>0</v>
      </c>
      <c r="AD4" s="36">
        <v>-0.04</v>
      </c>
      <c r="AE4" s="36">
        <f t="shared" si="17"/>
        <v>0</v>
      </c>
      <c r="AF4" s="466">
        <f t="shared" si="18"/>
        <v>20559.978380347806</v>
      </c>
      <c r="AG4" s="140">
        <f t="shared" si="19"/>
        <v>3034858.4087231397</v>
      </c>
      <c r="AH4" s="336"/>
    </row>
    <row r="5" spans="1:35" x14ac:dyDescent="0.25">
      <c r="A5" s="3" t="s">
        <v>327</v>
      </c>
      <c r="B5" s="3">
        <f>INDEX('Base de Unidades'!$B$2:$B$47, MATCH('Tabela Vendas'!A5, 'Base de Unidades'!$A$2:$A$47, 0))</f>
        <v>22</v>
      </c>
      <c r="C5" s="7" t="str">
        <f>INDEX('Base de Unidades'!G:G, MATCH('Tabela Vendas'!A5, 'Base de Unidades'!A:A, 0))</f>
        <v>2</v>
      </c>
      <c r="D5" s="7">
        <f>INDEX('Base de Unidades'!$D$2:$D$47, MATCH('Tabela Vendas'!A5, 'Base de Unidades'!$A$2:$A$47, 0))</f>
        <v>147.6</v>
      </c>
      <c r="E5" s="2" t="str">
        <f>IFERROR(INDEX('Base de Unidades'!Q:Q,MATCH('Tabela Vendas'!A5,'Base de Unidades'!J:J,0)),IFERROR(INDEX('M-Unidades'!$G:$G,MATCH('Tabela Vendas'!$A5,'M-Unidades'!$H:$H,0)),"Disponível"))</f>
        <v>Disponível</v>
      </c>
      <c r="F5" s="29" t="str">
        <f>IF(E5="Vendida",IFERROR(INDEX('M-POS. FIN.'!$E:$E,MATCH('Tabela Vendas'!$A5,'M-POS. FIN.'!$D:$D,0)),"-"),IF(E5="Quitada",IFERROR(INDEX('M-LIQUIDAÇÕES'!$E:$E,MATCH('Tabela Vendas'!$A5,'M-LIQUIDAÇÕES'!$D:$D,0)),"-"),"-"))</f>
        <v>-</v>
      </c>
      <c r="G5" s="30" t="str">
        <f t="shared" si="0"/>
        <v>-</v>
      </c>
      <c r="H5" s="31" t="str">
        <f>IF(E5="Vendida",IFERROR(INDEX('M-POS. FIN.'!$F:$F,MATCH('Tabela Vendas'!$A5,'M-POS. FIN.'!$D:$D,0)),"-"),IF(E5="Quitada",IFERROR(INDEX('M-LIQUIDAÇÕES'!$F:$F,MATCH('Tabela Vendas'!$A5,'M-LIQUIDAÇÕES'!$D:$D,0)),"-"),"-"))</f>
        <v>-</v>
      </c>
      <c r="I5" s="31" t="str">
        <f t="shared" si="1"/>
        <v>-</v>
      </c>
      <c r="J5" s="33">
        <f t="shared" si="2"/>
        <v>20092.757206690792</v>
      </c>
      <c r="K5" s="33">
        <f t="shared" si="3"/>
        <v>20988.311263271717</v>
      </c>
      <c r="L5" s="35">
        <f t="shared" si="4"/>
        <v>20988.311263271717</v>
      </c>
      <c r="M5" s="36">
        <f t="shared" si="5"/>
        <v>0.05</v>
      </c>
      <c r="N5" s="36">
        <f t="shared" si="6"/>
        <v>0</v>
      </c>
      <c r="O5" s="36">
        <f t="shared" si="7"/>
        <v>0</v>
      </c>
      <c r="P5" s="36">
        <f t="shared" si="8"/>
        <v>0.01</v>
      </c>
      <c r="Q5" s="35">
        <f t="shared" si="9"/>
        <v>19739.506743107049</v>
      </c>
      <c r="R5" s="38">
        <f t="shared" si="10"/>
        <v>1</v>
      </c>
      <c r="S5" s="38">
        <f t="shared" si="11"/>
        <v>0</v>
      </c>
      <c r="T5" s="38">
        <f t="shared" si="12"/>
        <v>0</v>
      </c>
      <c r="U5" s="38">
        <f t="shared" si="13"/>
        <v>0</v>
      </c>
      <c r="V5" s="35">
        <f t="shared" si="14"/>
        <v>2913551.1952826004</v>
      </c>
      <c r="W5" s="336"/>
      <c r="X5" s="133" t="s">
        <v>328</v>
      </c>
      <c r="Y5" s="135">
        <v>0</v>
      </c>
      <c r="AA5" s="142">
        <f t="shared" si="15"/>
        <v>0.96</v>
      </c>
      <c r="AB5" s="36">
        <v>0</v>
      </c>
      <c r="AC5" s="36">
        <f t="shared" si="16"/>
        <v>0</v>
      </c>
      <c r="AD5" s="36">
        <v>-0.02</v>
      </c>
      <c r="AE5" s="36">
        <f t="shared" si="17"/>
        <v>0</v>
      </c>
      <c r="AF5" s="466">
        <f t="shared" si="18"/>
        <v>20988.311263271717</v>
      </c>
      <c r="AG5" s="140">
        <f t="shared" si="19"/>
        <v>3097874.7424589051</v>
      </c>
      <c r="AH5" s="336"/>
    </row>
    <row r="6" spans="1:35" x14ac:dyDescent="0.25">
      <c r="A6" s="3" t="s">
        <v>329</v>
      </c>
      <c r="B6" s="3">
        <f>INDEX('Base de Unidades'!$B$2:$B$47, MATCH('Tabela Vendas'!A6, 'Base de Unidades'!$A$2:$A$47, 0))</f>
        <v>31</v>
      </c>
      <c r="C6" s="7" t="str">
        <f>INDEX('Base de Unidades'!G:G, MATCH('Tabela Vendas'!A6, 'Base de Unidades'!A:A, 0))</f>
        <v>3</v>
      </c>
      <c r="D6" s="7">
        <f>INDEX('Base de Unidades'!$D$2:$D$47, MATCH('Tabela Vendas'!A6, 'Base de Unidades'!$A$2:$A$47, 0))</f>
        <v>147.51</v>
      </c>
      <c r="E6" s="2" t="str">
        <f>IFERROR(INDEX('Base de Unidades'!Q:Q,MATCH('Tabela Vendas'!A6,'Base de Unidades'!J:J,0)),IFERROR(INDEX('M-Unidades'!$G:$G,MATCH('Tabela Vendas'!$A6,'M-Unidades'!$H:$H,0)),"Disponível"))</f>
        <v>Disponível</v>
      </c>
      <c r="F6" s="29" t="str">
        <f>IF(E6="Vendida",IFERROR(INDEX('M-POS. FIN.'!$E:$E,MATCH('Tabela Vendas'!$A6,'M-POS. FIN.'!$D:$D,0)),"-"),IF(E6="Quitada",IFERROR(INDEX('M-LIQUIDAÇÕES'!$E:$E,MATCH('Tabela Vendas'!$A6,'M-LIQUIDAÇÕES'!$D:$D,0)),"-"),"-"))</f>
        <v>-</v>
      </c>
      <c r="G6" s="30" t="str">
        <f t="shared" si="0"/>
        <v>-</v>
      </c>
      <c r="H6" s="31" t="str">
        <f>IF(E6="Vendida",IFERROR(INDEX('M-POS. FIN.'!$F:$F,MATCH('Tabela Vendas'!$A6,'M-POS. FIN.'!$D:$D,0)),"-"),IF(E6="Quitada",IFERROR(INDEX('M-LIQUIDAÇÕES'!$F:$F,MATCH('Tabela Vendas'!$A6,'M-LIQUIDAÇÕES'!$D:$D,0)),"-"),"-"))</f>
        <v>-</v>
      </c>
      <c r="I6" s="31" t="str">
        <f t="shared" si="1"/>
        <v>-</v>
      </c>
      <c r="J6" s="33">
        <f t="shared" si="2"/>
        <v>20092.757206690792</v>
      </c>
      <c r="K6" s="33">
        <f t="shared" si="3"/>
        <v>21528.189167790399</v>
      </c>
      <c r="L6" s="35">
        <f t="shared" si="4"/>
        <v>21528.189167790399</v>
      </c>
      <c r="M6" s="36">
        <f t="shared" si="5"/>
        <v>0.05</v>
      </c>
      <c r="N6" s="36">
        <f t="shared" si="6"/>
        <v>0</v>
      </c>
      <c r="O6" s="36">
        <f t="shared" si="7"/>
        <v>0</v>
      </c>
      <c r="P6" s="36">
        <f t="shared" si="8"/>
        <v>0.01</v>
      </c>
      <c r="Q6" s="35">
        <f t="shared" si="9"/>
        <v>20247.261912306869</v>
      </c>
      <c r="R6" s="38">
        <f t="shared" si="10"/>
        <v>1</v>
      </c>
      <c r="S6" s="38">
        <f t="shared" si="11"/>
        <v>0</v>
      </c>
      <c r="T6" s="38">
        <f t="shared" si="12"/>
        <v>0</v>
      </c>
      <c r="U6" s="38">
        <f t="shared" si="13"/>
        <v>0</v>
      </c>
      <c r="V6" s="35">
        <f t="shared" si="14"/>
        <v>2986673.6046843859</v>
      </c>
      <c r="W6" s="336"/>
      <c r="X6" s="133" t="s">
        <v>330</v>
      </c>
      <c r="Y6" s="135">
        <v>0</v>
      </c>
      <c r="AA6" s="142">
        <f t="shared" si="15"/>
        <v>0.96499999999999997</v>
      </c>
      <c r="AB6" s="36">
        <v>0</v>
      </c>
      <c r="AC6" s="36">
        <f t="shared" si="16"/>
        <v>0</v>
      </c>
      <c r="AD6" s="36">
        <v>0</v>
      </c>
      <c r="AE6" s="36">
        <f t="shared" si="17"/>
        <v>0</v>
      </c>
      <c r="AF6" s="466">
        <f t="shared" si="18"/>
        <v>21528.189167790399</v>
      </c>
      <c r="AG6" s="140">
        <f t="shared" si="19"/>
        <v>3175623.1841407614</v>
      </c>
      <c r="AH6" s="336"/>
    </row>
    <row r="7" spans="1:35" x14ac:dyDescent="0.25">
      <c r="A7" s="3" t="s">
        <v>331</v>
      </c>
      <c r="B7" s="3">
        <f>INDEX('Base de Unidades'!$B$2:$B$47, MATCH('Tabela Vendas'!A7, 'Base de Unidades'!$A$2:$A$47, 0))</f>
        <v>32</v>
      </c>
      <c r="C7" s="7" t="str">
        <f>INDEX('Base de Unidades'!G:G, MATCH('Tabela Vendas'!A7, 'Base de Unidades'!A:A, 0))</f>
        <v>3</v>
      </c>
      <c r="D7" s="7">
        <f>INDEX('Base de Unidades'!$D$2:$D$47, MATCH('Tabela Vendas'!A7, 'Base de Unidades'!$A$2:$A$47, 0))</f>
        <v>147.6</v>
      </c>
      <c r="E7" s="2" t="str">
        <f>IFERROR(INDEX('Base de Unidades'!Q:Q,MATCH('Tabela Vendas'!A7,'Base de Unidades'!J:J,0)),IFERROR(INDEX('M-Unidades'!$G:$G,MATCH('Tabela Vendas'!$A7,'M-Unidades'!$H:$H,0)),"Disponível"))</f>
        <v>Disponível</v>
      </c>
      <c r="F7" s="29" t="str">
        <f>IF(E7="Vendida",IFERROR(INDEX('M-POS. FIN.'!$E:$E,MATCH('Tabela Vendas'!$A7,'M-POS. FIN.'!$D:$D,0)),"-"),IF(E7="Quitada",IFERROR(INDEX('M-LIQUIDAÇÕES'!$E:$E,MATCH('Tabela Vendas'!$A7,'M-LIQUIDAÇÕES'!$D:$D,0)),"-"),"-"))</f>
        <v>-</v>
      </c>
      <c r="G7" s="30" t="str">
        <f t="shared" si="0"/>
        <v>-</v>
      </c>
      <c r="H7" s="31" t="str">
        <f>IF(E7="Vendida",IFERROR(INDEX('M-POS. FIN.'!$F:$F,MATCH('Tabela Vendas'!$A7,'M-POS. FIN.'!$D:$D,0)),"-"),IF(E7="Quitada",IFERROR(INDEX('M-LIQUIDAÇÕES'!$F:$F,MATCH('Tabela Vendas'!$A7,'M-LIQUIDAÇÕES'!$D:$D,0)),"-"),"-"))</f>
        <v>-</v>
      </c>
      <c r="I7" s="31" t="str">
        <f t="shared" si="1"/>
        <v>-</v>
      </c>
      <c r="J7" s="33">
        <f t="shared" si="2"/>
        <v>20092.757206690792</v>
      </c>
      <c r="K7" s="33">
        <f t="shared" si="3"/>
        <v>21528.189167790399</v>
      </c>
      <c r="L7" s="35">
        <f t="shared" si="4"/>
        <v>21528.189167790399</v>
      </c>
      <c r="M7" s="36">
        <f t="shared" si="5"/>
        <v>0.05</v>
      </c>
      <c r="N7" s="36">
        <f t="shared" si="6"/>
        <v>0</v>
      </c>
      <c r="O7" s="36">
        <f t="shared" si="7"/>
        <v>0</v>
      </c>
      <c r="P7" s="36">
        <f t="shared" si="8"/>
        <v>0.01</v>
      </c>
      <c r="Q7" s="35">
        <f t="shared" si="9"/>
        <v>20247.261912306869</v>
      </c>
      <c r="R7" s="38">
        <f t="shared" si="10"/>
        <v>1</v>
      </c>
      <c r="S7" s="38">
        <f t="shared" si="11"/>
        <v>0</v>
      </c>
      <c r="T7" s="38">
        <f t="shared" si="12"/>
        <v>0</v>
      </c>
      <c r="U7" s="38">
        <f t="shared" si="13"/>
        <v>0</v>
      </c>
      <c r="V7" s="35">
        <f t="shared" si="14"/>
        <v>2988495.8582564937</v>
      </c>
      <c r="X7" s="133" t="s">
        <v>332</v>
      </c>
      <c r="Y7" s="135">
        <v>-0.9</v>
      </c>
      <c r="AA7" s="142">
        <f t="shared" si="15"/>
        <v>0.96499999999999997</v>
      </c>
      <c r="AB7" s="36">
        <v>0</v>
      </c>
      <c r="AC7" s="36">
        <f t="shared" si="16"/>
        <v>0</v>
      </c>
      <c r="AD7" s="36">
        <v>0</v>
      </c>
      <c r="AE7" s="36">
        <f t="shared" si="17"/>
        <v>0</v>
      </c>
      <c r="AF7" s="466">
        <f t="shared" si="18"/>
        <v>21528.189167790399</v>
      </c>
      <c r="AG7" s="140">
        <f t="shared" si="19"/>
        <v>3177560.7211658629</v>
      </c>
      <c r="AH7" s="336"/>
    </row>
    <row r="8" spans="1:35" x14ac:dyDescent="0.25">
      <c r="A8" s="3" t="s">
        <v>333</v>
      </c>
      <c r="B8" s="3">
        <f>INDEX('Base de Unidades'!$B$2:$B$47, MATCH('Tabela Vendas'!A8, 'Base de Unidades'!$A$2:$A$47, 0))</f>
        <v>41</v>
      </c>
      <c r="C8" s="7" t="str">
        <f>INDEX('Base de Unidades'!G:G, MATCH('Tabela Vendas'!A8, 'Base de Unidades'!A:A, 0))</f>
        <v>4</v>
      </c>
      <c r="D8" s="7">
        <f>INDEX('Base de Unidades'!$D$2:$D$47, MATCH('Tabela Vendas'!A8, 'Base de Unidades'!$A$2:$A$47, 0))</f>
        <v>147.31</v>
      </c>
      <c r="E8" s="2" t="str">
        <f>IFERROR(INDEX('Base de Unidades'!Q:Q,MATCH('Tabela Vendas'!A8,'Base de Unidades'!J:J,0)),IFERROR(INDEX('M-Unidades'!$G:$G,MATCH('Tabela Vendas'!$A8,'M-Unidades'!$H:$H,0)),"Disponível"))</f>
        <v>Vendida</v>
      </c>
      <c r="F8" s="29">
        <f>IF(E8="Vendida",IFERROR(INDEX('M-POS. FIN.'!$E:$E,MATCH('Tabela Vendas'!$A8,'M-POS. FIN.'!$D:$D,0)),"-"),IF(E8="Quitada",IFERROR(INDEX('M-LIQUIDAÇÕES'!$E:$E,MATCH('Tabela Vendas'!$A8,'M-LIQUIDAÇÕES'!$D:$D,0)),"-"),"-"))</f>
        <v>44055</v>
      </c>
      <c r="G8" s="30">
        <f t="shared" si="0"/>
        <v>44044</v>
      </c>
      <c r="H8" s="31">
        <f>IF(E8="Vendida",IFERROR(INDEX('M-POS. FIN.'!$F:$F,MATCH('Tabela Vendas'!$A8,'M-POS. FIN.'!$D:$D,0)),"-"),IF(E8="Quitada",IFERROR(INDEX('M-LIQUIDAÇÕES'!$F:$F,MATCH('Tabela Vendas'!$A8,'M-LIQUIDAÇÕES'!$D:$D,0)),"-"),"-"))</f>
        <v>2845250</v>
      </c>
      <c r="I8" s="31">
        <f t="shared" si="1"/>
        <v>19314.710474509538</v>
      </c>
      <c r="J8" s="33" t="str">
        <f t="shared" si="2"/>
        <v>-</v>
      </c>
      <c r="K8" s="33" t="str">
        <f t="shared" si="3"/>
        <v>-</v>
      </c>
      <c r="L8" s="35" t="str">
        <f t="shared" si="4"/>
        <v>-</v>
      </c>
      <c r="M8" s="36">
        <f t="shared" si="5"/>
        <v>0.05</v>
      </c>
      <c r="N8" s="36">
        <f t="shared" si="6"/>
        <v>0</v>
      </c>
      <c r="O8" s="36">
        <f t="shared" si="7"/>
        <v>0</v>
      </c>
      <c r="P8" s="36">
        <f t="shared" si="8"/>
        <v>0.01</v>
      </c>
      <c r="Q8" s="35" t="str">
        <f t="shared" si="9"/>
        <v>-</v>
      </c>
      <c r="R8" s="38">
        <f t="shared" si="10"/>
        <v>0</v>
      </c>
      <c r="S8" s="38">
        <f t="shared" si="11"/>
        <v>1</v>
      </c>
      <c r="T8" s="38">
        <f t="shared" si="12"/>
        <v>0</v>
      </c>
      <c r="U8" s="38">
        <f t="shared" si="13"/>
        <v>0</v>
      </c>
      <c r="V8" s="35">
        <f t="shared" si="14"/>
        <v>2845250</v>
      </c>
      <c r="X8" s="133" t="s">
        <v>334</v>
      </c>
      <c r="Y8" s="135">
        <v>-0.4</v>
      </c>
      <c r="AA8" s="142">
        <f t="shared" si="15"/>
        <v>0.97</v>
      </c>
      <c r="AB8" s="36">
        <v>0</v>
      </c>
      <c r="AC8" s="36">
        <f t="shared" si="16"/>
        <v>0</v>
      </c>
      <c r="AD8" s="36">
        <v>0</v>
      </c>
      <c r="AE8" s="36">
        <f t="shared" si="17"/>
        <v>0</v>
      </c>
      <c r="AF8" s="466">
        <f t="shared" si="18"/>
        <v>21639.73418938517</v>
      </c>
      <c r="AG8" s="140">
        <f t="shared" si="19"/>
        <v>3187749.2434383295</v>
      </c>
      <c r="AH8" s="336"/>
    </row>
    <row r="9" spans="1:35" ht="15.75" customHeight="1" thickBot="1" x14ac:dyDescent="0.3">
      <c r="A9" s="3" t="s">
        <v>335</v>
      </c>
      <c r="B9" s="3">
        <f>INDEX('Base de Unidades'!$B$2:$B$47, MATCH('Tabela Vendas'!A9, 'Base de Unidades'!$A$2:$A$47, 0))</f>
        <v>42</v>
      </c>
      <c r="C9" s="7" t="str">
        <f>INDEX('Base de Unidades'!G:G, MATCH('Tabela Vendas'!A9, 'Base de Unidades'!A:A, 0))</f>
        <v>4</v>
      </c>
      <c r="D9" s="7">
        <f>INDEX('Base de Unidades'!$D$2:$D$47, MATCH('Tabela Vendas'!A9, 'Base de Unidades'!$A$2:$A$47, 0))</f>
        <v>148.9</v>
      </c>
      <c r="E9" s="2" t="str">
        <f>IFERROR(INDEX('Base de Unidades'!Q:Q,MATCH('Tabela Vendas'!A9,'Base de Unidades'!J:J,0)),IFERROR(INDEX('M-Unidades'!$G:$G,MATCH('Tabela Vendas'!$A9,'M-Unidades'!$H:$H,0)),"Disponível"))</f>
        <v>Disponível</v>
      </c>
      <c r="F9" s="29" t="str">
        <f>IF(E9="Vendida",IFERROR(INDEX('M-POS. FIN.'!$E:$E,MATCH('Tabela Vendas'!$A9,'M-POS. FIN.'!$D:$D,0)),"-"),IF(E9="Quitada",IFERROR(INDEX('M-LIQUIDAÇÕES'!$E:$E,MATCH('Tabela Vendas'!$A9,'M-LIQUIDAÇÕES'!$D:$D,0)),"-"),"-"))</f>
        <v>-</v>
      </c>
      <c r="G9" s="30" t="str">
        <f t="shared" si="0"/>
        <v>-</v>
      </c>
      <c r="H9" s="31" t="str">
        <f>IF(E9="Vendida",IFERROR(INDEX('M-POS. FIN.'!$F:$F,MATCH('Tabela Vendas'!$A9,'M-POS. FIN.'!$D:$D,0)),"-"),IF(E9="Quitada",IFERROR(INDEX('M-LIQUIDAÇÕES'!$F:$F,MATCH('Tabela Vendas'!$A9,'M-LIQUIDAÇÕES'!$D:$D,0)),"-"),"-"))</f>
        <v>-</v>
      </c>
      <c r="I9" s="31" t="str">
        <f t="shared" si="1"/>
        <v>-</v>
      </c>
      <c r="J9" s="33">
        <f t="shared" si="2"/>
        <v>20092.757206690792</v>
      </c>
      <c r="K9" s="33">
        <f t="shared" si="3"/>
        <v>21639.73418938517</v>
      </c>
      <c r="L9" s="35">
        <f t="shared" si="4"/>
        <v>21639.73418938517</v>
      </c>
      <c r="M9" s="36">
        <f t="shared" si="5"/>
        <v>0.05</v>
      </c>
      <c r="N9" s="36">
        <f t="shared" si="6"/>
        <v>0</v>
      </c>
      <c r="O9" s="36">
        <f t="shared" si="7"/>
        <v>0</v>
      </c>
      <c r="P9" s="36">
        <f t="shared" si="8"/>
        <v>0.01</v>
      </c>
      <c r="Q9" s="35">
        <f t="shared" si="9"/>
        <v>20352.17000511675</v>
      </c>
      <c r="R9" s="38">
        <f t="shared" si="10"/>
        <v>1</v>
      </c>
      <c r="S9" s="38">
        <f t="shared" si="11"/>
        <v>0</v>
      </c>
      <c r="T9" s="38">
        <f t="shared" si="12"/>
        <v>0</v>
      </c>
      <c r="U9" s="38">
        <f t="shared" si="13"/>
        <v>0</v>
      </c>
      <c r="V9" s="35">
        <f t="shared" si="14"/>
        <v>3030438.1137618842</v>
      </c>
      <c r="W9" s="336"/>
      <c r="X9" s="134" t="s">
        <v>336</v>
      </c>
      <c r="Y9" s="136">
        <v>-5.0000000000000001E-3</v>
      </c>
      <c r="AA9" s="142">
        <f t="shared" si="15"/>
        <v>0.97</v>
      </c>
      <c r="AB9" s="36">
        <v>0</v>
      </c>
      <c r="AC9" s="36">
        <f t="shared" si="16"/>
        <v>0</v>
      </c>
      <c r="AD9" s="36">
        <v>0</v>
      </c>
      <c r="AE9" s="36">
        <f t="shared" si="17"/>
        <v>0</v>
      </c>
      <c r="AF9" s="466">
        <f t="shared" si="18"/>
        <v>21639.73418938517</v>
      </c>
      <c r="AG9" s="140">
        <f t="shared" si="19"/>
        <v>3222156.4207994519</v>
      </c>
      <c r="AH9" s="336"/>
    </row>
    <row r="10" spans="1:35" ht="15.75" customHeight="1" thickBot="1" x14ac:dyDescent="0.3">
      <c r="A10" s="3" t="s">
        <v>337</v>
      </c>
      <c r="B10" s="3">
        <f>INDEX('Base de Unidades'!$B$2:$B$47, MATCH('Tabela Vendas'!A10, 'Base de Unidades'!$A$2:$A$47, 0))</f>
        <v>51</v>
      </c>
      <c r="C10" s="7" t="str">
        <f>INDEX('Base de Unidades'!G:G, MATCH('Tabela Vendas'!A10, 'Base de Unidades'!A:A, 0))</f>
        <v>5</v>
      </c>
      <c r="D10" s="7">
        <f>INDEX('Base de Unidades'!$D$2:$D$47, MATCH('Tabela Vendas'!A10, 'Base de Unidades'!$A$2:$A$47, 0))</f>
        <v>149.31</v>
      </c>
      <c r="E10" s="2" t="str">
        <f>IFERROR(INDEX('Base de Unidades'!Q:Q,MATCH('Tabela Vendas'!A10,'Base de Unidades'!J:J,0)),IFERROR(INDEX('M-Unidades'!$G:$G,MATCH('Tabela Vendas'!$A10,'M-Unidades'!$H:$H,0)),"Disponível"))</f>
        <v>Disponível</v>
      </c>
      <c r="F10" s="29" t="str">
        <f>IF(E10="Vendida",IFERROR(INDEX('M-POS. FIN.'!$E:$E,MATCH('Tabela Vendas'!$A10,'M-POS. FIN.'!$D:$D,0)),"-"),IF(E10="Quitada",IFERROR(INDEX('M-LIQUIDAÇÕES'!$E:$E,MATCH('Tabela Vendas'!$A10,'M-LIQUIDAÇÕES'!$D:$D,0)),"-"),"-"))</f>
        <v>-</v>
      </c>
      <c r="G10" s="30" t="str">
        <f t="shared" si="0"/>
        <v>-</v>
      </c>
      <c r="H10" s="31" t="str">
        <f>IF(E10="Vendida",IFERROR(INDEX('M-POS. FIN.'!$F:$F,MATCH('Tabela Vendas'!$A10,'M-POS. FIN.'!$D:$D,0)),"-"),IF(E10="Quitada",IFERROR(INDEX('M-LIQUIDAÇÕES'!$F:$F,MATCH('Tabela Vendas'!$A10,'M-LIQUIDAÇÕES'!$D:$D,0)),"-"),"-"))</f>
        <v>-</v>
      </c>
      <c r="I10" s="31" t="str">
        <f t="shared" si="1"/>
        <v>-</v>
      </c>
      <c r="J10" s="33">
        <f t="shared" si="2"/>
        <v>20092.757206690792</v>
      </c>
      <c r="K10" s="33">
        <f t="shared" si="3"/>
        <v>21751.279210979937</v>
      </c>
      <c r="L10" s="35">
        <f t="shared" si="4"/>
        <v>21751.279210979937</v>
      </c>
      <c r="M10" s="36">
        <f t="shared" si="5"/>
        <v>0.05</v>
      </c>
      <c r="N10" s="36">
        <f t="shared" si="6"/>
        <v>0</v>
      </c>
      <c r="O10" s="36">
        <f t="shared" si="7"/>
        <v>0</v>
      </c>
      <c r="P10" s="36">
        <f t="shared" si="8"/>
        <v>0.01</v>
      </c>
      <c r="Q10" s="35">
        <f t="shared" si="9"/>
        <v>20457.078097926631</v>
      </c>
      <c r="R10" s="38">
        <f t="shared" si="10"/>
        <v>1</v>
      </c>
      <c r="S10" s="38">
        <f t="shared" si="11"/>
        <v>0</v>
      </c>
      <c r="T10" s="38">
        <f t="shared" si="12"/>
        <v>0</v>
      </c>
      <c r="U10" s="38">
        <f t="shared" si="13"/>
        <v>0</v>
      </c>
      <c r="V10" s="35">
        <f t="shared" si="14"/>
        <v>3054446.3308014255</v>
      </c>
      <c r="W10" s="336"/>
      <c r="AA10" s="142">
        <f t="shared" si="15"/>
        <v>0.97499999999999998</v>
      </c>
      <c r="AB10" s="36">
        <v>0</v>
      </c>
      <c r="AC10" s="36">
        <f t="shared" si="16"/>
        <v>0</v>
      </c>
      <c r="AD10" s="36">
        <v>0</v>
      </c>
      <c r="AE10" s="36">
        <f t="shared" si="17"/>
        <v>0</v>
      </c>
      <c r="AF10" s="466">
        <f t="shared" si="18"/>
        <v>21751.279210979937</v>
      </c>
      <c r="AG10" s="140">
        <f t="shared" si="19"/>
        <v>3247683.4989914144</v>
      </c>
      <c r="AH10" s="336"/>
    </row>
    <row r="11" spans="1:35" x14ac:dyDescent="0.25">
      <c r="A11" s="3" t="s">
        <v>338</v>
      </c>
      <c r="B11" s="3">
        <f>INDEX('Base de Unidades'!$B$2:$B$47, MATCH('Tabela Vendas'!A11, 'Base de Unidades'!$A$2:$A$47, 0))</f>
        <v>52</v>
      </c>
      <c r="C11" s="7" t="str">
        <f>INDEX('Base de Unidades'!G:G, MATCH('Tabela Vendas'!A11, 'Base de Unidades'!A:A, 0))</f>
        <v>5</v>
      </c>
      <c r="D11" s="7">
        <f>INDEX('Base de Unidades'!$D$2:$D$47, MATCH('Tabela Vendas'!A11, 'Base de Unidades'!$A$2:$A$47, 0))</f>
        <v>147.5</v>
      </c>
      <c r="E11" s="2" t="str">
        <f>IFERROR(INDEX('Base de Unidades'!Q:Q,MATCH('Tabela Vendas'!A11,'Base de Unidades'!J:J,0)),IFERROR(INDEX('M-Unidades'!$G:$G,MATCH('Tabela Vendas'!$A11,'M-Unidades'!$H:$H,0)),"Disponível"))</f>
        <v>Vendida</v>
      </c>
      <c r="F11" s="29">
        <f>IF(E11="Vendida",IFERROR(INDEX('M-POS. FIN.'!$E:$E,MATCH('Tabela Vendas'!$A11,'M-POS. FIN.'!$D:$D,0)),"-"),IF(E11="Quitada",IFERROR(INDEX('M-LIQUIDAÇÕES'!$E:$E,MATCH('Tabela Vendas'!$A11,'M-LIQUIDAÇÕES'!$D:$D,0)),"-"),"-"))</f>
        <v>44025</v>
      </c>
      <c r="G11" s="30">
        <f t="shared" si="0"/>
        <v>44013</v>
      </c>
      <c r="H11" s="31">
        <f>IF(E11="Vendida",IFERROR(INDEX('M-POS. FIN.'!$F:$F,MATCH('Tabela Vendas'!$A11,'M-POS. FIN.'!$D:$D,0)),"-"),IF(E11="Quitada",IFERROR(INDEX('M-LIQUIDAÇÕES'!$F:$F,MATCH('Tabela Vendas'!$A11,'M-LIQUIDAÇÕES'!$D:$D,0)),"-"),"-"))</f>
        <v>2850000</v>
      </c>
      <c r="I11" s="31">
        <f t="shared" si="1"/>
        <v>19322.033898305086</v>
      </c>
      <c r="J11" s="33" t="str">
        <f t="shared" si="2"/>
        <v>-</v>
      </c>
      <c r="K11" s="33" t="str">
        <f t="shared" si="3"/>
        <v>-</v>
      </c>
      <c r="L11" s="35" t="str">
        <f t="shared" si="4"/>
        <v>-</v>
      </c>
      <c r="M11" s="36">
        <f t="shared" si="5"/>
        <v>0.05</v>
      </c>
      <c r="N11" s="36">
        <f t="shared" si="6"/>
        <v>0</v>
      </c>
      <c r="O11" s="36">
        <f t="shared" si="7"/>
        <v>0</v>
      </c>
      <c r="P11" s="36">
        <f t="shared" si="8"/>
        <v>0.01</v>
      </c>
      <c r="Q11" s="35" t="str">
        <f t="shared" si="9"/>
        <v>-</v>
      </c>
      <c r="R11" s="38">
        <f t="shared" si="10"/>
        <v>0</v>
      </c>
      <c r="S11" s="38">
        <f t="shared" si="11"/>
        <v>1</v>
      </c>
      <c r="T11" s="38">
        <f t="shared" si="12"/>
        <v>0</v>
      </c>
      <c r="U11" s="38">
        <f t="shared" si="13"/>
        <v>0</v>
      </c>
      <c r="V11" s="35">
        <f t="shared" si="14"/>
        <v>2850000</v>
      </c>
      <c r="W11" s="336"/>
      <c r="X11" s="608" t="s">
        <v>339</v>
      </c>
      <c r="Y11" s="609"/>
      <c r="AA11" s="142">
        <f t="shared" si="15"/>
        <v>0.97499999999999998</v>
      </c>
      <c r="AB11" s="36">
        <v>0</v>
      </c>
      <c r="AC11" s="36">
        <f t="shared" si="16"/>
        <v>0</v>
      </c>
      <c r="AD11" s="36">
        <v>0</v>
      </c>
      <c r="AE11" s="36">
        <f t="shared" si="17"/>
        <v>0</v>
      </c>
      <c r="AF11" s="466">
        <f t="shared" si="18"/>
        <v>21751.279210979937</v>
      </c>
      <c r="AG11" s="140">
        <f t="shared" si="19"/>
        <v>3208313.6836195407</v>
      </c>
      <c r="AH11" s="336"/>
    </row>
    <row r="12" spans="1:35" x14ac:dyDescent="0.25">
      <c r="A12" s="3" t="s">
        <v>340</v>
      </c>
      <c r="B12" s="3">
        <f>INDEX('Base de Unidades'!$B$2:$B$47, MATCH('Tabela Vendas'!A12, 'Base de Unidades'!$A$2:$A$47, 0))</f>
        <v>61</v>
      </c>
      <c r="C12" s="7" t="str">
        <f>INDEX('Base de Unidades'!G:G, MATCH('Tabela Vendas'!A12, 'Base de Unidades'!A:A, 0))</f>
        <v>6</v>
      </c>
      <c r="D12" s="7">
        <f>INDEX('Base de Unidades'!$D$2:$D$47, MATCH('Tabela Vendas'!A12, 'Base de Unidades'!$A$2:$A$47, 0))</f>
        <v>147.31</v>
      </c>
      <c r="E12" s="2" t="str">
        <f>IFERROR(INDEX('Base de Unidades'!Q:Q,MATCH('Tabela Vendas'!A12,'Base de Unidades'!J:J,0)),IFERROR(INDEX('M-Unidades'!$G:$G,MATCH('Tabela Vendas'!$A12,'M-Unidades'!$H:$H,0)),"Disponível"))</f>
        <v>Disponível</v>
      </c>
      <c r="F12" s="29" t="str">
        <f>IF(E12="Vendida",IFERROR(INDEX('M-POS. FIN.'!$E:$E,MATCH('Tabela Vendas'!$A12,'M-POS. FIN.'!$D:$D,0)),"-"),IF(E12="Quitada",IFERROR(INDEX('M-LIQUIDAÇÕES'!$E:$E,MATCH('Tabela Vendas'!$A12,'M-LIQUIDAÇÕES'!$D:$D,0)),"-"),"-"))</f>
        <v>-</v>
      </c>
      <c r="G12" s="30" t="str">
        <f t="shared" si="0"/>
        <v>-</v>
      </c>
      <c r="H12" s="31" t="str">
        <f>IF(E12="Vendida",IFERROR(INDEX('M-POS. FIN.'!$F:$F,MATCH('Tabela Vendas'!$A12,'M-POS. FIN.'!$D:$D,0)),"-"),IF(E12="Quitada",IFERROR(INDEX('M-LIQUIDAÇÕES'!$F:$F,MATCH('Tabela Vendas'!$A12,'M-LIQUIDAÇÕES'!$D:$D,0)),"-"),"-"))</f>
        <v>-</v>
      </c>
      <c r="I12" s="31" t="str">
        <f t="shared" si="1"/>
        <v>-</v>
      </c>
      <c r="J12" s="33">
        <f t="shared" si="2"/>
        <v>20092.757206690792</v>
      </c>
      <c r="K12" s="33">
        <f t="shared" si="3"/>
        <v>21862.824232574705</v>
      </c>
      <c r="L12" s="35">
        <f t="shared" si="4"/>
        <v>21862.824232574705</v>
      </c>
      <c r="M12" s="36">
        <f t="shared" si="5"/>
        <v>0.05</v>
      </c>
      <c r="N12" s="36">
        <f t="shared" si="6"/>
        <v>0</v>
      </c>
      <c r="O12" s="36">
        <f t="shared" si="7"/>
        <v>0</v>
      </c>
      <c r="P12" s="36">
        <f t="shared" si="8"/>
        <v>0.01</v>
      </c>
      <c r="Q12" s="35">
        <f t="shared" si="9"/>
        <v>20561.986190736508</v>
      </c>
      <c r="R12" s="38">
        <f t="shared" si="10"/>
        <v>1</v>
      </c>
      <c r="S12" s="38">
        <f t="shared" si="11"/>
        <v>0</v>
      </c>
      <c r="T12" s="38">
        <f t="shared" si="12"/>
        <v>0</v>
      </c>
      <c r="U12" s="38">
        <f t="shared" si="13"/>
        <v>0</v>
      </c>
      <c r="V12" s="35">
        <f t="shared" si="14"/>
        <v>3028986.1857573949</v>
      </c>
      <c r="W12" s="336"/>
      <c r="X12" s="126">
        <v>11</v>
      </c>
      <c r="Y12" s="127">
        <f>D2-D4</f>
        <v>59.899999999999977</v>
      </c>
      <c r="AA12" s="142">
        <f t="shared" si="15"/>
        <v>0.98</v>
      </c>
      <c r="AB12" s="36">
        <v>0</v>
      </c>
      <c r="AC12" s="36">
        <f t="shared" si="16"/>
        <v>0</v>
      </c>
      <c r="AD12" s="36">
        <v>0</v>
      </c>
      <c r="AE12" s="36">
        <f t="shared" si="17"/>
        <v>0</v>
      </c>
      <c r="AF12" s="466">
        <f t="shared" si="18"/>
        <v>21862.824232574705</v>
      </c>
      <c r="AG12" s="140">
        <f t="shared" si="19"/>
        <v>3220612.6377005801</v>
      </c>
      <c r="AH12" s="336"/>
    </row>
    <row r="13" spans="1:35" ht="15.75" customHeight="1" thickBot="1" x14ac:dyDescent="0.3">
      <c r="A13" s="3" t="s">
        <v>341</v>
      </c>
      <c r="B13" s="3">
        <f>INDEX('Base de Unidades'!$B$2:$B$47, MATCH('Tabela Vendas'!A13, 'Base de Unidades'!$A$2:$A$47, 0))</f>
        <v>62</v>
      </c>
      <c r="C13" s="7" t="str">
        <f>INDEX('Base de Unidades'!G:G, MATCH('Tabela Vendas'!A13, 'Base de Unidades'!A:A, 0))</f>
        <v>6</v>
      </c>
      <c r="D13" s="7">
        <f>INDEX('Base de Unidades'!$D$2:$D$47, MATCH('Tabela Vendas'!A13, 'Base de Unidades'!$A$2:$A$47, 0))</f>
        <v>147.5</v>
      </c>
      <c r="E13" s="2" t="str">
        <f>IFERROR(INDEX('Base de Unidades'!Q:Q,MATCH('Tabela Vendas'!A13,'Base de Unidades'!J:J,0)),IFERROR(INDEX('M-Unidades'!$G:$G,MATCH('Tabela Vendas'!$A13,'M-Unidades'!$H:$H,0)),"Disponível"))</f>
        <v>Quitada</v>
      </c>
      <c r="F13" s="29">
        <f>IF(E13="Vendida",IFERROR(INDEX('M-POS. FIN.'!$E:$E,MATCH('Tabela Vendas'!$A13,'M-POS. FIN.'!$D:$D,0)),"-"),IF(E13="Quitada",IFERROR(INDEX('M-LIQUIDAÇÕES'!$E:$E,MATCH('Tabela Vendas'!$A13,'M-LIQUIDAÇÕES'!$D:$D,0)),"-"),"-"))</f>
        <v>44027</v>
      </c>
      <c r="G13" s="30">
        <f t="shared" si="0"/>
        <v>44013</v>
      </c>
      <c r="H13" s="31">
        <f>IF(E13="Vendida",IFERROR(INDEX('M-POS. FIN.'!$F:$F,MATCH('Tabela Vendas'!$A13,'M-POS. FIN.'!$D:$D,0)),"-"),IF(E13="Quitada",IFERROR(INDEX('M-LIQUIDAÇÕES'!$F:$F,MATCH('Tabela Vendas'!$A13,'M-LIQUIDAÇÕES'!$D:$D,0)),"-"),"-"))</f>
        <v>2800000</v>
      </c>
      <c r="I13" s="31">
        <f t="shared" si="1"/>
        <v>18983.050847457627</v>
      </c>
      <c r="J13" s="33" t="str">
        <f t="shared" si="2"/>
        <v>-</v>
      </c>
      <c r="K13" s="33" t="str">
        <f t="shared" si="3"/>
        <v>-</v>
      </c>
      <c r="L13" s="35" t="str">
        <f t="shared" si="4"/>
        <v>-</v>
      </c>
      <c r="M13" s="36">
        <f t="shared" si="5"/>
        <v>0.05</v>
      </c>
      <c r="N13" s="36">
        <f t="shared" si="6"/>
        <v>0</v>
      </c>
      <c r="O13" s="36">
        <f t="shared" si="7"/>
        <v>0</v>
      </c>
      <c r="P13" s="36">
        <f t="shared" si="8"/>
        <v>0.01</v>
      </c>
      <c r="Q13" s="35" t="str">
        <f t="shared" si="9"/>
        <v>-</v>
      </c>
      <c r="R13" s="38">
        <f t="shared" si="10"/>
        <v>0</v>
      </c>
      <c r="S13" s="38">
        <f t="shared" si="11"/>
        <v>0</v>
      </c>
      <c r="T13" s="38">
        <f t="shared" si="12"/>
        <v>1</v>
      </c>
      <c r="U13" s="38">
        <f t="shared" si="13"/>
        <v>0</v>
      </c>
      <c r="V13" s="35">
        <f t="shared" si="14"/>
        <v>2800000</v>
      </c>
      <c r="W13" s="336"/>
      <c r="X13" s="128">
        <v>12</v>
      </c>
      <c r="Y13" s="129">
        <f>D3-D5</f>
        <v>59.900000000000006</v>
      </c>
      <c r="AA13" s="142">
        <f t="shared" si="15"/>
        <v>0.98</v>
      </c>
      <c r="AB13" s="36">
        <v>0</v>
      </c>
      <c r="AC13" s="36">
        <f t="shared" si="16"/>
        <v>0</v>
      </c>
      <c r="AD13" s="36">
        <v>0</v>
      </c>
      <c r="AE13" s="36">
        <f t="shared" si="17"/>
        <v>0</v>
      </c>
      <c r="AF13" s="466">
        <f t="shared" si="18"/>
        <v>21862.824232574705</v>
      </c>
      <c r="AG13" s="140">
        <f t="shared" si="19"/>
        <v>3224766.5743047688</v>
      </c>
      <c r="AH13" s="336"/>
    </row>
    <row r="14" spans="1:35" ht="15.75" customHeight="1" thickBot="1" x14ac:dyDescent="0.3">
      <c r="A14" s="3" t="s">
        <v>342</v>
      </c>
      <c r="B14" s="3">
        <f>INDEX('Base de Unidades'!$B$2:$B$47, MATCH('Tabela Vendas'!A14, 'Base de Unidades'!$A$2:$A$47, 0))</f>
        <v>71</v>
      </c>
      <c r="C14" s="7" t="str">
        <f>INDEX('Base de Unidades'!G:G, MATCH('Tabela Vendas'!A14, 'Base de Unidades'!A:A, 0))</f>
        <v>7</v>
      </c>
      <c r="D14" s="7">
        <f>INDEX('Base de Unidades'!$D$2:$D$47, MATCH('Tabela Vendas'!A14, 'Base de Unidades'!$A$2:$A$47, 0))</f>
        <v>147.51</v>
      </c>
      <c r="E14" s="2" t="str">
        <f>IFERROR(INDEX('Base de Unidades'!Q:Q,MATCH('Tabela Vendas'!A14,'Base de Unidades'!J:J,0)),IFERROR(INDEX('M-Unidades'!$G:$G,MATCH('Tabela Vendas'!$A14,'M-Unidades'!$H:$H,0)),"Disponível"))</f>
        <v>Disponível</v>
      </c>
      <c r="F14" s="29" t="str">
        <f>IF(E14="Vendida",IFERROR(INDEX('M-POS. FIN.'!$E:$E,MATCH('Tabela Vendas'!$A14,'M-POS. FIN.'!$D:$D,0)),"-"),IF(E14="Quitada",IFERROR(INDEX('M-LIQUIDAÇÕES'!$E:$E,MATCH('Tabela Vendas'!$A14,'M-LIQUIDAÇÕES'!$D:$D,0)),"-"),"-"))</f>
        <v>-</v>
      </c>
      <c r="G14" s="30" t="str">
        <f t="shared" si="0"/>
        <v>-</v>
      </c>
      <c r="H14" s="31" t="str">
        <f>IF(E14="Vendida",IFERROR(INDEX('M-POS. FIN.'!$F:$F,MATCH('Tabela Vendas'!$A14,'M-POS. FIN.'!$D:$D,0)),"-"),IF(E14="Quitada",IFERROR(INDEX('M-LIQUIDAÇÕES'!$F:$F,MATCH('Tabela Vendas'!$A14,'M-LIQUIDAÇÕES'!$D:$D,0)),"-"),"-"))</f>
        <v>-</v>
      </c>
      <c r="I14" s="31" t="str">
        <f t="shared" si="1"/>
        <v>-</v>
      </c>
      <c r="J14" s="33">
        <f t="shared" si="2"/>
        <v>20092.757206690792</v>
      </c>
      <c r="K14" s="33">
        <f t="shared" si="3"/>
        <v>21974.369254169476</v>
      </c>
      <c r="L14" s="35">
        <f t="shared" si="4"/>
        <v>21974.369254169476</v>
      </c>
      <c r="M14" s="36">
        <f t="shared" si="5"/>
        <v>0.05</v>
      </c>
      <c r="N14" s="36">
        <f t="shared" si="6"/>
        <v>0</v>
      </c>
      <c r="O14" s="36">
        <f t="shared" si="7"/>
        <v>0</v>
      </c>
      <c r="P14" s="36">
        <f t="shared" si="8"/>
        <v>0.01</v>
      </c>
      <c r="Q14" s="35">
        <f t="shared" si="9"/>
        <v>20666.894283546389</v>
      </c>
      <c r="R14" s="38">
        <f t="shared" si="10"/>
        <v>1</v>
      </c>
      <c r="S14" s="38">
        <f t="shared" si="11"/>
        <v>0</v>
      </c>
      <c r="T14" s="38">
        <f t="shared" si="12"/>
        <v>0</v>
      </c>
      <c r="U14" s="38">
        <f t="shared" si="13"/>
        <v>0</v>
      </c>
      <c r="V14" s="35">
        <f t="shared" si="14"/>
        <v>3048573.5757659278</v>
      </c>
      <c r="W14" s="336"/>
      <c r="AA14" s="142">
        <f t="shared" si="15"/>
        <v>0.98499999999999999</v>
      </c>
      <c r="AB14" s="36">
        <v>0</v>
      </c>
      <c r="AC14" s="36">
        <f t="shared" si="16"/>
        <v>0</v>
      </c>
      <c r="AD14" s="36">
        <v>0</v>
      </c>
      <c r="AE14" s="36">
        <f t="shared" si="17"/>
        <v>0</v>
      </c>
      <c r="AF14" s="466">
        <f t="shared" si="18"/>
        <v>21974.369254169476</v>
      </c>
      <c r="AG14" s="140">
        <f t="shared" si="19"/>
        <v>3241439.2086825394</v>
      </c>
      <c r="AH14" s="336"/>
    </row>
    <row r="15" spans="1:35" x14ac:dyDescent="0.25">
      <c r="A15" s="3" t="s">
        <v>343</v>
      </c>
      <c r="B15" s="3">
        <f>INDEX('Base de Unidades'!$B$2:$B$47, MATCH('Tabela Vendas'!A15, 'Base de Unidades'!$A$2:$A$47, 0))</f>
        <v>72</v>
      </c>
      <c r="C15" s="7" t="str">
        <f>INDEX('Base de Unidades'!G:G, MATCH('Tabela Vendas'!A15, 'Base de Unidades'!A:A, 0))</f>
        <v>7</v>
      </c>
      <c r="D15" s="7">
        <f>INDEX('Base de Unidades'!$D$2:$D$47, MATCH('Tabela Vendas'!A15, 'Base de Unidades'!$A$2:$A$47, 0))</f>
        <v>147</v>
      </c>
      <c r="E15" s="2" t="str">
        <f>IFERROR(INDEX('Base de Unidades'!Q:Q,MATCH('Tabela Vendas'!A15,'Base de Unidades'!J:J,0)),IFERROR(INDEX('M-Unidades'!$G:$G,MATCH('Tabela Vendas'!$A15,'M-Unidades'!$H:$H,0)),"Disponível"))</f>
        <v>Vendida</v>
      </c>
      <c r="F15" s="29">
        <f>IF(E15="Vendida",IFERROR(INDEX('M-POS. FIN.'!$E:$E,MATCH('Tabela Vendas'!$A15,'M-POS. FIN.'!$D:$D,0)),"-"),IF(E15="Quitada",IFERROR(INDEX('M-LIQUIDAÇÕES'!$E:$E,MATCH('Tabela Vendas'!$A15,'M-LIQUIDAÇÕES'!$D:$D,0)),"-"),"-"))</f>
        <v>44032</v>
      </c>
      <c r="G15" s="30">
        <f t="shared" si="0"/>
        <v>44013</v>
      </c>
      <c r="H15" s="31">
        <f>IF(E15="Vendida",IFERROR(INDEX('M-POS. FIN.'!$F:$F,MATCH('Tabela Vendas'!$A15,'M-POS. FIN.'!$D:$D,0)),"-"),IF(E15="Quitada",IFERROR(INDEX('M-LIQUIDAÇÕES'!$F:$F,MATCH('Tabela Vendas'!$A15,'M-LIQUIDAÇÕES'!$D:$D,0)),"-"),"-"))</f>
        <v>2880737</v>
      </c>
      <c r="I15" s="31">
        <f t="shared" si="1"/>
        <v>19596.850340136054</v>
      </c>
      <c r="J15" s="33" t="str">
        <f t="shared" si="2"/>
        <v>-</v>
      </c>
      <c r="K15" s="33" t="str">
        <f t="shared" si="3"/>
        <v>-</v>
      </c>
      <c r="L15" s="35" t="str">
        <f t="shared" si="4"/>
        <v>-</v>
      </c>
      <c r="M15" s="36">
        <f t="shared" si="5"/>
        <v>0.05</v>
      </c>
      <c r="N15" s="36">
        <f t="shared" si="6"/>
        <v>0</v>
      </c>
      <c r="O15" s="36">
        <f t="shared" si="7"/>
        <v>0</v>
      </c>
      <c r="P15" s="36">
        <f t="shared" si="8"/>
        <v>0.01</v>
      </c>
      <c r="Q15" s="35" t="str">
        <f t="shared" si="9"/>
        <v>-</v>
      </c>
      <c r="R15" s="38">
        <f t="shared" si="10"/>
        <v>0</v>
      </c>
      <c r="S15" s="38">
        <f t="shared" si="11"/>
        <v>1</v>
      </c>
      <c r="T15" s="38">
        <f t="shared" si="12"/>
        <v>0</v>
      </c>
      <c r="U15" s="38">
        <f t="shared" si="13"/>
        <v>0</v>
      </c>
      <c r="V15" s="35">
        <f t="shared" si="14"/>
        <v>2880737</v>
      </c>
      <c r="W15" s="336"/>
      <c r="X15" s="608" t="s">
        <v>344</v>
      </c>
      <c r="Y15" s="609"/>
      <c r="AA15" s="142">
        <f t="shared" si="15"/>
        <v>0.98499999999999999</v>
      </c>
      <c r="AB15" s="36">
        <v>0</v>
      </c>
      <c r="AC15" s="36">
        <f t="shared" si="16"/>
        <v>0</v>
      </c>
      <c r="AD15" s="36">
        <v>0</v>
      </c>
      <c r="AE15" s="36">
        <f t="shared" si="17"/>
        <v>0</v>
      </c>
      <c r="AF15" s="466">
        <f t="shared" si="18"/>
        <v>21974.369254169476</v>
      </c>
      <c r="AG15" s="140">
        <f t="shared" si="19"/>
        <v>3230232.2803629129</v>
      </c>
      <c r="AH15" s="336"/>
    </row>
    <row r="16" spans="1:35" x14ac:dyDescent="0.25">
      <c r="A16" s="3" t="s">
        <v>345</v>
      </c>
      <c r="B16" s="3">
        <f>INDEX('Base de Unidades'!$B$2:$B$47, MATCH('Tabela Vendas'!A16, 'Base de Unidades'!$A$2:$A$47, 0))</f>
        <v>81</v>
      </c>
      <c r="C16" s="7" t="str">
        <f>INDEX('Base de Unidades'!G:G, MATCH('Tabela Vendas'!A16, 'Base de Unidades'!A:A, 0))</f>
        <v>8</v>
      </c>
      <c r="D16" s="7">
        <f>INDEX('Base de Unidades'!$D$2:$D$47, MATCH('Tabela Vendas'!A16, 'Base de Unidades'!$A$2:$A$47, 0))</f>
        <v>147.51</v>
      </c>
      <c r="E16" s="2" t="str">
        <f>IFERROR(INDEX('Base de Unidades'!Q:Q,MATCH('Tabela Vendas'!A16,'Base de Unidades'!J:J,0)),IFERROR(INDEX('M-Unidades'!$G:$G,MATCH('Tabela Vendas'!$A16,'M-Unidades'!$H:$H,0)),"Disponível"))</f>
        <v>Disponível</v>
      </c>
      <c r="F16" s="29" t="str">
        <f>IF(E16="Vendida",IFERROR(INDEX('M-POS. FIN.'!$E:$E,MATCH('Tabela Vendas'!$A16,'M-POS. FIN.'!$D:$D,0)),"-"),IF(E16="Quitada",IFERROR(INDEX('M-LIQUIDAÇÕES'!$E:$E,MATCH('Tabela Vendas'!$A16,'M-LIQUIDAÇÕES'!$D:$D,0)),"-"),"-"))</f>
        <v>-</v>
      </c>
      <c r="G16" s="30" t="str">
        <f t="shared" si="0"/>
        <v>-</v>
      </c>
      <c r="H16" s="31" t="str">
        <f>IF(E16="Vendida",IFERROR(INDEX('M-POS. FIN.'!$F:$F,MATCH('Tabela Vendas'!$A16,'M-POS. FIN.'!$D:$D,0)),"-"),IF(E16="Quitada",IFERROR(INDEX('M-LIQUIDAÇÕES'!$F:$F,MATCH('Tabela Vendas'!$A16,'M-LIQUIDAÇÕES'!$D:$D,0)),"-"),"-"))</f>
        <v>-</v>
      </c>
      <c r="I16" s="31" t="str">
        <f t="shared" si="1"/>
        <v>-</v>
      </c>
      <c r="J16" s="33">
        <f t="shared" si="2"/>
        <v>20092.757206690792</v>
      </c>
      <c r="K16" s="33">
        <f t="shared" si="3"/>
        <v>22085.914275764244</v>
      </c>
      <c r="L16" s="35">
        <f t="shared" si="4"/>
        <v>22085.914275764244</v>
      </c>
      <c r="M16" s="36">
        <f t="shared" si="5"/>
        <v>0.05</v>
      </c>
      <c r="N16" s="36">
        <f t="shared" si="6"/>
        <v>0</v>
      </c>
      <c r="O16" s="36">
        <f t="shared" si="7"/>
        <v>0</v>
      </c>
      <c r="P16" s="36">
        <f t="shared" si="8"/>
        <v>0.01</v>
      </c>
      <c r="Q16" s="35">
        <f t="shared" si="9"/>
        <v>20771.802376356271</v>
      </c>
      <c r="R16" s="38">
        <f t="shared" si="10"/>
        <v>1</v>
      </c>
      <c r="S16" s="38">
        <f t="shared" si="11"/>
        <v>0</v>
      </c>
      <c r="T16" s="38">
        <f t="shared" si="12"/>
        <v>0</v>
      </c>
      <c r="U16" s="38">
        <f t="shared" si="13"/>
        <v>0</v>
      </c>
      <c r="V16" s="35">
        <f t="shared" si="14"/>
        <v>3064048.5685363133</v>
      </c>
      <c r="W16" s="336"/>
      <c r="X16" s="272" t="s">
        <v>346</v>
      </c>
      <c r="Y16" s="127">
        <v>21525</v>
      </c>
      <c r="AA16" s="142">
        <f t="shared" si="15"/>
        <v>0.99</v>
      </c>
      <c r="AB16" s="36">
        <v>0</v>
      </c>
      <c r="AC16" s="36">
        <f t="shared" si="16"/>
        <v>0</v>
      </c>
      <c r="AD16" s="36">
        <v>0</v>
      </c>
      <c r="AE16" s="36">
        <f t="shared" si="17"/>
        <v>0</v>
      </c>
      <c r="AF16" s="466">
        <f t="shared" si="18"/>
        <v>22085.914275764244</v>
      </c>
      <c r="AG16" s="140">
        <f t="shared" si="19"/>
        <v>3257893.2148179836</v>
      </c>
      <c r="AH16" s="336"/>
    </row>
    <row r="17" spans="1:34" x14ac:dyDescent="0.25">
      <c r="A17" s="3" t="s">
        <v>347</v>
      </c>
      <c r="B17" s="3">
        <f>INDEX('Base de Unidades'!$B$2:$B$47, MATCH('Tabela Vendas'!A17, 'Base de Unidades'!$A$2:$A$47, 0))</f>
        <v>82</v>
      </c>
      <c r="C17" s="7" t="str">
        <f>INDEX('Base de Unidades'!G:G, MATCH('Tabela Vendas'!A17, 'Base de Unidades'!A:A, 0))</f>
        <v>8</v>
      </c>
      <c r="D17" s="7">
        <f>INDEX('Base de Unidades'!$D$2:$D$47, MATCH('Tabela Vendas'!A17, 'Base de Unidades'!$A$2:$A$47, 0))</f>
        <v>147.6</v>
      </c>
      <c r="E17" s="2" t="str">
        <f>IFERROR(INDEX('Base de Unidades'!Q:Q,MATCH('Tabela Vendas'!A17,'Base de Unidades'!J:J,0)),IFERROR(INDEX('M-Unidades'!$G:$G,MATCH('Tabela Vendas'!$A17,'M-Unidades'!$H:$H,0)),"Disponível"))</f>
        <v>Vendida</v>
      </c>
      <c r="F17" s="29">
        <f>IF(E17="Vendida",IFERROR(INDEX('M-POS. FIN.'!$E:$E,MATCH('Tabela Vendas'!$A17,'M-POS. FIN.'!$D:$D,0)),"-"),IF(E17="Quitada",IFERROR(INDEX('M-LIQUIDAÇÕES'!$E:$E,MATCH('Tabela Vendas'!$A17,'M-LIQUIDAÇÕES'!$D:$D,0)),"-"),"-"))</f>
        <v>44075</v>
      </c>
      <c r="G17" s="30">
        <f t="shared" si="0"/>
        <v>44075</v>
      </c>
      <c r="H17" s="31">
        <f>IF(E17="Vendida",IFERROR(INDEX('M-POS. FIN.'!$F:$F,MATCH('Tabela Vendas'!$A17,'M-POS. FIN.'!$D:$D,0)),"-"),IF(E17="Quitada",IFERROR(INDEX('M-LIQUIDAÇÕES'!$F:$F,MATCH('Tabela Vendas'!$A17,'M-LIQUIDAÇÕES'!$D:$D,0)),"-"),"-"))</f>
        <v>2911750</v>
      </c>
      <c r="I17" s="31">
        <f t="shared" si="1"/>
        <v>19727.303523035233</v>
      </c>
      <c r="J17" s="33" t="str">
        <f t="shared" si="2"/>
        <v>-</v>
      </c>
      <c r="K17" s="33" t="str">
        <f t="shared" si="3"/>
        <v>-</v>
      </c>
      <c r="L17" s="35" t="str">
        <f t="shared" si="4"/>
        <v>-</v>
      </c>
      <c r="M17" s="36">
        <f t="shared" si="5"/>
        <v>0.05</v>
      </c>
      <c r="N17" s="36">
        <f t="shared" si="6"/>
        <v>0</v>
      </c>
      <c r="O17" s="36">
        <f t="shared" si="7"/>
        <v>0</v>
      </c>
      <c r="P17" s="36">
        <f t="shared" si="8"/>
        <v>0.01</v>
      </c>
      <c r="Q17" s="35" t="str">
        <f t="shared" si="9"/>
        <v>-</v>
      </c>
      <c r="R17" s="38">
        <f t="shared" si="10"/>
        <v>0</v>
      </c>
      <c r="S17" s="38">
        <f t="shared" si="11"/>
        <v>1</v>
      </c>
      <c r="T17" s="38">
        <f t="shared" si="12"/>
        <v>0</v>
      </c>
      <c r="U17" s="38">
        <f t="shared" si="13"/>
        <v>0</v>
      </c>
      <c r="V17" s="35">
        <f t="shared" si="14"/>
        <v>2911750</v>
      </c>
      <c r="W17" s="336"/>
      <c r="X17" s="272" t="s">
        <v>348</v>
      </c>
      <c r="Y17" s="467">
        <v>43983</v>
      </c>
      <c r="AA17" s="142">
        <f t="shared" si="15"/>
        <v>0.99</v>
      </c>
      <c r="AB17" s="36">
        <v>0</v>
      </c>
      <c r="AC17" s="36">
        <f t="shared" si="16"/>
        <v>0</v>
      </c>
      <c r="AD17" s="36">
        <v>0</v>
      </c>
      <c r="AE17" s="36">
        <f t="shared" si="17"/>
        <v>0</v>
      </c>
      <c r="AF17" s="466">
        <f t="shared" si="18"/>
        <v>22085.914275764244</v>
      </c>
      <c r="AG17" s="140">
        <f t="shared" si="19"/>
        <v>3259880.9471028023</v>
      </c>
      <c r="AH17" s="336"/>
    </row>
    <row r="18" spans="1:34" ht="15.75" customHeight="1" thickBot="1" x14ac:dyDescent="0.3">
      <c r="A18" s="3" t="s">
        <v>349</v>
      </c>
      <c r="B18" s="3">
        <f>INDEX('Base de Unidades'!$B$2:$B$47, MATCH('Tabela Vendas'!A18, 'Base de Unidades'!$A$2:$A$47, 0))</f>
        <v>91</v>
      </c>
      <c r="C18" s="7" t="str">
        <f>INDEX('Base de Unidades'!G:G, MATCH('Tabela Vendas'!A18, 'Base de Unidades'!A:A, 0))</f>
        <v>9</v>
      </c>
      <c r="D18" s="7">
        <f>INDEX('Base de Unidades'!$D$2:$D$47, MATCH('Tabela Vendas'!A18, 'Base de Unidades'!$A$2:$A$47, 0))</f>
        <v>147.51</v>
      </c>
      <c r="E18" s="2" t="str">
        <f>IFERROR(INDEX('Base de Unidades'!Q:Q,MATCH('Tabela Vendas'!A18,'Base de Unidades'!J:J,0)),IFERROR(INDEX('M-Unidades'!$G:$G,MATCH('Tabela Vendas'!$A18,'M-Unidades'!$H:$H,0)),"Disponível"))</f>
        <v>Disponível</v>
      </c>
      <c r="F18" s="29" t="str">
        <f>IF(E18="Vendida",IFERROR(INDEX('M-POS. FIN.'!$E:$E,MATCH('Tabela Vendas'!$A18,'M-POS. FIN.'!$D:$D,0)),"-"),IF(E18="Quitada",IFERROR(INDEX('M-LIQUIDAÇÕES'!$E:$E,MATCH('Tabela Vendas'!$A18,'M-LIQUIDAÇÕES'!$D:$D,0)),"-"),"-"))</f>
        <v>-</v>
      </c>
      <c r="G18" s="30" t="str">
        <f t="shared" si="0"/>
        <v>-</v>
      </c>
      <c r="H18" s="31" t="str">
        <f>IF(E18="Vendida",IFERROR(INDEX('M-POS. FIN.'!$F:$F,MATCH('Tabela Vendas'!$A18,'M-POS. FIN.'!$D:$D,0)),"-"),IF(E18="Quitada",IFERROR(INDEX('M-LIQUIDAÇÕES'!$F:$F,MATCH('Tabela Vendas'!$A18,'M-LIQUIDAÇÕES'!$D:$D,0)),"-"),"-"))</f>
        <v>-</v>
      </c>
      <c r="I18" s="31" t="str">
        <f t="shared" si="1"/>
        <v>-</v>
      </c>
      <c r="J18" s="33">
        <f t="shared" si="2"/>
        <v>20092.757206690792</v>
      </c>
      <c r="K18" s="33">
        <f t="shared" si="3"/>
        <v>22197.459297359015</v>
      </c>
      <c r="L18" s="35">
        <f t="shared" si="4"/>
        <v>22197.459297359015</v>
      </c>
      <c r="M18" s="36">
        <f t="shared" si="5"/>
        <v>0.05</v>
      </c>
      <c r="N18" s="36">
        <f t="shared" si="6"/>
        <v>0</v>
      </c>
      <c r="O18" s="36">
        <f t="shared" si="7"/>
        <v>0</v>
      </c>
      <c r="P18" s="36">
        <f t="shared" si="8"/>
        <v>0.01</v>
      </c>
      <c r="Q18" s="35">
        <f t="shared" si="9"/>
        <v>20876.710469166152</v>
      </c>
      <c r="R18" s="38">
        <f t="shared" si="10"/>
        <v>1</v>
      </c>
      <c r="S18" s="38">
        <f t="shared" si="11"/>
        <v>0</v>
      </c>
      <c r="T18" s="38">
        <f t="shared" si="12"/>
        <v>0</v>
      </c>
      <c r="U18" s="38">
        <f t="shared" si="13"/>
        <v>0</v>
      </c>
      <c r="V18" s="35">
        <f t="shared" si="14"/>
        <v>3079523.5613066987</v>
      </c>
      <c r="W18" s="336"/>
      <c r="X18" s="131" t="s">
        <v>350</v>
      </c>
      <c r="Y18" s="468">
        <f>Y16*INDEX(Indicadores!$B:$B, MATCH(EDATE(baseData, -2), Indicadores!$A:$A, 0))/INDEX(Indicadores!$B:$B, MATCH(EDATE('Tabela Vendas'!$Y$17, -2), Indicadores!$A:$A, 0))</f>
        <v>22309.004318953783</v>
      </c>
      <c r="Z18" s="139"/>
      <c r="AA18" s="142">
        <f t="shared" si="15"/>
        <v>0.995</v>
      </c>
      <c r="AB18" s="36">
        <v>0</v>
      </c>
      <c r="AC18" s="36">
        <f t="shared" si="16"/>
        <v>0</v>
      </c>
      <c r="AD18" s="36">
        <v>0</v>
      </c>
      <c r="AE18" s="36">
        <f t="shared" si="17"/>
        <v>0</v>
      </c>
      <c r="AF18" s="466">
        <f t="shared" si="18"/>
        <v>22197.459297359015</v>
      </c>
      <c r="AG18" s="140">
        <f t="shared" si="19"/>
        <v>3274347.2209534282</v>
      </c>
      <c r="AH18" s="336"/>
    </row>
    <row r="19" spans="1:34" ht="15.75" customHeight="1" thickBot="1" x14ac:dyDescent="0.3">
      <c r="A19" s="3" t="s">
        <v>351</v>
      </c>
      <c r="B19" s="3">
        <f>INDEX('Base de Unidades'!$B$2:$B$47, MATCH('Tabela Vendas'!A19, 'Base de Unidades'!$A$2:$A$47, 0))</f>
        <v>92</v>
      </c>
      <c r="C19" s="7" t="str">
        <f>INDEX('Base de Unidades'!G:G, MATCH('Tabela Vendas'!A19, 'Base de Unidades'!A:A, 0))</f>
        <v>9</v>
      </c>
      <c r="D19" s="7">
        <f>INDEX('Base de Unidades'!$D$2:$D$47, MATCH('Tabela Vendas'!A19, 'Base de Unidades'!$A$2:$A$47, 0))</f>
        <v>147.30000000000001</v>
      </c>
      <c r="E19" s="2" t="str">
        <f>IFERROR(INDEX('Base de Unidades'!Q:Q,MATCH('Tabela Vendas'!A19,'Base de Unidades'!J:J,0)),IFERROR(INDEX('M-Unidades'!$G:$G,MATCH('Tabela Vendas'!$A19,'M-Unidades'!$H:$H,0)),"Disponível"))</f>
        <v>Vendida</v>
      </c>
      <c r="F19" s="29">
        <f>IF(E19="Vendida",IFERROR(INDEX('M-POS. FIN.'!$E:$E,MATCH('Tabela Vendas'!$A19,'M-POS. FIN.'!$D:$D,0)),"-"),IF(E19="Quitada",IFERROR(INDEX('M-LIQUIDAÇÕES'!$E:$E,MATCH('Tabela Vendas'!$A19,'M-LIQUIDAÇÕES'!$D:$D,0)),"-"),"-"))</f>
        <v>44011</v>
      </c>
      <c r="G19" s="30">
        <f t="shared" si="0"/>
        <v>43983</v>
      </c>
      <c r="H19" s="31">
        <f>IF(E19="Vendida",IFERROR(INDEX('M-POS. FIN.'!$F:$F,MATCH('Tabela Vendas'!$A19,'M-POS. FIN.'!$D:$D,0)),"-"),IF(E19="Quitada",IFERROR(INDEX('M-LIQUIDAÇÕES'!$F:$F,MATCH('Tabela Vendas'!$A19,'M-LIQUIDAÇÕES'!$D:$D,0)),"-"),"-"))</f>
        <v>2878490</v>
      </c>
      <c r="I19" s="31">
        <f t="shared" si="1"/>
        <v>19541.683638832314</v>
      </c>
      <c r="J19" s="33" t="str">
        <f t="shared" si="2"/>
        <v>-</v>
      </c>
      <c r="K19" s="33" t="str">
        <f t="shared" si="3"/>
        <v>-</v>
      </c>
      <c r="L19" s="35" t="str">
        <f t="shared" si="4"/>
        <v>-</v>
      </c>
      <c r="M19" s="36">
        <f t="shared" si="5"/>
        <v>0.05</v>
      </c>
      <c r="N19" s="36">
        <f t="shared" si="6"/>
        <v>0</v>
      </c>
      <c r="O19" s="36">
        <f t="shared" si="7"/>
        <v>0</v>
      </c>
      <c r="P19" s="36">
        <f t="shared" si="8"/>
        <v>0.01</v>
      </c>
      <c r="Q19" s="35" t="str">
        <f t="shared" si="9"/>
        <v>-</v>
      </c>
      <c r="R19" s="38">
        <f t="shared" si="10"/>
        <v>0</v>
      </c>
      <c r="S19" s="38">
        <f t="shared" si="11"/>
        <v>1</v>
      </c>
      <c r="T19" s="38">
        <f t="shared" si="12"/>
        <v>0</v>
      </c>
      <c r="U19" s="38">
        <f t="shared" si="13"/>
        <v>0</v>
      </c>
      <c r="V19" s="35">
        <f t="shared" si="14"/>
        <v>2878490</v>
      </c>
      <c r="W19" s="336"/>
      <c r="Z19" s="336"/>
      <c r="AA19" s="142">
        <f t="shared" si="15"/>
        <v>0.995</v>
      </c>
      <c r="AB19" s="36">
        <v>0</v>
      </c>
      <c r="AC19" s="36">
        <f t="shared" si="16"/>
        <v>0</v>
      </c>
      <c r="AD19" s="36">
        <v>0</v>
      </c>
      <c r="AE19" s="36">
        <f t="shared" si="17"/>
        <v>0</v>
      </c>
      <c r="AF19" s="466">
        <f t="shared" si="18"/>
        <v>22197.459297359015</v>
      </c>
      <c r="AG19" s="140">
        <f t="shared" si="19"/>
        <v>3269685.7545009833</v>
      </c>
      <c r="AH19" s="336"/>
    </row>
    <row r="20" spans="1:34" x14ac:dyDescent="0.25">
      <c r="A20" s="3" t="s">
        <v>352</v>
      </c>
      <c r="B20" s="3">
        <f>INDEX('Base de Unidades'!$B$2:$B$47, MATCH('Tabela Vendas'!A20, 'Base de Unidades'!$A$2:$A$47, 0))</f>
        <v>101</v>
      </c>
      <c r="C20" s="7" t="str">
        <f>INDEX('Base de Unidades'!G:G, MATCH('Tabela Vendas'!A20, 'Base de Unidades'!A:A, 0))</f>
        <v>10</v>
      </c>
      <c r="D20" s="7">
        <f>INDEX('Base de Unidades'!$D$2:$D$47, MATCH('Tabela Vendas'!A20, 'Base de Unidades'!$A$2:$A$47, 0))</f>
        <v>147.51</v>
      </c>
      <c r="E20" s="2" t="str">
        <f>IFERROR(INDEX('Base de Unidades'!Q:Q,MATCH('Tabela Vendas'!A20,'Base de Unidades'!J:J,0)),IFERROR(INDEX('M-Unidades'!$G:$G,MATCH('Tabela Vendas'!$A20,'M-Unidades'!$H:$H,0)),"Disponível"))</f>
        <v>Disponível</v>
      </c>
      <c r="F20" s="29" t="str">
        <f>IF(E20="Vendida",IFERROR(INDEX('M-POS. FIN.'!$E:$E,MATCH('Tabela Vendas'!$A20,'M-POS. FIN.'!$D:$D,0)),"-"),IF(E20="Quitada",IFERROR(INDEX('M-LIQUIDAÇÕES'!$E:$E,MATCH('Tabela Vendas'!$A20,'M-LIQUIDAÇÕES'!$D:$D,0)),"-"),"-"))</f>
        <v>-</v>
      </c>
      <c r="G20" s="30" t="str">
        <f t="shared" si="0"/>
        <v>-</v>
      </c>
      <c r="H20" s="31" t="str">
        <f>IF(E20="Vendida",IFERROR(INDEX('M-POS. FIN.'!$F:$F,MATCH('Tabela Vendas'!$A20,'M-POS. FIN.'!$D:$D,0)),"-"),IF(E20="Quitada",IFERROR(INDEX('M-LIQUIDAÇÕES'!$F:$F,MATCH('Tabela Vendas'!$A20,'M-LIQUIDAÇÕES'!$D:$D,0)),"-"),"-"))</f>
        <v>-</v>
      </c>
      <c r="I20" s="31" t="str">
        <f t="shared" si="1"/>
        <v>-</v>
      </c>
      <c r="J20" s="33">
        <f t="shared" si="2"/>
        <v>20092.757206690792</v>
      </c>
      <c r="K20" s="33">
        <f t="shared" si="3"/>
        <v>22309.004318953783</v>
      </c>
      <c r="L20" s="35">
        <f t="shared" si="4"/>
        <v>22309.004318953783</v>
      </c>
      <c r="M20" s="36">
        <f t="shared" si="5"/>
        <v>0.05</v>
      </c>
      <c r="N20" s="36">
        <f t="shared" si="6"/>
        <v>0</v>
      </c>
      <c r="O20" s="36">
        <f t="shared" si="7"/>
        <v>0</v>
      </c>
      <c r="P20" s="36">
        <f t="shared" si="8"/>
        <v>0.01</v>
      </c>
      <c r="Q20" s="35">
        <f t="shared" si="9"/>
        <v>20981.618561976029</v>
      </c>
      <c r="R20" s="38">
        <f t="shared" si="10"/>
        <v>1</v>
      </c>
      <c r="S20" s="38">
        <f t="shared" si="11"/>
        <v>0</v>
      </c>
      <c r="T20" s="38">
        <f t="shared" si="12"/>
        <v>0</v>
      </c>
      <c r="U20" s="38">
        <f t="shared" si="13"/>
        <v>0</v>
      </c>
      <c r="V20" s="35">
        <f t="shared" si="14"/>
        <v>3094998.5540770837</v>
      </c>
      <c r="W20" s="336"/>
      <c r="X20" s="608" t="s">
        <v>353</v>
      </c>
      <c r="Y20" s="609"/>
      <c r="AA20" s="142">
        <f t="shared" si="15"/>
        <v>1</v>
      </c>
      <c r="AB20" s="36">
        <v>0</v>
      </c>
      <c r="AC20" s="36">
        <f t="shared" si="16"/>
        <v>0</v>
      </c>
      <c r="AD20" s="36">
        <v>0</v>
      </c>
      <c r="AE20" s="36">
        <f t="shared" si="17"/>
        <v>0</v>
      </c>
      <c r="AF20" s="466">
        <f t="shared" si="18"/>
        <v>22309.004318953783</v>
      </c>
      <c r="AG20" s="140">
        <f t="shared" si="19"/>
        <v>3290801.2270888723</v>
      </c>
      <c r="AH20" s="336"/>
    </row>
    <row r="21" spans="1:34" x14ac:dyDescent="0.25">
      <c r="A21" s="3" t="s">
        <v>354</v>
      </c>
      <c r="B21" s="3">
        <f>INDEX('Base de Unidades'!$B$2:$B$47, MATCH('Tabela Vendas'!A21, 'Base de Unidades'!$A$2:$A$47, 0))</f>
        <v>102</v>
      </c>
      <c r="C21" s="7" t="str">
        <f>INDEX('Base de Unidades'!G:G, MATCH('Tabela Vendas'!A21, 'Base de Unidades'!A:A, 0))</f>
        <v>10</v>
      </c>
      <c r="D21" s="7">
        <f>INDEX('Base de Unidades'!$D$2:$D$47, MATCH('Tabela Vendas'!A21, 'Base de Unidades'!$A$2:$A$47, 0))</f>
        <v>147.30000000000001</v>
      </c>
      <c r="E21" s="2" t="str">
        <f>IFERROR(INDEX('Base de Unidades'!Q:Q,MATCH('Tabela Vendas'!A21,'Base de Unidades'!J:J,0)),IFERROR(INDEX('M-Unidades'!$G:$G,MATCH('Tabela Vendas'!$A21,'M-Unidades'!$H:$H,0)),"Disponível"))</f>
        <v>Permuta - Kinea</v>
      </c>
      <c r="F21" s="29" t="str">
        <f>IF(E21="Vendida",IFERROR(INDEX('M-POS. FIN.'!$E:$E,MATCH('Tabela Vendas'!$A21,'M-POS. FIN.'!$D:$D,0)),"-"),IF(E21="Quitada",IFERROR(INDEX('M-LIQUIDAÇÕES'!$E:$E,MATCH('Tabela Vendas'!$A21,'M-LIQUIDAÇÕES'!$D:$D,0)),"-"),"-"))</f>
        <v>-</v>
      </c>
      <c r="G21" s="30" t="str">
        <f t="shared" si="0"/>
        <v>-</v>
      </c>
      <c r="H21" s="31" t="str">
        <f>IF(E21="Vendida",IFERROR(INDEX('M-POS. FIN.'!$F:$F,MATCH('Tabela Vendas'!$A21,'M-POS. FIN.'!$D:$D,0)),"-"),IF(E21="Quitada",IFERROR(INDEX('M-LIQUIDAÇÕES'!$F:$F,MATCH('Tabela Vendas'!$A21,'M-LIQUIDAÇÕES'!$D:$D,0)),"-"),"-"))</f>
        <v>-</v>
      </c>
      <c r="I21" s="31" t="str">
        <f t="shared" si="1"/>
        <v>-</v>
      </c>
      <c r="J21" s="33" t="str">
        <f t="shared" si="2"/>
        <v>-</v>
      </c>
      <c r="K21" s="33" t="str">
        <f t="shared" si="3"/>
        <v>-</v>
      </c>
      <c r="L21" s="35" t="str">
        <f t="shared" si="4"/>
        <v>-</v>
      </c>
      <c r="M21" s="36">
        <f t="shared" si="5"/>
        <v>0.05</v>
      </c>
      <c r="N21" s="36">
        <f t="shared" si="6"/>
        <v>0</v>
      </c>
      <c r="O21" s="36">
        <f t="shared" si="7"/>
        <v>0</v>
      </c>
      <c r="P21" s="36">
        <f t="shared" si="8"/>
        <v>0.01</v>
      </c>
      <c r="Q21" s="35" t="str">
        <f t="shared" si="9"/>
        <v>-</v>
      </c>
      <c r="R21" s="38">
        <f t="shared" si="10"/>
        <v>0</v>
      </c>
      <c r="S21" s="38">
        <f t="shared" si="11"/>
        <v>0</v>
      </c>
      <c r="T21" s="38">
        <f t="shared" si="12"/>
        <v>0</v>
      </c>
      <c r="U21" s="38">
        <f t="shared" si="13"/>
        <v>1</v>
      </c>
      <c r="V21" s="35" t="str">
        <f t="shared" si="14"/>
        <v>-</v>
      </c>
      <c r="W21" s="336"/>
      <c r="X21" s="126" t="s">
        <v>355</v>
      </c>
      <c r="Y21" s="130">
        <f>SUM(R2:U47)-SUM(U2:U47)</f>
        <v>39</v>
      </c>
      <c r="AA21" s="142">
        <f t="shared" si="15"/>
        <v>1</v>
      </c>
      <c r="AB21" s="36">
        <v>0</v>
      </c>
      <c r="AC21" s="36">
        <f t="shared" si="16"/>
        <v>0</v>
      </c>
      <c r="AD21" s="36">
        <v>0</v>
      </c>
      <c r="AE21" s="36">
        <f t="shared" si="17"/>
        <v>0</v>
      </c>
      <c r="AF21" s="466">
        <f t="shared" si="18"/>
        <v>22309.004318953783</v>
      </c>
      <c r="AG21" s="140">
        <f t="shared" si="19"/>
        <v>3286116.3361818925</v>
      </c>
      <c r="AH21" s="336"/>
    </row>
    <row r="22" spans="1:34" x14ac:dyDescent="0.25">
      <c r="A22" s="3" t="s">
        <v>356</v>
      </c>
      <c r="B22" s="3">
        <f>INDEX('Base de Unidades'!$B$2:$B$47, MATCH('Tabela Vendas'!A22, 'Base de Unidades'!$A$2:$A$47, 0))</f>
        <v>111</v>
      </c>
      <c r="C22" s="7" t="str">
        <f>INDEX('Base de Unidades'!G:G, MATCH('Tabela Vendas'!A22, 'Base de Unidades'!A:A, 0))</f>
        <v>11</v>
      </c>
      <c r="D22" s="7">
        <f>INDEX('Base de Unidades'!$D$2:$D$47, MATCH('Tabela Vendas'!A22, 'Base de Unidades'!$A$2:$A$47, 0))</f>
        <v>147.31</v>
      </c>
      <c r="E22" s="2" t="str">
        <f>IFERROR(INDEX('Base de Unidades'!Q:Q,MATCH('Tabela Vendas'!A22,'Base de Unidades'!J:J,0)),IFERROR(INDEX('M-Unidades'!$G:$G,MATCH('Tabela Vendas'!$A22,'M-Unidades'!$H:$H,0)),"Disponível"))</f>
        <v>Disponível</v>
      </c>
      <c r="F22" s="29" t="str">
        <f>IF(E22="Vendida",IFERROR(INDEX('M-POS. FIN.'!$E:$E,MATCH('Tabela Vendas'!$A22,'M-POS. FIN.'!$D:$D,0)),"-"),IF(E22="Quitada",IFERROR(INDEX('M-LIQUIDAÇÕES'!$E:$E,MATCH('Tabela Vendas'!$A22,'M-LIQUIDAÇÕES'!$D:$D,0)),"-"),"-"))</f>
        <v>-</v>
      </c>
      <c r="G22" s="30" t="str">
        <f t="shared" si="0"/>
        <v>-</v>
      </c>
      <c r="H22" s="31" t="str">
        <f>IF(E22="Vendida",IFERROR(INDEX('M-POS. FIN.'!$F:$F,MATCH('Tabela Vendas'!$A22,'M-POS. FIN.'!$D:$D,0)),"-"),IF(E22="Quitada",IFERROR(INDEX('M-LIQUIDAÇÕES'!$F:$F,MATCH('Tabela Vendas'!$A22,'M-LIQUIDAÇÕES'!$D:$D,0)),"-"),"-"))</f>
        <v>-</v>
      </c>
      <c r="I22" s="31" t="str">
        <f t="shared" si="1"/>
        <v>-</v>
      </c>
      <c r="J22" s="33">
        <f t="shared" si="2"/>
        <v>20092.757206690792</v>
      </c>
      <c r="K22" s="33">
        <f t="shared" si="3"/>
        <v>22420.54934054855</v>
      </c>
      <c r="L22" s="35">
        <f t="shared" si="4"/>
        <v>22420.54934054855</v>
      </c>
      <c r="M22" s="36">
        <f t="shared" si="5"/>
        <v>0.05</v>
      </c>
      <c r="N22" s="36">
        <f t="shared" si="6"/>
        <v>0</v>
      </c>
      <c r="O22" s="36">
        <f t="shared" si="7"/>
        <v>0</v>
      </c>
      <c r="P22" s="36">
        <f t="shared" si="8"/>
        <v>0.01</v>
      </c>
      <c r="Q22" s="35">
        <f t="shared" si="9"/>
        <v>21086.52665478591</v>
      </c>
      <c r="R22" s="38">
        <f t="shared" si="10"/>
        <v>1</v>
      </c>
      <c r="S22" s="38">
        <f t="shared" si="11"/>
        <v>0</v>
      </c>
      <c r="T22" s="38">
        <f t="shared" si="12"/>
        <v>0</v>
      </c>
      <c r="U22" s="38">
        <f t="shared" si="13"/>
        <v>0</v>
      </c>
      <c r="V22" s="35">
        <f t="shared" si="14"/>
        <v>3106256.2415165124</v>
      </c>
      <c r="W22" s="336"/>
      <c r="X22" s="126" t="s">
        <v>357</v>
      </c>
      <c r="Y22" s="127">
        <f>AVERAGEIF(U:U, 0, D:D)</f>
        <v>156.15512820512828</v>
      </c>
      <c r="AA22" s="142">
        <f t="shared" si="15"/>
        <v>1.0049999999999999</v>
      </c>
      <c r="AB22" s="36">
        <v>0</v>
      </c>
      <c r="AC22" s="36">
        <f t="shared" si="16"/>
        <v>0</v>
      </c>
      <c r="AD22" s="36">
        <v>0</v>
      </c>
      <c r="AE22" s="36">
        <f t="shared" si="17"/>
        <v>0</v>
      </c>
      <c r="AF22" s="466">
        <f t="shared" si="18"/>
        <v>22420.54934054855</v>
      </c>
      <c r="AG22" s="140">
        <f t="shared" si="19"/>
        <v>3302771.1233562068</v>
      </c>
      <c r="AH22" s="336"/>
    </row>
    <row r="23" spans="1:34" ht="15.75" customHeight="1" thickBot="1" x14ac:dyDescent="0.3">
      <c r="A23" s="3" t="s">
        <v>358</v>
      </c>
      <c r="B23" s="3">
        <f>INDEX('Base de Unidades'!$B$2:$B$47, MATCH('Tabela Vendas'!A23, 'Base de Unidades'!$A$2:$A$47, 0))</f>
        <v>112</v>
      </c>
      <c r="C23" s="7" t="str">
        <f>INDEX('Base de Unidades'!G:G, MATCH('Tabela Vendas'!A23, 'Base de Unidades'!A:A, 0))</f>
        <v>11</v>
      </c>
      <c r="D23" s="7">
        <f>INDEX('Base de Unidades'!$D$2:$D$47, MATCH('Tabela Vendas'!A23, 'Base de Unidades'!$A$2:$A$47, 0))</f>
        <v>149.30000000000001</v>
      </c>
      <c r="E23" s="2" t="str">
        <f>IFERROR(INDEX('Base de Unidades'!Q:Q,MATCH('Tabela Vendas'!A23,'Base de Unidades'!J:J,0)),IFERROR(INDEX('M-Unidades'!$G:$G,MATCH('Tabela Vendas'!$A23,'M-Unidades'!$H:$H,0)),"Disponível"))</f>
        <v>Vendida</v>
      </c>
      <c r="F23" s="29">
        <f>IF(E23="Vendida",IFERROR(INDEX('M-POS. FIN.'!$E:$E,MATCH('Tabela Vendas'!$A23,'M-POS. FIN.'!$D:$D,0)),"-"),IF(E23="Quitada",IFERROR(INDEX('M-LIQUIDAÇÕES'!$E:$E,MATCH('Tabela Vendas'!$A23,'M-LIQUIDAÇÕES'!$D:$D,0)),"-"),"-"))</f>
        <v>44021</v>
      </c>
      <c r="G23" s="30">
        <f t="shared" si="0"/>
        <v>44013</v>
      </c>
      <c r="H23" s="31">
        <f>IF(E23="Vendida",IFERROR(INDEX('M-POS. FIN.'!$F:$F,MATCH('Tabela Vendas'!$A23,'M-POS. FIN.'!$D:$D,0)),"-"),IF(E23="Quitada",IFERROR(INDEX('M-LIQUIDAÇÕES'!$F:$F,MATCH('Tabela Vendas'!$A23,'M-LIQUIDAÇÕES'!$D:$D,0)),"-"),"-"))</f>
        <v>3041520</v>
      </c>
      <c r="I23" s="31">
        <f t="shared" si="1"/>
        <v>20371.868720696584</v>
      </c>
      <c r="J23" s="33" t="str">
        <f t="shared" si="2"/>
        <v>-</v>
      </c>
      <c r="K23" s="33" t="str">
        <f t="shared" si="3"/>
        <v>-</v>
      </c>
      <c r="L23" s="35" t="str">
        <f t="shared" si="4"/>
        <v>-</v>
      </c>
      <c r="M23" s="36">
        <f t="shared" si="5"/>
        <v>0.05</v>
      </c>
      <c r="N23" s="36">
        <f t="shared" si="6"/>
        <v>0</v>
      </c>
      <c r="O23" s="36">
        <f t="shared" si="7"/>
        <v>0</v>
      </c>
      <c r="P23" s="36">
        <f t="shared" si="8"/>
        <v>0.01</v>
      </c>
      <c r="Q23" s="35" t="str">
        <f t="shared" si="9"/>
        <v>-</v>
      </c>
      <c r="R23" s="38">
        <f t="shared" si="10"/>
        <v>0</v>
      </c>
      <c r="S23" s="38">
        <f t="shared" si="11"/>
        <v>1</v>
      </c>
      <c r="T23" s="38">
        <f t="shared" si="12"/>
        <v>0</v>
      </c>
      <c r="U23" s="38">
        <f t="shared" si="13"/>
        <v>0</v>
      </c>
      <c r="V23" s="35">
        <f t="shared" si="14"/>
        <v>3041520</v>
      </c>
      <c r="W23" s="336"/>
      <c r="X23" s="131" t="s">
        <v>359</v>
      </c>
      <c r="Y23" s="469">
        <f>SUMIF(U:U, 0, AG:AG)</f>
        <v>133910221.67095</v>
      </c>
      <c r="AA23" s="142">
        <f t="shared" si="15"/>
        <v>1.0049999999999999</v>
      </c>
      <c r="AB23" s="36">
        <v>0</v>
      </c>
      <c r="AC23" s="36">
        <f t="shared" si="16"/>
        <v>0</v>
      </c>
      <c r="AD23" s="36">
        <v>0</v>
      </c>
      <c r="AE23" s="36">
        <f t="shared" si="17"/>
        <v>0</v>
      </c>
      <c r="AF23" s="466">
        <f t="shared" si="18"/>
        <v>22420.54934054855</v>
      </c>
      <c r="AG23" s="140">
        <f t="shared" si="19"/>
        <v>3347388.0165438987</v>
      </c>
      <c r="AH23" s="336"/>
    </row>
    <row r="24" spans="1:34" x14ac:dyDescent="0.25">
      <c r="A24" s="3" t="s">
        <v>360</v>
      </c>
      <c r="B24" s="3">
        <f>INDEX('Base de Unidades'!$B$2:$B$47, MATCH('Tabela Vendas'!A24, 'Base de Unidades'!$A$2:$A$47, 0))</f>
        <v>121</v>
      </c>
      <c r="C24" s="7" t="str">
        <f>INDEX('Base de Unidades'!G:G, MATCH('Tabela Vendas'!A24, 'Base de Unidades'!A:A, 0))</f>
        <v>12</v>
      </c>
      <c r="D24" s="7">
        <f>INDEX('Base de Unidades'!$D$2:$D$47, MATCH('Tabela Vendas'!A24, 'Base de Unidades'!$A$2:$A$47, 0))</f>
        <v>147.31</v>
      </c>
      <c r="E24" s="2" t="str">
        <f>IFERROR(INDEX('Base de Unidades'!Q:Q,MATCH('Tabela Vendas'!A24,'Base de Unidades'!J:J,0)),IFERROR(INDEX('M-Unidades'!$G:$G,MATCH('Tabela Vendas'!$A24,'M-Unidades'!$H:$H,0)),"Disponível"))</f>
        <v>Disponível</v>
      </c>
      <c r="F24" s="29" t="str">
        <f>IF(E24="Vendida",IFERROR(INDEX('M-POS. FIN.'!$E:$E,MATCH('Tabela Vendas'!$A24,'M-POS. FIN.'!$D:$D,0)),"-"),IF(E24="Quitada",IFERROR(INDEX('M-LIQUIDAÇÕES'!$E:$E,MATCH('Tabela Vendas'!$A24,'M-LIQUIDAÇÕES'!$D:$D,0)),"-"),"-"))</f>
        <v>-</v>
      </c>
      <c r="G24" s="30" t="str">
        <f t="shared" si="0"/>
        <v>-</v>
      </c>
      <c r="H24" s="31" t="str">
        <f>IF(E24="Vendida",IFERROR(INDEX('M-POS. FIN.'!$F:$F,MATCH('Tabela Vendas'!$A24,'M-POS. FIN.'!$D:$D,0)),"-"),IF(E24="Quitada",IFERROR(INDEX('M-LIQUIDAÇÕES'!$F:$F,MATCH('Tabela Vendas'!$A24,'M-LIQUIDAÇÕES'!$D:$D,0)),"-"),"-"))</f>
        <v>-</v>
      </c>
      <c r="I24" s="31" t="str">
        <f t="shared" si="1"/>
        <v>-</v>
      </c>
      <c r="J24" s="33">
        <f t="shared" si="2"/>
        <v>20092.757206690792</v>
      </c>
      <c r="K24" s="33">
        <f t="shared" si="3"/>
        <v>22532.094362143322</v>
      </c>
      <c r="L24" s="35">
        <f t="shared" si="4"/>
        <v>22532.094362143322</v>
      </c>
      <c r="M24" s="36">
        <f t="shared" si="5"/>
        <v>0.05</v>
      </c>
      <c r="N24" s="36">
        <f t="shared" si="6"/>
        <v>0</v>
      </c>
      <c r="O24" s="36">
        <f t="shared" si="7"/>
        <v>0</v>
      </c>
      <c r="P24" s="36">
        <f t="shared" si="8"/>
        <v>0.01</v>
      </c>
      <c r="Q24" s="35">
        <f t="shared" si="9"/>
        <v>21191.434747595791</v>
      </c>
      <c r="R24" s="38">
        <f t="shared" si="10"/>
        <v>1</v>
      </c>
      <c r="S24" s="38">
        <f t="shared" si="11"/>
        <v>0</v>
      </c>
      <c r="T24" s="38">
        <f t="shared" si="12"/>
        <v>0</v>
      </c>
      <c r="U24" s="38">
        <f t="shared" si="13"/>
        <v>0</v>
      </c>
      <c r="V24" s="35">
        <f t="shared" si="14"/>
        <v>3121710.252668336</v>
      </c>
      <c r="W24" s="336"/>
      <c r="AA24" s="142">
        <f t="shared" si="15"/>
        <v>1.01</v>
      </c>
      <c r="AB24" s="36">
        <v>0</v>
      </c>
      <c r="AC24" s="36">
        <f t="shared" si="16"/>
        <v>0</v>
      </c>
      <c r="AD24" s="36">
        <v>0</v>
      </c>
      <c r="AE24" s="36">
        <f t="shared" si="17"/>
        <v>0</v>
      </c>
      <c r="AF24" s="466">
        <f t="shared" si="18"/>
        <v>22532.094362143322</v>
      </c>
      <c r="AG24" s="140">
        <f t="shared" si="19"/>
        <v>3319202.8204873325</v>
      </c>
      <c r="AH24" s="336"/>
    </row>
    <row r="25" spans="1:34" x14ac:dyDescent="0.25">
      <c r="A25" s="3" t="s">
        <v>361</v>
      </c>
      <c r="B25" s="3">
        <f>INDEX('Base de Unidades'!$B$2:$B$47, MATCH('Tabela Vendas'!A25, 'Base de Unidades'!$A$2:$A$47, 0))</f>
        <v>122</v>
      </c>
      <c r="C25" s="7" t="str">
        <f>INDEX('Base de Unidades'!G:G, MATCH('Tabela Vendas'!A25, 'Base de Unidades'!A:A, 0))</f>
        <v>12</v>
      </c>
      <c r="D25" s="7">
        <f>INDEX('Base de Unidades'!$D$2:$D$47, MATCH('Tabela Vendas'!A25, 'Base de Unidades'!$A$2:$A$47, 0))</f>
        <v>147.5</v>
      </c>
      <c r="E25" s="2" t="str">
        <f>IFERROR(INDEX('Base de Unidades'!Q:Q,MATCH('Tabela Vendas'!A25,'Base de Unidades'!J:J,0)),IFERROR(INDEX('M-Unidades'!$G:$G,MATCH('Tabela Vendas'!$A25,'M-Unidades'!$H:$H,0)),"Disponível"))</f>
        <v>Vendida</v>
      </c>
      <c r="F25" s="29">
        <f>IF(E25="Vendida",IFERROR(INDEX('M-POS. FIN.'!$E:$E,MATCH('Tabela Vendas'!$A25,'M-POS. FIN.'!$D:$D,0)),"-"),IF(E25="Quitada",IFERROR(INDEX('M-LIQUIDAÇÕES'!$E:$E,MATCH('Tabela Vendas'!$A25,'M-LIQUIDAÇÕES'!$D:$D,0)),"-"),"-"))</f>
        <v>44034</v>
      </c>
      <c r="G25" s="30">
        <f t="shared" si="0"/>
        <v>44013</v>
      </c>
      <c r="H25" s="31">
        <f>IF(E25="Vendida",IFERROR(INDEX('M-POS. FIN.'!$F:$F,MATCH('Tabela Vendas'!$A25,'M-POS. FIN.'!$D:$D,0)),"-"),IF(E25="Quitada",IFERROR(INDEX('M-LIQUIDAÇÕES'!$F:$F,MATCH('Tabela Vendas'!$A25,'M-LIQUIDAÇÕES'!$D:$D,0)),"-"),"-"))</f>
        <v>3214000</v>
      </c>
      <c r="I25" s="31">
        <f t="shared" si="1"/>
        <v>21789.830508474577</v>
      </c>
      <c r="J25" s="33" t="str">
        <f t="shared" si="2"/>
        <v>-</v>
      </c>
      <c r="K25" s="33" t="str">
        <f t="shared" si="3"/>
        <v>-</v>
      </c>
      <c r="L25" s="35" t="str">
        <f t="shared" si="4"/>
        <v>-</v>
      </c>
      <c r="M25" s="36">
        <f t="shared" si="5"/>
        <v>0.05</v>
      </c>
      <c r="N25" s="36">
        <f t="shared" si="6"/>
        <v>0</v>
      </c>
      <c r="O25" s="36">
        <f t="shared" si="7"/>
        <v>0</v>
      </c>
      <c r="P25" s="36">
        <f t="shared" si="8"/>
        <v>0.01</v>
      </c>
      <c r="Q25" s="35" t="str">
        <f t="shared" si="9"/>
        <v>-</v>
      </c>
      <c r="R25" s="38">
        <f t="shared" si="10"/>
        <v>0</v>
      </c>
      <c r="S25" s="38">
        <f t="shared" si="11"/>
        <v>1</v>
      </c>
      <c r="T25" s="38">
        <f t="shared" si="12"/>
        <v>0</v>
      </c>
      <c r="U25" s="38">
        <f t="shared" si="13"/>
        <v>0</v>
      </c>
      <c r="V25" s="35">
        <f t="shared" si="14"/>
        <v>3214000</v>
      </c>
      <c r="W25" s="336"/>
      <c r="AA25" s="142">
        <f t="shared" si="15"/>
        <v>1.01</v>
      </c>
      <c r="AB25" s="36">
        <v>0</v>
      </c>
      <c r="AC25" s="36">
        <f t="shared" si="16"/>
        <v>0</v>
      </c>
      <c r="AD25" s="36">
        <v>0</v>
      </c>
      <c r="AE25" s="36">
        <f t="shared" si="17"/>
        <v>0</v>
      </c>
      <c r="AF25" s="466">
        <f t="shared" si="18"/>
        <v>22532.094362143322</v>
      </c>
      <c r="AG25" s="140">
        <f t="shared" si="19"/>
        <v>3323483.9184161401</v>
      </c>
      <c r="AH25" s="336"/>
    </row>
    <row r="26" spans="1:34" x14ac:dyDescent="0.25">
      <c r="A26" s="3" t="s">
        <v>362</v>
      </c>
      <c r="B26" s="3">
        <f>INDEX('Base de Unidades'!$B$2:$B$47, MATCH('Tabela Vendas'!A26, 'Base de Unidades'!$A$2:$A$47, 0))</f>
        <v>131</v>
      </c>
      <c r="C26" s="7" t="str">
        <f>INDEX('Base de Unidades'!G:G, MATCH('Tabela Vendas'!A26, 'Base de Unidades'!A:A, 0))</f>
        <v>13</v>
      </c>
      <c r="D26" s="7">
        <f>INDEX('Base de Unidades'!$D$2:$D$47, MATCH('Tabela Vendas'!A26, 'Base de Unidades'!$A$2:$A$47, 0))</f>
        <v>148.01</v>
      </c>
      <c r="E26" s="2" t="str">
        <f>IFERROR(INDEX('Base de Unidades'!Q:Q,MATCH('Tabela Vendas'!A26,'Base de Unidades'!J:J,0)),IFERROR(INDEX('M-Unidades'!$G:$G,MATCH('Tabela Vendas'!$A26,'M-Unidades'!$H:$H,0)),"Disponível"))</f>
        <v>Disponível</v>
      </c>
      <c r="F26" s="29" t="str">
        <f>IF(E26="Vendida",IFERROR(INDEX('M-POS. FIN.'!$E:$E,MATCH('Tabela Vendas'!$A26,'M-POS. FIN.'!$D:$D,0)),"-"),IF(E26="Quitada",IFERROR(INDEX('M-LIQUIDAÇÕES'!$E:$E,MATCH('Tabela Vendas'!$A26,'M-LIQUIDAÇÕES'!$D:$D,0)),"-"),"-"))</f>
        <v>-</v>
      </c>
      <c r="G26" s="30" t="str">
        <f t="shared" si="0"/>
        <v>-</v>
      </c>
      <c r="H26" s="31" t="str">
        <f>IF(E26="Vendida",IFERROR(INDEX('M-POS. FIN.'!$F:$F,MATCH('Tabela Vendas'!$A26,'M-POS. FIN.'!$D:$D,0)),"-"),IF(E26="Quitada",IFERROR(INDEX('M-LIQUIDAÇÕES'!$F:$F,MATCH('Tabela Vendas'!$A26,'M-LIQUIDAÇÕES'!$D:$D,0)),"-"),"-"))</f>
        <v>-</v>
      </c>
      <c r="I26" s="31" t="str">
        <f t="shared" si="1"/>
        <v>-</v>
      </c>
      <c r="J26" s="33">
        <f t="shared" si="2"/>
        <v>20092.757206690792</v>
      </c>
      <c r="K26" s="33">
        <f t="shared" si="3"/>
        <v>22643.639383738086</v>
      </c>
      <c r="L26" s="35">
        <f t="shared" si="4"/>
        <v>22643.639383738086</v>
      </c>
      <c r="M26" s="36">
        <f t="shared" si="5"/>
        <v>0.05</v>
      </c>
      <c r="N26" s="36">
        <f t="shared" si="6"/>
        <v>0</v>
      </c>
      <c r="O26" s="36">
        <f t="shared" si="7"/>
        <v>0</v>
      </c>
      <c r="P26" s="36">
        <f t="shared" si="8"/>
        <v>0.01</v>
      </c>
      <c r="Q26" s="35">
        <f t="shared" si="9"/>
        <v>21296.342840405669</v>
      </c>
      <c r="R26" s="38">
        <f t="shared" si="10"/>
        <v>1</v>
      </c>
      <c r="S26" s="38">
        <f t="shared" si="11"/>
        <v>0</v>
      </c>
      <c r="T26" s="38">
        <f t="shared" si="12"/>
        <v>0</v>
      </c>
      <c r="U26" s="38">
        <f t="shared" si="13"/>
        <v>0</v>
      </c>
      <c r="V26" s="35">
        <f t="shared" si="14"/>
        <v>3152071.7038084427</v>
      </c>
      <c r="W26" s="336"/>
      <c r="AA26" s="142">
        <f t="shared" si="15"/>
        <v>1.0149999999999999</v>
      </c>
      <c r="AB26" s="36">
        <v>0</v>
      </c>
      <c r="AC26" s="36">
        <f t="shared" si="16"/>
        <v>0</v>
      </c>
      <c r="AD26" s="36">
        <v>0</v>
      </c>
      <c r="AE26" s="36">
        <f t="shared" si="17"/>
        <v>0</v>
      </c>
      <c r="AF26" s="466">
        <f t="shared" si="18"/>
        <v>22643.639383738086</v>
      </c>
      <c r="AG26" s="140">
        <f t="shared" si="19"/>
        <v>3351485.0651870738</v>
      </c>
      <c r="AH26" s="336"/>
    </row>
    <row r="27" spans="1:34" x14ac:dyDescent="0.25">
      <c r="A27" s="3" t="s">
        <v>363</v>
      </c>
      <c r="B27" s="3">
        <f>INDEX('Base de Unidades'!$B$2:$B$47, MATCH('Tabela Vendas'!A27, 'Base de Unidades'!$A$2:$A$47, 0))</f>
        <v>132</v>
      </c>
      <c r="C27" s="7" t="str">
        <f>INDEX('Base de Unidades'!G:G, MATCH('Tabela Vendas'!A27, 'Base de Unidades'!A:A, 0))</f>
        <v>13</v>
      </c>
      <c r="D27" s="7">
        <f>INDEX('Base de Unidades'!$D$2:$D$47, MATCH('Tabela Vendas'!A27, 'Base de Unidades'!$A$2:$A$47, 0))</f>
        <v>147.5</v>
      </c>
      <c r="E27" s="2" t="str">
        <f>IFERROR(INDEX('Base de Unidades'!Q:Q,MATCH('Tabela Vendas'!A27,'Base de Unidades'!J:J,0)),IFERROR(INDEX('M-Unidades'!$G:$G,MATCH('Tabela Vendas'!$A27,'M-Unidades'!$H:$H,0)),"Disponível"))</f>
        <v>Vendida</v>
      </c>
      <c r="F27" s="29">
        <f>IF(E27="Vendida",IFERROR(INDEX('M-POS. FIN.'!$E:$E,MATCH('Tabela Vendas'!$A27,'M-POS. FIN.'!$D:$D,0)),"-"),IF(E27="Quitada",IFERROR(INDEX('M-LIQUIDAÇÕES'!$E:$E,MATCH('Tabela Vendas'!$A27,'M-LIQUIDAÇÕES'!$D:$D,0)),"-"),"-"))</f>
        <v>44001</v>
      </c>
      <c r="G27" s="30">
        <f t="shared" si="0"/>
        <v>43983</v>
      </c>
      <c r="H27" s="31">
        <f>IF(E27="Vendida",IFERROR(INDEX('M-POS. FIN.'!$F:$F,MATCH('Tabela Vendas'!$A27,'M-POS. FIN.'!$D:$D,0)),"-"),IF(E27="Quitada",IFERROR(INDEX('M-LIQUIDAÇÕES'!$F:$F,MATCH('Tabela Vendas'!$A27,'M-LIQUIDAÇÕES'!$D:$D,0)),"-"),"-"))</f>
        <v>2778750</v>
      </c>
      <c r="I27" s="31">
        <f t="shared" si="1"/>
        <v>18838.983050847459</v>
      </c>
      <c r="J27" s="33" t="str">
        <f t="shared" si="2"/>
        <v>-</v>
      </c>
      <c r="K27" s="33" t="str">
        <f t="shared" si="3"/>
        <v>-</v>
      </c>
      <c r="L27" s="35" t="str">
        <f t="shared" si="4"/>
        <v>-</v>
      </c>
      <c r="M27" s="36">
        <f t="shared" si="5"/>
        <v>0.05</v>
      </c>
      <c r="N27" s="36">
        <f t="shared" si="6"/>
        <v>0</v>
      </c>
      <c r="O27" s="36">
        <f t="shared" si="7"/>
        <v>0</v>
      </c>
      <c r="P27" s="36">
        <f t="shared" si="8"/>
        <v>0.01</v>
      </c>
      <c r="Q27" s="35" t="str">
        <f t="shared" si="9"/>
        <v>-</v>
      </c>
      <c r="R27" s="38">
        <f t="shared" si="10"/>
        <v>0</v>
      </c>
      <c r="S27" s="38">
        <f t="shared" si="11"/>
        <v>1</v>
      </c>
      <c r="T27" s="38">
        <f t="shared" si="12"/>
        <v>0</v>
      </c>
      <c r="U27" s="38">
        <f t="shared" si="13"/>
        <v>0</v>
      </c>
      <c r="V27" s="35">
        <f t="shared" si="14"/>
        <v>2778750</v>
      </c>
      <c r="W27" s="336"/>
      <c r="AA27" s="142">
        <f t="shared" si="15"/>
        <v>1.0149999999999999</v>
      </c>
      <c r="AB27" s="36">
        <v>0</v>
      </c>
      <c r="AC27" s="36">
        <f t="shared" si="16"/>
        <v>0</v>
      </c>
      <c r="AD27" s="36">
        <v>0</v>
      </c>
      <c r="AE27" s="36">
        <f t="shared" si="17"/>
        <v>0</v>
      </c>
      <c r="AF27" s="466">
        <f t="shared" si="18"/>
        <v>22643.639383738086</v>
      </c>
      <c r="AG27" s="140">
        <f t="shared" si="19"/>
        <v>3339936.8091013678</v>
      </c>
      <c r="AH27" s="336"/>
    </row>
    <row r="28" spans="1:34" x14ac:dyDescent="0.25">
      <c r="A28" s="3" t="s">
        <v>364</v>
      </c>
      <c r="B28" s="3">
        <f>INDEX('Base de Unidades'!$B$2:$B$47, MATCH('Tabela Vendas'!A28, 'Base de Unidades'!$A$2:$A$47, 0))</f>
        <v>141</v>
      </c>
      <c r="C28" s="7" t="str">
        <f>INDEX('Base de Unidades'!G:G, MATCH('Tabela Vendas'!A28, 'Base de Unidades'!A:A, 0))</f>
        <v>14</v>
      </c>
      <c r="D28" s="7">
        <f>INDEX('Base de Unidades'!$D$2:$D$47, MATCH('Tabela Vendas'!A28, 'Base de Unidades'!$A$2:$A$47, 0))</f>
        <v>147.51</v>
      </c>
      <c r="E28" s="2" t="str">
        <f>IFERROR(INDEX('Base de Unidades'!Q:Q,MATCH('Tabela Vendas'!A28,'Base de Unidades'!J:J,0)),IFERROR(INDEX('M-Unidades'!$G:$G,MATCH('Tabela Vendas'!$A28,'M-Unidades'!$H:$H,0)),"Disponível"))</f>
        <v>Vendida</v>
      </c>
      <c r="F28" s="29">
        <f>IF(E28="Vendida",IFERROR(INDEX('M-POS. FIN.'!$E:$E,MATCH('Tabela Vendas'!$A28,'M-POS. FIN.'!$D:$D,0)),"-"),IF(E28="Quitada",IFERROR(INDEX('M-LIQUIDAÇÕES'!$E:$E,MATCH('Tabela Vendas'!$A28,'M-LIQUIDAÇÕES'!$D:$D,0)),"-"),"-"))</f>
        <v>44044</v>
      </c>
      <c r="G28" s="30">
        <f t="shared" si="0"/>
        <v>44044</v>
      </c>
      <c r="H28" s="31">
        <f>IF(E28="Vendida",IFERROR(INDEX('M-POS. FIN.'!$F:$F,MATCH('Tabela Vendas'!$A28,'M-POS. FIN.'!$D:$D,0)),"-"),IF(E28="Quitada",IFERROR(INDEX('M-LIQUIDAÇÕES'!$F:$F,MATCH('Tabela Vendas'!$A28,'M-LIQUIDAÇÕES'!$D:$D,0)),"-"),"-"))</f>
        <v>2996300</v>
      </c>
      <c r="I28" s="31">
        <f t="shared" si="1"/>
        <v>20312.521185004407</v>
      </c>
      <c r="J28" s="33" t="str">
        <f t="shared" si="2"/>
        <v>-</v>
      </c>
      <c r="K28" s="33" t="str">
        <f t="shared" si="3"/>
        <v>-</v>
      </c>
      <c r="L28" s="35" t="str">
        <f t="shared" si="4"/>
        <v>-</v>
      </c>
      <c r="M28" s="36">
        <f t="shared" si="5"/>
        <v>0.05</v>
      </c>
      <c r="N28" s="36">
        <f t="shared" si="6"/>
        <v>0</v>
      </c>
      <c r="O28" s="36">
        <f t="shared" si="7"/>
        <v>0</v>
      </c>
      <c r="P28" s="36">
        <f t="shared" si="8"/>
        <v>0.01</v>
      </c>
      <c r="Q28" s="35" t="str">
        <f t="shared" si="9"/>
        <v>-</v>
      </c>
      <c r="R28" s="38">
        <f t="shared" si="10"/>
        <v>0</v>
      </c>
      <c r="S28" s="38">
        <f t="shared" si="11"/>
        <v>1</v>
      </c>
      <c r="T28" s="38">
        <f t="shared" si="12"/>
        <v>0</v>
      </c>
      <c r="U28" s="38">
        <f t="shared" si="13"/>
        <v>0</v>
      </c>
      <c r="V28" s="35">
        <f t="shared" si="14"/>
        <v>2996300</v>
      </c>
      <c r="W28" s="336"/>
      <c r="AA28" s="142">
        <f t="shared" si="15"/>
        <v>1.02</v>
      </c>
      <c r="AB28" s="36">
        <v>0</v>
      </c>
      <c r="AC28" s="36">
        <f t="shared" si="16"/>
        <v>0</v>
      </c>
      <c r="AD28" s="36">
        <v>0</v>
      </c>
      <c r="AE28" s="36">
        <f t="shared" si="17"/>
        <v>0</v>
      </c>
      <c r="AF28" s="466">
        <f t="shared" si="18"/>
        <v>22755.18440533286</v>
      </c>
      <c r="AG28" s="140">
        <f t="shared" si="19"/>
        <v>3356617.2516306499</v>
      </c>
      <c r="AH28" s="336"/>
    </row>
    <row r="29" spans="1:34" x14ac:dyDescent="0.25">
      <c r="A29" s="3" t="s">
        <v>365</v>
      </c>
      <c r="B29" s="3">
        <f>INDEX('Base de Unidades'!$B$2:$B$47, MATCH('Tabela Vendas'!A29, 'Base de Unidades'!$A$2:$A$47, 0))</f>
        <v>142</v>
      </c>
      <c r="C29" s="7" t="str">
        <f>INDEX('Base de Unidades'!G:G, MATCH('Tabela Vendas'!A29, 'Base de Unidades'!A:A, 0))</f>
        <v>14</v>
      </c>
      <c r="D29" s="7">
        <f>INDEX('Base de Unidades'!$D$2:$D$47, MATCH('Tabela Vendas'!A29, 'Base de Unidades'!$A$2:$A$47, 0))</f>
        <v>147.5</v>
      </c>
      <c r="E29" s="2" t="str">
        <f>IFERROR(INDEX('Base de Unidades'!Q:Q,MATCH('Tabela Vendas'!A29,'Base de Unidades'!J:J,0)),IFERROR(INDEX('M-Unidades'!$G:$G,MATCH('Tabela Vendas'!$A29,'M-Unidades'!$H:$H,0)),"Disponível"))</f>
        <v>Permuta - Kinea</v>
      </c>
      <c r="F29" s="29" t="str">
        <f>IF(E29="Vendida",IFERROR(INDEX('M-POS. FIN.'!$E:$E,MATCH('Tabela Vendas'!$A29,'M-POS. FIN.'!$D:$D,0)),"-"),IF(E29="Quitada",IFERROR(INDEX('M-LIQUIDAÇÕES'!$E:$E,MATCH('Tabela Vendas'!$A29,'M-LIQUIDAÇÕES'!$D:$D,0)),"-"),"-"))</f>
        <v>-</v>
      </c>
      <c r="G29" s="30" t="str">
        <f t="shared" si="0"/>
        <v>-</v>
      </c>
      <c r="H29" s="31" t="str">
        <f>IF(E29="Vendida",IFERROR(INDEX('M-POS. FIN.'!$F:$F,MATCH('Tabela Vendas'!$A29,'M-POS. FIN.'!$D:$D,0)),"-"),IF(E29="Quitada",IFERROR(INDEX('M-LIQUIDAÇÕES'!$F:$F,MATCH('Tabela Vendas'!$A29,'M-LIQUIDAÇÕES'!$D:$D,0)),"-"),"-"))</f>
        <v>-</v>
      </c>
      <c r="I29" s="31" t="str">
        <f t="shared" si="1"/>
        <v>-</v>
      </c>
      <c r="J29" s="33" t="str">
        <f t="shared" si="2"/>
        <v>-</v>
      </c>
      <c r="K29" s="33" t="str">
        <f t="shared" si="3"/>
        <v>-</v>
      </c>
      <c r="L29" s="35" t="str">
        <f t="shared" si="4"/>
        <v>-</v>
      </c>
      <c r="M29" s="36">
        <f t="shared" si="5"/>
        <v>0.05</v>
      </c>
      <c r="N29" s="36">
        <f t="shared" si="6"/>
        <v>0</v>
      </c>
      <c r="O29" s="36">
        <f t="shared" si="7"/>
        <v>0</v>
      </c>
      <c r="P29" s="36">
        <f t="shared" si="8"/>
        <v>0.01</v>
      </c>
      <c r="Q29" s="35" t="str">
        <f t="shared" si="9"/>
        <v>-</v>
      </c>
      <c r="R29" s="38">
        <f t="shared" si="10"/>
        <v>0</v>
      </c>
      <c r="S29" s="38">
        <f t="shared" si="11"/>
        <v>0</v>
      </c>
      <c r="T29" s="38">
        <f t="shared" si="12"/>
        <v>0</v>
      </c>
      <c r="U29" s="38">
        <f t="shared" si="13"/>
        <v>1</v>
      </c>
      <c r="V29" s="35" t="str">
        <f t="shared" si="14"/>
        <v>-</v>
      </c>
      <c r="W29" s="336"/>
      <c r="AA29" s="142">
        <f t="shared" si="15"/>
        <v>1.02</v>
      </c>
      <c r="AB29" s="36">
        <v>0</v>
      </c>
      <c r="AC29" s="36">
        <f t="shared" si="16"/>
        <v>0</v>
      </c>
      <c r="AD29" s="36">
        <v>0</v>
      </c>
      <c r="AE29" s="36">
        <f t="shared" si="17"/>
        <v>0</v>
      </c>
      <c r="AF29" s="466">
        <f t="shared" si="18"/>
        <v>22755.18440533286</v>
      </c>
      <c r="AG29" s="140">
        <f t="shared" si="19"/>
        <v>3356389.6997865969</v>
      </c>
      <c r="AH29" s="336"/>
    </row>
    <row r="30" spans="1:34" x14ac:dyDescent="0.25">
      <c r="A30" s="3" t="s">
        <v>366</v>
      </c>
      <c r="B30" s="3">
        <f>INDEX('Base de Unidades'!$B$2:$B$47, MATCH('Tabela Vendas'!A30, 'Base de Unidades'!$A$2:$A$47, 0))</f>
        <v>151</v>
      </c>
      <c r="C30" s="7" t="str">
        <f>INDEX('Base de Unidades'!G:G, MATCH('Tabela Vendas'!A30, 'Base de Unidades'!A:A, 0))</f>
        <v>15</v>
      </c>
      <c r="D30" s="7">
        <f>INDEX('Base de Unidades'!$D$2:$D$47, MATCH('Tabela Vendas'!A30, 'Base de Unidades'!$A$2:$A$47, 0))</f>
        <v>147.31</v>
      </c>
      <c r="E30" s="2" t="str">
        <f>IFERROR(INDEX('Base de Unidades'!Q:Q,MATCH('Tabela Vendas'!A30,'Base de Unidades'!J:J,0)),IFERROR(INDEX('M-Unidades'!$G:$G,MATCH('Tabela Vendas'!$A30,'M-Unidades'!$H:$H,0)),"Disponível"))</f>
        <v>Quitada</v>
      </c>
      <c r="F30" s="29">
        <f>IF(E30="Vendida",IFERROR(INDEX('M-POS. FIN.'!$E:$E,MATCH('Tabela Vendas'!$A30,'M-POS. FIN.'!$D:$D,0)),"-"),IF(E30="Quitada",IFERROR(INDEX('M-LIQUIDAÇÕES'!$E:$E,MATCH('Tabela Vendas'!$A30,'M-LIQUIDAÇÕES'!$D:$D,0)),"-"),"-"))</f>
        <v>44109</v>
      </c>
      <c r="G30" s="30">
        <f t="shared" si="0"/>
        <v>44105</v>
      </c>
      <c r="H30" s="31">
        <f>IF(E30="Vendida",IFERROR(INDEX('M-POS. FIN.'!$F:$F,MATCH('Tabela Vendas'!$A30,'M-POS. FIN.'!$D:$D,0)),"-"),IF(E30="Quitada",IFERROR(INDEX('M-LIQUIDAÇÕES'!$F:$F,MATCH('Tabela Vendas'!$A30,'M-LIQUIDAÇÕES'!$D:$D,0)),"-"),"-"))</f>
        <v>2802500</v>
      </c>
      <c r="I30" s="31">
        <f t="shared" si="1"/>
        <v>19024.506143506889</v>
      </c>
      <c r="J30" s="33" t="str">
        <f t="shared" si="2"/>
        <v>-</v>
      </c>
      <c r="K30" s="33" t="str">
        <f t="shared" si="3"/>
        <v>-</v>
      </c>
      <c r="L30" s="35" t="str">
        <f t="shared" si="4"/>
        <v>-</v>
      </c>
      <c r="M30" s="36">
        <f t="shared" si="5"/>
        <v>0.05</v>
      </c>
      <c r="N30" s="36">
        <f t="shared" si="6"/>
        <v>0</v>
      </c>
      <c r="O30" s="36">
        <f t="shared" si="7"/>
        <v>0</v>
      </c>
      <c r="P30" s="36">
        <f t="shared" si="8"/>
        <v>0.01</v>
      </c>
      <c r="Q30" s="35" t="str">
        <f t="shared" si="9"/>
        <v>-</v>
      </c>
      <c r="R30" s="38">
        <f t="shared" si="10"/>
        <v>0</v>
      </c>
      <c r="S30" s="38">
        <f t="shared" si="11"/>
        <v>0</v>
      </c>
      <c r="T30" s="38">
        <f t="shared" si="12"/>
        <v>1</v>
      </c>
      <c r="U30" s="38">
        <f t="shared" si="13"/>
        <v>0</v>
      </c>
      <c r="V30" s="35">
        <f t="shared" si="14"/>
        <v>2802500</v>
      </c>
      <c r="W30" s="336"/>
      <c r="AA30" s="142">
        <f t="shared" si="15"/>
        <v>1.0249999999999999</v>
      </c>
      <c r="AB30" s="36">
        <v>0</v>
      </c>
      <c r="AC30" s="36">
        <f t="shared" si="16"/>
        <v>0</v>
      </c>
      <c r="AD30" s="36">
        <v>0</v>
      </c>
      <c r="AE30" s="36">
        <f t="shared" si="17"/>
        <v>0</v>
      </c>
      <c r="AF30" s="466">
        <f t="shared" si="18"/>
        <v>22866.729426927624</v>
      </c>
      <c r="AG30" s="140">
        <f t="shared" si="19"/>
        <v>3368497.9118807083</v>
      </c>
      <c r="AH30" s="336"/>
    </row>
    <row r="31" spans="1:34" x14ac:dyDescent="0.25">
      <c r="A31" s="3" t="s">
        <v>367</v>
      </c>
      <c r="B31" s="3">
        <f>INDEX('Base de Unidades'!$B$2:$B$47, MATCH('Tabela Vendas'!A31, 'Base de Unidades'!$A$2:$A$47, 0))</f>
        <v>152</v>
      </c>
      <c r="C31" s="7" t="str">
        <f>INDEX('Base de Unidades'!G:G, MATCH('Tabela Vendas'!A31, 'Base de Unidades'!A:A, 0))</f>
        <v>15</v>
      </c>
      <c r="D31" s="7">
        <f>INDEX('Base de Unidades'!$D$2:$D$47, MATCH('Tabela Vendas'!A31, 'Base de Unidades'!$A$2:$A$47, 0))</f>
        <v>148.9</v>
      </c>
      <c r="E31" s="2" t="str">
        <f>IFERROR(INDEX('Base de Unidades'!Q:Q,MATCH('Tabela Vendas'!A31,'Base de Unidades'!J:J,0)),IFERROR(INDEX('M-Unidades'!$G:$G,MATCH('Tabela Vendas'!$A31,'M-Unidades'!$H:$H,0)),"Disponível"))</f>
        <v>Permuta - LDI</v>
      </c>
      <c r="F31" s="29" t="str">
        <f>IF(E31="Vendida",IFERROR(INDEX('M-POS. FIN.'!$E:$E,MATCH('Tabela Vendas'!$A31,'M-POS. FIN.'!$D:$D,0)),"-"),IF(E31="Quitada",IFERROR(INDEX('M-LIQUIDAÇÕES'!$E:$E,MATCH('Tabela Vendas'!$A31,'M-LIQUIDAÇÕES'!$D:$D,0)),"-"),"-"))</f>
        <v>-</v>
      </c>
      <c r="G31" s="30" t="str">
        <f t="shared" si="0"/>
        <v>-</v>
      </c>
      <c r="H31" s="31" t="str">
        <f>IF(E31="Vendida",IFERROR(INDEX('M-POS. FIN.'!$F:$F,MATCH('Tabela Vendas'!$A31,'M-POS. FIN.'!$D:$D,0)),"-"),IF(E31="Quitada",IFERROR(INDEX('M-LIQUIDAÇÕES'!$F:$F,MATCH('Tabela Vendas'!$A31,'M-LIQUIDAÇÕES'!$D:$D,0)),"-"),"-"))</f>
        <v>-</v>
      </c>
      <c r="I31" s="31" t="str">
        <f t="shared" si="1"/>
        <v>-</v>
      </c>
      <c r="J31" s="33" t="str">
        <f t="shared" si="2"/>
        <v>-</v>
      </c>
      <c r="K31" s="33" t="str">
        <f t="shared" si="3"/>
        <v>-</v>
      </c>
      <c r="L31" s="35" t="str">
        <f t="shared" si="4"/>
        <v>-</v>
      </c>
      <c r="M31" s="36">
        <f t="shared" si="5"/>
        <v>0.05</v>
      </c>
      <c r="N31" s="36">
        <f t="shared" si="6"/>
        <v>0</v>
      </c>
      <c r="O31" s="36">
        <f t="shared" si="7"/>
        <v>0</v>
      </c>
      <c r="P31" s="36">
        <f t="shared" si="8"/>
        <v>0.01</v>
      </c>
      <c r="Q31" s="35" t="str">
        <f t="shared" si="9"/>
        <v>-</v>
      </c>
      <c r="R31" s="38">
        <f t="shared" si="10"/>
        <v>0</v>
      </c>
      <c r="S31" s="38">
        <f t="shared" si="11"/>
        <v>0</v>
      </c>
      <c r="T31" s="38">
        <f t="shared" si="12"/>
        <v>0</v>
      </c>
      <c r="U31" s="38">
        <f t="shared" si="13"/>
        <v>1</v>
      </c>
      <c r="V31" s="35" t="str">
        <f t="shared" si="14"/>
        <v>-</v>
      </c>
      <c r="W31" s="336"/>
      <c r="AA31" s="142">
        <f t="shared" si="15"/>
        <v>1.0249999999999999</v>
      </c>
      <c r="AB31" s="36">
        <v>0</v>
      </c>
      <c r="AC31" s="36">
        <f t="shared" si="16"/>
        <v>0</v>
      </c>
      <c r="AD31" s="36">
        <v>0</v>
      </c>
      <c r="AE31" s="36">
        <f t="shared" si="17"/>
        <v>0</v>
      </c>
      <c r="AF31" s="466">
        <f t="shared" si="18"/>
        <v>22866.729426927624</v>
      </c>
      <c r="AG31" s="140">
        <f t="shared" si="19"/>
        <v>3404856.0116695235</v>
      </c>
      <c r="AH31" s="336"/>
    </row>
    <row r="32" spans="1:34" x14ac:dyDescent="0.25">
      <c r="A32" s="3" t="s">
        <v>368</v>
      </c>
      <c r="B32" s="3">
        <f>INDEX('Base de Unidades'!$B$2:$B$47, MATCH('Tabela Vendas'!A32, 'Base de Unidades'!$A$2:$A$47, 0))</f>
        <v>161</v>
      </c>
      <c r="C32" s="7" t="str">
        <f>INDEX('Base de Unidades'!G:G, MATCH('Tabela Vendas'!A32, 'Base de Unidades'!A:A, 0))</f>
        <v>16</v>
      </c>
      <c r="D32" s="7">
        <f>INDEX('Base de Unidades'!$D$2:$D$47, MATCH('Tabela Vendas'!A32, 'Base de Unidades'!$A$2:$A$47, 0))</f>
        <v>147.31</v>
      </c>
      <c r="E32" s="2" t="str">
        <f>IFERROR(INDEX('Base de Unidades'!Q:Q,MATCH('Tabela Vendas'!A32,'Base de Unidades'!J:J,0)),IFERROR(INDEX('M-Unidades'!$G:$G,MATCH('Tabela Vendas'!$A32,'M-Unidades'!$H:$H,0)),"Disponível"))</f>
        <v>Disponível</v>
      </c>
      <c r="F32" s="29" t="str">
        <f>IF(E32="Vendida",IFERROR(INDEX('M-POS. FIN.'!$E:$E,MATCH('Tabela Vendas'!$A32,'M-POS. FIN.'!$D:$D,0)),"-"),IF(E32="Quitada",IFERROR(INDEX('M-LIQUIDAÇÕES'!$E:$E,MATCH('Tabela Vendas'!$A32,'M-LIQUIDAÇÕES'!$D:$D,0)),"-"),"-"))</f>
        <v>-</v>
      </c>
      <c r="G32" s="30" t="str">
        <f t="shared" si="0"/>
        <v>-</v>
      </c>
      <c r="H32" s="31" t="str">
        <f>IF(E32="Vendida",IFERROR(INDEX('M-POS. FIN.'!$F:$F,MATCH('Tabela Vendas'!$A32,'M-POS. FIN.'!$D:$D,0)),"-"),IF(E32="Quitada",IFERROR(INDEX('M-LIQUIDAÇÕES'!$F:$F,MATCH('Tabela Vendas'!$A32,'M-LIQUIDAÇÕES'!$D:$D,0)),"-"),"-"))</f>
        <v>-</v>
      </c>
      <c r="I32" s="31" t="str">
        <f t="shared" si="1"/>
        <v>-</v>
      </c>
      <c r="J32" s="33">
        <f t="shared" si="2"/>
        <v>20092.757206690792</v>
      </c>
      <c r="K32" s="33">
        <f t="shared" si="3"/>
        <v>22978.274448522396</v>
      </c>
      <c r="L32" s="35">
        <f t="shared" si="4"/>
        <v>22978.274448522396</v>
      </c>
      <c r="M32" s="36">
        <f t="shared" si="5"/>
        <v>0.05</v>
      </c>
      <c r="N32" s="36">
        <f t="shared" si="6"/>
        <v>0</v>
      </c>
      <c r="O32" s="36">
        <f t="shared" si="7"/>
        <v>0</v>
      </c>
      <c r="P32" s="36">
        <f t="shared" si="8"/>
        <v>0.01</v>
      </c>
      <c r="Q32" s="35">
        <f t="shared" si="9"/>
        <v>21611.067118835312</v>
      </c>
      <c r="R32" s="38">
        <f t="shared" si="10"/>
        <v>1</v>
      </c>
      <c r="S32" s="38">
        <f t="shared" si="11"/>
        <v>0</v>
      </c>
      <c r="T32" s="38">
        <f t="shared" si="12"/>
        <v>0</v>
      </c>
      <c r="U32" s="38">
        <f t="shared" si="13"/>
        <v>0</v>
      </c>
      <c r="V32" s="35">
        <f t="shared" si="14"/>
        <v>3183526.2972756298</v>
      </c>
      <c r="W32" s="470"/>
      <c r="AA32" s="142">
        <f t="shared" si="15"/>
        <v>1.03</v>
      </c>
      <c r="AB32" s="36">
        <v>0</v>
      </c>
      <c r="AC32" s="36">
        <f t="shared" si="16"/>
        <v>0</v>
      </c>
      <c r="AD32" s="36">
        <v>0</v>
      </c>
      <c r="AE32" s="36">
        <f t="shared" si="17"/>
        <v>0</v>
      </c>
      <c r="AF32" s="466">
        <f t="shared" si="18"/>
        <v>22978.274448522396</v>
      </c>
      <c r="AG32" s="140">
        <f t="shared" si="19"/>
        <v>3384929.609011834</v>
      </c>
      <c r="AH32" s="336"/>
    </row>
    <row r="33" spans="1:34" x14ac:dyDescent="0.25">
      <c r="A33" s="3" t="s">
        <v>369</v>
      </c>
      <c r="B33" s="3">
        <f>INDEX('Base de Unidades'!$B$2:$B$47, MATCH('Tabela Vendas'!A33, 'Base de Unidades'!$A$2:$A$47, 0))</f>
        <v>162</v>
      </c>
      <c r="C33" s="7" t="str">
        <f>INDEX('Base de Unidades'!G:G, MATCH('Tabela Vendas'!A33, 'Base de Unidades'!A:A, 0))</f>
        <v>16</v>
      </c>
      <c r="D33" s="7">
        <f>INDEX('Base de Unidades'!$D$2:$D$47, MATCH('Tabela Vendas'!A33, 'Base de Unidades'!$A$2:$A$47, 0))</f>
        <v>148.9</v>
      </c>
      <c r="E33" s="2" t="str">
        <f>IFERROR(INDEX('Base de Unidades'!Q:Q,MATCH('Tabela Vendas'!A33,'Base de Unidades'!J:J,0)),IFERROR(INDEX('M-Unidades'!$G:$G,MATCH('Tabela Vendas'!$A33,'M-Unidades'!$H:$H,0)),"Disponível"))</f>
        <v>Permuta - LDI</v>
      </c>
      <c r="F33" s="29" t="str">
        <f>IF(E33="Vendida",IFERROR(INDEX('M-POS. FIN.'!$E:$E,MATCH('Tabela Vendas'!$A33,'M-POS. FIN.'!$D:$D,0)),"-"),IF(E33="Quitada",IFERROR(INDEX('M-LIQUIDAÇÕES'!$E:$E,MATCH('Tabela Vendas'!$A33,'M-LIQUIDAÇÕES'!$D:$D,0)),"-"),"-"))</f>
        <v>-</v>
      </c>
      <c r="G33" s="30" t="str">
        <f t="shared" si="0"/>
        <v>-</v>
      </c>
      <c r="H33" s="31" t="str">
        <f>IF(E33="Vendida",IFERROR(INDEX('M-POS. FIN.'!$F:$F,MATCH('Tabela Vendas'!$A33,'M-POS. FIN.'!$D:$D,0)),"-"),IF(E33="Quitada",IFERROR(INDEX('M-LIQUIDAÇÕES'!$F:$F,MATCH('Tabela Vendas'!$A33,'M-LIQUIDAÇÕES'!$D:$D,0)),"-"),"-"))</f>
        <v>-</v>
      </c>
      <c r="I33" s="31" t="str">
        <f t="shared" si="1"/>
        <v>-</v>
      </c>
      <c r="J33" s="33" t="str">
        <f t="shared" si="2"/>
        <v>-</v>
      </c>
      <c r="K33" s="33" t="str">
        <f t="shared" si="3"/>
        <v>-</v>
      </c>
      <c r="L33" s="35" t="str">
        <f t="shared" si="4"/>
        <v>-</v>
      </c>
      <c r="M33" s="36">
        <f t="shared" si="5"/>
        <v>0.05</v>
      </c>
      <c r="N33" s="36">
        <f t="shared" si="6"/>
        <v>0</v>
      </c>
      <c r="O33" s="36">
        <f t="shared" si="7"/>
        <v>0</v>
      </c>
      <c r="P33" s="36">
        <f t="shared" si="8"/>
        <v>0.01</v>
      </c>
      <c r="Q33" s="35" t="str">
        <f t="shared" si="9"/>
        <v>-</v>
      </c>
      <c r="R33" s="38">
        <f t="shared" si="10"/>
        <v>0</v>
      </c>
      <c r="S33" s="38">
        <f t="shared" si="11"/>
        <v>0</v>
      </c>
      <c r="T33" s="38">
        <f t="shared" si="12"/>
        <v>0</v>
      </c>
      <c r="U33" s="38">
        <f t="shared" si="13"/>
        <v>1</v>
      </c>
      <c r="V33" s="35" t="str">
        <f t="shared" si="14"/>
        <v>-</v>
      </c>
      <c r="W33" s="336"/>
      <c r="AA33" s="142">
        <f t="shared" si="15"/>
        <v>1.03</v>
      </c>
      <c r="AB33" s="36">
        <v>0</v>
      </c>
      <c r="AC33" s="36">
        <f t="shared" si="16"/>
        <v>0</v>
      </c>
      <c r="AD33" s="36">
        <v>0</v>
      </c>
      <c r="AE33" s="36">
        <f t="shared" si="17"/>
        <v>0</v>
      </c>
      <c r="AF33" s="466">
        <f t="shared" si="18"/>
        <v>22978.274448522396</v>
      </c>
      <c r="AG33" s="140">
        <f t="shared" si="19"/>
        <v>3421465.0653849849</v>
      </c>
      <c r="AH33" s="336"/>
    </row>
    <row r="34" spans="1:34" x14ac:dyDescent="0.25">
      <c r="A34" s="3" t="s">
        <v>370</v>
      </c>
      <c r="B34" s="3">
        <f>INDEX('Base de Unidades'!$B$2:$B$47, MATCH('Tabela Vendas'!A34, 'Base de Unidades'!$A$2:$A$47, 0))</f>
        <v>171</v>
      </c>
      <c r="C34" s="7" t="str">
        <f>INDEX('Base de Unidades'!G:G, MATCH('Tabela Vendas'!A34, 'Base de Unidades'!A:A, 0))</f>
        <v>17</v>
      </c>
      <c r="D34" s="7">
        <f>INDEX('Base de Unidades'!$D$2:$D$47, MATCH('Tabela Vendas'!A34, 'Base de Unidades'!$A$2:$A$47, 0))</f>
        <v>147.31</v>
      </c>
      <c r="E34" s="2" t="str">
        <f>IFERROR(INDEX('Base de Unidades'!Q:Q,MATCH('Tabela Vendas'!A34,'Base de Unidades'!J:J,0)),IFERROR(INDEX('M-Unidades'!$G:$G,MATCH('Tabela Vendas'!$A34,'M-Unidades'!$H:$H,0)),"Disponível"))</f>
        <v>Vendida</v>
      </c>
      <c r="F34" s="29">
        <f>IF(E34="Vendida",IFERROR(INDEX('M-POS. FIN.'!$E:$E,MATCH('Tabela Vendas'!$A34,'M-POS. FIN.'!$D:$D,0)),"-"),IF(E34="Quitada",IFERROR(INDEX('M-LIQUIDAÇÕES'!$E:$E,MATCH('Tabela Vendas'!$A34,'M-LIQUIDAÇÕES'!$D:$D,0)),"-"),"-"))</f>
        <v>44153</v>
      </c>
      <c r="G34" s="30">
        <f t="shared" si="0"/>
        <v>44136</v>
      </c>
      <c r="H34" s="31">
        <f>IF(E34="Vendida",IFERROR(INDEX('M-POS. FIN.'!$F:$F,MATCH('Tabela Vendas'!$A34,'M-POS. FIN.'!$D:$D,0)),"-"),IF(E34="Quitada",IFERROR(INDEX('M-LIQUIDAÇÕES'!$F:$F,MATCH('Tabela Vendas'!$A34,'M-LIQUIDAÇÕES'!$D:$D,0)),"-"),"-"))</f>
        <v>3135000.1</v>
      </c>
      <c r="I34" s="31">
        <f t="shared" si="1"/>
        <v>21281.651619034688</v>
      </c>
      <c r="J34" s="33" t="str">
        <f t="shared" si="2"/>
        <v>-</v>
      </c>
      <c r="K34" s="33" t="str">
        <f t="shared" si="3"/>
        <v>-</v>
      </c>
      <c r="L34" s="35" t="str">
        <f t="shared" si="4"/>
        <v>-</v>
      </c>
      <c r="M34" s="36">
        <f t="shared" si="5"/>
        <v>0.05</v>
      </c>
      <c r="N34" s="36">
        <f t="shared" si="6"/>
        <v>0</v>
      </c>
      <c r="O34" s="36">
        <f t="shared" si="7"/>
        <v>0</v>
      </c>
      <c r="P34" s="36">
        <f t="shared" si="8"/>
        <v>0.01</v>
      </c>
      <c r="Q34" s="35" t="str">
        <f t="shared" si="9"/>
        <v>-</v>
      </c>
      <c r="R34" s="38">
        <f t="shared" si="10"/>
        <v>0</v>
      </c>
      <c r="S34" s="38">
        <f t="shared" si="11"/>
        <v>1</v>
      </c>
      <c r="T34" s="38">
        <f t="shared" si="12"/>
        <v>0</v>
      </c>
      <c r="U34" s="38">
        <f t="shared" si="13"/>
        <v>0</v>
      </c>
      <c r="V34" s="35">
        <f t="shared" si="14"/>
        <v>3135000.1</v>
      </c>
      <c r="W34" s="336"/>
      <c r="AA34" s="142">
        <f t="shared" si="15"/>
        <v>1.0349999999999999</v>
      </c>
      <c r="AB34" s="36">
        <v>0</v>
      </c>
      <c r="AC34" s="36">
        <f t="shared" si="16"/>
        <v>0</v>
      </c>
      <c r="AD34" s="36">
        <v>0</v>
      </c>
      <c r="AE34" s="36">
        <f t="shared" si="17"/>
        <v>0</v>
      </c>
      <c r="AF34" s="466">
        <f t="shared" si="18"/>
        <v>23089.819470117163</v>
      </c>
      <c r="AG34" s="140">
        <f t="shared" si="19"/>
        <v>3401361.3061429593</v>
      </c>
      <c r="AH34" s="336"/>
    </row>
    <row r="35" spans="1:34" x14ac:dyDescent="0.25">
      <c r="A35" s="3" t="s">
        <v>371</v>
      </c>
      <c r="B35" s="3">
        <f>INDEX('Base de Unidades'!$B$2:$B$47, MATCH('Tabela Vendas'!A35, 'Base de Unidades'!$A$2:$A$47, 0))</f>
        <v>172</v>
      </c>
      <c r="C35" s="7" t="str">
        <f>INDEX('Base de Unidades'!G:G, MATCH('Tabela Vendas'!A35, 'Base de Unidades'!A:A, 0))</f>
        <v>17</v>
      </c>
      <c r="D35" s="7">
        <f>INDEX('Base de Unidades'!$D$2:$D$47, MATCH('Tabela Vendas'!A35, 'Base de Unidades'!$A$2:$A$47, 0))</f>
        <v>147.6</v>
      </c>
      <c r="E35" s="2" t="str">
        <f>IFERROR(INDEX('Base de Unidades'!Q:Q,MATCH('Tabela Vendas'!A35,'Base de Unidades'!J:J,0)),IFERROR(INDEX('M-Unidades'!$G:$G,MATCH('Tabela Vendas'!$A35,'M-Unidades'!$H:$H,0)),"Disponível"))</f>
        <v>Vendida</v>
      </c>
      <c r="F35" s="29">
        <f>IF(E35="Vendida",IFERROR(INDEX('M-POS. FIN.'!$E:$E,MATCH('Tabela Vendas'!$A35,'M-POS. FIN.'!$D:$D,0)),"-"),IF(E35="Quitada",IFERROR(INDEX('M-LIQUIDAÇÕES'!$E:$E,MATCH('Tabela Vendas'!$A35,'M-LIQUIDAÇÕES'!$D:$D,0)),"-"),"-"))</f>
        <v>44001</v>
      </c>
      <c r="G35" s="30">
        <f t="shared" si="0"/>
        <v>43983</v>
      </c>
      <c r="H35" s="31">
        <f>IF(E35="Vendida",IFERROR(INDEX('M-POS. FIN.'!$F:$F,MATCH('Tabela Vendas'!$A35,'M-POS. FIN.'!$D:$D,0)),"-"),IF(E35="Quitada",IFERROR(INDEX('M-LIQUIDAÇÕES'!$F:$F,MATCH('Tabela Vendas'!$A35,'M-LIQUIDAÇÕES'!$D:$D,0)),"-"),"-"))</f>
        <v>3228061</v>
      </c>
      <c r="I35" s="31">
        <f t="shared" si="1"/>
        <v>21870.331978319784</v>
      </c>
      <c r="J35" s="33" t="str">
        <f t="shared" si="2"/>
        <v>-</v>
      </c>
      <c r="K35" s="33" t="str">
        <f t="shared" si="3"/>
        <v>-</v>
      </c>
      <c r="L35" s="35" t="str">
        <f t="shared" si="4"/>
        <v>-</v>
      </c>
      <c r="M35" s="36">
        <f t="shared" si="5"/>
        <v>0.05</v>
      </c>
      <c r="N35" s="36">
        <f t="shared" si="6"/>
        <v>0</v>
      </c>
      <c r="O35" s="36">
        <f t="shared" si="7"/>
        <v>0</v>
      </c>
      <c r="P35" s="36">
        <f t="shared" si="8"/>
        <v>0.01</v>
      </c>
      <c r="Q35" s="35" t="str">
        <f t="shared" si="9"/>
        <v>-</v>
      </c>
      <c r="R35" s="38">
        <f t="shared" si="10"/>
        <v>0</v>
      </c>
      <c r="S35" s="38">
        <f t="shared" si="11"/>
        <v>1</v>
      </c>
      <c r="T35" s="38">
        <f t="shared" si="12"/>
        <v>0</v>
      </c>
      <c r="U35" s="38">
        <f t="shared" si="13"/>
        <v>0</v>
      </c>
      <c r="V35" s="35">
        <f t="shared" si="14"/>
        <v>3228061</v>
      </c>
      <c r="W35" s="336"/>
      <c r="AA35" s="142">
        <f t="shared" si="15"/>
        <v>1.0349999999999999</v>
      </c>
      <c r="AB35" s="36">
        <v>0</v>
      </c>
      <c r="AC35" s="36">
        <f t="shared" si="16"/>
        <v>0</v>
      </c>
      <c r="AD35" s="36">
        <v>0</v>
      </c>
      <c r="AE35" s="36">
        <f t="shared" si="17"/>
        <v>0</v>
      </c>
      <c r="AF35" s="466">
        <f t="shared" si="18"/>
        <v>23089.819470117163</v>
      </c>
      <c r="AG35" s="140">
        <f t="shared" si="19"/>
        <v>3408057.3537892932</v>
      </c>
      <c r="AH35" s="336"/>
    </row>
    <row r="36" spans="1:34" x14ac:dyDescent="0.25">
      <c r="A36" s="3" t="s">
        <v>372</v>
      </c>
      <c r="B36" s="3">
        <f>INDEX('Base de Unidades'!$B$2:$B$47, MATCH('Tabela Vendas'!A36, 'Base de Unidades'!$A$2:$A$47, 0))</f>
        <v>181</v>
      </c>
      <c r="C36" s="7" t="str">
        <f>INDEX('Base de Unidades'!G:G, MATCH('Tabela Vendas'!A36, 'Base de Unidades'!A:A, 0))</f>
        <v>18</v>
      </c>
      <c r="D36" s="7">
        <f>INDEX('Base de Unidades'!$D$2:$D$47, MATCH('Tabela Vendas'!A36, 'Base de Unidades'!$A$2:$A$47, 0))</f>
        <v>147.51</v>
      </c>
      <c r="E36" s="2" t="str">
        <f>IFERROR(INDEX('Base de Unidades'!Q:Q,MATCH('Tabela Vendas'!A36,'Base de Unidades'!J:J,0)),IFERROR(INDEX('M-Unidades'!$G:$G,MATCH('Tabela Vendas'!$A36,'M-Unidades'!$H:$H,0)),"Disponível"))</f>
        <v>Vendida</v>
      </c>
      <c r="F36" s="29">
        <f>IF(E36="Vendida",IFERROR(INDEX('M-POS. FIN.'!$E:$E,MATCH('Tabela Vendas'!$A36,'M-POS. FIN.'!$D:$D,0)),"-"),IF(E36="Quitada",IFERROR(INDEX('M-LIQUIDAÇÕES'!$E:$E,MATCH('Tabela Vendas'!$A36,'M-LIQUIDAÇÕES'!$D:$D,0)),"-"),"-"))</f>
        <v>44075</v>
      </c>
      <c r="G36" s="30">
        <f t="shared" si="0"/>
        <v>44075</v>
      </c>
      <c r="H36" s="31">
        <f>IF(E36="Vendida",IFERROR(INDEX('M-POS. FIN.'!$F:$F,MATCH('Tabela Vendas'!$A36,'M-POS. FIN.'!$D:$D,0)),"-"),IF(E36="Quitada",IFERROR(INDEX('M-LIQUIDAÇÕES'!$F:$F,MATCH('Tabela Vendas'!$A36,'M-LIQUIDAÇÕES'!$D:$D,0)),"-"),"-"))</f>
        <v>2992500</v>
      </c>
      <c r="I36" s="31">
        <f t="shared" si="1"/>
        <v>20286.760219646127</v>
      </c>
      <c r="J36" s="33" t="str">
        <f t="shared" si="2"/>
        <v>-</v>
      </c>
      <c r="K36" s="33" t="str">
        <f t="shared" si="3"/>
        <v>-</v>
      </c>
      <c r="L36" s="35" t="str">
        <f t="shared" si="4"/>
        <v>-</v>
      </c>
      <c r="M36" s="36">
        <f t="shared" si="5"/>
        <v>0.05</v>
      </c>
      <c r="N36" s="36">
        <f t="shared" si="6"/>
        <v>0</v>
      </c>
      <c r="O36" s="36">
        <f t="shared" si="7"/>
        <v>0</v>
      </c>
      <c r="P36" s="36">
        <f t="shared" si="8"/>
        <v>0.01</v>
      </c>
      <c r="Q36" s="35" t="str">
        <f t="shared" si="9"/>
        <v>-</v>
      </c>
      <c r="R36" s="38">
        <f t="shared" si="10"/>
        <v>0</v>
      </c>
      <c r="S36" s="38">
        <f t="shared" si="11"/>
        <v>1</v>
      </c>
      <c r="T36" s="38">
        <f t="shared" si="12"/>
        <v>0</v>
      </c>
      <c r="U36" s="38">
        <f t="shared" si="13"/>
        <v>0</v>
      </c>
      <c r="V36" s="35">
        <f t="shared" si="14"/>
        <v>2992500</v>
      </c>
      <c r="W36" s="336"/>
      <c r="AA36" s="142">
        <f t="shared" si="15"/>
        <v>1.04</v>
      </c>
      <c r="AB36" s="36">
        <v>0</v>
      </c>
      <c r="AC36" s="36">
        <f t="shared" si="16"/>
        <v>0</v>
      </c>
      <c r="AD36" s="36">
        <v>0</v>
      </c>
      <c r="AE36" s="36">
        <f t="shared" si="17"/>
        <v>0</v>
      </c>
      <c r="AF36" s="466">
        <f t="shared" si="18"/>
        <v>23201.364491711935</v>
      </c>
      <c r="AG36" s="140">
        <f t="shared" si="19"/>
        <v>3422433.2761724275</v>
      </c>
      <c r="AH36" s="336"/>
    </row>
    <row r="37" spans="1:34" x14ac:dyDescent="0.25">
      <c r="A37" s="3" t="s">
        <v>373</v>
      </c>
      <c r="B37" s="3">
        <f>INDEX('Base de Unidades'!$B$2:$B$47, MATCH('Tabela Vendas'!A37, 'Base de Unidades'!$A$2:$A$47, 0))</f>
        <v>182</v>
      </c>
      <c r="C37" s="7" t="str">
        <f>INDEX('Base de Unidades'!G:G, MATCH('Tabela Vendas'!A37, 'Base de Unidades'!A:A, 0))</f>
        <v>18</v>
      </c>
      <c r="D37" s="7">
        <f>INDEX('Base de Unidades'!$D$2:$D$47, MATCH('Tabela Vendas'!A37, 'Base de Unidades'!$A$2:$A$47, 0))</f>
        <v>147.6</v>
      </c>
      <c r="E37" s="2" t="str">
        <f>IFERROR(INDEX('Base de Unidades'!Q:Q,MATCH('Tabela Vendas'!A37,'Base de Unidades'!J:J,0)),IFERROR(INDEX('M-Unidades'!$G:$G,MATCH('Tabela Vendas'!$A37,'M-Unidades'!$H:$H,0)),"Disponível"))</f>
        <v>Permuta - Kinea</v>
      </c>
      <c r="F37" s="29" t="str">
        <f>IF(E37="Vendida",IFERROR(INDEX('M-POS. FIN.'!$E:$E,MATCH('Tabela Vendas'!$A37,'M-POS. FIN.'!$D:$D,0)),"-"),IF(E37="Quitada",IFERROR(INDEX('M-LIQUIDAÇÕES'!$E:$E,MATCH('Tabela Vendas'!$A37,'M-LIQUIDAÇÕES'!$D:$D,0)),"-"),"-"))</f>
        <v>-</v>
      </c>
      <c r="G37" s="30" t="str">
        <f t="shared" si="0"/>
        <v>-</v>
      </c>
      <c r="H37" s="31" t="str">
        <f>IF(E37="Vendida",IFERROR(INDEX('M-POS. FIN.'!$F:$F,MATCH('Tabela Vendas'!$A37,'M-POS. FIN.'!$D:$D,0)),"-"),IF(E37="Quitada",IFERROR(INDEX('M-LIQUIDAÇÕES'!$F:$F,MATCH('Tabela Vendas'!$A37,'M-LIQUIDAÇÕES'!$D:$D,0)),"-"),"-"))</f>
        <v>-</v>
      </c>
      <c r="I37" s="31" t="str">
        <f t="shared" si="1"/>
        <v>-</v>
      </c>
      <c r="J37" s="33" t="str">
        <f t="shared" si="2"/>
        <v>-</v>
      </c>
      <c r="K37" s="33" t="str">
        <f t="shared" si="3"/>
        <v>-</v>
      </c>
      <c r="L37" s="35" t="str">
        <f t="shared" si="4"/>
        <v>-</v>
      </c>
      <c r="M37" s="36">
        <f t="shared" si="5"/>
        <v>0.05</v>
      </c>
      <c r="N37" s="36">
        <f t="shared" si="6"/>
        <v>0</v>
      </c>
      <c r="O37" s="36">
        <f t="shared" si="7"/>
        <v>0</v>
      </c>
      <c r="P37" s="36">
        <f t="shared" si="8"/>
        <v>0.01</v>
      </c>
      <c r="Q37" s="35" t="str">
        <f t="shared" si="9"/>
        <v>-</v>
      </c>
      <c r="R37" s="38">
        <f t="shared" si="10"/>
        <v>0</v>
      </c>
      <c r="S37" s="38">
        <f t="shared" si="11"/>
        <v>0</v>
      </c>
      <c r="T37" s="38">
        <f t="shared" si="12"/>
        <v>0</v>
      </c>
      <c r="U37" s="38">
        <f t="shared" si="13"/>
        <v>1</v>
      </c>
      <c r="V37" s="35" t="str">
        <f t="shared" si="14"/>
        <v>-</v>
      </c>
      <c r="W37" s="336"/>
      <c r="AA37" s="142">
        <f t="shared" si="15"/>
        <v>1.04</v>
      </c>
      <c r="AB37" s="36">
        <v>0</v>
      </c>
      <c r="AC37" s="36">
        <f t="shared" si="16"/>
        <v>0</v>
      </c>
      <c r="AD37" s="36">
        <v>0</v>
      </c>
      <c r="AE37" s="36">
        <f t="shared" si="17"/>
        <v>0</v>
      </c>
      <c r="AF37" s="466">
        <f t="shared" si="18"/>
        <v>23201.364491711935</v>
      </c>
      <c r="AG37" s="140">
        <f t="shared" si="19"/>
        <v>3424521.3989766813</v>
      </c>
      <c r="AH37" s="336"/>
    </row>
    <row r="38" spans="1:34" x14ac:dyDescent="0.25">
      <c r="A38" s="3" t="s">
        <v>374</v>
      </c>
      <c r="B38" s="3">
        <f>INDEX('Base de Unidades'!$B$2:$B$47, MATCH('Tabela Vendas'!A38, 'Base de Unidades'!$A$2:$A$47, 0))</f>
        <v>191</v>
      </c>
      <c r="C38" s="7" t="str">
        <f>INDEX('Base de Unidades'!G:G, MATCH('Tabela Vendas'!A38, 'Base de Unidades'!A:A, 0))</f>
        <v>19</v>
      </c>
      <c r="D38" s="7">
        <f>INDEX('Base de Unidades'!$D$2:$D$47, MATCH('Tabela Vendas'!A38, 'Base de Unidades'!$A$2:$A$47, 0))</f>
        <v>147.81</v>
      </c>
      <c r="E38" s="2" t="str">
        <f>IFERROR(INDEX('Base de Unidades'!Q:Q,MATCH('Tabela Vendas'!A38,'Base de Unidades'!J:J,0)),IFERROR(INDEX('M-Unidades'!$G:$G,MATCH('Tabela Vendas'!$A38,'M-Unidades'!$H:$H,0)),"Disponível"))</f>
        <v>Vendida</v>
      </c>
      <c r="F38" s="29">
        <f>IF(E38="Vendida",IFERROR(INDEX('M-POS. FIN.'!$E:$E,MATCH('Tabela Vendas'!$A38,'M-POS. FIN.'!$D:$D,0)),"-"),IF(E38="Quitada",IFERROR(INDEX('M-LIQUIDAÇÕES'!$E:$E,MATCH('Tabela Vendas'!$A38,'M-LIQUIDAÇÕES'!$D:$D,0)),"-"),"-"))</f>
        <v>44015</v>
      </c>
      <c r="G38" s="30">
        <f t="shared" si="0"/>
        <v>44013</v>
      </c>
      <c r="H38" s="31">
        <f>IF(E38="Vendida",IFERROR(INDEX('M-POS. FIN.'!$F:$F,MATCH('Tabela Vendas'!$A38,'M-POS. FIN.'!$D:$D,0)),"-"),IF(E38="Quitada",IFERROR(INDEX('M-LIQUIDAÇÕES'!$F:$F,MATCH('Tabela Vendas'!$A38,'M-LIQUIDAÇÕES'!$D:$D,0)),"-"),"-"))</f>
        <v>2859500</v>
      </c>
      <c r="I38" s="31">
        <f t="shared" si="1"/>
        <v>19345.781746837154</v>
      </c>
      <c r="J38" s="33" t="str">
        <f t="shared" si="2"/>
        <v>-</v>
      </c>
      <c r="K38" s="33" t="str">
        <f t="shared" si="3"/>
        <v>-</v>
      </c>
      <c r="L38" s="35" t="str">
        <f t="shared" si="4"/>
        <v>-</v>
      </c>
      <c r="M38" s="36">
        <f t="shared" si="5"/>
        <v>0.05</v>
      </c>
      <c r="N38" s="36">
        <f t="shared" si="6"/>
        <v>0</v>
      </c>
      <c r="O38" s="36">
        <f t="shared" si="7"/>
        <v>0</v>
      </c>
      <c r="P38" s="36">
        <f t="shared" si="8"/>
        <v>0.01</v>
      </c>
      <c r="Q38" s="35" t="str">
        <f t="shared" si="9"/>
        <v>-</v>
      </c>
      <c r="R38" s="38">
        <f t="shared" si="10"/>
        <v>0</v>
      </c>
      <c r="S38" s="38">
        <f t="shared" si="11"/>
        <v>1</v>
      </c>
      <c r="T38" s="38">
        <f t="shared" si="12"/>
        <v>0</v>
      </c>
      <c r="U38" s="38">
        <f t="shared" si="13"/>
        <v>0</v>
      </c>
      <c r="V38" s="35">
        <f t="shared" si="14"/>
        <v>2859500</v>
      </c>
      <c r="W38" s="336"/>
      <c r="AA38" s="142">
        <f t="shared" si="15"/>
        <v>1.0449999999999999</v>
      </c>
      <c r="AB38" s="36">
        <v>0</v>
      </c>
      <c r="AC38" s="36">
        <f t="shared" si="16"/>
        <v>0</v>
      </c>
      <c r="AD38" s="36">
        <v>0</v>
      </c>
      <c r="AE38" s="36">
        <f t="shared" si="17"/>
        <v>0</v>
      </c>
      <c r="AF38" s="466">
        <f t="shared" si="18"/>
        <v>23312.909513306702</v>
      </c>
      <c r="AG38" s="140">
        <f t="shared" si="19"/>
        <v>3445881.1551618637</v>
      </c>
      <c r="AH38" s="336"/>
    </row>
    <row r="39" spans="1:34" x14ac:dyDescent="0.25">
      <c r="A39" s="3" t="s">
        <v>375</v>
      </c>
      <c r="B39" s="3">
        <f>INDEX('Base de Unidades'!$B$2:$B$47, MATCH('Tabela Vendas'!A39, 'Base de Unidades'!$A$2:$A$47, 0))</f>
        <v>192</v>
      </c>
      <c r="C39" s="7" t="str">
        <f>INDEX('Base de Unidades'!G:G, MATCH('Tabela Vendas'!A39, 'Base de Unidades'!A:A, 0))</f>
        <v>19</v>
      </c>
      <c r="D39" s="7">
        <f>INDEX('Base de Unidades'!$D$2:$D$47, MATCH('Tabela Vendas'!A39, 'Base de Unidades'!$A$2:$A$47, 0))</f>
        <v>147.6</v>
      </c>
      <c r="E39" s="2" t="str">
        <f>IFERROR(INDEX('Base de Unidades'!Q:Q,MATCH('Tabela Vendas'!A39,'Base de Unidades'!J:J,0)),IFERROR(INDEX('M-Unidades'!$G:$G,MATCH('Tabela Vendas'!$A39,'M-Unidades'!$H:$H,0)),"Disponível"))</f>
        <v>Vendida</v>
      </c>
      <c r="F39" s="29">
        <f>IF(E39="Vendida",IFERROR(INDEX('M-POS. FIN.'!$E:$E,MATCH('Tabela Vendas'!$A39,'M-POS. FIN.'!$D:$D,0)),"-"),IF(E39="Quitada",IFERROR(INDEX('M-LIQUIDAÇÕES'!$E:$E,MATCH('Tabela Vendas'!$A39,'M-LIQUIDAÇÕES'!$D:$D,0)),"-"),"-"))</f>
        <v>44002</v>
      </c>
      <c r="G39" s="30">
        <f t="shared" si="0"/>
        <v>43983</v>
      </c>
      <c r="H39" s="31">
        <f>IF(E39="Vendida",IFERROR(INDEX('M-POS. FIN.'!$F:$F,MATCH('Tabela Vendas'!$A39,'M-POS. FIN.'!$D:$D,0)),"-"),IF(E39="Quitada",IFERROR(INDEX('M-LIQUIDAÇÕES'!$F:$F,MATCH('Tabela Vendas'!$A39,'M-LIQUIDAÇÕES'!$D:$D,0)),"-"),"-"))</f>
        <v>3087500.03</v>
      </c>
      <c r="I39" s="31">
        <f t="shared" si="1"/>
        <v>20918.021883468835</v>
      </c>
      <c r="J39" s="33" t="str">
        <f t="shared" si="2"/>
        <v>-</v>
      </c>
      <c r="K39" s="33" t="str">
        <f t="shared" si="3"/>
        <v>-</v>
      </c>
      <c r="L39" s="35" t="str">
        <f t="shared" si="4"/>
        <v>-</v>
      </c>
      <c r="M39" s="36">
        <f t="shared" si="5"/>
        <v>0.05</v>
      </c>
      <c r="N39" s="36">
        <f t="shared" si="6"/>
        <v>0</v>
      </c>
      <c r="O39" s="36">
        <f t="shared" si="7"/>
        <v>0</v>
      </c>
      <c r="P39" s="36">
        <f t="shared" si="8"/>
        <v>0.01</v>
      </c>
      <c r="Q39" s="35" t="str">
        <f t="shared" si="9"/>
        <v>-</v>
      </c>
      <c r="R39" s="38">
        <f t="shared" si="10"/>
        <v>0</v>
      </c>
      <c r="S39" s="38">
        <f t="shared" si="11"/>
        <v>1</v>
      </c>
      <c r="T39" s="38">
        <f t="shared" si="12"/>
        <v>0</v>
      </c>
      <c r="U39" s="38">
        <f t="shared" si="13"/>
        <v>0</v>
      </c>
      <c r="V39" s="35">
        <f t="shared" si="14"/>
        <v>3087500.03</v>
      </c>
      <c r="W39" s="336"/>
      <c r="AA39" s="142">
        <f t="shared" si="15"/>
        <v>1.0449999999999999</v>
      </c>
      <c r="AB39" s="36">
        <v>0</v>
      </c>
      <c r="AC39" s="36">
        <f t="shared" si="16"/>
        <v>0</v>
      </c>
      <c r="AD39" s="36">
        <v>0</v>
      </c>
      <c r="AE39" s="36">
        <f t="shared" si="17"/>
        <v>0</v>
      </c>
      <c r="AF39" s="466">
        <f t="shared" si="18"/>
        <v>23312.909513306702</v>
      </c>
      <c r="AG39" s="140">
        <f t="shared" si="19"/>
        <v>3440985.4441640689</v>
      </c>
      <c r="AH39" s="336"/>
    </row>
    <row r="40" spans="1:34" x14ac:dyDescent="0.25">
      <c r="A40" s="3" t="s">
        <v>376</v>
      </c>
      <c r="B40" s="3">
        <f>INDEX('Base de Unidades'!$B$2:$B$47, MATCH('Tabela Vendas'!A40, 'Base de Unidades'!$A$2:$A$47, 0))</f>
        <v>201</v>
      </c>
      <c r="C40" s="7" t="str">
        <f>INDEX('Base de Unidades'!G:G, MATCH('Tabela Vendas'!A40, 'Base de Unidades'!A:A, 0))</f>
        <v>20</v>
      </c>
      <c r="D40" s="7">
        <f>INDEX('Base de Unidades'!$D$2:$D$47, MATCH('Tabela Vendas'!A40, 'Base de Unidades'!$A$2:$A$47, 0))</f>
        <v>147.61000000000001</v>
      </c>
      <c r="E40" s="2" t="str">
        <f>IFERROR(INDEX('Base de Unidades'!Q:Q,MATCH('Tabela Vendas'!A40,'Base de Unidades'!J:J,0)),IFERROR(INDEX('M-Unidades'!$G:$G,MATCH('Tabela Vendas'!$A40,'M-Unidades'!$H:$H,0)),"Disponível"))</f>
        <v>Vendida</v>
      </c>
      <c r="F40" s="29">
        <f>IF(E40="Vendida",IFERROR(INDEX('M-POS. FIN.'!$E:$E,MATCH('Tabela Vendas'!$A40,'M-POS. FIN.'!$D:$D,0)),"-"),IF(E40="Quitada",IFERROR(INDEX('M-LIQUIDAÇÕES'!$E:$E,MATCH('Tabela Vendas'!$A40,'M-LIQUIDAÇÕES'!$D:$D,0)),"-"),"-"))</f>
        <v>44056</v>
      </c>
      <c r="G40" s="30">
        <f t="shared" si="0"/>
        <v>44044</v>
      </c>
      <c r="H40" s="31">
        <f>IF(E40="Vendida",IFERROR(INDEX('M-POS. FIN.'!$F:$F,MATCH('Tabela Vendas'!$A40,'M-POS. FIN.'!$D:$D,0)),"-"),IF(E40="Quitada",IFERROR(INDEX('M-LIQUIDAÇÕES'!$F:$F,MATCH('Tabela Vendas'!$A40,'M-LIQUIDAÇÕES'!$D:$D,0)),"-"),"-"))</f>
        <v>3422750</v>
      </c>
      <c r="I40" s="31">
        <f t="shared" si="1"/>
        <v>23187.792155003048</v>
      </c>
      <c r="J40" s="33" t="str">
        <f t="shared" si="2"/>
        <v>-</v>
      </c>
      <c r="K40" s="33" t="str">
        <f t="shared" si="3"/>
        <v>-</v>
      </c>
      <c r="L40" s="35" t="str">
        <f t="shared" si="4"/>
        <v>-</v>
      </c>
      <c r="M40" s="36">
        <f t="shared" si="5"/>
        <v>0.05</v>
      </c>
      <c r="N40" s="36">
        <f t="shared" si="6"/>
        <v>0</v>
      </c>
      <c r="O40" s="36">
        <f t="shared" si="7"/>
        <v>0</v>
      </c>
      <c r="P40" s="36">
        <f t="shared" si="8"/>
        <v>0.01</v>
      </c>
      <c r="Q40" s="35" t="str">
        <f t="shared" si="9"/>
        <v>-</v>
      </c>
      <c r="R40" s="38">
        <f t="shared" si="10"/>
        <v>0</v>
      </c>
      <c r="S40" s="38">
        <f t="shared" si="11"/>
        <v>1</v>
      </c>
      <c r="T40" s="38">
        <f t="shared" si="12"/>
        <v>0</v>
      </c>
      <c r="U40" s="38">
        <f t="shared" si="13"/>
        <v>0</v>
      </c>
      <c r="V40" s="35">
        <f t="shared" si="14"/>
        <v>3422750</v>
      </c>
      <c r="W40" s="336"/>
      <c r="AA40" s="142">
        <f t="shared" si="15"/>
        <v>1.05</v>
      </c>
      <c r="AB40" s="36">
        <v>0</v>
      </c>
      <c r="AC40" s="36">
        <f t="shared" si="16"/>
        <v>0</v>
      </c>
      <c r="AD40" s="36">
        <v>0</v>
      </c>
      <c r="AE40" s="36">
        <f t="shared" si="17"/>
        <v>0</v>
      </c>
      <c r="AF40" s="466">
        <f t="shared" si="18"/>
        <v>23424.454534901473</v>
      </c>
      <c r="AG40" s="140">
        <f t="shared" si="19"/>
        <v>3457683.7338968068</v>
      </c>
      <c r="AH40" s="336"/>
    </row>
    <row r="41" spans="1:34" x14ac:dyDescent="0.25">
      <c r="A41" s="3" t="s">
        <v>377</v>
      </c>
      <c r="B41" s="3">
        <f>INDEX('Base de Unidades'!$B$2:$B$47, MATCH('Tabela Vendas'!A41, 'Base de Unidades'!$A$2:$A$47, 0))</f>
        <v>202</v>
      </c>
      <c r="C41" s="7" t="str">
        <f>INDEX('Base de Unidades'!G:G, MATCH('Tabela Vendas'!A41, 'Base de Unidades'!A:A, 0))</f>
        <v>20</v>
      </c>
      <c r="D41" s="7">
        <f>INDEX('Base de Unidades'!$D$2:$D$47, MATCH('Tabela Vendas'!A41, 'Base de Unidades'!$A$2:$A$47, 0))</f>
        <v>147.6</v>
      </c>
      <c r="E41" s="2" t="str">
        <f>IFERROR(INDEX('Base de Unidades'!Q:Q,MATCH('Tabela Vendas'!A41,'Base de Unidades'!J:J,0)),IFERROR(INDEX('M-Unidades'!$G:$G,MATCH('Tabela Vendas'!$A41,'M-Unidades'!$H:$H,0)),"Disponível"))</f>
        <v>Permuta - Kinea</v>
      </c>
      <c r="F41" s="29" t="str">
        <f>IF(E41="Vendida",IFERROR(INDEX('M-POS. FIN.'!$E:$E,MATCH('Tabela Vendas'!$A41,'M-POS. FIN.'!$D:$D,0)),"-"),IF(E41="Quitada",IFERROR(INDEX('M-LIQUIDAÇÕES'!$E:$E,MATCH('Tabela Vendas'!$A41,'M-LIQUIDAÇÕES'!$D:$D,0)),"-"),"-"))</f>
        <v>-</v>
      </c>
      <c r="G41" s="30" t="str">
        <f t="shared" si="0"/>
        <v>-</v>
      </c>
      <c r="H41" s="31" t="str">
        <f>IF(E41="Vendida",IFERROR(INDEX('M-POS. FIN.'!$F:$F,MATCH('Tabela Vendas'!$A41,'M-POS. FIN.'!$D:$D,0)),"-"),IF(E41="Quitada",IFERROR(INDEX('M-LIQUIDAÇÕES'!$F:$F,MATCH('Tabela Vendas'!$A41,'M-LIQUIDAÇÕES'!$D:$D,0)),"-"),"-"))</f>
        <v>-</v>
      </c>
      <c r="I41" s="31" t="str">
        <f t="shared" si="1"/>
        <v>-</v>
      </c>
      <c r="J41" s="33" t="str">
        <f t="shared" si="2"/>
        <v>-</v>
      </c>
      <c r="K41" s="33" t="str">
        <f t="shared" si="3"/>
        <v>-</v>
      </c>
      <c r="L41" s="35" t="str">
        <f t="shared" si="4"/>
        <v>-</v>
      </c>
      <c r="M41" s="36">
        <f t="shared" si="5"/>
        <v>0.05</v>
      </c>
      <c r="N41" s="36">
        <f t="shared" si="6"/>
        <v>0</v>
      </c>
      <c r="O41" s="36">
        <f t="shared" si="7"/>
        <v>0</v>
      </c>
      <c r="P41" s="36">
        <f t="shared" si="8"/>
        <v>0.01</v>
      </c>
      <c r="Q41" s="35" t="str">
        <f t="shared" si="9"/>
        <v>-</v>
      </c>
      <c r="R41" s="38">
        <f t="shared" si="10"/>
        <v>0</v>
      </c>
      <c r="S41" s="38">
        <f t="shared" si="11"/>
        <v>0</v>
      </c>
      <c r="T41" s="38">
        <f t="shared" si="12"/>
        <v>0</v>
      </c>
      <c r="U41" s="38">
        <f t="shared" si="13"/>
        <v>1</v>
      </c>
      <c r="V41" s="35" t="str">
        <f t="shared" si="14"/>
        <v>-</v>
      </c>
      <c r="W41" s="336"/>
      <c r="AA41" s="142">
        <f t="shared" si="15"/>
        <v>1.05</v>
      </c>
      <c r="AB41" s="36">
        <v>0</v>
      </c>
      <c r="AC41" s="36">
        <f t="shared" si="16"/>
        <v>0</v>
      </c>
      <c r="AD41" s="36">
        <v>0</v>
      </c>
      <c r="AE41" s="36">
        <f t="shared" si="17"/>
        <v>0</v>
      </c>
      <c r="AF41" s="466">
        <f t="shared" si="18"/>
        <v>23424.454534901473</v>
      </c>
      <c r="AG41" s="140">
        <f t="shared" si="19"/>
        <v>3457449.4893514575</v>
      </c>
      <c r="AH41" s="336"/>
    </row>
    <row r="42" spans="1:34" x14ac:dyDescent="0.25">
      <c r="A42" s="3" t="s">
        <v>378</v>
      </c>
      <c r="B42" s="3">
        <f>INDEX('Base de Unidades'!$B$2:$B$47, MATCH('Tabela Vendas'!A42, 'Base de Unidades'!$A$2:$A$47, 0))</f>
        <v>211</v>
      </c>
      <c r="C42" s="7" t="str">
        <f>INDEX('Base de Unidades'!G:G, MATCH('Tabela Vendas'!A42, 'Base de Unidades'!A:A, 0))</f>
        <v>21</v>
      </c>
      <c r="D42" s="7">
        <f>INDEX('Base de Unidades'!$D$2:$D$47, MATCH('Tabela Vendas'!A42, 'Base de Unidades'!$A$2:$A$47, 0))</f>
        <v>147.01</v>
      </c>
      <c r="E42" s="2" t="str">
        <f>IFERROR(INDEX('Base de Unidades'!Q:Q,MATCH('Tabela Vendas'!A42,'Base de Unidades'!J:J,0)),IFERROR(INDEX('M-Unidades'!$G:$G,MATCH('Tabela Vendas'!$A42,'M-Unidades'!$H:$H,0)),"Disponível"))</f>
        <v>Vendida</v>
      </c>
      <c r="F42" s="29">
        <f>IF(E42="Vendida",IFERROR(INDEX('M-POS. FIN.'!$E:$E,MATCH('Tabela Vendas'!$A42,'M-POS. FIN.'!$D:$D,0)),"-"),IF(E42="Quitada",IFERROR(INDEX('M-LIQUIDAÇÕES'!$E:$E,MATCH('Tabela Vendas'!$A42,'M-LIQUIDAÇÕES'!$D:$D,0)),"-"),"-"))</f>
        <v>44033</v>
      </c>
      <c r="G42" s="30">
        <f t="shared" si="0"/>
        <v>44013</v>
      </c>
      <c r="H42" s="31">
        <f>IF(E42="Vendida",IFERROR(INDEX('M-POS. FIN.'!$F:$F,MATCH('Tabela Vendas'!$A42,'M-POS. FIN.'!$D:$D,0)),"-"),IF(E42="Quitada",IFERROR(INDEX('M-LIQUIDAÇÕES'!$F:$F,MATCH('Tabela Vendas'!$A42,'M-LIQUIDAÇÕES'!$D:$D,0)),"-"),"-"))</f>
        <v>2921250</v>
      </c>
      <c r="I42" s="31">
        <f t="shared" si="1"/>
        <v>19871.09720427182</v>
      </c>
      <c r="J42" s="33" t="str">
        <f t="shared" si="2"/>
        <v>-</v>
      </c>
      <c r="K42" s="33" t="str">
        <f t="shared" si="3"/>
        <v>-</v>
      </c>
      <c r="L42" s="35" t="str">
        <f t="shared" si="4"/>
        <v>-</v>
      </c>
      <c r="M42" s="36">
        <f t="shared" si="5"/>
        <v>0.05</v>
      </c>
      <c r="N42" s="36">
        <f t="shared" si="6"/>
        <v>0</v>
      </c>
      <c r="O42" s="36">
        <f t="shared" si="7"/>
        <v>0</v>
      </c>
      <c r="P42" s="36">
        <f t="shared" si="8"/>
        <v>0.01</v>
      </c>
      <c r="Q42" s="35" t="str">
        <f t="shared" si="9"/>
        <v>-</v>
      </c>
      <c r="R42" s="38">
        <f t="shared" si="10"/>
        <v>0</v>
      </c>
      <c r="S42" s="38">
        <f t="shared" si="11"/>
        <v>1</v>
      </c>
      <c r="T42" s="38">
        <f t="shared" si="12"/>
        <v>0</v>
      </c>
      <c r="U42" s="38">
        <f t="shared" si="13"/>
        <v>0</v>
      </c>
      <c r="V42" s="35">
        <f t="shared" si="14"/>
        <v>2921250</v>
      </c>
      <c r="W42" s="336"/>
      <c r="AA42" s="142">
        <f t="shared" si="15"/>
        <v>1.0549999999999999</v>
      </c>
      <c r="AB42" s="36">
        <v>0</v>
      </c>
      <c r="AC42" s="36">
        <f t="shared" si="16"/>
        <v>0</v>
      </c>
      <c r="AD42" s="36">
        <v>0</v>
      </c>
      <c r="AE42" s="36">
        <f t="shared" si="17"/>
        <v>0</v>
      </c>
      <c r="AF42" s="466">
        <f t="shared" si="18"/>
        <v>23535.999556496241</v>
      </c>
      <c r="AG42" s="140">
        <f t="shared" si="19"/>
        <v>3460027.294800512</v>
      </c>
      <c r="AH42" s="336"/>
    </row>
    <row r="43" spans="1:34" x14ac:dyDescent="0.25">
      <c r="A43" s="3" t="s">
        <v>379</v>
      </c>
      <c r="B43" s="3">
        <f>INDEX('Base de Unidades'!$B$2:$B$47, MATCH('Tabela Vendas'!A43, 'Base de Unidades'!$A$2:$A$47, 0))</f>
        <v>212</v>
      </c>
      <c r="C43" s="7" t="str">
        <f>INDEX('Base de Unidades'!G:G, MATCH('Tabela Vendas'!A43, 'Base de Unidades'!A:A, 0))</f>
        <v>21</v>
      </c>
      <c r="D43" s="7">
        <f>INDEX('Base de Unidades'!$D$2:$D$47, MATCH('Tabela Vendas'!A43, 'Base de Unidades'!$A$2:$A$47, 0))</f>
        <v>147.5</v>
      </c>
      <c r="E43" s="2" t="str">
        <f>IFERROR(INDEX('Base de Unidades'!Q:Q,MATCH('Tabela Vendas'!A43,'Base de Unidades'!J:J,0)),IFERROR(INDEX('M-Unidades'!$G:$G,MATCH('Tabela Vendas'!$A43,'M-Unidades'!$H:$H,0)),"Disponível"))</f>
        <v>Vendida</v>
      </c>
      <c r="F43" s="29">
        <f>IF(E43="Vendida",IFERROR(INDEX('M-POS. FIN.'!$E:$E,MATCH('Tabela Vendas'!$A43,'M-POS. FIN.'!$D:$D,0)),"-"),IF(E43="Quitada",IFERROR(INDEX('M-LIQUIDAÇÕES'!$E:$E,MATCH('Tabela Vendas'!$A43,'M-LIQUIDAÇÕES'!$D:$D,0)),"-"),"-"))</f>
        <v>44001</v>
      </c>
      <c r="G43" s="30">
        <f t="shared" si="0"/>
        <v>43983</v>
      </c>
      <c r="H43" s="31">
        <f>IF(E43="Vendida",IFERROR(INDEX('M-POS. FIN.'!$F:$F,MATCH('Tabela Vendas'!$A43,'M-POS. FIN.'!$D:$D,0)),"-"),IF(E43="Quitada",IFERROR(INDEX('M-LIQUIDAÇÕES'!$F:$F,MATCH('Tabela Vendas'!$A43,'M-LIQUIDAÇÕES'!$D:$D,0)),"-"),"-"))</f>
        <v>3111250.44</v>
      </c>
      <c r="I43" s="31">
        <f t="shared" si="1"/>
        <v>21093.223322033897</v>
      </c>
      <c r="J43" s="33" t="str">
        <f t="shared" si="2"/>
        <v>-</v>
      </c>
      <c r="K43" s="33" t="str">
        <f t="shared" si="3"/>
        <v>-</v>
      </c>
      <c r="L43" s="35" t="str">
        <f t="shared" si="4"/>
        <v>-</v>
      </c>
      <c r="M43" s="36">
        <f t="shared" si="5"/>
        <v>0.05</v>
      </c>
      <c r="N43" s="36">
        <f t="shared" si="6"/>
        <v>0</v>
      </c>
      <c r="O43" s="36">
        <f t="shared" si="7"/>
        <v>0</v>
      </c>
      <c r="P43" s="36">
        <f t="shared" si="8"/>
        <v>0.01</v>
      </c>
      <c r="Q43" s="35" t="str">
        <f t="shared" si="9"/>
        <v>-</v>
      </c>
      <c r="R43" s="38">
        <f t="shared" si="10"/>
        <v>0</v>
      </c>
      <c r="S43" s="38">
        <f t="shared" si="11"/>
        <v>1</v>
      </c>
      <c r="T43" s="38">
        <f t="shared" si="12"/>
        <v>0</v>
      </c>
      <c r="U43" s="38">
        <f t="shared" si="13"/>
        <v>0</v>
      </c>
      <c r="V43" s="35">
        <f t="shared" si="14"/>
        <v>3111250.44</v>
      </c>
      <c r="W43" s="336"/>
      <c r="AA43" s="142">
        <f t="shared" si="15"/>
        <v>1.0549999999999999</v>
      </c>
      <c r="AB43" s="36">
        <v>0</v>
      </c>
      <c r="AC43" s="36">
        <f t="shared" si="16"/>
        <v>0</v>
      </c>
      <c r="AD43" s="36">
        <v>0</v>
      </c>
      <c r="AE43" s="36">
        <f t="shared" si="17"/>
        <v>0</v>
      </c>
      <c r="AF43" s="466">
        <f t="shared" si="18"/>
        <v>23535.999556496241</v>
      </c>
      <c r="AG43" s="140">
        <f t="shared" si="19"/>
        <v>3471559.9345831955</v>
      </c>
      <c r="AH43" s="336"/>
    </row>
    <row r="44" spans="1:34" x14ac:dyDescent="0.25">
      <c r="A44" s="3" t="s">
        <v>380</v>
      </c>
      <c r="B44" s="3">
        <f>INDEX('Base de Unidades'!$B$2:$B$47, MATCH('Tabela Vendas'!A44, 'Base de Unidades'!$A$2:$A$47, 0))</f>
        <v>221</v>
      </c>
      <c r="C44" s="7" t="str">
        <f>INDEX('Base de Unidades'!G:G, MATCH('Tabela Vendas'!A44, 'Base de Unidades'!A:A, 0))</f>
        <v>22</v>
      </c>
      <c r="D44" s="7">
        <f>INDEX('Base de Unidades'!$D$2:$D$47, MATCH('Tabela Vendas'!A44, 'Base de Unidades'!$A$2:$A$47, 0))</f>
        <v>147.61000000000001</v>
      </c>
      <c r="E44" s="2" t="str">
        <f>IFERROR(INDEX('Base de Unidades'!Q:Q,MATCH('Tabela Vendas'!A44,'Base de Unidades'!J:J,0)),IFERROR(INDEX('M-Unidades'!$G:$G,MATCH('Tabela Vendas'!$A44,'M-Unidades'!$H:$H,0)),"Disponível"))</f>
        <v>Vendida</v>
      </c>
      <c r="F44" s="29">
        <f>IF(E44="Vendida",IFERROR(INDEX('M-POS. FIN.'!$E:$E,MATCH('Tabela Vendas'!$A44,'M-POS. FIN.'!$D:$D,0)),"-"),IF(E44="Quitada",IFERROR(INDEX('M-LIQUIDAÇÕES'!$E:$E,MATCH('Tabela Vendas'!$A44,'M-LIQUIDAÇÕES'!$D:$D,0)),"-"),"-"))</f>
        <v>44020</v>
      </c>
      <c r="G44" s="30">
        <f t="shared" si="0"/>
        <v>44013</v>
      </c>
      <c r="H44" s="31">
        <f>IF(E44="Vendida",IFERROR(INDEX('M-POS. FIN.'!$F:$F,MATCH('Tabela Vendas'!$A44,'M-POS. FIN.'!$D:$D,0)),"-"),IF(E44="Quitada",IFERROR(INDEX('M-LIQUIDAÇÕES'!$F:$F,MATCH('Tabela Vendas'!$A44,'M-LIQUIDAÇÕES'!$D:$D,0)),"-"),"-"))</f>
        <v>3116000</v>
      </c>
      <c r="I44" s="31">
        <f t="shared" si="1"/>
        <v>21109.680915927103</v>
      </c>
      <c r="J44" s="33" t="str">
        <f t="shared" si="2"/>
        <v>-</v>
      </c>
      <c r="K44" s="33" t="str">
        <f t="shared" si="3"/>
        <v>-</v>
      </c>
      <c r="L44" s="35" t="str">
        <f t="shared" si="4"/>
        <v>-</v>
      </c>
      <c r="M44" s="36">
        <f t="shared" si="5"/>
        <v>0.05</v>
      </c>
      <c r="N44" s="36">
        <f t="shared" si="6"/>
        <v>0</v>
      </c>
      <c r="O44" s="36">
        <f t="shared" si="7"/>
        <v>0</v>
      </c>
      <c r="P44" s="36">
        <f t="shared" si="8"/>
        <v>0.01</v>
      </c>
      <c r="Q44" s="35" t="str">
        <f t="shared" si="9"/>
        <v>-</v>
      </c>
      <c r="R44" s="38">
        <f t="shared" si="10"/>
        <v>0</v>
      </c>
      <c r="S44" s="38">
        <f t="shared" si="11"/>
        <v>1</v>
      </c>
      <c r="T44" s="38">
        <f t="shared" si="12"/>
        <v>0</v>
      </c>
      <c r="U44" s="38">
        <f t="shared" si="13"/>
        <v>0</v>
      </c>
      <c r="V44" s="35">
        <f t="shared" si="14"/>
        <v>3116000</v>
      </c>
      <c r="W44" s="336"/>
      <c r="AA44" s="142">
        <f t="shared" si="15"/>
        <v>1.06</v>
      </c>
      <c r="AB44" s="36">
        <v>0</v>
      </c>
      <c r="AC44" s="36">
        <f t="shared" si="16"/>
        <v>0</v>
      </c>
      <c r="AD44" s="36">
        <v>0</v>
      </c>
      <c r="AE44" s="36">
        <f t="shared" si="17"/>
        <v>0</v>
      </c>
      <c r="AF44" s="466">
        <f t="shared" si="18"/>
        <v>23647.544578091012</v>
      </c>
      <c r="AG44" s="140">
        <f t="shared" si="19"/>
        <v>3490614.0551720145</v>
      </c>
      <c r="AH44" s="336"/>
    </row>
    <row r="45" spans="1:34" x14ac:dyDescent="0.25">
      <c r="A45" s="3" t="s">
        <v>381</v>
      </c>
      <c r="B45" s="3">
        <f>INDEX('Base de Unidades'!$B$2:$B$47, MATCH('Tabela Vendas'!A45, 'Base de Unidades'!$A$2:$A$47, 0))</f>
        <v>222</v>
      </c>
      <c r="C45" s="7" t="str">
        <f>INDEX('Base de Unidades'!G:G, MATCH('Tabela Vendas'!A45, 'Base de Unidades'!A:A, 0))</f>
        <v>22</v>
      </c>
      <c r="D45" s="7">
        <f>INDEX('Base de Unidades'!$D$2:$D$47, MATCH('Tabela Vendas'!A45, 'Base de Unidades'!$A$2:$A$47, 0))</f>
        <v>147.30000000000001</v>
      </c>
      <c r="E45" s="2" t="str">
        <f>IFERROR(INDEX('Base de Unidades'!Q:Q,MATCH('Tabela Vendas'!A45,'Base de Unidades'!J:J,0)),IFERROR(INDEX('M-Unidades'!$G:$G,MATCH('Tabela Vendas'!$A45,'M-Unidades'!$H:$H,0)),"Disponível"))</f>
        <v>Permuta - Kinea</v>
      </c>
      <c r="F45" s="29" t="str">
        <f>IF(E45="Vendida",IFERROR(INDEX('M-POS. FIN.'!$E:$E,MATCH('Tabela Vendas'!$A45,'M-POS. FIN.'!$D:$D,0)),"-"),IF(E45="Quitada",IFERROR(INDEX('M-LIQUIDAÇÕES'!$E:$E,MATCH('Tabela Vendas'!$A45,'M-LIQUIDAÇÕES'!$D:$D,0)),"-"),"-"))</f>
        <v>-</v>
      </c>
      <c r="G45" s="30" t="str">
        <f t="shared" si="0"/>
        <v>-</v>
      </c>
      <c r="H45" s="31" t="str">
        <f>IF(E45="Vendida",IFERROR(INDEX('M-POS. FIN.'!$F:$F,MATCH('Tabela Vendas'!$A45,'M-POS. FIN.'!$D:$D,0)),"-"),IF(E45="Quitada",IFERROR(INDEX('M-LIQUIDAÇÕES'!$F:$F,MATCH('Tabela Vendas'!$A45,'M-LIQUIDAÇÕES'!$D:$D,0)),"-"),"-"))</f>
        <v>-</v>
      </c>
      <c r="I45" s="31" t="str">
        <f t="shared" si="1"/>
        <v>-</v>
      </c>
      <c r="J45" s="33" t="str">
        <f t="shared" si="2"/>
        <v>-</v>
      </c>
      <c r="K45" s="33" t="str">
        <f t="shared" si="3"/>
        <v>-</v>
      </c>
      <c r="L45" s="35" t="str">
        <f t="shared" si="4"/>
        <v>-</v>
      </c>
      <c r="M45" s="36">
        <f t="shared" si="5"/>
        <v>0.05</v>
      </c>
      <c r="N45" s="36">
        <f t="shared" si="6"/>
        <v>0</v>
      </c>
      <c r="O45" s="36">
        <f t="shared" si="7"/>
        <v>0</v>
      </c>
      <c r="P45" s="36">
        <f t="shared" si="8"/>
        <v>0.01</v>
      </c>
      <c r="Q45" s="35" t="str">
        <f t="shared" si="9"/>
        <v>-</v>
      </c>
      <c r="R45" s="38">
        <f t="shared" si="10"/>
        <v>0</v>
      </c>
      <c r="S45" s="38">
        <f t="shared" si="11"/>
        <v>0</v>
      </c>
      <c r="T45" s="38">
        <f t="shared" si="12"/>
        <v>0</v>
      </c>
      <c r="U45" s="38">
        <f t="shared" si="13"/>
        <v>1</v>
      </c>
      <c r="V45" s="35" t="str">
        <f t="shared" si="14"/>
        <v>-</v>
      </c>
      <c r="W45" s="336"/>
      <c r="AA45" s="142">
        <f t="shared" si="15"/>
        <v>1.06</v>
      </c>
      <c r="AB45" s="36">
        <v>0</v>
      </c>
      <c r="AC45" s="36">
        <f t="shared" si="16"/>
        <v>0</v>
      </c>
      <c r="AD45" s="36">
        <v>0</v>
      </c>
      <c r="AE45" s="36">
        <f t="shared" si="17"/>
        <v>0</v>
      </c>
      <c r="AF45" s="466">
        <f t="shared" si="18"/>
        <v>23647.544578091012</v>
      </c>
      <c r="AG45" s="140">
        <f t="shared" si="19"/>
        <v>3483283.3163528065</v>
      </c>
      <c r="AH45" s="336"/>
    </row>
    <row r="46" spans="1:34" x14ac:dyDescent="0.25">
      <c r="A46" s="3" t="s">
        <v>382</v>
      </c>
      <c r="B46" s="3">
        <f>INDEX('Base de Unidades'!$B$2:$B$47, MATCH('Tabela Vendas'!A46, 'Base de Unidades'!$A$2:$A$47, 0))</f>
        <v>231</v>
      </c>
      <c r="C46" s="7" t="str">
        <f>INDEX('Base de Unidades'!G:G, MATCH('Tabela Vendas'!A46, 'Base de Unidades'!A:A, 0))</f>
        <v>23</v>
      </c>
      <c r="D46" s="7">
        <f>INDEX('Base de Unidades'!$D$2:$D$47, MATCH('Tabela Vendas'!A46, 'Base de Unidades'!$A$2:$A$47, 0))</f>
        <v>254.18</v>
      </c>
      <c r="E46" s="2" t="str">
        <f>IFERROR(INDEX('Base de Unidades'!Q:Q,MATCH('Tabela Vendas'!A46,'Base de Unidades'!J:J,0)),IFERROR(INDEX('M-Unidades'!$G:$G,MATCH('Tabela Vendas'!$A46,'M-Unidades'!$H:$H,0)),"Disponível"))</f>
        <v>Vendida</v>
      </c>
      <c r="F46" s="29">
        <f>IF(E46="Vendida",IFERROR(INDEX('M-POS. FIN.'!$E:$E,MATCH('Tabela Vendas'!$A46,'M-POS. FIN.'!$D:$D,0)),"-"),IF(E46="Quitada",IFERROR(INDEX('M-LIQUIDAÇÕES'!$E:$E,MATCH('Tabela Vendas'!$A46,'M-LIQUIDAÇÕES'!$D:$D,0)),"-"),"-"))</f>
        <v>44040</v>
      </c>
      <c r="G46" s="30">
        <f t="shared" si="0"/>
        <v>44013</v>
      </c>
      <c r="H46" s="31">
        <f>IF(E46="Vendida",IFERROR(INDEX('M-POS. FIN.'!$F:$F,MATCH('Tabela Vendas'!$A46,'M-POS. FIN.'!$D:$D,0)),"-"),IF(E46="Quitada",IFERROR(INDEX('M-LIQUIDAÇÕES'!$F:$F,MATCH('Tabela Vendas'!$A46,'M-LIQUIDAÇÕES'!$D:$D,0)),"-"),"-"))</f>
        <v>5319980</v>
      </c>
      <c r="I46" s="31">
        <f t="shared" si="1"/>
        <v>20929.970886773153</v>
      </c>
      <c r="J46" s="33" t="str">
        <f t="shared" si="2"/>
        <v>-</v>
      </c>
      <c r="K46" s="33" t="str">
        <f t="shared" si="3"/>
        <v>-</v>
      </c>
      <c r="L46" s="35" t="str">
        <f t="shared" si="4"/>
        <v>-</v>
      </c>
      <c r="M46" s="36">
        <f t="shared" si="5"/>
        <v>0.05</v>
      </c>
      <c r="N46" s="36">
        <f t="shared" si="6"/>
        <v>0</v>
      </c>
      <c r="O46" s="36">
        <f t="shared" si="7"/>
        <v>0</v>
      </c>
      <c r="P46" s="36">
        <f t="shared" si="8"/>
        <v>0.01</v>
      </c>
      <c r="Q46" s="35" t="str">
        <f t="shared" si="9"/>
        <v>-</v>
      </c>
      <c r="R46" s="38">
        <f t="shared" si="10"/>
        <v>0</v>
      </c>
      <c r="S46" s="38">
        <f t="shared" si="11"/>
        <v>1</v>
      </c>
      <c r="T46" s="38">
        <f t="shared" si="12"/>
        <v>0</v>
      </c>
      <c r="U46" s="38">
        <f t="shared" si="13"/>
        <v>0</v>
      </c>
      <c r="V46" s="35">
        <f t="shared" si="14"/>
        <v>5319980</v>
      </c>
      <c r="W46" s="336"/>
      <c r="AA46" s="142">
        <f t="shared" si="15"/>
        <v>1.0649999999999999</v>
      </c>
      <c r="AB46" s="36">
        <v>0</v>
      </c>
      <c r="AC46" s="36">
        <f t="shared" si="16"/>
        <v>0</v>
      </c>
      <c r="AD46" s="36">
        <f>-36*0.5/D46</f>
        <v>-7.081595719568809E-2</v>
      </c>
      <c r="AE46" s="36">
        <f t="shared" si="17"/>
        <v>0</v>
      </c>
      <c r="AF46" s="466">
        <f t="shared" si="18"/>
        <v>22076.566927585911</v>
      </c>
      <c r="AG46" s="140">
        <f t="shared" si="19"/>
        <v>5611421.781653787</v>
      </c>
      <c r="AH46" s="336"/>
    </row>
    <row r="47" spans="1:34" x14ac:dyDescent="0.25">
      <c r="A47" s="3" t="s">
        <v>383</v>
      </c>
      <c r="B47" s="3">
        <f>INDEX('Base de Unidades'!$B$2:$B$47, MATCH('Tabela Vendas'!A47, 'Base de Unidades'!$A$2:$A$47, 0))</f>
        <v>232</v>
      </c>
      <c r="C47" s="7" t="str">
        <f>INDEX('Base de Unidades'!G:G, MATCH('Tabela Vendas'!A47, 'Base de Unidades'!A:A, 0))</f>
        <v>23</v>
      </c>
      <c r="D47" s="7">
        <f>INDEX('Base de Unidades'!$D$2:$D$47, MATCH('Tabela Vendas'!A47, 'Base de Unidades'!$A$2:$A$47, 0))</f>
        <v>254.15</v>
      </c>
      <c r="E47" s="2" t="str">
        <f>IFERROR(INDEX('Base de Unidades'!Q:Q,MATCH('Tabela Vendas'!A47,'Base de Unidades'!J:J,0)),IFERROR(INDEX('M-Unidades'!$G:$G,MATCH('Tabela Vendas'!$A47,'M-Unidades'!$H:$H,0)),"Disponível"))</f>
        <v>Vendida</v>
      </c>
      <c r="F47" s="29">
        <f>IF(E47="Vendida",IFERROR(INDEX('M-POS. FIN.'!$E:$E,MATCH('Tabela Vendas'!$A47,'M-POS. FIN.'!$D:$D,0)),"-"),IF(E47="Quitada",IFERROR(INDEX('M-LIQUIDAÇÕES'!$E:$E,MATCH('Tabela Vendas'!$A47,'M-LIQUIDAÇÕES'!$D:$D,0)),"-"),"-"))</f>
        <v>44022</v>
      </c>
      <c r="G47" s="30">
        <f t="shared" si="0"/>
        <v>44013</v>
      </c>
      <c r="H47" s="31">
        <f>IF(E47="Vendida",IFERROR(INDEX('M-POS. FIN.'!$F:$F,MATCH('Tabela Vendas'!$A47,'M-POS. FIN.'!$D:$D,0)),"-"),IF(E47="Quitada",IFERROR(INDEX('M-LIQUIDAÇÕES'!$F:$F,MATCH('Tabela Vendas'!$A47,'M-LIQUIDAÇÕES'!$D:$D,0)),"-"),"-"))</f>
        <v>5126200</v>
      </c>
      <c r="I47" s="31">
        <f t="shared" si="1"/>
        <v>20169.978359236669</v>
      </c>
      <c r="J47" s="33" t="str">
        <f t="shared" si="2"/>
        <v>-</v>
      </c>
      <c r="K47" s="33" t="str">
        <f t="shared" si="3"/>
        <v>-</v>
      </c>
      <c r="L47" s="35" t="str">
        <f t="shared" si="4"/>
        <v>-</v>
      </c>
      <c r="M47" s="36">
        <f t="shared" si="5"/>
        <v>0.05</v>
      </c>
      <c r="N47" s="36">
        <f t="shared" si="6"/>
        <v>0</v>
      </c>
      <c r="O47" s="36">
        <f t="shared" si="7"/>
        <v>0</v>
      </c>
      <c r="P47" s="36">
        <f t="shared" si="8"/>
        <v>0.01</v>
      </c>
      <c r="Q47" s="35" t="str">
        <f t="shared" si="9"/>
        <v>-</v>
      </c>
      <c r="R47" s="38">
        <f t="shared" si="10"/>
        <v>0</v>
      </c>
      <c r="S47" s="38">
        <f t="shared" si="11"/>
        <v>1</v>
      </c>
      <c r="T47" s="38">
        <f t="shared" si="12"/>
        <v>0</v>
      </c>
      <c r="U47" s="38">
        <f t="shared" si="13"/>
        <v>0</v>
      </c>
      <c r="V47" s="35">
        <f t="shared" si="14"/>
        <v>5126200</v>
      </c>
      <c r="W47" s="336"/>
      <c r="AA47" s="142">
        <f t="shared" si="15"/>
        <v>1.0649999999999999</v>
      </c>
      <c r="AB47" s="36">
        <v>0</v>
      </c>
      <c r="AC47" s="36">
        <f t="shared" si="16"/>
        <v>0</v>
      </c>
      <c r="AD47" s="36">
        <f>-36*0.5/D47</f>
        <v>-7.0824316348613026E-2</v>
      </c>
      <c r="AE47" s="36">
        <f t="shared" si="17"/>
        <v>0</v>
      </c>
      <c r="AF47" s="466">
        <f t="shared" si="18"/>
        <v>22076.368321722588</v>
      </c>
      <c r="AG47" s="140">
        <f t="shared" si="19"/>
        <v>5610709.0089657959</v>
      </c>
      <c r="AH47" s="336"/>
    </row>
    <row r="52" spans="23:23" x14ac:dyDescent="0.25">
      <c r="W52" s="336">
        <f>SUMPRODUCT(R2:R47, V2:V47)</f>
        <v>48662225.973977618</v>
      </c>
    </row>
  </sheetData>
  <autoFilter ref="A1:V47" xr:uid="{00000000-0009-0000-0000-000008000000}"/>
  <mergeCells count="5">
    <mergeCell ref="X1:Y1"/>
    <mergeCell ref="X3:Y3"/>
    <mergeCell ref="X11:Y11"/>
    <mergeCell ref="X15:Y15"/>
    <mergeCell ref="X20:Y20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tabColor rgb="FF0070C0"/>
  </sheetPr>
  <dimension ref="A2:CC97"/>
  <sheetViews>
    <sheetView showGridLines="0" workbookViewId="0">
      <pane xSplit="3" ySplit="3" topLeftCell="D4" activePane="bottomRight" state="frozen"/>
      <selection activeCell="H22" sqref="H22"/>
      <selection pane="topRight" activeCell="H22" sqref="H22"/>
      <selection pane="bottomLeft" activeCell="H22" sqref="H22"/>
      <selection pane="bottomRight" activeCell="K6" sqref="K6"/>
    </sheetView>
  </sheetViews>
  <sheetFormatPr defaultRowHeight="15" x14ac:dyDescent="0.25"/>
  <cols>
    <col min="1" max="1" width="3.7109375" style="186" customWidth="1"/>
    <col min="2" max="2" width="9.140625" style="471" customWidth="1"/>
    <col min="4" max="4" width="3.7109375" style="186" customWidth="1"/>
    <col min="5" max="5" width="9.140625" style="42" customWidth="1"/>
    <col min="6" max="6" width="10.5703125" style="42" bestFit="1" customWidth="1"/>
    <col min="7" max="7" width="9.140625" style="42" customWidth="1"/>
    <col min="8" max="8" width="10.5703125" style="42" bestFit="1" customWidth="1"/>
    <col min="9" max="9" width="3.7109375" style="186" customWidth="1"/>
    <col min="10" max="10" width="11.28515625" style="42" bestFit="1" customWidth="1"/>
    <col min="11" max="11" width="10.5703125" style="42" customWidth="1"/>
    <col min="12" max="12" width="10.85546875" style="42" bestFit="1" customWidth="1"/>
    <col min="13" max="13" width="3.7109375" style="186" customWidth="1"/>
    <col min="14" max="14" width="11.28515625" style="42" bestFit="1" customWidth="1"/>
    <col min="15" max="15" width="10.5703125" style="42" customWidth="1"/>
    <col min="16" max="16" width="10.85546875" style="42" bestFit="1" customWidth="1"/>
    <col min="17" max="17" width="3.7109375" style="186" customWidth="1"/>
    <col min="18" max="18" width="10.85546875" style="42" customWidth="1"/>
    <col min="19" max="19" width="3.7109375" style="42" customWidth="1"/>
    <col min="20" max="21" width="10.85546875" style="42" customWidth="1"/>
    <col min="22" max="22" width="3.7109375" style="186" customWidth="1"/>
    <col min="23" max="23" width="9.140625" style="186" customWidth="1"/>
    <col min="25" max="25" width="3.7109375" style="186" customWidth="1"/>
    <col min="27" max="27" width="3.7109375" style="186" customWidth="1"/>
    <col min="31" max="31" width="10.7109375" style="186" bestFit="1" customWidth="1"/>
  </cols>
  <sheetData>
    <row r="2" spans="1:81" x14ac:dyDescent="0.25">
      <c r="A2" s="5"/>
      <c r="B2" s="472"/>
      <c r="C2" s="53"/>
      <c r="D2" s="5"/>
      <c r="E2" s="49" t="s">
        <v>384</v>
      </c>
      <c r="F2" s="50"/>
      <c r="G2" s="49" t="s">
        <v>72</v>
      </c>
      <c r="H2" s="50"/>
      <c r="I2" s="5"/>
      <c r="J2" s="49" t="s">
        <v>385</v>
      </c>
      <c r="K2" s="65"/>
      <c r="L2" s="50"/>
      <c r="M2" s="5"/>
      <c r="N2" s="49" t="s">
        <v>386</v>
      </c>
      <c r="O2" s="65"/>
      <c r="P2" s="50"/>
      <c r="Q2" s="5"/>
      <c r="R2" s="44"/>
      <c r="S2" s="44"/>
      <c r="T2" s="49" t="s">
        <v>117</v>
      </c>
      <c r="U2" s="50"/>
      <c r="V2" s="5"/>
      <c r="W2" s="54" t="s">
        <v>387</v>
      </c>
      <c r="X2" s="50"/>
      <c r="Y2" s="5"/>
      <c r="Z2" s="44"/>
      <c r="AA2" s="5"/>
      <c r="AB2" s="61" t="s">
        <v>291</v>
      </c>
      <c r="AC2" s="59"/>
      <c r="AD2" s="473">
        <f>DATE(YEAR(baseData),MONTH(baseData)+1,1)</f>
        <v>44166</v>
      </c>
      <c r="AE2" s="473">
        <f t="shared" ref="AE2:BJ2" si="0">DATE(YEAR(AD2),MONTH(AD2)+1,1)</f>
        <v>44197</v>
      </c>
      <c r="AF2" s="473">
        <f t="shared" si="0"/>
        <v>44228</v>
      </c>
      <c r="AG2" s="473">
        <f t="shared" si="0"/>
        <v>44256</v>
      </c>
      <c r="AH2" s="473">
        <f t="shared" si="0"/>
        <v>44287</v>
      </c>
      <c r="AI2" s="473">
        <f t="shared" si="0"/>
        <v>44317</v>
      </c>
      <c r="AJ2" s="473">
        <f t="shared" si="0"/>
        <v>44348</v>
      </c>
      <c r="AK2" s="473">
        <f t="shared" si="0"/>
        <v>44378</v>
      </c>
      <c r="AL2" s="473">
        <f t="shared" si="0"/>
        <v>44409</v>
      </c>
      <c r="AM2" s="473">
        <f t="shared" si="0"/>
        <v>44440</v>
      </c>
      <c r="AN2" s="473">
        <f t="shared" si="0"/>
        <v>44470</v>
      </c>
      <c r="AO2" s="473">
        <f t="shared" si="0"/>
        <v>44501</v>
      </c>
      <c r="AP2" s="473">
        <f t="shared" si="0"/>
        <v>44531</v>
      </c>
      <c r="AQ2" s="473">
        <f t="shared" si="0"/>
        <v>44562</v>
      </c>
      <c r="AR2" s="473">
        <f t="shared" si="0"/>
        <v>44593</v>
      </c>
      <c r="AS2" s="473">
        <f t="shared" si="0"/>
        <v>44621</v>
      </c>
      <c r="AT2" s="473">
        <f t="shared" si="0"/>
        <v>44652</v>
      </c>
      <c r="AU2" s="473">
        <f t="shared" si="0"/>
        <v>44682</v>
      </c>
      <c r="AV2" s="473">
        <f t="shared" si="0"/>
        <v>44713</v>
      </c>
      <c r="AW2" s="473">
        <f t="shared" si="0"/>
        <v>44743</v>
      </c>
      <c r="AX2" s="473">
        <f t="shared" si="0"/>
        <v>44774</v>
      </c>
      <c r="AY2" s="473">
        <f t="shared" si="0"/>
        <v>44805</v>
      </c>
      <c r="AZ2" s="473">
        <f t="shared" si="0"/>
        <v>44835</v>
      </c>
      <c r="BA2" s="473">
        <f t="shared" si="0"/>
        <v>44866</v>
      </c>
      <c r="BB2" s="473">
        <f t="shared" si="0"/>
        <v>44896</v>
      </c>
      <c r="BC2" s="473">
        <f t="shared" si="0"/>
        <v>44927</v>
      </c>
      <c r="BD2" s="473">
        <f t="shared" si="0"/>
        <v>44958</v>
      </c>
      <c r="BE2" s="473">
        <f t="shared" si="0"/>
        <v>44986</v>
      </c>
      <c r="BF2" s="473">
        <f t="shared" si="0"/>
        <v>45017</v>
      </c>
      <c r="BG2" s="473">
        <f t="shared" si="0"/>
        <v>45047</v>
      </c>
      <c r="BH2" s="473">
        <f t="shared" si="0"/>
        <v>45078</v>
      </c>
      <c r="BI2" s="473">
        <f t="shared" si="0"/>
        <v>45108</v>
      </c>
      <c r="BJ2" s="473">
        <f t="shared" si="0"/>
        <v>45139</v>
      </c>
      <c r="BK2" s="473">
        <f t="shared" ref="BK2:CC2" si="1">DATE(YEAR(BJ2),MONTH(BJ2)+1,1)</f>
        <v>45170</v>
      </c>
      <c r="BL2" s="473">
        <f t="shared" si="1"/>
        <v>45200</v>
      </c>
      <c r="BM2" s="473">
        <f t="shared" si="1"/>
        <v>45231</v>
      </c>
      <c r="BN2" s="473">
        <f t="shared" si="1"/>
        <v>45261</v>
      </c>
      <c r="BO2" s="473">
        <f t="shared" si="1"/>
        <v>45292</v>
      </c>
      <c r="BP2" s="473">
        <f t="shared" si="1"/>
        <v>45323</v>
      </c>
      <c r="BQ2" s="473">
        <f t="shared" si="1"/>
        <v>45352</v>
      </c>
      <c r="BR2" s="473">
        <f t="shared" si="1"/>
        <v>45383</v>
      </c>
      <c r="BS2" s="473">
        <f t="shared" si="1"/>
        <v>45413</v>
      </c>
      <c r="BT2" s="473">
        <f t="shared" si="1"/>
        <v>45444</v>
      </c>
      <c r="BU2" s="473">
        <f t="shared" si="1"/>
        <v>45474</v>
      </c>
      <c r="BV2" s="473">
        <f t="shared" si="1"/>
        <v>45505</v>
      </c>
      <c r="BW2" s="473">
        <f t="shared" si="1"/>
        <v>45536</v>
      </c>
      <c r="BX2" s="473">
        <f t="shared" si="1"/>
        <v>45566</v>
      </c>
      <c r="BY2" s="473">
        <f t="shared" si="1"/>
        <v>45597</v>
      </c>
      <c r="BZ2" s="473">
        <f t="shared" si="1"/>
        <v>45627</v>
      </c>
      <c r="CA2" s="473">
        <f t="shared" si="1"/>
        <v>45658</v>
      </c>
      <c r="CB2" s="473">
        <f t="shared" si="1"/>
        <v>45689</v>
      </c>
      <c r="CC2" s="474">
        <f t="shared" si="1"/>
        <v>45717</v>
      </c>
    </row>
    <row r="3" spans="1:81" ht="15.75" customHeight="1" thickBot="1" x14ac:dyDescent="0.3">
      <c r="A3" s="2"/>
      <c r="B3" s="475" t="s">
        <v>291</v>
      </c>
      <c r="C3" s="51" t="s">
        <v>388</v>
      </c>
      <c r="D3" s="2"/>
      <c r="E3" s="45" t="s">
        <v>389</v>
      </c>
      <c r="F3" s="47" t="s">
        <v>390</v>
      </c>
      <c r="G3" s="45" t="s">
        <v>389</v>
      </c>
      <c r="H3" s="47" t="s">
        <v>390</v>
      </c>
      <c r="I3" s="2"/>
      <c r="J3" s="66" t="s">
        <v>391</v>
      </c>
      <c r="K3" s="43" t="s">
        <v>392</v>
      </c>
      <c r="L3" s="47" t="s">
        <v>393</v>
      </c>
      <c r="M3" s="2"/>
      <c r="N3" s="66" t="s">
        <v>391</v>
      </c>
      <c r="O3" s="43" t="s">
        <v>392</v>
      </c>
      <c r="P3" s="47" t="s">
        <v>393</v>
      </c>
      <c r="Q3" s="2"/>
      <c r="R3" s="62" t="s">
        <v>394</v>
      </c>
      <c r="S3" s="195"/>
      <c r="T3" s="45" t="s">
        <v>389</v>
      </c>
      <c r="U3" s="47" t="s">
        <v>390</v>
      </c>
      <c r="V3" s="2"/>
      <c r="W3" s="55" t="s">
        <v>395</v>
      </c>
      <c r="X3" s="47" t="s">
        <v>396</v>
      </c>
      <c r="Y3" s="2"/>
      <c r="Z3" s="62" t="s">
        <v>396</v>
      </c>
      <c r="AA3" s="2"/>
      <c r="AB3" s="476"/>
      <c r="AC3" s="60" t="s">
        <v>388</v>
      </c>
      <c r="AD3" s="57">
        <v>1</v>
      </c>
      <c r="AE3" s="57">
        <f t="shared" ref="AE3:BJ3" si="2">AD3+1</f>
        <v>2</v>
      </c>
      <c r="AF3" s="57">
        <f t="shared" si="2"/>
        <v>3</v>
      </c>
      <c r="AG3" s="57">
        <f t="shared" si="2"/>
        <v>4</v>
      </c>
      <c r="AH3" s="57">
        <f t="shared" si="2"/>
        <v>5</v>
      </c>
      <c r="AI3" s="57">
        <f t="shared" si="2"/>
        <v>6</v>
      </c>
      <c r="AJ3" s="57">
        <f t="shared" si="2"/>
        <v>7</v>
      </c>
      <c r="AK3" s="57">
        <f t="shared" si="2"/>
        <v>8</v>
      </c>
      <c r="AL3" s="57">
        <f t="shared" si="2"/>
        <v>9</v>
      </c>
      <c r="AM3" s="57">
        <f t="shared" si="2"/>
        <v>10</v>
      </c>
      <c r="AN3" s="57">
        <f t="shared" si="2"/>
        <v>11</v>
      </c>
      <c r="AO3" s="57">
        <f t="shared" si="2"/>
        <v>12</v>
      </c>
      <c r="AP3" s="57">
        <f t="shared" si="2"/>
        <v>13</v>
      </c>
      <c r="AQ3" s="57">
        <f t="shared" si="2"/>
        <v>14</v>
      </c>
      <c r="AR3" s="57">
        <f t="shared" si="2"/>
        <v>15</v>
      </c>
      <c r="AS3" s="57">
        <f t="shared" si="2"/>
        <v>16</v>
      </c>
      <c r="AT3" s="57">
        <f t="shared" si="2"/>
        <v>17</v>
      </c>
      <c r="AU3" s="57">
        <f t="shared" si="2"/>
        <v>18</v>
      </c>
      <c r="AV3" s="57">
        <f t="shared" si="2"/>
        <v>19</v>
      </c>
      <c r="AW3" s="57">
        <f t="shared" si="2"/>
        <v>20</v>
      </c>
      <c r="AX3" s="57">
        <f t="shared" si="2"/>
        <v>21</v>
      </c>
      <c r="AY3" s="57">
        <f t="shared" si="2"/>
        <v>22</v>
      </c>
      <c r="AZ3" s="57">
        <f t="shared" si="2"/>
        <v>23</v>
      </c>
      <c r="BA3" s="57">
        <f t="shared" si="2"/>
        <v>24</v>
      </c>
      <c r="BB3" s="57">
        <f t="shared" si="2"/>
        <v>25</v>
      </c>
      <c r="BC3" s="57">
        <f t="shared" si="2"/>
        <v>26</v>
      </c>
      <c r="BD3" s="57">
        <f t="shared" si="2"/>
        <v>27</v>
      </c>
      <c r="BE3" s="57">
        <f t="shared" si="2"/>
        <v>28</v>
      </c>
      <c r="BF3" s="57">
        <f t="shared" si="2"/>
        <v>29</v>
      </c>
      <c r="BG3" s="57">
        <f t="shared" si="2"/>
        <v>30</v>
      </c>
      <c r="BH3" s="57">
        <f t="shared" si="2"/>
        <v>31</v>
      </c>
      <c r="BI3" s="57">
        <f t="shared" si="2"/>
        <v>32</v>
      </c>
      <c r="BJ3" s="57">
        <f t="shared" si="2"/>
        <v>33</v>
      </c>
      <c r="BK3" s="57">
        <f t="shared" ref="BK3:CC3" si="3">BJ3+1</f>
        <v>34</v>
      </c>
      <c r="BL3" s="57">
        <f t="shared" si="3"/>
        <v>35</v>
      </c>
      <c r="BM3" s="57">
        <f t="shared" si="3"/>
        <v>36</v>
      </c>
      <c r="BN3" s="57">
        <f t="shared" si="3"/>
        <v>37</v>
      </c>
      <c r="BO3" s="57">
        <f t="shared" si="3"/>
        <v>38</v>
      </c>
      <c r="BP3" s="57">
        <f t="shared" si="3"/>
        <v>39</v>
      </c>
      <c r="BQ3" s="57">
        <f t="shared" si="3"/>
        <v>40</v>
      </c>
      <c r="BR3" s="57">
        <f t="shared" si="3"/>
        <v>41</v>
      </c>
      <c r="BS3" s="57">
        <f t="shared" si="3"/>
        <v>42</v>
      </c>
      <c r="BT3" s="57">
        <f t="shared" si="3"/>
        <v>43</v>
      </c>
      <c r="BU3" s="57">
        <f t="shared" si="3"/>
        <v>44</v>
      </c>
      <c r="BV3" s="57">
        <f t="shared" si="3"/>
        <v>45</v>
      </c>
      <c r="BW3" s="57">
        <f t="shared" si="3"/>
        <v>46</v>
      </c>
      <c r="BX3" s="57">
        <f t="shared" si="3"/>
        <v>47</v>
      </c>
      <c r="BY3" s="57">
        <f t="shared" si="3"/>
        <v>48</v>
      </c>
      <c r="BZ3" s="57">
        <f t="shared" si="3"/>
        <v>49</v>
      </c>
      <c r="CA3" s="57">
        <f t="shared" si="3"/>
        <v>50</v>
      </c>
      <c r="CB3" s="57">
        <f t="shared" si="3"/>
        <v>51</v>
      </c>
      <c r="CC3" s="58">
        <f t="shared" si="3"/>
        <v>52</v>
      </c>
    </row>
    <row r="4" spans="1:81" x14ac:dyDescent="0.25">
      <c r="A4" s="2"/>
      <c r="B4" s="477">
        <f>EDATE(baseData, 1)</f>
        <v>44166</v>
      </c>
      <c r="C4" s="52">
        <v>1</v>
      </c>
      <c r="D4" s="2"/>
      <c r="E4" s="187">
        <f t="shared" ref="E4:E35" si="4">IF(AND($B4&gt;=lçto, $B4&lt;inicioObra), ajusteVendasLçto/DATEDIF(IF(AND(baseData&gt;=lçto, baseData&lt;inicioObra), EDATE(baseData, 1), lçto), inicioObra, "m"), IF(AND($B4&gt;=inicioObra, $B4&lt;=entrega), ajusteVendasObra/(DATEDIF(IF(AND(baseData&gt;=inicioObra, baseData&lt;=entrega), EDATE(baseData, 1), inicioObra), entrega, "m")+1), IF(AND($B4&gt;EDATE(entrega, carenciaVenda), $B4&lt;EDATE(terminoProjeto, -prazoRepasseVendas)), ajusteVendasPosChave/(DATEDIF(EDATE(entrega, carenciaVenda), EDATE(terminoProjeto, -prazoRepasseVendas), "m")-1), 0)))</f>
        <v>2.298850574712644E-2</v>
      </c>
      <c r="F4" s="48">
        <f>E4</f>
        <v>2.298850574712644E-2</v>
      </c>
      <c r="G4" s="46">
        <f t="shared" ref="G4:G35" ca="1" si="5">IF(B4&lt;=EDATE(entrega, chRepasse), 0, IF(AND(B4&gt;EDATE(entrega, chRepasse), B4&lt;=EDATE(entrega, chRepasse+periodoRepassePreChaves)), INDEX(F:F, MATCH(EDATE(entrega, chRepasse), B:B, 0))/periodoRepassePreChaves+IF(B4&gt;EDATE(entrega, chRepasse+prazoRepasseVendas), OFFSET(E4, -prazoRepasseVendas, 0), 0), IF(ISNUMBER(OFFSET(E4,-prazoRepasseVendas,0)),OFFSET(E4,-prazoRepasseVendas,0))))</f>
        <v>0</v>
      </c>
      <c r="H4" s="48">
        <f ca="1">G4</f>
        <v>0</v>
      </c>
      <c r="I4" s="2"/>
      <c r="J4" s="67">
        <f t="shared" ref="J4:J35" si="6">IF(B4&lt;=entrega, estoqueInicial, L3)</f>
        <v>16</v>
      </c>
      <c r="K4" s="478">
        <f t="shared" ref="K4:K35" ca="1" si="7">IF(OR(H4=1, J4=0), -J4, -ROUNDUP(estoqueInicial*G4, 0))</f>
        <v>0</v>
      </c>
      <c r="L4" s="68">
        <f t="shared" ref="L4:L35" ca="1" si="8">J4+K4</f>
        <v>16</v>
      </c>
      <c r="M4" s="2"/>
      <c r="N4" s="67">
        <f t="shared" ref="N4:N35" si="9">IF(B4&lt;=entrega, carteiraInicial, P3)</f>
        <v>21</v>
      </c>
      <c r="O4" s="478">
        <f t="shared" ref="O4:O35" si="10">IF(baseData&lt;=EDATE(entrega, chRepasse), IF(AND(B4&gt;EDATE(entrega, chRepasse), B4&lt;=EDATE(entrega, chRepasse+periodoRepassePreChaves)), IF(carteiraInicial/periodoRepassePreChaves&lt;=N4, -ROUND(carteiraInicial/periodoRepassePreChaves, 0), -N4), 0), IF(AND(B4&gt;=EDATE(baseData,carenciaRepasse),B4&lt;EDATE(baseData,carenciaRepasse+prazoRepasseCarteira)),IF(N4&gt;0,IF(N4&gt;ROUNDUP(carteiraInicial/prazoRepasseCarteira, 0),-ROUNDUP(carteiraInicial/prazoRepasseCarteira, 0),-N4),0),0))</f>
        <v>0</v>
      </c>
      <c r="P4" s="68">
        <f t="shared" ref="P4:P35" si="11">N4+O4</f>
        <v>21</v>
      </c>
      <c r="Q4" s="2"/>
      <c r="R4" s="71">
        <f t="shared" ref="R4:R35" si="12">N4+J4</f>
        <v>37</v>
      </c>
      <c r="S4" s="196"/>
      <c r="T4" s="46">
        <v>0</v>
      </c>
      <c r="U4" s="48">
        <f>T4</f>
        <v>0</v>
      </c>
      <c r="V4" s="2"/>
      <c r="W4" s="56">
        <v>1</v>
      </c>
      <c r="X4" s="48">
        <v>0.1</v>
      </c>
      <c r="Y4" s="2"/>
      <c r="Z4" s="194">
        <f t="shared" ref="Z4:Z35" si="13">SUM(AD4:CC4)</f>
        <v>1.149425287356322E-3</v>
      </c>
      <c r="AA4" s="2"/>
      <c r="AB4" s="477">
        <f t="shared" ref="AB4:AB35" si="14">B4</f>
        <v>44166</v>
      </c>
      <c r="AC4" s="52">
        <f t="shared" ref="AC4:AC35" si="15">C4</f>
        <v>1</v>
      </c>
      <c r="AD4" s="193">
        <f>IFERROR(INDEX('Fluxos de Recebimento'!$I$7:$BH$58, MATCH(Curvas!$AB4, 'Fluxos de Recebimento'!$F$7:$F$58, 0), MATCH(Curvas!AD$2,'Fluxos de Recebimento'!$I$5:$BH$5, 0))+INDEX('Fluxos de Recebimento'!$I$65:$BH$116, MATCH(Curvas!$AB4, 'Fluxos de Recebimento'!$F$65:$F$116, 0), MATCH(Curvas!AD$2, 'Fluxos de Recebimento'!$I$63:$BH$63, 0)),0)*INDEX($E:$E, MATCH(AD$2, $B:$B, 0))</f>
        <v>1.149425287356322E-3</v>
      </c>
      <c r="AE4" s="193">
        <f>IFERROR(INDEX('Fluxos de Recebimento'!$I$7:$BH$58, MATCH(Curvas!$AB4, 'Fluxos de Recebimento'!$F$7:$F$58, 0), MATCH(Curvas!AE$2,'Fluxos de Recebimento'!$I$5:$BH$5, 0))+INDEX('Fluxos de Recebimento'!$I$65:$BH$116, MATCH(Curvas!$AB4, 'Fluxos de Recebimento'!$F$65:$F$116, 0), MATCH(Curvas!AE$2, 'Fluxos de Recebimento'!$I$63:$BH$63, 0)),0)*INDEX($E:$E, MATCH(AE$2, $B:$B, 0))</f>
        <v>0</v>
      </c>
      <c r="AF4" s="193">
        <f>IFERROR(INDEX('Fluxos de Recebimento'!$I$7:$BH$58, MATCH(Curvas!$AB4, 'Fluxos de Recebimento'!$F$7:$F$58, 0), MATCH(Curvas!AF$2,'Fluxos de Recebimento'!$I$5:$BH$5, 0))+INDEX('Fluxos de Recebimento'!$I$65:$BH$116, MATCH(Curvas!$AB4, 'Fluxos de Recebimento'!$F$65:$F$116, 0), MATCH(Curvas!AF$2, 'Fluxos de Recebimento'!$I$63:$BH$63, 0)),0)*INDEX($E:$E, MATCH(AF$2, $B:$B, 0))</f>
        <v>0</v>
      </c>
      <c r="AG4" s="193">
        <f>IFERROR(INDEX('Fluxos de Recebimento'!$I$7:$BH$58, MATCH(Curvas!$AB4, 'Fluxos de Recebimento'!$F$7:$F$58, 0), MATCH(Curvas!AG$2,'Fluxos de Recebimento'!$I$5:$BH$5, 0))+INDEX('Fluxos de Recebimento'!$I$65:$BH$116, MATCH(Curvas!$AB4, 'Fluxos de Recebimento'!$F$65:$F$116, 0), MATCH(Curvas!AG$2, 'Fluxos de Recebimento'!$I$63:$BH$63, 0)),0)*INDEX($E:$E, MATCH(AG$2, $B:$B, 0))</f>
        <v>0</v>
      </c>
      <c r="AH4" s="193">
        <f>IFERROR(INDEX('Fluxos de Recebimento'!$I$7:$BH$58, MATCH(Curvas!$AB4, 'Fluxos de Recebimento'!$F$7:$F$58, 0), MATCH(Curvas!AH$2,'Fluxos de Recebimento'!$I$5:$BH$5, 0))+INDEX('Fluxos de Recebimento'!$I$65:$BH$116, MATCH(Curvas!$AB4, 'Fluxos de Recebimento'!$F$65:$F$116, 0), MATCH(Curvas!AH$2, 'Fluxos de Recebimento'!$I$63:$BH$63, 0)),0)*INDEX($E:$E, MATCH(AH$2, $B:$B, 0))</f>
        <v>0</v>
      </c>
      <c r="AI4" s="193">
        <f>IFERROR(INDEX('Fluxos de Recebimento'!$I$7:$BH$58, MATCH(Curvas!$AB4, 'Fluxos de Recebimento'!$F$7:$F$58, 0), MATCH(Curvas!AI$2,'Fluxos de Recebimento'!$I$5:$BH$5, 0))+INDEX('Fluxos de Recebimento'!$I$65:$BH$116, MATCH(Curvas!$AB4, 'Fluxos de Recebimento'!$F$65:$F$116, 0), MATCH(Curvas!AI$2, 'Fluxos de Recebimento'!$I$63:$BH$63, 0)),0)*INDEX($E:$E, MATCH(AI$2, $B:$B, 0))</f>
        <v>0</v>
      </c>
      <c r="AJ4" s="193">
        <f>IFERROR(INDEX('Fluxos de Recebimento'!$I$7:$BH$58, MATCH(Curvas!$AB4, 'Fluxos de Recebimento'!$F$7:$F$58, 0), MATCH(Curvas!AJ$2,'Fluxos de Recebimento'!$I$5:$BH$5, 0))+INDEX('Fluxos de Recebimento'!$I$65:$BH$116, MATCH(Curvas!$AB4, 'Fluxos de Recebimento'!$F$65:$F$116, 0), MATCH(Curvas!AJ$2, 'Fluxos de Recebimento'!$I$63:$BH$63, 0)),0)*INDEX($E:$E, MATCH(AJ$2, $B:$B, 0))</f>
        <v>0</v>
      </c>
      <c r="AK4" s="193">
        <f>IFERROR(INDEX('Fluxos de Recebimento'!$I$7:$BH$58, MATCH(Curvas!$AB4, 'Fluxos de Recebimento'!$F$7:$F$58, 0), MATCH(Curvas!AK$2,'Fluxos de Recebimento'!$I$5:$BH$5, 0))+INDEX('Fluxos de Recebimento'!$I$65:$BH$116, MATCH(Curvas!$AB4, 'Fluxos de Recebimento'!$F$65:$F$116, 0), MATCH(Curvas!AK$2, 'Fluxos de Recebimento'!$I$63:$BH$63, 0)),0)*INDEX($E:$E, MATCH(AK$2, $B:$B, 0))</f>
        <v>0</v>
      </c>
      <c r="AL4" s="193">
        <f>IFERROR(INDEX('Fluxos de Recebimento'!$I$7:$BH$58, MATCH(Curvas!$AB4, 'Fluxos de Recebimento'!$F$7:$F$58, 0), MATCH(Curvas!AL$2,'Fluxos de Recebimento'!$I$5:$BH$5, 0))+INDEX('Fluxos de Recebimento'!$I$65:$BH$116, MATCH(Curvas!$AB4, 'Fluxos de Recebimento'!$F$65:$F$116, 0), MATCH(Curvas!AL$2, 'Fluxos de Recebimento'!$I$63:$BH$63, 0)),0)*INDEX($E:$E, MATCH(AL$2, $B:$B, 0))</f>
        <v>0</v>
      </c>
      <c r="AM4" s="193">
        <f>IFERROR(INDEX('Fluxos de Recebimento'!$I$7:$BH$58, MATCH(Curvas!$AB4, 'Fluxos de Recebimento'!$F$7:$F$58, 0), MATCH(Curvas!AM$2,'Fluxos de Recebimento'!$I$5:$BH$5, 0))+INDEX('Fluxos de Recebimento'!$I$65:$BH$116, MATCH(Curvas!$AB4, 'Fluxos de Recebimento'!$F$65:$F$116, 0), MATCH(Curvas!AM$2, 'Fluxos de Recebimento'!$I$63:$BH$63, 0)),0)*INDEX($E:$E, MATCH(AM$2, $B:$B, 0))</f>
        <v>0</v>
      </c>
      <c r="AN4" s="193">
        <f>IFERROR(INDEX('Fluxos de Recebimento'!$I$7:$BH$58, MATCH(Curvas!$AB4, 'Fluxos de Recebimento'!$F$7:$F$58, 0), MATCH(Curvas!AN$2,'Fluxos de Recebimento'!$I$5:$BH$5, 0))+INDEX('Fluxos de Recebimento'!$I$65:$BH$116, MATCH(Curvas!$AB4, 'Fluxos de Recebimento'!$F$65:$F$116, 0), MATCH(Curvas!AN$2, 'Fluxos de Recebimento'!$I$63:$BH$63, 0)),0)*INDEX($E:$E, MATCH(AN$2, $B:$B, 0))</f>
        <v>0</v>
      </c>
      <c r="AO4" s="193">
        <f>IFERROR(INDEX('Fluxos de Recebimento'!$I$7:$BH$58, MATCH(Curvas!$AB4, 'Fluxos de Recebimento'!$F$7:$F$58, 0), MATCH(Curvas!AO$2,'Fluxos de Recebimento'!$I$5:$BH$5, 0))+INDEX('Fluxos de Recebimento'!$I$65:$BH$116, MATCH(Curvas!$AB4, 'Fluxos de Recebimento'!$F$65:$F$116, 0), MATCH(Curvas!AO$2, 'Fluxos de Recebimento'!$I$63:$BH$63, 0)),0)*INDEX($E:$E, MATCH(AO$2, $B:$B, 0))</f>
        <v>0</v>
      </c>
      <c r="AP4" s="193">
        <f>IFERROR(INDEX('Fluxos de Recebimento'!$I$7:$BH$58, MATCH(Curvas!$AB4, 'Fluxos de Recebimento'!$F$7:$F$58, 0), MATCH(Curvas!AP$2,'Fluxos de Recebimento'!$I$5:$BH$5, 0))+INDEX('Fluxos de Recebimento'!$I$65:$BH$116, MATCH(Curvas!$AB4, 'Fluxos de Recebimento'!$F$65:$F$116, 0), MATCH(Curvas!AP$2, 'Fluxos de Recebimento'!$I$63:$BH$63, 0)),0)*INDEX($E:$E, MATCH(AP$2, $B:$B, 0))</f>
        <v>0</v>
      </c>
      <c r="AQ4" s="193">
        <f>IFERROR(INDEX('Fluxos de Recebimento'!$I$7:$BH$58, MATCH(Curvas!$AB4, 'Fluxos de Recebimento'!$F$7:$F$58, 0), MATCH(Curvas!AQ$2,'Fluxos de Recebimento'!$I$5:$BH$5, 0))+INDEX('Fluxos de Recebimento'!$I$65:$BH$116, MATCH(Curvas!$AB4, 'Fluxos de Recebimento'!$F$65:$F$116, 0), MATCH(Curvas!AQ$2, 'Fluxos de Recebimento'!$I$63:$BH$63, 0)),0)*INDEX($E:$E, MATCH(AQ$2, $B:$B, 0))</f>
        <v>0</v>
      </c>
      <c r="AR4" s="193">
        <f>IFERROR(INDEX('Fluxos de Recebimento'!$I$7:$BH$58, MATCH(Curvas!$AB4, 'Fluxos de Recebimento'!$F$7:$F$58, 0), MATCH(Curvas!AR$2,'Fluxos de Recebimento'!$I$5:$BH$5, 0))+INDEX('Fluxos de Recebimento'!$I$65:$BH$116, MATCH(Curvas!$AB4, 'Fluxos de Recebimento'!$F$65:$F$116, 0), MATCH(Curvas!AR$2, 'Fluxos de Recebimento'!$I$63:$BH$63, 0)),0)*INDEX($E:$E, MATCH(AR$2, $B:$B, 0))</f>
        <v>0</v>
      </c>
      <c r="AS4" s="193">
        <f>IFERROR(INDEX('Fluxos de Recebimento'!$I$7:$BH$58, MATCH(Curvas!$AB4, 'Fluxos de Recebimento'!$F$7:$F$58, 0), MATCH(Curvas!AS$2,'Fluxos de Recebimento'!$I$5:$BH$5, 0))+INDEX('Fluxos de Recebimento'!$I$65:$BH$116, MATCH(Curvas!$AB4, 'Fluxos de Recebimento'!$F$65:$F$116, 0), MATCH(Curvas!AS$2, 'Fluxos de Recebimento'!$I$63:$BH$63, 0)),0)*INDEX($E:$E, MATCH(AS$2, $B:$B, 0))</f>
        <v>0</v>
      </c>
      <c r="AT4" s="193">
        <f>IFERROR(INDEX('Fluxos de Recebimento'!$I$7:$BH$58, MATCH(Curvas!$AB4, 'Fluxos de Recebimento'!$F$7:$F$58, 0), MATCH(Curvas!AT$2,'Fluxos de Recebimento'!$I$5:$BH$5, 0))+INDEX('Fluxos de Recebimento'!$I$65:$BH$116, MATCH(Curvas!$AB4, 'Fluxos de Recebimento'!$F$65:$F$116, 0), MATCH(Curvas!AT$2, 'Fluxos de Recebimento'!$I$63:$BH$63, 0)),0)*INDEX($E:$E, MATCH(AT$2, $B:$B, 0))</f>
        <v>0</v>
      </c>
      <c r="AU4" s="193">
        <f>IFERROR(INDEX('Fluxos de Recebimento'!$I$7:$BH$58, MATCH(Curvas!$AB4, 'Fluxos de Recebimento'!$F$7:$F$58, 0), MATCH(Curvas!AU$2,'Fluxos de Recebimento'!$I$5:$BH$5, 0))+INDEX('Fluxos de Recebimento'!$I$65:$BH$116, MATCH(Curvas!$AB4, 'Fluxos de Recebimento'!$F$65:$F$116, 0), MATCH(Curvas!AU$2, 'Fluxos de Recebimento'!$I$63:$BH$63, 0)),0)*INDEX($E:$E, MATCH(AU$2, $B:$B, 0))</f>
        <v>0</v>
      </c>
      <c r="AV4" s="193">
        <f>IFERROR(INDEX('Fluxos de Recebimento'!$I$7:$BH$58, MATCH(Curvas!$AB4, 'Fluxos de Recebimento'!$F$7:$F$58, 0), MATCH(Curvas!AV$2,'Fluxos de Recebimento'!$I$5:$BH$5, 0))+INDEX('Fluxos de Recebimento'!$I$65:$BH$116, MATCH(Curvas!$AB4, 'Fluxos de Recebimento'!$F$65:$F$116, 0), MATCH(Curvas!AV$2, 'Fluxos de Recebimento'!$I$63:$BH$63, 0)),0)*INDEX($E:$E, MATCH(AV$2, $B:$B, 0))</f>
        <v>0</v>
      </c>
      <c r="AW4" s="193">
        <f>IFERROR(INDEX('Fluxos de Recebimento'!$I$7:$BH$58, MATCH(Curvas!$AB4, 'Fluxos de Recebimento'!$F$7:$F$58, 0), MATCH(Curvas!AW$2,'Fluxos de Recebimento'!$I$5:$BH$5, 0))+INDEX('Fluxos de Recebimento'!$I$65:$BH$116, MATCH(Curvas!$AB4, 'Fluxos de Recebimento'!$F$65:$F$116, 0), MATCH(Curvas!AW$2, 'Fluxos de Recebimento'!$I$63:$BH$63, 0)),0)*INDEX($E:$E, MATCH(AW$2, $B:$B, 0))</f>
        <v>0</v>
      </c>
      <c r="AX4" s="193">
        <f>IFERROR(INDEX('Fluxos de Recebimento'!$I$7:$BH$58, MATCH(Curvas!$AB4, 'Fluxos de Recebimento'!$F$7:$F$58, 0), MATCH(Curvas!AX$2,'Fluxos de Recebimento'!$I$5:$BH$5, 0))+INDEX('Fluxos de Recebimento'!$I$65:$BH$116, MATCH(Curvas!$AB4, 'Fluxos de Recebimento'!$F$65:$F$116, 0), MATCH(Curvas!AX$2, 'Fluxos de Recebimento'!$I$63:$BH$63, 0)),0)*INDEX($E:$E, MATCH(AX$2, $B:$B, 0))</f>
        <v>0</v>
      </c>
      <c r="AY4" s="193">
        <f>IFERROR(INDEX('Fluxos de Recebimento'!$I$7:$BH$58, MATCH(Curvas!$AB4, 'Fluxos de Recebimento'!$F$7:$F$58, 0), MATCH(Curvas!AY$2,'Fluxos de Recebimento'!$I$5:$BH$5, 0))+INDEX('Fluxos de Recebimento'!$I$65:$BH$116, MATCH(Curvas!$AB4, 'Fluxos de Recebimento'!$F$65:$F$116, 0), MATCH(Curvas!AY$2, 'Fluxos de Recebimento'!$I$63:$BH$63, 0)),0)*INDEX($E:$E, MATCH(AY$2, $B:$B, 0))</f>
        <v>0</v>
      </c>
      <c r="AZ4" s="193">
        <f>IFERROR(INDEX('Fluxos de Recebimento'!$I$7:$BH$58, MATCH(Curvas!$AB4, 'Fluxos de Recebimento'!$F$7:$F$58, 0), MATCH(Curvas!AZ$2,'Fluxos de Recebimento'!$I$5:$BH$5, 0))+INDEX('Fluxos de Recebimento'!$I$65:$BH$116, MATCH(Curvas!$AB4, 'Fluxos de Recebimento'!$F$65:$F$116, 0), MATCH(Curvas!AZ$2, 'Fluxos de Recebimento'!$I$63:$BH$63, 0)),0)*INDEX($E:$E, MATCH(AZ$2, $B:$B, 0))</f>
        <v>0</v>
      </c>
      <c r="BA4" s="193">
        <f>IFERROR(INDEX('Fluxos de Recebimento'!$I$7:$BH$58, MATCH(Curvas!$AB4, 'Fluxos de Recebimento'!$F$7:$F$58, 0), MATCH(Curvas!BA$2,'Fluxos de Recebimento'!$I$5:$BH$5, 0))+INDEX('Fluxos de Recebimento'!$I$65:$BH$116, MATCH(Curvas!$AB4, 'Fluxos de Recebimento'!$F$65:$F$116, 0), MATCH(Curvas!BA$2, 'Fluxos de Recebimento'!$I$63:$BH$63, 0)),0)*INDEX($E:$E, MATCH(BA$2, $B:$B, 0))</f>
        <v>0</v>
      </c>
      <c r="BB4" s="193">
        <f>IFERROR(INDEX('Fluxos de Recebimento'!$I$7:$BH$58, MATCH(Curvas!$AB4, 'Fluxos de Recebimento'!$F$7:$F$58, 0), MATCH(Curvas!BB$2,'Fluxos de Recebimento'!$I$5:$BH$5, 0))+INDEX('Fluxos de Recebimento'!$I$65:$BH$116, MATCH(Curvas!$AB4, 'Fluxos de Recebimento'!$F$65:$F$116, 0), MATCH(Curvas!BB$2, 'Fluxos de Recebimento'!$I$63:$BH$63, 0)),0)*INDEX($E:$E, MATCH(BB$2, $B:$B, 0))</f>
        <v>0</v>
      </c>
      <c r="BC4" s="193">
        <f>IFERROR(INDEX('Fluxos de Recebimento'!$I$7:$BH$58, MATCH(Curvas!$AB4, 'Fluxos de Recebimento'!$F$7:$F$58, 0), MATCH(Curvas!BC$2,'Fluxos de Recebimento'!$I$5:$BH$5, 0))+INDEX('Fluxos de Recebimento'!$I$65:$BH$116, MATCH(Curvas!$AB4, 'Fluxos de Recebimento'!$F$65:$F$116, 0), MATCH(Curvas!BC$2, 'Fluxos de Recebimento'!$I$63:$BH$63, 0)),0)*INDEX($E:$E, MATCH(BC$2, $B:$B, 0))</f>
        <v>0</v>
      </c>
      <c r="BD4" s="193">
        <f>IFERROR(INDEX('Fluxos de Recebimento'!$I$7:$BH$58, MATCH(Curvas!$AB4, 'Fluxos de Recebimento'!$F$7:$F$58, 0), MATCH(Curvas!BD$2,'Fluxos de Recebimento'!$I$5:$BH$5, 0))+INDEX('Fluxos de Recebimento'!$I$65:$BH$116, MATCH(Curvas!$AB4, 'Fluxos de Recebimento'!$F$65:$F$116, 0), MATCH(Curvas!BD$2, 'Fluxos de Recebimento'!$I$63:$BH$63, 0)),0)*INDEX($E:$E, MATCH(BD$2, $B:$B, 0))</f>
        <v>0</v>
      </c>
      <c r="BE4" s="193">
        <f>IFERROR(INDEX('Fluxos de Recebimento'!$I$7:$BH$58, MATCH(Curvas!$AB4, 'Fluxos de Recebimento'!$F$7:$F$58, 0), MATCH(Curvas!BE$2,'Fluxos de Recebimento'!$I$5:$BH$5, 0))+INDEX('Fluxos de Recebimento'!$I$65:$BH$116, MATCH(Curvas!$AB4, 'Fluxos de Recebimento'!$F$65:$F$116, 0), MATCH(Curvas!BE$2, 'Fluxos de Recebimento'!$I$63:$BH$63, 0)),0)*INDEX($E:$E, MATCH(BE$2, $B:$B, 0))</f>
        <v>0</v>
      </c>
      <c r="BF4" s="193">
        <f>IFERROR(INDEX('Fluxos de Recebimento'!$I$7:$BH$58, MATCH(Curvas!$AB4, 'Fluxos de Recebimento'!$F$7:$F$58, 0), MATCH(Curvas!BF$2,'Fluxos de Recebimento'!$I$5:$BH$5, 0))+INDEX('Fluxos de Recebimento'!$I$65:$BH$116, MATCH(Curvas!$AB4, 'Fluxos de Recebimento'!$F$65:$F$116, 0), MATCH(Curvas!BF$2, 'Fluxos de Recebimento'!$I$63:$BH$63, 0)),0)*INDEX($E:$E, MATCH(BF$2, $B:$B, 0))</f>
        <v>0</v>
      </c>
      <c r="BG4" s="193">
        <f>IFERROR(INDEX('Fluxos de Recebimento'!$I$7:$BH$58, MATCH(Curvas!$AB4, 'Fluxos de Recebimento'!$F$7:$F$58, 0), MATCH(Curvas!BG$2,'Fluxos de Recebimento'!$I$5:$BH$5, 0))+INDEX('Fluxos de Recebimento'!$I$65:$BH$116, MATCH(Curvas!$AB4, 'Fluxos de Recebimento'!$F$65:$F$116, 0), MATCH(Curvas!BG$2, 'Fluxos de Recebimento'!$I$63:$BH$63, 0)),0)*INDEX($E:$E, MATCH(BG$2, $B:$B, 0))</f>
        <v>0</v>
      </c>
      <c r="BH4" s="193">
        <f>IFERROR(INDEX('Fluxos de Recebimento'!$I$7:$BH$58, MATCH(Curvas!$AB4, 'Fluxos de Recebimento'!$F$7:$F$58, 0), MATCH(Curvas!BH$2,'Fluxos de Recebimento'!$I$5:$BH$5, 0))+INDEX('Fluxos de Recebimento'!$I$65:$BH$116, MATCH(Curvas!$AB4, 'Fluxos de Recebimento'!$F$65:$F$116, 0), MATCH(Curvas!BH$2, 'Fluxos de Recebimento'!$I$63:$BH$63, 0)),0)*INDEX($E:$E, MATCH(BH$2, $B:$B, 0))</f>
        <v>0</v>
      </c>
      <c r="BI4" s="193">
        <f>IFERROR(INDEX('Fluxos de Recebimento'!$I$7:$BH$58, MATCH(Curvas!$AB4, 'Fluxos de Recebimento'!$F$7:$F$58, 0), MATCH(Curvas!BI$2,'Fluxos de Recebimento'!$I$5:$BH$5, 0))+INDEX('Fluxos de Recebimento'!$I$65:$BH$116, MATCH(Curvas!$AB4, 'Fluxos de Recebimento'!$F$65:$F$116, 0), MATCH(Curvas!BI$2, 'Fluxos de Recebimento'!$I$63:$BH$63, 0)),0)*INDEX($E:$E, MATCH(BI$2, $B:$B, 0))</f>
        <v>0</v>
      </c>
      <c r="BJ4" s="193">
        <f>IFERROR(INDEX('Fluxos de Recebimento'!$I$7:$BH$58, MATCH(Curvas!$AB4, 'Fluxos de Recebimento'!$F$7:$F$58, 0), MATCH(Curvas!BJ$2,'Fluxos de Recebimento'!$I$5:$BH$5, 0))+INDEX('Fluxos de Recebimento'!$I$65:$BH$116, MATCH(Curvas!$AB4, 'Fluxos de Recebimento'!$F$65:$F$116, 0), MATCH(Curvas!BJ$2, 'Fluxos de Recebimento'!$I$63:$BH$63, 0)),0)*INDEX($E:$E, MATCH(BJ$2, $B:$B, 0))</f>
        <v>0</v>
      </c>
      <c r="BK4" s="193">
        <f>IFERROR(INDEX('Fluxos de Recebimento'!$I$7:$BH$58, MATCH(Curvas!$AB4, 'Fluxos de Recebimento'!$F$7:$F$58, 0), MATCH(Curvas!BK$2,'Fluxos de Recebimento'!$I$5:$BH$5, 0))+INDEX('Fluxos de Recebimento'!$I$65:$BH$116, MATCH(Curvas!$AB4, 'Fluxos de Recebimento'!$F$65:$F$116, 0), MATCH(Curvas!BK$2, 'Fluxos de Recebimento'!$I$63:$BH$63, 0)),0)*INDEX($E:$E, MATCH(BK$2, $B:$B, 0))</f>
        <v>0</v>
      </c>
      <c r="BL4" s="193">
        <f>IFERROR(INDEX('Fluxos de Recebimento'!$I$7:$BH$58, MATCH(Curvas!$AB4, 'Fluxos de Recebimento'!$F$7:$F$58, 0), MATCH(Curvas!BL$2,'Fluxos de Recebimento'!$I$5:$BH$5, 0))+INDEX('Fluxos de Recebimento'!$I$65:$BH$116, MATCH(Curvas!$AB4, 'Fluxos de Recebimento'!$F$65:$F$116, 0), MATCH(Curvas!BL$2, 'Fluxos de Recebimento'!$I$63:$BH$63, 0)),0)*INDEX($E:$E, MATCH(BL$2, $B:$B, 0))</f>
        <v>0</v>
      </c>
      <c r="BM4" s="193">
        <f>IFERROR(INDEX('Fluxos de Recebimento'!$I$7:$BH$58, MATCH(Curvas!$AB4, 'Fluxos de Recebimento'!$F$7:$F$58, 0), MATCH(Curvas!BM$2,'Fluxos de Recebimento'!$I$5:$BH$5, 0))+INDEX('Fluxos de Recebimento'!$I$65:$BH$116, MATCH(Curvas!$AB4, 'Fluxos de Recebimento'!$F$65:$F$116, 0), MATCH(Curvas!BM$2, 'Fluxos de Recebimento'!$I$63:$BH$63, 0)),0)*INDEX($E:$E, MATCH(BM$2, $B:$B, 0))</f>
        <v>0</v>
      </c>
      <c r="BN4" s="193">
        <f>IFERROR(INDEX('Fluxos de Recebimento'!$I$7:$BH$58, MATCH(Curvas!$AB4, 'Fluxos de Recebimento'!$F$7:$F$58, 0), MATCH(Curvas!BN$2,'Fluxos de Recebimento'!$I$5:$BH$5, 0))+INDEX('Fluxos de Recebimento'!$I$65:$BH$116, MATCH(Curvas!$AB4, 'Fluxos de Recebimento'!$F$65:$F$116, 0), MATCH(Curvas!BN$2, 'Fluxos de Recebimento'!$I$63:$BH$63, 0)),0)*INDEX($E:$E, MATCH(BN$2, $B:$B, 0))</f>
        <v>0</v>
      </c>
      <c r="BO4" s="193">
        <f>IFERROR(INDEX('Fluxos de Recebimento'!$I$7:$BH$58, MATCH(Curvas!$AB4, 'Fluxos de Recebimento'!$F$7:$F$58, 0), MATCH(Curvas!BO$2,'Fluxos de Recebimento'!$I$5:$BH$5, 0))+INDEX('Fluxos de Recebimento'!$I$65:$BH$116, MATCH(Curvas!$AB4, 'Fluxos de Recebimento'!$F$65:$F$116, 0), MATCH(Curvas!BO$2, 'Fluxos de Recebimento'!$I$63:$BH$63, 0)),0)*INDEX($E:$E, MATCH(BO$2, $B:$B, 0))</f>
        <v>0</v>
      </c>
      <c r="BP4" s="193">
        <f>IFERROR(INDEX('Fluxos de Recebimento'!$I$7:$BH$58, MATCH(Curvas!$AB4, 'Fluxos de Recebimento'!$F$7:$F$58, 0), MATCH(Curvas!BP$2,'Fluxos de Recebimento'!$I$5:$BH$5, 0))+INDEX('Fluxos de Recebimento'!$I$65:$BH$116, MATCH(Curvas!$AB4, 'Fluxos de Recebimento'!$F$65:$F$116, 0), MATCH(Curvas!BP$2, 'Fluxos de Recebimento'!$I$63:$BH$63, 0)),0)*INDEX($E:$E, MATCH(BP$2, $B:$B, 0))</f>
        <v>0</v>
      </c>
      <c r="BQ4" s="193">
        <f>IFERROR(INDEX('Fluxos de Recebimento'!$I$7:$BH$58, MATCH(Curvas!$AB4, 'Fluxos de Recebimento'!$F$7:$F$58, 0), MATCH(Curvas!BQ$2,'Fluxos de Recebimento'!$I$5:$BH$5, 0))+INDEX('Fluxos de Recebimento'!$I$65:$BH$116, MATCH(Curvas!$AB4, 'Fluxos de Recebimento'!$F$65:$F$116, 0), MATCH(Curvas!BQ$2, 'Fluxos de Recebimento'!$I$63:$BH$63, 0)),0)*INDEX($E:$E, MATCH(BQ$2, $B:$B, 0))</f>
        <v>0</v>
      </c>
      <c r="BR4" s="193">
        <f>IFERROR(INDEX('Fluxos de Recebimento'!$I$7:$BH$58, MATCH(Curvas!$AB4, 'Fluxos de Recebimento'!$F$7:$F$58, 0), MATCH(Curvas!BR$2,'Fluxos de Recebimento'!$I$5:$BH$5, 0))+INDEX('Fluxos de Recebimento'!$I$65:$BH$116, MATCH(Curvas!$AB4, 'Fluxos de Recebimento'!$F$65:$F$116, 0), MATCH(Curvas!BR$2, 'Fluxos de Recebimento'!$I$63:$BH$63, 0)),0)*INDEX($E:$E, MATCH(BR$2, $B:$B, 0))</f>
        <v>0</v>
      </c>
      <c r="BS4" s="193">
        <f>IFERROR(INDEX('Fluxos de Recebimento'!$I$7:$BH$58, MATCH(Curvas!$AB4, 'Fluxos de Recebimento'!$F$7:$F$58, 0), MATCH(Curvas!BS$2,'Fluxos de Recebimento'!$I$5:$BH$5, 0))+INDEX('Fluxos de Recebimento'!$I$65:$BH$116, MATCH(Curvas!$AB4, 'Fluxos de Recebimento'!$F$65:$F$116, 0), MATCH(Curvas!BS$2, 'Fluxos de Recebimento'!$I$63:$BH$63, 0)),0)*INDEX($E:$E, MATCH(BS$2, $B:$B, 0))</f>
        <v>0</v>
      </c>
      <c r="BT4" s="193">
        <f>IFERROR(INDEX('Fluxos de Recebimento'!$I$7:$BH$58, MATCH(Curvas!$AB4, 'Fluxos de Recebimento'!$F$7:$F$58, 0), MATCH(Curvas!BT$2,'Fluxos de Recebimento'!$I$5:$BH$5, 0))+INDEX('Fluxos de Recebimento'!$I$65:$BH$116, MATCH(Curvas!$AB4, 'Fluxos de Recebimento'!$F$65:$F$116, 0), MATCH(Curvas!BT$2, 'Fluxos de Recebimento'!$I$63:$BH$63, 0)),0)*INDEX($E:$E, MATCH(BT$2, $B:$B, 0))</f>
        <v>0</v>
      </c>
      <c r="BU4" s="193">
        <f>IFERROR(INDEX('Fluxos de Recebimento'!$I$7:$BH$58, MATCH(Curvas!$AB4, 'Fluxos de Recebimento'!$F$7:$F$58, 0), MATCH(Curvas!BU$2,'Fluxos de Recebimento'!$I$5:$BH$5, 0))+INDEX('Fluxos de Recebimento'!$I$65:$BH$116, MATCH(Curvas!$AB4, 'Fluxos de Recebimento'!$F$65:$F$116, 0), MATCH(Curvas!BU$2, 'Fluxos de Recebimento'!$I$63:$BH$63, 0)),0)*INDEX($E:$E, MATCH(BU$2, $B:$B, 0))</f>
        <v>0</v>
      </c>
      <c r="BV4" s="193">
        <f>IFERROR(INDEX('Fluxos de Recebimento'!$I$7:$BH$58, MATCH(Curvas!$AB4, 'Fluxos de Recebimento'!$F$7:$F$58, 0), MATCH(Curvas!BV$2,'Fluxos de Recebimento'!$I$5:$BH$5, 0))+INDEX('Fluxos de Recebimento'!$I$65:$BH$116, MATCH(Curvas!$AB4, 'Fluxos de Recebimento'!$F$65:$F$116, 0), MATCH(Curvas!BV$2, 'Fluxos de Recebimento'!$I$63:$BH$63, 0)),0)*INDEX($E:$E, MATCH(BV$2, $B:$B, 0))</f>
        <v>0</v>
      </c>
      <c r="BW4" s="193">
        <f>IFERROR(INDEX('Fluxos de Recebimento'!$I$7:$BH$58, MATCH(Curvas!$AB4, 'Fluxos de Recebimento'!$F$7:$F$58, 0), MATCH(Curvas!BW$2,'Fluxos de Recebimento'!$I$5:$BH$5, 0))+INDEX('Fluxos de Recebimento'!$I$65:$BH$116, MATCH(Curvas!$AB4, 'Fluxos de Recebimento'!$F$65:$F$116, 0), MATCH(Curvas!BW$2, 'Fluxos de Recebimento'!$I$63:$BH$63, 0)),0)*INDEX($E:$E, MATCH(BW$2, $B:$B, 0))</f>
        <v>0</v>
      </c>
      <c r="BX4" s="193">
        <f>IFERROR(INDEX('Fluxos de Recebimento'!$I$7:$BH$58, MATCH(Curvas!$AB4, 'Fluxos de Recebimento'!$F$7:$F$58, 0), MATCH(Curvas!BX$2,'Fluxos de Recebimento'!$I$5:$BH$5, 0))+INDEX('Fluxos de Recebimento'!$I$65:$BH$116, MATCH(Curvas!$AB4, 'Fluxos de Recebimento'!$F$65:$F$116, 0), MATCH(Curvas!BX$2, 'Fluxos de Recebimento'!$I$63:$BH$63, 0)),0)*INDEX($E:$E, MATCH(BX$2, $B:$B, 0))</f>
        <v>0</v>
      </c>
      <c r="BY4" s="193">
        <f>IFERROR(INDEX('Fluxos de Recebimento'!$I$7:$BH$58, MATCH(Curvas!$AB4, 'Fluxos de Recebimento'!$F$7:$F$58, 0), MATCH(Curvas!BY$2,'Fluxos de Recebimento'!$I$5:$BH$5, 0))+INDEX('Fluxos de Recebimento'!$I$65:$BH$116, MATCH(Curvas!$AB4, 'Fluxos de Recebimento'!$F$65:$F$116, 0), MATCH(Curvas!BY$2, 'Fluxos de Recebimento'!$I$63:$BH$63, 0)),0)*INDEX($E:$E, MATCH(BY$2, $B:$B, 0))</f>
        <v>0</v>
      </c>
      <c r="BZ4" s="193">
        <f>IFERROR(INDEX('Fluxos de Recebimento'!$I$7:$BH$58, MATCH(Curvas!$AB4, 'Fluxos de Recebimento'!$F$7:$F$58, 0), MATCH(Curvas!BZ$2,'Fluxos de Recebimento'!$I$5:$BH$5, 0))+INDEX('Fluxos de Recebimento'!$I$65:$BH$116, MATCH(Curvas!$AB4, 'Fluxos de Recebimento'!$F$65:$F$116, 0), MATCH(Curvas!BZ$2, 'Fluxos de Recebimento'!$I$63:$BH$63, 0)),0)*INDEX($E:$E, MATCH(BZ$2, $B:$B, 0))</f>
        <v>0</v>
      </c>
      <c r="CA4" s="193">
        <f>IFERROR(INDEX('Fluxos de Recebimento'!$I$7:$BH$58, MATCH(Curvas!$AB4, 'Fluxos de Recebimento'!$F$7:$F$58, 0), MATCH(Curvas!CA$2,'Fluxos de Recebimento'!$I$5:$BH$5, 0))+INDEX('Fluxos de Recebimento'!$I$65:$BH$116, MATCH(Curvas!$AB4, 'Fluxos de Recebimento'!$F$65:$F$116, 0), MATCH(Curvas!CA$2, 'Fluxos de Recebimento'!$I$63:$BH$63, 0)),0)*INDEX($E:$E, MATCH(CA$2, $B:$B, 0))</f>
        <v>0</v>
      </c>
      <c r="CB4" s="193">
        <f>IFERROR(INDEX('Fluxos de Recebimento'!$I$7:$BH$58, MATCH(Curvas!$AB4, 'Fluxos de Recebimento'!$F$7:$F$58, 0), MATCH(Curvas!CB$2,'Fluxos de Recebimento'!$I$5:$BH$5, 0))+INDEX('Fluxos de Recebimento'!$I$65:$BH$116, MATCH(Curvas!$AB4, 'Fluxos de Recebimento'!$F$65:$F$116, 0), MATCH(Curvas!CB$2, 'Fluxos de Recebimento'!$I$63:$BH$63, 0)),0)*INDEX($E:$E, MATCH(CB$2, $B:$B, 0))</f>
        <v>0</v>
      </c>
      <c r="CC4" s="193">
        <f>IFERROR(INDEX('Fluxos de Recebimento'!$I$7:$BH$58, MATCH(Curvas!$AB4, 'Fluxos de Recebimento'!$F$7:$F$58, 0), MATCH(Curvas!CC$2,'Fluxos de Recebimento'!$I$5:$BH$5, 0))+INDEX('Fluxos de Recebimento'!$I$65:$BH$116, MATCH(Curvas!$AB4, 'Fluxos de Recebimento'!$F$65:$F$116, 0), MATCH(Curvas!CC$2, 'Fluxos de Recebimento'!$I$63:$BH$63, 0)),0)*INDEX($E:$E, MATCH(CC$2, $B:$B, 0))</f>
        <v>0</v>
      </c>
    </row>
    <row r="5" spans="1:81" x14ac:dyDescent="0.25">
      <c r="A5" s="2"/>
      <c r="B5" s="477">
        <f t="shared" ref="B5:B36" si="16">EDATE(B4, 1)</f>
        <v>44197</v>
      </c>
      <c r="C5" s="52">
        <f t="shared" ref="C5:C36" si="17">C4+1</f>
        <v>2</v>
      </c>
      <c r="D5" s="2"/>
      <c r="E5" s="187">
        <f t="shared" si="4"/>
        <v>2.298850574712644E-2</v>
      </c>
      <c r="F5" s="48">
        <f t="shared" ref="F5:F36" si="18">F4+E5</f>
        <v>4.597701149425288E-2</v>
      </c>
      <c r="G5" s="46">
        <f t="shared" ca="1" si="5"/>
        <v>0</v>
      </c>
      <c r="H5" s="48">
        <f t="shared" ref="H5:H36" ca="1" si="19">H4+G5</f>
        <v>0</v>
      </c>
      <c r="I5" s="2"/>
      <c r="J5" s="69">
        <f t="shared" si="6"/>
        <v>16</v>
      </c>
      <c r="K5" s="479">
        <f t="shared" ca="1" si="7"/>
        <v>0</v>
      </c>
      <c r="L5" s="70">
        <f t="shared" ca="1" si="8"/>
        <v>16</v>
      </c>
      <c r="M5" s="2"/>
      <c r="N5" s="69">
        <f t="shared" si="9"/>
        <v>21</v>
      </c>
      <c r="O5" s="479">
        <f t="shared" si="10"/>
        <v>0</v>
      </c>
      <c r="P5" s="70">
        <f t="shared" si="11"/>
        <v>21</v>
      </c>
      <c r="Q5" s="2"/>
      <c r="R5" s="71">
        <f t="shared" si="12"/>
        <v>37</v>
      </c>
      <c r="S5" s="196"/>
      <c r="T5" s="46">
        <v>0</v>
      </c>
      <c r="U5" s="48">
        <f t="shared" ref="U5:U36" si="20">U4+T5</f>
        <v>0</v>
      </c>
      <c r="V5" s="2"/>
      <c r="W5" s="56">
        <f t="shared" ref="W5:W15" si="21">W4+1</f>
        <v>2</v>
      </c>
      <c r="X5" s="48">
        <v>0.1</v>
      </c>
      <c r="Y5" s="2"/>
      <c r="Z5" s="194">
        <f t="shared" si="13"/>
        <v>1.3136288998357966E-3</v>
      </c>
      <c r="AA5" s="2"/>
      <c r="AB5" s="477">
        <f t="shared" si="14"/>
        <v>44197</v>
      </c>
      <c r="AC5" s="52">
        <f t="shared" si="15"/>
        <v>2</v>
      </c>
      <c r="AD5" s="193">
        <f>IFERROR(INDEX('Fluxos de Recebimento'!$I$7:$BH$58, MATCH(Curvas!$AB5, 'Fluxos de Recebimento'!$F$7:$F$58, 0), MATCH(Curvas!AD$2,'Fluxos de Recebimento'!$I$5:$BH$5, 0))+INDEX('Fluxos de Recebimento'!$I$65:$BH$116, MATCH(Curvas!$AB5, 'Fluxos de Recebimento'!$F$65:$F$116, 0), MATCH(Curvas!AD$2, 'Fluxos de Recebimento'!$I$63:$BH$63, 0)),0)*INDEX($E:$E, MATCH(AD$2, $B:$B, 0))</f>
        <v>1.6420361247947458E-4</v>
      </c>
      <c r="AE5" s="193">
        <f>IFERROR(INDEX('Fluxos de Recebimento'!$I$7:$BH$58, MATCH(Curvas!$AB5, 'Fluxos de Recebimento'!$F$7:$F$58, 0), MATCH(Curvas!AE$2,'Fluxos de Recebimento'!$I$5:$BH$5, 0))+INDEX('Fluxos de Recebimento'!$I$65:$BH$116, MATCH(Curvas!$AB5, 'Fluxos de Recebimento'!$F$65:$F$116, 0), MATCH(Curvas!AE$2, 'Fluxos de Recebimento'!$I$63:$BH$63, 0)),0)*INDEX($E:$E, MATCH(AE$2, $B:$B, 0))</f>
        <v>1.149425287356322E-3</v>
      </c>
      <c r="AF5" s="193">
        <f>IFERROR(INDEX('Fluxos de Recebimento'!$I$7:$BH$58, MATCH(Curvas!$AB5, 'Fluxos de Recebimento'!$F$7:$F$58, 0), MATCH(Curvas!AF$2,'Fluxos de Recebimento'!$I$5:$BH$5, 0))+INDEX('Fluxos de Recebimento'!$I$65:$BH$116, MATCH(Curvas!$AB5, 'Fluxos de Recebimento'!$F$65:$F$116, 0), MATCH(Curvas!AF$2, 'Fluxos de Recebimento'!$I$63:$BH$63, 0)),0)*INDEX($E:$E, MATCH(AF$2, $B:$B, 0))</f>
        <v>0</v>
      </c>
      <c r="AG5" s="193">
        <f>IFERROR(INDEX('Fluxos de Recebimento'!$I$7:$BH$58, MATCH(Curvas!$AB5, 'Fluxos de Recebimento'!$F$7:$F$58, 0), MATCH(Curvas!AG$2,'Fluxos de Recebimento'!$I$5:$BH$5, 0))+INDEX('Fluxos de Recebimento'!$I$65:$BH$116, MATCH(Curvas!$AB5, 'Fluxos de Recebimento'!$F$65:$F$116, 0), MATCH(Curvas!AG$2, 'Fluxos de Recebimento'!$I$63:$BH$63, 0)),0)*INDEX($E:$E, MATCH(AG$2, $B:$B, 0))</f>
        <v>0</v>
      </c>
      <c r="AH5" s="193">
        <f>IFERROR(INDEX('Fluxos de Recebimento'!$I$7:$BH$58, MATCH(Curvas!$AB5, 'Fluxos de Recebimento'!$F$7:$F$58, 0), MATCH(Curvas!AH$2,'Fluxos de Recebimento'!$I$5:$BH$5, 0))+INDEX('Fluxos de Recebimento'!$I$65:$BH$116, MATCH(Curvas!$AB5, 'Fluxos de Recebimento'!$F$65:$F$116, 0), MATCH(Curvas!AH$2, 'Fluxos de Recebimento'!$I$63:$BH$63, 0)),0)*INDEX($E:$E, MATCH(AH$2, $B:$B, 0))</f>
        <v>0</v>
      </c>
      <c r="AI5" s="193">
        <f>IFERROR(INDEX('Fluxos de Recebimento'!$I$7:$BH$58, MATCH(Curvas!$AB5, 'Fluxos de Recebimento'!$F$7:$F$58, 0), MATCH(Curvas!AI$2,'Fluxos de Recebimento'!$I$5:$BH$5, 0))+INDEX('Fluxos de Recebimento'!$I$65:$BH$116, MATCH(Curvas!$AB5, 'Fluxos de Recebimento'!$F$65:$F$116, 0), MATCH(Curvas!AI$2, 'Fluxos de Recebimento'!$I$63:$BH$63, 0)),0)*INDEX($E:$E, MATCH(AI$2, $B:$B, 0))</f>
        <v>0</v>
      </c>
      <c r="AJ5" s="193">
        <f>IFERROR(INDEX('Fluxos de Recebimento'!$I$7:$BH$58, MATCH(Curvas!$AB5, 'Fluxos de Recebimento'!$F$7:$F$58, 0), MATCH(Curvas!AJ$2,'Fluxos de Recebimento'!$I$5:$BH$5, 0))+INDEX('Fluxos de Recebimento'!$I$65:$BH$116, MATCH(Curvas!$AB5, 'Fluxos de Recebimento'!$F$65:$F$116, 0), MATCH(Curvas!AJ$2, 'Fluxos de Recebimento'!$I$63:$BH$63, 0)),0)*INDEX($E:$E, MATCH(AJ$2, $B:$B, 0))</f>
        <v>0</v>
      </c>
      <c r="AK5" s="193">
        <f>IFERROR(INDEX('Fluxos de Recebimento'!$I$7:$BH$58, MATCH(Curvas!$AB5, 'Fluxos de Recebimento'!$F$7:$F$58, 0), MATCH(Curvas!AK$2,'Fluxos de Recebimento'!$I$5:$BH$5, 0))+INDEX('Fluxos de Recebimento'!$I$65:$BH$116, MATCH(Curvas!$AB5, 'Fluxos de Recebimento'!$F$65:$F$116, 0), MATCH(Curvas!AK$2, 'Fluxos de Recebimento'!$I$63:$BH$63, 0)),0)*INDEX($E:$E, MATCH(AK$2, $B:$B, 0))</f>
        <v>0</v>
      </c>
      <c r="AL5" s="193">
        <f>IFERROR(INDEX('Fluxos de Recebimento'!$I$7:$BH$58, MATCH(Curvas!$AB5, 'Fluxos de Recebimento'!$F$7:$F$58, 0), MATCH(Curvas!AL$2,'Fluxos de Recebimento'!$I$5:$BH$5, 0))+INDEX('Fluxos de Recebimento'!$I$65:$BH$116, MATCH(Curvas!$AB5, 'Fluxos de Recebimento'!$F$65:$F$116, 0), MATCH(Curvas!AL$2, 'Fluxos de Recebimento'!$I$63:$BH$63, 0)),0)*INDEX($E:$E, MATCH(AL$2, $B:$B, 0))</f>
        <v>0</v>
      </c>
      <c r="AM5" s="193">
        <f>IFERROR(INDEX('Fluxos de Recebimento'!$I$7:$BH$58, MATCH(Curvas!$AB5, 'Fluxos de Recebimento'!$F$7:$F$58, 0), MATCH(Curvas!AM$2,'Fluxos de Recebimento'!$I$5:$BH$5, 0))+INDEX('Fluxos de Recebimento'!$I$65:$BH$116, MATCH(Curvas!$AB5, 'Fluxos de Recebimento'!$F$65:$F$116, 0), MATCH(Curvas!AM$2, 'Fluxos de Recebimento'!$I$63:$BH$63, 0)),0)*INDEX($E:$E, MATCH(AM$2, $B:$B, 0))</f>
        <v>0</v>
      </c>
      <c r="AN5" s="193">
        <f>IFERROR(INDEX('Fluxos de Recebimento'!$I$7:$BH$58, MATCH(Curvas!$AB5, 'Fluxos de Recebimento'!$F$7:$F$58, 0), MATCH(Curvas!AN$2,'Fluxos de Recebimento'!$I$5:$BH$5, 0))+INDEX('Fluxos de Recebimento'!$I$65:$BH$116, MATCH(Curvas!$AB5, 'Fluxos de Recebimento'!$F$65:$F$116, 0), MATCH(Curvas!AN$2, 'Fluxos de Recebimento'!$I$63:$BH$63, 0)),0)*INDEX($E:$E, MATCH(AN$2, $B:$B, 0))</f>
        <v>0</v>
      </c>
      <c r="AO5" s="193">
        <f>IFERROR(INDEX('Fluxos de Recebimento'!$I$7:$BH$58, MATCH(Curvas!$AB5, 'Fluxos de Recebimento'!$F$7:$F$58, 0), MATCH(Curvas!AO$2,'Fluxos de Recebimento'!$I$5:$BH$5, 0))+INDEX('Fluxos de Recebimento'!$I$65:$BH$116, MATCH(Curvas!$AB5, 'Fluxos de Recebimento'!$F$65:$F$116, 0), MATCH(Curvas!AO$2, 'Fluxos de Recebimento'!$I$63:$BH$63, 0)),0)*INDEX($E:$E, MATCH(AO$2, $B:$B, 0))</f>
        <v>0</v>
      </c>
      <c r="AP5" s="193">
        <f>IFERROR(INDEX('Fluxos de Recebimento'!$I$7:$BH$58, MATCH(Curvas!$AB5, 'Fluxos de Recebimento'!$F$7:$F$58, 0), MATCH(Curvas!AP$2,'Fluxos de Recebimento'!$I$5:$BH$5, 0))+INDEX('Fluxos de Recebimento'!$I$65:$BH$116, MATCH(Curvas!$AB5, 'Fluxos de Recebimento'!$F$65:$F$116, 0), MATCH(Curvas!AP$2, 'Fluxos de Recebimento'!$I$63:$BH$63, 0)),0)*INDEX($E:$E, MATCH(AP$2, $B:$B, 0))</f>
        <v>0</v>
      </c>
      <c r="AQ5" s="193">
        <f>IFERROR(INDEX('Fluxos de Recebimento'!$I$7:$BH$58, MATCH(Curvas!$AB5, 'Fluxos de Recebimento'!$F$7:$F$58, 0), MATCH(Curvas!AQ$2,'Fluxos de Recebimento'!$I$5:$BH$5, 0))+INDEX('Fluxos de Recebimento'!$I$65:$BH$116, MATCH(Curvas!$AB5, 'Fluxos de Recebimento'!$F$65:$F$116, 0), MATCH(Curvas!AQ$2, 'Fluxos de Recebimento'!$I$63:$BH$63, 0)),0)*INDEX($E:$E, MATCH(AQ$2, $B:$B, 0))</f>
        <v>0</v>
      </c>
      <c r="AR5" s="193">
        <f>IFERROR(INDEX('Fluxos de Recebimento'!$I$7:$BH$58, MATCH(Curvas!$AB5, 'Fluxos de Recebimento'!$F$7:$F$58, 0), MATCH(Curvas!AR$2,'Fluxos de Recebimento'!$I$5:$BH$5, 0))+INDEX('Fluxos de Recebimento'!$I$65:$BH$116, MATCH(Curvas!$AB5, 'Fluxos de Recebimento'!$F$65:$F$116, 0), MATCH(Curvas!AR$2, 'Fluxos de Recebimento'!$I$63:$BH$63, 0)),0)*INDEX($E:$E, MATCH(AR$2, $B:$B, 0))</f>
        <v>0</v>
      </c>
      <c r="AS5" s="193">
        <f>IFERROR(INDEX('Fluxos de Recebimento'!$I$7:$BH$58, MATCH(Curvas!$AB5, 'Fluxos de Recebimento'!$F$7:$F$58, 0), MATCH(Curvas!AS$2,'Fluxos de Recebimento'!$I$5:$BH$5, 0))+INDEX('Fluxos de Recebimento'!$I$65:$BH$116, MATCH(Curvas!$AB5, 'Fluxos de Recebimento'!$F$65:$F$116, 0), MATCH(Curvas!AS$2, 'Fluxos de Recebimento'!$I$63:$BH$63, 0)),0)*INDEX($E:$E, MATCH(AS$2, $B:$B, 0))</f>
        <v>0</v>
      </c>
      <c r="AT5" s="193">
        <f>IFERROR(INDEX('Fluxos de Recebimento'!$I$7:$BH$58, MATCH(Curvas!$AB5, 'Fluxos de Recebimento'!$F$7:$F$58, 0), MATCH(Curvas!AT$2,'Fluxos de Recebimento'!$I$5:$BH$5, 0))+INDEX('Fluxos de Recebimento'!$I$65:$BH$116, MATCH(Curvas!$AB5, 'Fluxos de Recebimento'!$F$65:$F$116, 0), MATCH(Curvas!AT$2, 'Fluxos de Recebimento'!$I$63:$BH$63, 0)),0)*INDEX($E:$E, MATCH(AT$2, $B:$B, 0))</f>
        <v>0</v>
      </c>
      <c r="AU5" s="193">
        <f>IFERROR(INDEX('Fluxos de Recebimento'!$I$7:$BH$58, MATCH(Curvas!$AB5, 'Fluxos de Recebimento'!$F$7:$F$58, 0), MATCH(Curvas!AU$2,'Fluxos de Recebimento'!$I$5:$BH$5, 0))+INDEX('Fluxos de Recebimento'!$I$65:$BH$116, MATCH(Curvas!$AB5, 'Fluxos de Recebimento'!$F$65:$F$116, 0), MATCH(Curvas!AU$2, 'Fluxos de Recebimento'!$I$63:$BH$63, 0)),0)*INDEX($E:$E, MATCH(AU$2, $B:$B, 0))</f>
        <v>0</v>
      </c>
      <c r="AV5" s="193">
        <f>IFERROR(INDEX('Fluxos de Recebimento'!$I$7:$BH$58, MATCH(Curvas!$AB5, 'Fluxos de Recebimento'!$F$7:$F$58, 0), MATCH(Curvas!AV$2,'Fluxos de Recebimento'!$I$5:$BH$5, 0))+INDEX('Fluxos de Recebimento'!$I$65:$BH$116, MATCH(Curvas!$AB5, 'Fluxos de Recebimento'!$F$65:$F$116, 0), MATCH(Curvas!AV$2, 'Fluxos de Recebimento'!$I$63:$BH$63, 0)),0)*INDEX($E:$E, MATCH(AV$2, $B:$B, 0))</f>
        <v>0</v>
      </c>
      <c r="AW5" s="193">
        <f>IFERROR(INDEX('Fluxos de Recebimento'!$I$7:$BH$58, MATCH(Curvas!$AB5, 'Fluxos de Recebimento'!$F$7:$F$58, 0), MATCH(Curvas!AW$2,'Fluxos de Recebimento'!$I$5:$BH$5, 0))+INDEX('Fluxos de Recebimento'!$I$65:$BH$116, MATCH(Curvas!$AB5, 'Fluxos de Recebimento'!$F$65:$F$116, 0), MATCH(Curvas!AW$2, 'Fluxos de Recebimento'!$I$63:$BH$63, 0)),0)*INDEX($E:$E, MATCH(AW$2, $B:$B, 0))</f>
        <v>0</v>
      </c>
      <c r="AX5" s="193">
        <f>IFERROR(INDEX('Fluxos de Recebimento'!$I$7:$BH$58, MATCH(Curvas!$AB5, 'Fluxos de Recebimento'!$F$7:$F$58, 0), MATCH(Curvas!AX$2,'Fluxos de Recebimento'!$I$5:$BH$5, 0))+INDEX('Fluxos de Recebimento'!$I$65:$BH$116, MATCH(Curvas!$AB5, 'Fluxos de Recebimento'!$F$65:$F$116, 0), MATCH(Curvas!AX$2, 'Fluxos de Recebimento'!$I$63:$BH$63, 0)),0)*INDEX($E:$E, MATCH(AX$2, $B:$B, 0))</f>
        <v>0</v>
      </c>
      <c r="AY5" s="193">
        <f>IFERROR(INDEX('Fluxos de Recebimento'!$I$7:$BH$58, MATCH(Curvas!$AB5, 'Fluxos de Recebimento'!$F$7:$F$58, 0), MATCH(Curvas!AY$2,'Fluxos de Recebimento'!$I$5:$BH$5, 0))+INDEX('Fluxos de Recebimento'!$I$65:$BH$116, MATCH(Curvas!$AB5, 'Fluxos de Recebimento'!$F$65:$F$116, 0), MATCH(Curvas!AY$2, 'Fluxos de Recebimento'!$I$63:$BH$63, 0)),0)*INDEX($E:$E, MATCH(AY$2, $B:$B, 0))</f>
        <v>0</v>
      </c>
      <c r="AZ5" s="193">
        <f>IFERROR(INDEX('Fluxos de Recebimento'!$I$7:$BH$58, MATCH(Curvas!$AB5, 'Fluxos de Recebimento'!$F$7:$F$58, 0), MATCH(Curvas!AZ$2,'Fluxos de Recebimento'!$I$5:$BH$5, 0))+INDEX('Fluxos de Recebimento'!$I$65:$BH$116, MATCH(Curvas!$AB5, 'Fluxos de Recebimento'!$F$65:$F$116, 0), MATCH(Curvas!AZ$2, 'Fluxos de Recebimento'!$I$63:$BH$63, 0)),0)*INDEX($E:$E, MATCH(AZ$2, $B:$B, 0))</f>
        <v>0</v>
      </c>
      <c r="BA5" s="193">
        <f>IFERROR(INDEX('Fluxos de Recebimento'!$I$7:$BH$58, MATCH(Curvas!$AB5, 'Fluxos de Recebimento'!$F$7:$F$58, 0), MATCH(Curvas!BA$2,'Fluxos de Recebimento'!$I$5:$BH$5, 0))+INDEX('Fluxos de Recebimento'!$I$65:$BH$116, MATCH(Curvas!$AB5, 'Fluxos de Recebimento'!$F$65:$F$116, 0), MATCH(Curvas!BA$2, 'Fluxos de Recebimento'!$I$63:$BH$63, 0)),0)*INDEX($E:$E, MATCH(BA$2, $B:$B, 0))</f>
        <v>0</v>
      </c>
      <c r="BB5" s="193">
        <f>IFERROR(INDEX('Fluxos de Recebimento'!$I$7:$BH$58, MATCH(Curvas!$AB5, 'Fluxos de Recebimento'!$F$7:$F$58, 0), MATCH(Curvas!BB$2,'Fluxos de Recebimento'!$I$5:$BH$5, 0))+INDEX('Fluxos de Recebimento'!$I$65:$BH$116, MATCH(Curvas!$AB5, 'Fluxos de Recebimento'!$F$65:$F$116, 0), MATCH(Curvas!BB$2, 'Fluxos de Recebimento'!$I$63:$BH$63, 0)),0)*INDEX($E:$E, MATCH(BB$2, $B:$B, 0))</f>
        <v>0</v>
      </c>
      <c r="BC5" s="193">
        <f>IFERROR(INDEX('Fluxos de Recebimento'!$I$7:$BH$58, MATCH(Curvas!$AB5, 'Fluxos de Recebimento'!$F$7:$F$58, 0), MATCH(Curvas!BC$2,'Fluxos de Recebimento'!$I$5:$BH$5, 0))+INDEX('Fluxos de Recebimento'!$I$65:$BH$116, MATCH(Curvas!$AB5, 'Fluxos de Recebimento'!$F$65:$F$116, 0), MATCH(Curvas!BC$2, 'Fluxos de Recebimento'!$I$63:$BH$63, 0)),0)*INDEX($E:$E, MATCH(BC$2, $B:$B, 0))</f>
        <v>0</v>
      </c>
      <c r="BD5" s="193">
        <f>IFERROR(INDEX('Fluxos de Recebimento'!$I$7:$BH$58, MATCH(Curvas!$AB5, 'Fluxos de Recebimento'!$F$7:$F$58, 0), MATCH(Curvas!BD$2,'Fluxos de Recebimento'!$I$5:$BH$5, 0))+INDEX('Fluxos de Recebimento'!$I$65:$BH$116, MATCH(Curvas!$AB5, 'Fluxos de Recebimento'!$F$65:$F$116, 0), MATCH(Curvas!BD$2, 'Fluxos de Recebimento'!$I$63:$BH$63, 0)),0)*INDEX($E:$E, MATCH(BD$2, $B:$B, 0))</f>
        <v>0</v>
      </c>
      <c r="BE5" s="193">
        <f>IFERROR(INDEX('Fluxos de Recebimento'!$I$7:$BH$58, MATCH(Curvas!$AB5, 'Fluxos de Recebimento'!$F$7:$F$58, 0), MATCH(Curvas!BE$2,'Fluxos de Recebimento'!$I$5:$BH$5, 0))+INDEX('Fluxos de Recebimento'!$I$65:$BH$116, MATCH(Curvas!$AB5, 'Fluxos de Recebimento'!$F$65:$F$116, 0), MATCH(Curvas!BE$2, 'Fluxos de Recebimento'!$I$63:$BH$63, 0)),0)*INDEX($E:$E, MATCH(BE$2, $B:$B, 0))</f>
        <v>0</v>
      </c>
      <c r="BF5" s="193">
        <f>IFERROR(INDEX('Fluxos de Recebimento'!$I$7:$BH$58, MATCH(Curvas!$AB5, 'Fluxos de Recebimento'!$F$7:$F$58, 0), MATCH(Curvas!BF$2,'Fluxos de Recebimento'!$I$5:$BH$5, 0))+INDEX('Fluxos de Recebimento'!$I$65:$BH$116, MATCH(Curvas!$AB5, 'Fluxos de Recebimento'!$F$65:$F$116, 0), MATCH(Curvas!BF$2, 'Fluxos de Recebimento'!$I$63:$BH$63, 0)),0)*INDEX($E:$E, MATCH(BF$2, $B:$B, 0))</f>
        <v>0</v>
      </c>
      <c r="BG5" s="193">
        <f>IFERROR(INDEX('Fluxos de Recebimento'!$I$7:$BH$58, MATCH(Curvas!$AB5, 'Fluxos de Recebimento'!$F$7:$F$58, 0), MATCH(Curvas!BG$2,'Fluxos de Recebimento'!$I$5:$BH$5, 0))+INDEX('Fluxos de Recebimento'!$I$65:$BH$116, MATCH(Curvas!$AB5, 'Fluxos de Recebimento'!$F$65:$F$116, 0), MATCH(Curvas!BG$2, 'Fluxos de Recebimento'!$I$63:$BH$63, 0)),0)*INDEX($E:$E, MATCH(BG$2, $B:$B, 0))</f>
        <v>0</v>
      </c>
      <c r="BH5" s="193">
        <f>IFERROR(INDEX('Fluxos de Recebimento'!$I$7:$BH$58, MATCH(Curvas!$AB5, 'Fluxos de Recebimento'!$F$7:$F$58, 0), MATCH(Curvas!BH$2,'Fluxos de Recebimento'!$I$5:$BH$5, 0))+INDEX('Fluxos de Recebimento'!$I$65:$BH$116, MATCH(Curvas!$AB5, 'Fluxos de Recebimento'!$F$65:$F$116, 0), MATCH(Curvas!BH$2, 'Fluxos de Recebimento'!$I$63:$BH$63, 0)),0)*INDEX($E:$E, MATCH(BH$2, $B:$B, 0))</f>
        <v>0</v>
      </c>
      <c r="BI5" s="193">
        <f>IFERROR(INDEX('Fluxos de Recebimento'!$I$7:$BH$58, MATCH(Curvas!$AB5, 'Fluxos de Recebimento'!$F$7:$F$58, 0), MATCH(Curvas!BI$2,'Fluxos de Recebimento'!$I$5:$BH$5, 0))+INDEX('Fluxos de Recebimento'!$I$65:$BH$116, MATCH(Curvas!$AB5, 'Fluxos de Recebimento'!$F$65:$F$116, 0), MATCH(Curvas!BI$2, 'Fluxos de Recebimento'!$I$63:$BH$63, 0)),0)*INDEX($E:$E, MATCH(BI$2, $B:$B, 0))</f>
        <v>0</v>
      </c>
      <c r="BJ5" s="193">
        <f>IFERROR(INDEX('Fluxos de Recebimento'!$I$7:$BH$58, MATCH(Curvas!$AB5, 'Fluxos de Recebimento'!$F$7:$F$58, 0), MATCH(Curvas!BJ$2,'Fluxos de Recebimento'!$I$5:$BH$5, 0))+INDEX('Fluxos de Recebimento'!$I$65:$BH$116, MATCH(Curvas!$AB5, 'Fluxos de Recebimento'!$F$65:$F$116, 0), MATCH(Curvas!BJ$2, 'Fluxos de Recebimento'!$I$63:$BH$63, 0)),0)*INDEX($E:$E, MATCH(BJ$2, $B:$B, 0))</f>
        <v>0</v>
      </c>
      <c r="BK5" s="193">
        <f>IFERROR(INDEX('Fluxos de Recebimento'!$I$7:$BH$58, MATCH(Curvas!$AB5, 'Fluxos de Recebimento'!$F$7:$F$58, 0), MATCH(Curvas!BK$2,'Fluxos de Recebimento'!$I$5:$BH$5, 0))+INDEX('Fluxos de Recebimento'!$I$65:$BH$116, MATCH(Curvas!$AB5, 'Fluxos de Recebimento'!$F$65:$F$116, 0), MATCH(Curvas!BK$2, 'Fluxos de Recebimento'!$I$63:$BH$63, 0)),0)*INDEX($E:$E, MATCH(BK$2, $B:$B, 0))</f>
        <v>0</v>
      </c>
      <c r="BL5" s="193">
        <f>IFERROR(INDEX('Fluxos de Recebimento'!$I$7:$BH$58, MATCH(Curvas!$AB5, 'Fluxos de Recebimento'!$F$7:$F$58, 0), MATCH(Curvas!BL$2,'Fluxos de Recebimento'!$I$5:$BH$5, 0))+INDEX('Fluxos de Recebimento'!$I$65:$BH$116, MATCH(Curvas!$AB5, 'Fluxos de Recebimento'!$F$65:$F$116, 0), MATCH(Curvas!BL$2, 'Fluxos de Recebimento'!$I$63:$BH$63, 0)),0)*INDEX($E:$E, MATCH(BL$2, $B:$B, 0))</f>
        <v>0</v>
      </c>
      <c r="BM5" s="193">
        <f>IFERROR(INDEX('Fluxos de Recebimento'!$I$7:$BH$58, MATCH(Curvas!$AB5, 'Fluxos de Recebimento'!$F$7:$F$58, 0), MATCH(Curvas!BM$2,'Fluxos de Recebimento'!$I$5:$BH$5, 0))+INDEX('Fluxos de Recebimento'!$I$65:$BH$116, MATCH(Curvas!$AB5, 'Fluxos de Recebimento'!$F$65:$F$116, 0), MATCH(Curvas!BM$2, 'Fluxos de Recebimento'!$I$63:$BH$63, 0)),0)*INDEX($E:$E, MATCH(BM$2, $B:$B, 0))</f>
        <v>0</v>
      </c>
      <c r="BN5" s="193">
        <f>IFERROR(INDEX('Fluxos de Recebimento'!$I$7:$BH$58, MATCH(Curvas!$AB5, 'Fluxos de Recebimento'!$F$7:$F$58, 0), MATCH(Curvas!BN$2,'Fluxos de Recebimento'!$I$5:$BH$5, 0))+INDEX('Fluxos de Recebimento'!$I$65:$BH$116, MATCH(Curvas!$AB5, 'Fluxos de Recebimento'!$F$65:$F$116, 0), MATCH(Curvas!BN$2, 'Fluxos de Recebimento'!$I$63:$BH$63, 0)),0)*INDEX($E:$E, MATCH(BN$2, $B:$B, 0))</f>
        <v>0</v>
      </c>
      <c r="BO5" s="193">
        <f>IFERROR(INDEX('Fluxos de Recebimento'!$I$7:$BH$58, MATCH(Curvas!$AB5, 'Fluxos de Recebimento'!$F$7:$F$58, 0), MATCH(Curvas!BO$2,'Fluxos de Recebimento'!$I$5:$BH$5, 0))+INDEX('Fluxos de Recebimento'!$I$65:$BH$116, MATCH(Curvas!$AB5, 'Fluxos de Recebimento'!$F$65:$F$116, 0), MATCH(Curvas!BO$2, 'Fluxos de Recebimento'!$I$63:$BH$63, 0)),0)*INDEX($E:$E, MATCH(BO$2, $B:$B, 0))</f>
        <v>0</v>
      </c>
      <c r="BP5" s="193">
        <f>IFERROR(INDEX('Fluxos de Recebimento'!$I$7:$BH$58, MATCH(Curvas!$AB5, 'Fluxos de Recebimento'!$F$7:$F$58, 0), MATCH(Curvas!BP$2,'Fluxos de Recebimento'!$I$5:$BH$5, 0))+INDEX('Fluxos de Recebimento'!$I$65:$BH$116, MATCH(Curvas!$AB5, 'Fluxos de Recebimento'!$F$65:$F$116, 0), MATCH(Curvas!BP$2, 'Fluxos de Recebimento'!$I$63:$BH$63, 0)),0)*INDEX($E:$E, MATCH(BP$2, $B:$B, 0))</f>
        <v>0</v>
      </c>
      <c r="BQ5" s="193">
        <f>IFERROR(INDEX('Fluxos de Recebimento'!$I$7:$BH$58, MATCH(Curvas!$AB5, 'Fluxos de Recebimento'!$F$7:$F$58, 0), MATCH(Curvas!BQ$2,'Fluxos de Recebimento'!$I$5:$BH$5, 0))+INDEX('Fluxos de Recebimento'!$I$65:$BH$116, MATCH(Curvas!$AB5, 'Fluxos de Recebimento'!$F$65:$F$116, 0), MATCH(Curvas!BQ$2, 'Fluxos de Recebimento'!$I$63:$BH$63, 0)),0)*INDEX($E:$E, MATCH(BQ$2, $B:$B, 0))</f>
        <v>0</v>
      </c>
      <c r="BR5" s="193">
        <f>IFERROR(INDEX('Fluxos de Recebimento'!$I$7:$BH$58, MATCH(Curvas!$AB5, 'Fluxos de Recebimento'!$F$7:$F$58, 0), MATCH(Curvas!BR$2,'Fluxos de Recebimento'!$I$5:$BH$5, 0))+INDEX('Fluxos de Recebimento'!$I$65:$BH$116, MATCH(Curvas!$AB5, 'Fluxos de Recebimento'!$F$65:$F$116, 0), MATCH(Curvas!BR$2, 'Fluxos de Recebimento'!$I$63:$BH$63, 0)),0)*INDEX($E:$E, MATCH(BR$2, $B:$B, 0))</f>
        <v>0</v>
      </c>
      <c r="BS5" s="193">
        <f>IFERROR(INDEX('Fluxos de Recebimento'!$I$7:$BH$58, MATCH(Curvas!$AB5, 'Fluxos de Recebimento'!$F$7:$F$58, 0), MATCH(Curvas!BS$2,'Fluxos de Recebimento'!$I$5:$BH$5, 0))+INDEX('Fluxos de Recebimento'!$I$65:$BH$116, MATCH(Curvas!$AB5, 'Fluxos de Recebimento'!$F$65:$F$116, 0), MATCH(Curvas!BS$2, 'Fluxos de Recebimento'!$I$63:$BH$63, 0)),0)*INDEX($E:$E, MATCH(BS$2, $B:$B, 0))</f>
        <v>0</v>
      </c>
      <c r="BT5" s="193">
        <f>IFERROR(INDEX('Fluxos de Recebimento'!$I$7:$BH$58, MATCH(Curvas!$AB5, 'Fluxos de Recebimento'!$F$7:$F$58, 0), MATCH(Curvas!BT$2,'Fluxos de Recebimento'!$I$5:$BH$5, 0))+INDEX('Fluxos de Recebimento'!$I$65:$BH$116, MATCH(Curvas!$AB5, 'Fluxos de Recebimento'!$F$65:$F$116, 0), MATCH(Curvas!BT$2, 'Fluxos de Recebimento'!$I$63:$BH$63, 0)),0)*INDEX($E:$E, MATCH(BT$2, $B:$B, 0))</f>
        <v>0</v>
      </c>
      <c r="BU5" s="193">
        <f>IFERROR(INDEX('Fluxos de Recebimento'!$I$7:$BH$58, MATCH(Curvas!$AB5, 'Fluxos de Recebimento'!$F$7:$F$58, 0), MATCH(Curvas!BU$2,'Fluxos de Recebimento'!$I$5:$BH$5, 0))+INDEX('Fluxos de Recebimento'!$I$65:$BH$116, MATCH(Curvas!$AB5, 'Fluxos de Recebimento'!$F$65:$F$116, 0), MATCH(Curvas!BU$2, 'Fluxos de Recebimento'!$I$63:$BH$63, 0)),0)*INDEX($E:$E, MATCH(BU$2, $B:$B, 0))</f>
        <v>0</v>
      </c>
      <c r="BV5" s="193">
        <f>IFERROR(INDEX('Fluxos de Recebimento'!$I$7:$BH$58, MATCH(Curvas!$AB5, 'Fluxos de Recebimento'!$F$7:$F$58, 0), MATCH(Curvas!BV$2,'Fluxos de Recebimento'!$I$5:$BH$5, 0))+INDEX('Fluxos de Recebimento'!$I$65:$BH$116, MATCH(Curvas!$AB5, 'Fluxos de Recebimento'!$F$65:$F$116, 0), MATCH(Curvas!BV$2, 'Fluxos de Recebimento'!$I$63:$BH$63, 0)),0)*INDEX($E:$E, MATCH(BV$2, $B:$B, 0))</f>
        <v>0</v>
      </c>
      <c r="BW5" s="193">
        <f>IFERROR(INDEX('Fluxos de Recebimento'!$I$7:$BH$58, MATCH(Curvas!$AB5, 'Fluxos de Recebimento'!$F$7:$F$58, 0), MATCH(Curvas!BW$2,'Fluxos de Recebimento'!$I$5:$BH$5, 0))+INDEX('Fluxos de Recebimento'!$I$65:$BH$116, MATCH(Curvas!$AB5, 'Fluxos de Recebimento'!$F$65:$F$116, 0), MATCH(Curvas!BW$2, 'Fluxos de Recebimento'!$I$63:$BH$63, 0)),0)*INDEX($E:$E, MATCH(BW$2, $B:$B, 0))</f>
        <v>0</v>
      </c>
      <c r="BX5" s="193">
        <f>IFERROR(INDEX('Fluxos de Recebimento'!$I$7:$BH$58, MATCH(Curvas!$AB5, 'Fluxos de Recebimento'!$F$7:$F$58, 0), MATCH(Curvas!BX$2,'Fluxos de Recebimento'!$I$5:$BH$5, 0))+INDEX('Fluxos de Recebimento'!$I$65:$BH$116, MATCH(Curvas!$AB5, 'Fluxos de Recebimento'!$F$65:$F$116, 0), MATCH(Curvas!BX$2, 'Fluxos de Recebimento'!$I$63:$BH$63, 0)),0)*INDEX($E:$E, MATCH(BX$2, $B:$B, 0))</f>
        <v>0</v>
      </c>
      <c r="BY5" s="193">
        <f>IFERROR(INDEX('Fluxos de Recebimento'!$I$7:$BH$58, MATCH(Curvas!$AB5, 'Fluxos de Recebimento'!$F$7:$F$58, 0), MATCH(Curvas!BY$2,'Fluxos de Recebimento'!$I$5:$BH$5, 0))+INDEX('Fluxos de Recebimento'!$I$65:$BH$116, MATCH(Curvas!$AB5, 'Fluxos de Recebimento'!$F$65:$F$116, 0), MATCH(Curvas!BY$2, 'Fluxos de Recebimento'!$I$63:$BH$63, 0)),0)*INDEX($E:$E, MATCH(BY$2, $B:$B, 0))</f>
        <v>0</v>
      </c>
      <c r="BZ5" s="193">
        <f>IFERROR(INDEX('Fluxos de Recebimento'!$I$7:$BH$58, MATCH(Curvas!$AB5, 'Fluxos de Recebimento'!$F$7:$F$58, 0), MATCH(Curvas!BZ$2,'Fluxos de Recebimento'!$I$5:$BH$5, 0))+INDEX('Fluxos de Recebimento'!$I$65:$BH$116, MATCH(Curvas!$AB5, 'Fluxos de Recebimento'!$F$65:$F$116, 0), MATCH(Curvas!BZ$2, 'Fluxos de Recebimento'!$I$63:$BH$63, 0)),0)*INDEX($E:$E, MATCH(BZ$2, $B:$B, 0))</f>
        <v>0</v>
      </c>
      <c r="CA5" s="193">
        <f>IFERROR(INDEX('Fluxos de Recebimento'!$I$7:$BH$58, MATCH(Curvas!$AB5, 'Fluxos de Recebimento'!$F$7:$F$58, 0), MATCH(Curvas!CA$2,'Fluxos de Recebimento'!$I$5:$BH$5, 0))+INDEX('Fluxos de Recebimento'!$I$65:$BH$116, MATCH(Curvas!$AB5, 'Fluxos de Recebimento'!$F$65:$F$116, 0), MATCH(Curvas!CA$2, 'Fluxos de Recebimento'!$I$63:$BH$63, 0)),0)*INDEX($E:$E, MATCH(CA$2, $B:$B, 0))</f>
        <v>0</v>
      </c>
      <c r="CB5" s="193">
        <f>IFERROR(INDEX('Fluxos de Recebimento'!$I$7:$BH$58, MATCH(Curvas!$AB5, 'Fluxos de Recebimento'!$F$7:$F$58, 0), MATCH(Curvas!CB$2,'Fluxos de Recebimento'!$I$5:$BH$5, 0))+INDEX('Fluxos de Recebimento'!$I$65:$BH$116, MATCH(Curvas!$AB5, 'Fluxos de Recebimento'!$F$65:$F$116, 0), MATCH(Curvas!CB$2, 'Fluxos de Recebimento'!$I$63:$BH$63, 0)),0)*INDEX($E:$E, MATCH(CB$2, $B:$B, 0))</f>
        <v>0</v>
      </c>
      <c r="CC5" s="193">
        <f>IFERROR(INDEX('Fluxos de Recebimento'!$I$7:$BH$58, MATCH(Curvas!$AB5, 'Fluxos de Recebimento'!$F$7:$F$58, 0), MATCH(Curvas!CC$2,'Fluxos de Recebimento'!$I$5:$BH$5, 0))+INDEX('Fluxos de Recebimento'!$I$65:$BH$116, MATCH(Curvas!$AB5, 'Fluxos de Recebimento'!$F$65:$F$116, 0), MATCH(Curvas!CC$2, 'Fluxos de Recebimento'!$I$63:$BH$63, 0)),0)*INDEX($E:$E, MATCH(CC$2, $B:$B, 0))</f>
        <v>0</v>
      </c>
    </row>
    <row r="6" spans="1:81" x14ac:dyDescent="0.25">
      <c r="A6" s="2"/>
      <c r="B6" s="477">
        <f t="shared" si="16"/>
        <v>44228</v>
      </c>
      <c r="C6" s="52">
        <f t="shared" si="17"/>
        <v>3</v>
      </c>
      <c r="D6" s="2"/>
      <c r="E6" s="187">
        <f t="shared" si="4"/>
        <v>2.298850574712644E-2</v>
      </c>
      <c r="F6" s="48">
        <f t="shared" si="18"/>
        <v>6.8965517241379323E-2</v>
      </c>
      <c r="G6" s="46">
        <f t="shared" ca="1" si="5"/>
        <v>0</v>
      </c>
      <c r="H6" s="48">
        <f t="shared" ca="1" si="19"/>
        <v>0</v>
      </c>
      <c r="I6" s="2"/>
      <c r="J6" s="69">
        <f t="shared" si="6"/>
        <v>16</v>
      </c>
      <c r="K6" s="479">
        <f t="shared" ca="1" si="7"/>
        <v>0</v>
      </c>
      <c r="L6" s="70">
        <f t="shared" ca="1" si="8"/>
        <v>16</v>
      </c>
      <c r="M6" s="2"/>
      <c r="N6" s="69">
        <f t="shared" si="9"/>
        <v>21</v>
      </c>
      <c r="O6" s="479">
        <f t="shared" si="10"/>
        <v>0</v>
      </c>
      <c r="P6" s="70">
        <f t="shared" si="11"/>
        <v>21</v>
      </c>
      <c r="Q6" s="2"/>
      <c r="R6" s="71">
        <f t="shared" si="12"/>
        <v>37</v>
      </c>
      <c r="S6" s="196"/>
      <c r="T6" s="46">
        <v>0</v>
      </c>
      <c r="U6" s="48">
        <f t="shared" si="20"/>
        <v>0</v>
      </c>
      <c r="V6" s="2"/>
      <c r="W6" s="56">
        <f t="shared" si="21"/>
        <v>3</v>
      </c>
      <c r="X6" s="48">
        <v>0.8</v>
      </c>
      <c r="Y6" s="2"/>
      <c r="Z6" s="194">
        <f t="shared" si="13"/>
        <v>1.4839141275922888E-3</v>
      </c>
      <c r="AA6" s="2"/>
      <c r="AB6" s="477">
        <f t="shared" si="14"/>
        <v>44228</v>
      </c>
      <c r="AC6" s="52">
        <f t="shared" si="15"/>
        <v>3</v>
      </c>
      <c r="AD6" s="193">
        <f>IFERROR(INDEX('Fluxos de Recebimento'!$I$7:$BH$58, MATCH(Curvas!$AB6, 'Fluxos de Recebimento'!$F$7:$F$58, 0), MATCH(Curvas!AD$2,'Fluxos de Recebimento'!$I$5:$BH$5, 0))+INDEX('Fluxos de Recebimento'!$I$65:$BH$116, MATCH(Curvas!$AB6, 'Fluxos de Recebimento'!$F$65:$F$116, 0), MATCH(Curvas!AD$2, 'Fluxos de Recebimento'!$I$63:$BH$63, 0)),0)*INDEX($E:$E, MATCH(AD$2, $B:$B, 0))</f>
        <v>1.6420361247947458E-4</v>
      </c>
      <c r="AE6" s="193">
        <f>IFERROR(INDEX('Fluxos de Recebimento'!$I$7:$BH$58, MATCH(Curvas!$AB6, 'Fluxos de Recebimento'!$F$7:$F$58, 0), MATCH(Curvas!AE$2,'Fluxos de Recebimento'!$I$5:$BH$5, 0))+INDEX('Fluxos de Recebimento'!$I$65:$BH$116, MATCH(Curvas!$AB6, 'Fluxos de Recebimento'!$F$65:$F$116, 0), MATCH(Curvas!AE$2, 'Fluxos de Recebimento'!$I$63:$BH$63, 0)),0)*INDEX($E:$E, MATCH(AE$2, $B:$B, 0))</f>
        <v>1.7028522775649216E-4</v>
      </c>
      <c r="AF6" s="193">
        <f>IFERROR(INDEX('Fluxos de Recebimento'!$I$7:$BH$58, MATCH(Curvas!$AB6, 'Fluxos de Recebimento'!$F$7:$F$58, 0), MATCH(Curvas!AF$2,'Fluxos de Recebimento'!$I$5:$BH$5, 0))+INDEX('Fluxos de Recebimento'!$I$65:$BH$116, MATCH(Curvas!$AB6, 'Fluxos de Recebimento'!$F$65:$F$116, 0), MATCH(Curvas!AF$2, 'Fluxos de Recebimento'!$I$63:$BH$63, 0)),0)*INDEX($E:$E, MATCH(AF$2, $B:$B, 0))</f>
        <v>1.149425287356322E-3</v>
      </c>
      <c r="AG6" s="193">
        <f>IFERROR(INDEX('Fluxos de Recebimento'!$I$7:$BH$58, MATCH(Curvas!$AB6, 'Fluxos de Recebimento'!$F$7:$F$58, 0), MATCH(Curvas!AG$2,'Fluxos de Recebimento'!$I$5:$BH$5, 0))+INDEX('Fluxos de Recebimento'!$I$65:$BH$116, MATCH(Curvas!$AB6, 'Fluxos de Recebimento'!$F$65:$F$116, 0), MATCH(Curvas!AG$2, 'Fluxos de Recebimento'!$I$63:$BH$63, 0)),0)*INDEX($E:$E, MATCH(AG$2, $B:$B, 0))</f>
        <v>0</v>
      </c>
      <c r="AH6" s="193">
        <f>IFERROR(INDEX('Fluxos de Recebimento'!$I$7:$BH$58, MATCH(Curvas!$AB6, 'Fluxos de Recebimento'!$F$7:$F$58, 0), MATCH(Curvas!AH$2,'Fluxos de Recebimento'!$I$5:$BH$5, 0))+INDEX('Fluxos de Recebimento'!$I$65:$BH$116, MATCH(Curvas!$AB6, 'Fluxos de Recebimento'!$F$65:$F$116, 0), MATCH(Curvas!AH$2, 'Fluxos de Recebimento'!$I$63:$BH$63, 0)),0)*INDEX($E:$E, MATCH(AH$2, $B:$B, 0))</f>
        <v>0</v>
      </c>
      <c r="AI6" s="193">
        <f>IFERROR(INDEX('Fluxos de Recebimento'!$I$7:$BH$58, MATCH(Curvas!$AB6, 'Fluxos de Recebimento'!$F$7:$F$58, 0), MATCH(Curvas!AI$2,'Fluxos de Recebimento'!$I$5:$BH$5, 0))+INDEX('Fluxos de Recebimento'!$I$65:$BH$116, MATCH(Curvas!$AB6, 'Fluxos de Recebimento'!$F$65:$F$116, 0), MATCH(Curvas!AI$2, 'Fluxos de Recebimento'!$I$63:$BH$63, 0)),0)*INDEX($E:$E, MATCH(AI$2, $B:$B, 0))</f>
        <v>0</v>
      </c>
      <c r="AJ6" s="193">
        <f>IFERROR(INDEX('Fluxos de Recebimento'!$I$7:$BH$58, MATCH(Curvas!$AB6, 'Fluxos de Recebimento'!$F$7:$F$58, 0), MATCH(Curvas!AJ$2,'Fluxos de Recebimento'!$I$5:$BH$5, 0))+INDEX('Fluxos de Recebimento'!$I$65:$BH$116, MATCH(Curvas!$AB6, 'Fluxos de Recebimento'!$F$65:$F$116, 0), MATCH(Curvas!AJ$2, 'Fluxos de Recebimento'!$I$63:$BH$63, 0)),0)*INDEX($E:$E, MATCH(AJ$2, $B:$B, 0))</f>
        <v>0</v>
      </c>
      <c r="AK6" s="193">
        <f>IFERROR(INDEX('Fluxos de Recebimento'!$I$7:$BH$58, MATCH(Curvas!$AB6, 'Fluxos de Recebimento'!$F$7:$F$58, 0), MATCH(Curvas!AK$2,'Fluxos de Recebimento'!$I$5:$BH$5, 0))+INDEX('Fluxos de Recebimento'!$I$65:$BH$116, MATCH(Curvas!$AB6, 'Fluxos de Recebimento'!$F$65:$F$116, 0), MATCH(Curvas!AK$2, 'Fluxos de Recebimento'!$I$63:$BH$63, 0)),0)*INDEX($E:$E, MATCH(AK$2, $B:$B, 0))</f>
        <v>0</v>
      </c>
      <c r="AL6" s="193">
        <f>IFERROR(INDEX('Fluxos de Recebimento'!$I$7:$BH$58, MATCH(Curvas!$AB6, 'Fluxos de Recebimento'!$F$7:$F$58, 0), MATCH(Curvas!AL$2,'Fluxos de Recebimento'!$I$5:$BH$5, 0))+INDEX('Fluxos de Recebimento'!$I$65:$BH$116, MATCH(Curvas!$AB6, 'Fluxos de Recebimento'!$F$65:$F$116, 0), MATCH(Curvas!AL$2, 'Fluxos de Recebimento'!$I$63:$BH$63, 0)),0)*INDEX($E:$E, MATCH(AL$2, $B:$B, 0))</f>
        <v>0</v>
      </c>
      <c r="AM6" s="193">
        <f>IFERROR(INDEX('Fluxos de Recebimento'!$I$7:$BH$58, MATCH(Curvas!$AB6, 'Fluxos de Recebimento'!$F$7:$F$58, 0), MATCH(Curvas!AM$2,'Fluxos de Recebimento'!$I$5:$BH$5, 0))+INDEX('Fluxos de Recebimento'!$I$65:$BH$116, MATCH(Curvas!$AB6, 'Fluxos de Recebimento'!$F$65:$F$116, 0), MATCH(Curvas!AM$2, 'Fluxos de Recebimento'!$I$63:$BH$63, 0)),0)*INDEX($E:$E, MATCH(AM$2, $B:$B, 0))</f>
        <v>0</v>
      </c>
      <c r="AN6" s="193">
        <f>IFERROR(INDEX('Fluxos de Recebimento'!$I$7:$BH$58, MATCH(Curvas!$AB6, 'Fluxos de Recebimento'!$F$7:$F$58, 0), MATCH(Curvas!AN$2,'Fluxos de Recebimento'!$I$5:$BH$5, 0))+INDEX('Fluxos de Recebimento'!$I$65:$BH$116, MATCH(Curvas!$AB6, 'Fluxos de Recebimento'!$F$65:$F$116, 0), MATCH(Curvas!AN$2, 'Fluxos de Recebimento'!$I$63:$BH$63, 0)),0)*INDEX($E:$E, MATCH(AN$2, $B:$B, 0))</f>
        <v>0</v>
      </c>
      <c r="AO6" s="193">
        <f>IFERROR(INDEX('Fluxos de Recebimento'!$I$7:$BH$58, MATCH(Curvas!$AB6, 'Fluxos de Recebimento'!$F$7:$F$58, 0), MATCH(Curvas!AO$2,'Fluxos de Recebimento'!$I$5:$BH$5, 0))+INDEX('Fluxos de Recebimento'!$I$65:$BH$116, MATCH(Curvas!$AB6, 'Fluxos de Recebimento'!$F$65:$F$116, 0), MATCH(Curvas!AO$2, 'Fluxos de Recebimento'!$I$63:$BH$63, 0)),0)*INDEX($E:$E, MATCH(AO$2, $B:$B, 0))</f>
        <v>0</v>
      </c>
      <c r="AP6" s="193">
        <f>IFERROR(INDEX('Fluxos de Recebimento'!$I$7:$BH$58, MATCH(Curvas!$AB6, 'Fluxos de Recebimento'!$F$7:$F$58, 0), MATCH(Curvas!AP$2,'Fluxos de Recebimento'!$I$5:$BH$5, 0))+INDEX('Fluxos de Recebimento'!$I$65:$BH$116, MATCH(Curvas!$AB6, 'Fluxos de Recebimento'!$F$65:$F$116, 0), MATCH(Curvas!AP$2, 'Fluxos de Recebimento'!$I$63:$BH$63, 0)),0)*INDEX($E:$E, MATCH(AP$2, $B:$B, 0))</f>
        <v>0</v>
      </c>
      <c r="AQ6" s="193">
        <f>IFERROR(INDEX('Fluxos de Recebimento'!$I$7:$BH$58, MATCH(Curvas!$AB6, 'Fluxos de Recebimento'!$F$7:$F$58, 0), MATCH(Curvas!AQ$2,'Fluxos de Recebimento'!$I$5:$BH$5, 0))+INDEX('Fluxos de Recebimento'!$I$65:$BH$116, MATCH(Curvas!$AB6, 'Fluxos de Recebimento'!$F$65:$F$116, 0), MATCH(Curvas!AQ$2, 'Fluxos de Recebimento'!$I$63:$BH$63, 0)),0)*INDEX($E:$E, MATCH(AQ$2, $B:$B, 0))</f>
        <v>0</v>
      </c>
      <c r="AR6" s="193">
        <f>IFERROR(INDEX('Fluxos de Recebimento'!$I$7:$BH$58, MATCH(Curvas!$AB6, 'Fluxos de Recebimento'!$F$7:$F$58, 0), MATCH(Curvas!AR$2,'Fluxos de Recebimento'!$I$5:$BH$5, 0))+INDEX('Fluxos de Recebimento'!$I$65:$BH$116, MATCH(Curvas!$AB6, 'Fluxos de Recebimento'!$F$65:$F$116, 0), MATCH(Curvas!AR$2, 'Fluxos de Recebimento'!$I$63:$BH$63, 0)),0)*INDEX($E:$E, MATCH(AR$2, $B:$B, 0))</f>
        <v>0</v>
      </c>
      <c r="AS6" s="193">
        <f>IFERROR(INDEX('Fluxos de Recebimento'!$I$7:$BH$58, MATCH(Curvas!$AB6, 'Fluxos de Recebimento'!$F$7:$F$58, 0), MATCH(Curvas!AS$2,'Fluxos de Recebimento'!$I$5:$BH$5, 0))+INDEX('Fluxos de Recebimento'!$I$65:$BH$116, MATCH(Curvas!$AB6, 'Fluxos de Recebimento'!$F$65:$F$116, 0), MATCH(Curvas!AS$2, 'Fluxos de Recebimento'!$I$63:$BH$63, 0)),0)*INDEX($E:$E, MATCH(AS$2, $B:$B, 0))</f>
        <v>0</v>
      </c>
      <c r="AT6" s="193">
        <f>IFERROR(INDEX('Fluxos de Recebimento'!$I$7:$BH$58, MATCH(Curvas!$AB6, 'Fluxos de Recebimento'!$F$7:$F$58, 0), MATCH(Curvas!AT$2,'Fluxos de Recebimento'!$I$5:$BH$5, 0))+INDEX('Fluxos de Recebimento'!$I$65:$BH$116, MATCH(Curvas!$AB6, 'Fluxos de Recebimento'!$F$65:$F$116, 0), MATCH(Curvas!AT$2, 'Fluxos de Recebimento'!$I$63:$BH$63, 0)),0)*INDEX($E:$E, MATCH(AT$2, $B:$B, 0))</f>
        <v>0</v>
      </c>
      <c r="AU6" s="193">
        <f>IFERROR(INDEX('Fluxos de Recebimento'!$I$7:$BH$58, MATCH(Curvas!$AB6, 'Fluxos de Recebimento'!$F$7:$F$58, 0), MATCH(Curvas!AU$2,'Fluxos de Recebimento'!$I$5:$BH$5, 0))+INDEX('Fluxos de Recebimento'!$I$65:$BH$116, MATCH(Curvas!$AB6, 'Fluxos de Recebimento'!$F$65:$F$116, 0), MATCH(Curvas!AU$2, 'Fluxos de Recebimento'!$I$63:$BH$63, 0)),0)*INDEX($E:$E, MATCH(AU$2, $B:$B, 0))</f>
        <v>0</v>
      </c>
      <c r="AV6" s="193">
        <f>IFERROR(INDEX('Fluxos de Recebimento'!$I$7:$BH$58, MATCH(Curvas!$AB6, 'Fluxos de Recebimento'!$F$7:$F$58, 0), MATCH(Curvas!AV$2,'Fluxos de Recebimento'!$I$5:$BH$5, 0))+INDEX('Fluxos de Recebimento'!$I$65:$BH$116, MATCH(Curvas!$AB6, 'Fluxos de Recebimento'!$F$65:$F$116, 0), MATCH(Curvas!AV$2, 'Fluxos de Recebimento'!$I$63:$BH$63, 0)),0)*INDEX($E:$E, MATCH(AV$2, $B:$B, 0))</f>
        <v>0</v>
      </c>
      <c r="AW6" s="193">
        <f>IFERROR(INDEX('Fluxos de Recebimento'!$I$7:$BH$58, MATCH(Curvas!$AB6, 'Fluxos de Recebimento'!$F$7:$F$58, 0), MATCH(Curvas!AW$2,'Fluxos de Recebimento'!$I$5:$BH$5, 0))+INDEX('Fluxos de Recebimento'!$I$65:$BH$116, MATCH(Curvas!$AB6, 'Fluxos de Recebimento'!$F$65:$F$116, 0), MATCH(Curvas!AW$2, 'Fluxos de Recebimento'!$I$63:$BH$63, 0)),0)*INDEX($E:$E, MATCH(AW$2, $B:$B, 0))</f>
        <v>0</v>
      </c>
      <c r="AX6" s="193">
        <f>IFERROR(INDEX('Fluxos de Recebimento'!$I$7:$BH$58, MATCH(Curvas!$AB6, 'Fluxos de Recebimento'!$F$7:$F$58, 0), MATCH(Curvas!AX$2,'Fluxos de Recebimento'!$I$5:$BH$5, 0))+INDEX('Fluxos de Recebimento'!$I$65:$BH$116, MATCH(Curvas!$AB6, 'Fluxos de Recebimento'!$F$65:$F$116, 0), MATCH(Curvas!AX$2, 'Fluxos de Recebimento'!$I$63:$BH$63, 0)),0)*INDEX($E:$E, MATCH(AX$2, $B:$B, 0))</f>
        <v>0</v>
      </c>
      <c r="AY6" s="193">
        <f>IFERROR(INDEX('Fluxos de Recebimento'!$I$7:$BH$58, MATCH(Curvas!$AB6, 'Fluxos de Recebimento'!$F$7:$F$58, 0), MATCH(Curvas!AY$2,'Fluxos de Recebimento'!$I$5:$BH$5, 0))+INDEX('Fluxos de Recebimento'!$I$65:$BH$116, MATCH(Curvas!$AB6, 'Fluxos de Recebimento'!$F$65:$F$116, 0), MATCH(Curvas!AY$2, 'Fluxos de Recebimento'!$I$63:$BH$63, 0)),0)*INDEX($E:$E, MATCH(AY$2, $B:$B, 0))</f>
        <v>0</v>
      </c>
      <c r="AZ6" s="193">
        <f>IFERROR(INDEX('Fluxos de Recebimento'!$I$7:$BH$58, MATCH(Curvas!$AB6, 'Fluxos de Recebimento'!$F$7:$F$58, 0), MATCH(Curvas!AZ$2,'Fluxos de Recebimento'!$I$5:$BH$5, 0))+INDEX('Fluxos de Recebimento'!$I$65:$BH$116, MATCH(Curvas!$AB6, 'Fluxos de Recebimento'!$F$65:$F$116, 0), MATCH(Curvas!AZ$2, 'Fluxos de Recebimento'!$I$63:$BH$63, 0)),0)*INDEX($E:$E, MATCH(AZ$2, $B:$B, 0))</f>
        <v>0</v>
      </c>
      <c r="BA6" s="193">
        <f>IFERROR(INDEX('Fluxos de Recebimento'!$I$7:$BH$58, MATCH(Curvas!$AB6, 'Fluxos de Recebimento'!$F$7:$F$58, 0), MATCH(Curvas!BA$2,'Fluxos de Recebimento'!$I$5:$BH$5, 0))+INDEX('Fluxos de Recebimento'!$I$65:$BH$116, MATCH(Curvas!$AB6, 'Fluxos de Recebimento'!$F$65:$F$116, 0), MATCH(Curvas!BA$2, 'Fluxos de Recebimento'!$I$63:$BH$63, 0)),0)*INDEX($E:$E, MATCH(BA$2, $B:$B, 0))</f>
        <v>0</v>
      </c>
      <c r="BB6" s="193">
        <f>IFERROR(INDEX('Fluxos de Recebimento'!$I$7:$BH$58, MATCH(Curvas!$AB6, 'Fluxos de Recebimento'!$F$7:$F$58, 0), MATCH(Curvas!BB$2,'Fluxos de Recebimento'!$I$5:$BH$5, 0))+INDEX('Fluxos de Recebimento'!$I$65:$BH$116, MATCH(Curvas!$AB6, 'Fluxos de Recebimento'!$F$65:$F$116, 0), MATCH(Curvas!BB$2, 'Fluxos de Recebimento'!$I$63:$BH$63, 0)),0)*INDEX($E:$E, MATCH(BB$2, $B:$B, 0))</f>
        <v>0</v>
      </c>
      <c r="BC6" s="193">
        <f>IFERROR(INDEX('Fluxos de Recebimento'!$I$7:$BH$58, MATCH(Curvas!$AB6, 'Fluxos de Recebimento'!$F$7:$F$58, 0), MATCH(Curvas!BC$2,'Fluxos de Recebimento'!$I$5:$BH$5, 0))+INDEX('Fluxos de Recebimento'!$I$65:$BH$116, MATCH(Curvas!$AB6, 'Fluxos de Recebimento'!$F$65:$F$116, 0), MATCH(Curvas!BC$2, 'Fluxos de Recebimento'!$I$63:$BH$63, 0)),0)*INDEX($E:$E, MATCH(BC$2, $B:$B, 0))</f>
        <v>0</v>
      </c>
      <c r="BD6" s="193">
        <f>IFERROR(INDEX('Fluxos de Recebimento'!$I$7:$BH$58, MATCH(Curvas!$AB6, 'Fluxos de Recebimento'!$F$7:$F$58, 0), MATCH(Curvas!BD$2,'Fluxos de Recebimento'!$I$5:$BH$5, 0))+INDEX('Fluxos de Recebimento'!$I$65:$BH$116, MATCH(Curvas!$AB6, 'Fluxos de Recebimento'!$F$65:$F$116, 0), MATCH(Curvas!BD$2, 'Fluxos de Recebimento'!$I$63:$BH$63, 0)),0)*INDEX($E:$E, MATCH(BD$2, $B:$B, 0))</f>
        <v>0</v>
      </c>
      <c r="BE6" s="193">
        <f>IFERROR(INDEX('Fluxos de Recebimento'!$I$7:$BH$58, MATCH(Curvas!$AB6, 'Fluxos de Recebimento'!$F$7:$F$58, 0), MATCH(Curvas!BE$2,'Fluxos de Recebimento'!$I$5:$BH$5, 0))+INDEX('Fluxos de Recebimento'!$I$65:$BH$116, MATCH(Curvas!$AB6, 'Fluxos de Recebimento'!$F$65:$F$116, 0), MATCH(Curvas!BE$2, 'Fluxos de Recebimento'!$I$63:$BH$63, 0)),0)*INDEX($E:$E, MATCH(BE$2, $B:$B, 0))</f>
        <v>0</v>
      </c>
      <c r="BF6" s="193">
        <f>IFERROR(INDEX('Fluxos de Recebimento'!$I$7:$BH$58, MATCH(Curvas!$AB6, 'Fluxos de Recebimento'!$F$7:$F$58, 0), MATCH(Curvas!BF$2,'Fluxos de Recebimento'!$I$5:$BH$5, 0))+INDEX('Fluxos de Recebimento'!$I$65:$BH$116, MATCH(Curvas!$AB6, 'Fluxos de Recebimento'!$F$65:$F$116, 0), MATCH(Curvas!BF$2, 'Fluxos de Recebimento'!$I$63:$BH$63, 0)),0)*INDEX($E:$E, MATCH(BF$2, $B:$B, 0))</f>
        <v>0</v>
      </c>
      <c r="BG6" s="193">
        <f>IFERROR(INDEX('Fluxos de Recebimento'!$I$7:$BH$58, MATCH(Curvas!$AB6, 'Fluxos de Recebimento'!$F$7:$F$58, 0), MATCH(Curvas!BG$2,'Fluxos de Recebimento'!$I$5:$BH$5, 0))+INDEX('Fluxos de Recebimento'!$I$65:$BH$116, MATCH(Curvas!$AB6, 'Fluxos de Recebimento'!$F$65:$F$116, 0), MATCH(Curvas!BG$2, 'Fluxos de Recebimento'!$I$63:$BH$63, 0)),0)*INDEX($E:$E, MATCH(BG$2, $B:$B, 0))</f>
        <v>0</v>
      </c>
      <c r="BH6" s="193">
        <f>IFERROR(INDEX('Fluxos de Recebimento'!$I$7:$BH$58, MATCH(Curvas!$AB6, 'Fluxos de Recebimento'!$F$7:$F$58, 0), MATCH(Curvas!BH$2,'Fluxos de Recebimento'!$I$5:$BH$5, 0))+INDEX('Fluxos de Recebimento'!$I$65:$BH$116, MATCH(Curvas!$AB6, 'Fluxos de Recebimento'!$F$65:$F$116, 0), MATCH(Curvas!BH$2, 'Fluxos de Recebimento'!$I$63:$BH$63, 0)),0)*INDEX($E:$E, MATCH(BH$2, $B:$B, 0))</f>
        <v>0</v>
      </c>
      <c r="BI6" s="193">
        <f>IFERROR(INDEX('Fluxos de Recebimento'!$I$7:$BH$58, MATCH(Curvas!$AB6, 'Fluxos de Recebimento'!$F$7:$F$58, 0), MATCH(Curvas!BI$2,'Fluxos de Recebimento'!$I$5:$BH$5, 0))+INDEX('Fluxos de Recebimento'!$I$65:$BH$116, MATCH(Curvas!$AB6, 'Fluxos de Recebimento'!$F$65:$F$116, 0), MATCH(Curvas!BI$2, 'Fluxos de Recebimento'!$I$63:$BH$63, 0)),0)*INDEX($E:$E, MATCH(BI$2, $B:$B, 0))</f>
        <v>0</v>
      </c>
      <c r="BJ6" s="193">
        <f>IFERROR(INDEX('Fluxos de Recebimento'!$I$7:$BH$58, MATCH(Curvas!$AB6, 'Fluxos de Recebimento'!$F$7:$F$58, 0), MATCH(Curvas!BJ$2,'Fluxos de Recebimento'!$I$5:$BH$5, 0))+INDEX('Fluxos de Recebimento'!$I$65:$BH$116, MATCH(Curvas!$AB6, 'Fluxos de Recebimento'!$F$65:$F$116, 0), MATCH(Curvas!BJ$2, 'Fluxos de Recebimento'!$I$63:$BH$63, 0)),0)*INDEX($E:$E, MATCH(BJ$2, $B:$B, 0))</f>
        <v>0</v>
      </c>
      <c r="BK6" s="193">
        <f>IFERROR(INDEX('Fluxos de Recebimento'!$I$7:$BH$58, MATCH(Curvas!$AB6, 'Fluxos de Recebimento'!$F$7:$F$58, 0), MATCH(Curvas!BK$2,'Fluxos de Recebimento'!$I$5:$BH$5, 0))+INDEX('Fluxos de Recebimento'!$I$65:$BH$116, MATCH(Curvas!$AB6, 'Fluxos de Recebimento'!$F$65:$F$116, 0), MATCH(Curvas!BK$2, 'Fluxos de Recebimento'!$I$63:$BH$63, 0)),0)*INDEX($E:$E, MATCH(BK$2, $B:$B, 0))</f>
        <v>0</v>
      </c>
      <c r="BL6" s="193">
        <f>IFERROR(INDEX('Fluxos de Recebimento'!$I$7:$BH$58, MATCH(Curvas!$AB6, 'Fluxos de Recebimento'!$F$7:$F$58, 0), MATCH(Curvas!BL$2,'Fluxos de Recebimento'!$I$5:$BH$5, 0))+INDEX('Fluxos de Recebimento'!$I$65:$BH$116, MATCH(Curvas!$AB6, 'Fluxos de Recebimento'!$F$65:$F$116, 0), MATCH(Curvas!BL$2, 'Fluxos de Recebimento'!$I$63:$BH$63, 0)),0)*INDEX($E:$E, MATCH(BL$2, $B:$B, 0))</f>
        <v>0</v>
      </c>
      <c r="BM6" s="193">
        <f>IFERROR(INDEX('Fluxos de Recebimento'!$I$7:$BH$58, MATCH(Curvas!$AB6, 'Fluxos de Recebimento'!$F$7:$F$58, 0), MATCH(Curvas!BM$2,'Fluxos de Recebimento'!$I$5:$BH$5, 0))+INDEX('Fluxos de Recebimento'!$I$65:$BH$116, MATCH(Curvas!$AB6, 'Fluxos de Recebimento'!$F$65:$F$116, 0), MATCH(Curvas!BM$2, 'Fluxos de Recebimento'!$I$63:$BH$63, 0)),0)*INDEX($E:$E, MATCH(BM$2, $B:$B, 0))</f>
        <v>0</v>
      </c>
      <c r="BN6" s="193">
        <f>IFERROR(INDEX('Fluxos de Recebimento'!$I$7:$BH$58, MATCH(Curvas!$AB6, 'Fluxos de Recebimento'!$F$7:$F$58, 0), MATCH(Curvas!BN$2,'Fluxos de Recebimento'!$I$5:$BH$5, 0))+INDEX('Fluxos de Recebimento'!$I$65:$BH$116, MATCH(Curvas!$AB6, 'Fluxos de Recebimento'!$F$65:$F$116, 0), MATCH(Curvas!BN$2, 'Fluxos de Recebimento'!$I$63:$BH$63, 0)),0)*INDEX($E:$E, MATCH(BN$2, $B:$B, 0))</f>
        <v>0</v>
      </c>
      <c r="BO6" s="193">
        <f>IFERROR(INDEX('Fluxos de Recebimento'!$I$7:$BH$58, MATCH(Curvas!$AB6, 'Fluxos de Recebimento'!$F$7:$F$58, 0), MATCH(Curvas!BO$2,'Fluxos de Recebimento'!$I$5:$BH$5, 0))+INDEX('Fluxos de Recebimento'!$I$65:$BH$116, MATCH(Curvas!$AB6, 'Fluxos de Recebimento'!$F$65:$F$116, 0), MATCH(Curvas!BO$2, 'Fluxos de Recebimento'!$I$63:$BH$63, 0)),0)*INDEX($E:$E, MATCH(BO$2, $B:$B, 0))</f>
        <v>0</v>
      </c>
      <c r="BP6" s="193">
        <f>IFERROR(INDEX('Fluxos de Recebimento'!$I$7:$BH$58, MATCH(Curvas!$AB6, 'Fluxos de Recebimento'!$F$7:$F$58, 0), MATCH(Curvas!BP$2,'Fluxos de Recebimento'!$I$5:$BH$5, 0))+INDEX('Fluxos de Recebimento'!$I$65:$BH$116, MATCH(Curvas!$AB6, 'Fluxos de Recebimento'!$F$65:$F$116, 0), MATCH(Curvas!BP$2, 'Fluxos de Recebimento'!$I$63:$BH$63, 0)),0)*INDEX($E:$E, MATCH(BP$2, $B:$B, 0))</f>
        <v>0</v>
      </c>
      <c r="BQ6" s="193">
        <f>IFERROR(INDEX('Fluxos de Recebimento'!$I$7:$BH$58, MATCH(Curvas!$AB6, 'Fluxos de Recebimento'!$F$7:$F$58, 0), MATCH(Curvas!BQ$2,'Fluxos de Recebimento'!$I$5:$BH$5, 0))+INDEX('Fluxos de Recebimento'!$I$65:$BH$116, MATCH(Curvas!$AB6, 'Fluxos de Recebimento'!$F$65:$F$116, 0), MATCH(Curvas!BQ$2, 'Fluxos de Recebimento'!$I$63:$BH$63, 0)),0)*INDEX($E:$E, MATCH(BQ$2, $B:$B, 0))</f>
        <v>0</v>
      </c>
      <c r="BR6" s="193">
        <f>IFERROR(INDEX('Fluxos de Recebimento'!$I$7:$BH$58, MATCH(Curvas!$AB6, 'Fluxos de Recebimento'!$F$7:$F$58, 0), MATCH(Curvas!BR$2,'Fluxos de Recebimento'!$I$5:$BH$5, 0))+INDEX('Fluxos de Recebimento'!$I$65:$BH$116, MATCH(Curvas!$AB6, 'Fluxos de Recebimento'!$F$65:$F$116, 0), MATCH(Curvas!BR$2, 'Fluxos de Recebimento'!$I$63:$BH$63, 0)),0)*INDEX($E:$E, MATCH(BR$2, $B:$B, 0))</f>
        <v>0</v>
      </c>
      <c r="BS6" s="193">
        <f>IFERROR(INDEX('Fluxos de Recebimento'!$I$7:$BH$58, MATCH(Curvas!$AB6, 'Fluxos de Recebimento'!$F$7:$F$58, 0), MATCH(Curvas!BS$2,'Fluxos de Recebimento'!$I$5:$BH$5, 0))+INDEX('Fluxos de Recebimento'!$I$65:$BH$116, MATCH(Curvas!$AB6, 'Fluxos de Recebimento'!$F$65:$F$116, 0), MATCH(Curvas!BS$2, 'Fluxos de Recebimento'!$I$63:$BH$63, 0)),0)*INDEX($E:$E, MATCH(BS$2, $B:$B, 0))</f>
        <v>0</v>
      </c>
      <c r="BT6" s="193">
        <f>IFERROR(INDEX('Fluxos de Recebimento'!$I$7:$BH$58, MATCH(Curvas!$AB6, 'Fluxos de Recebimento'!$F$7:$F$58, 0), MATCH(Curvas!BT$2,'Fluxos de Recebimento'!$I$5:$BH$5, 0))+INDEX('Fluxos de Recebimento'!$I$65:$BH$116, MATCH(Curvas!$AB6, 'Fluxos de Recebimento'!$F$65:$F$116, 0), MATCH(Curvas!BT$2, 'Fluxos de Recebimento'!$I$63:$BH$63, 0)),0)*INDEX($E:$E, MATCH(BT$2, $B:$B, 0))</f>
        <v>0</v>
      </c>
      <c r="BU6" s="193">
        <f>IFERROR(INDEX('Fluxos de Recebimento'!$I$7:$BH$58, MATCH(Curvas!$AB6, 'Fluxos de Recebimento'!$F$7:$F$58, 0), MATCH(Curvas!BU$2,'Fluxos de Recebimento'!$I$5:$BH$5, 0))+INDEX('Fluxos de Recebimento'!$I$65:$BH$116, MATCH(Curvas!$AB6, 'Fluxos de Recebimento'!$F$65:$F$116, 0), MATCH(Curvas!BU$2, 'Fluxos de Recebimento'!$I$63:$BH$63, 0)),0)*INDEX($E:$E, MATCH(BU$2, $B:$B, 0))</f>
        <v>0</v>
      </c>
      <c r="BV6" s="193">
        <f>IFERROR(INDEX('Fluxos de Recebimento'!$I$7:$BH$58, MATCH(Curvas!$AB6, 'Fluxos de Recebimento'!$F$7:$F$58, 0), MATCH(Curvas!BV$2,'Fluxos de Recebimento'!$I$5:$BH$5, 0))+INDEX('Fluxos de Recebimento'!$I$65:$BH$116, MATCH(Curvas!$AB6, 'Fluxos de Recebimento'!$F$65:$F$116, 0), MATCH(Curvas!BV$2, 'Fluxos de Recebimento'!$I$63:$BH$63, 0)),0)*INDEX($E:$E, MATCH(BV$2, $B:$B, 0))</f>
        <v>0</v>
      </c>
      <c r="BW6" s="193">
        <f>IFERROR(INDEX('Fluxos de Recebimento'!$I$7:$BH$58, MATCH(Curvas!$AB6, 'Fluxos de Recebimento'!$F$7:$F$58, 0), MATCH(Curvas!BW$2,'Fluxos de Recebimento'!$I$5:$BH$5, 0))+INDEX('Fluxos de Recebimento'!$I$65:$BH$116, MATCH(Curvas!$AB6, 'Fluxos de Recebimento'!$F$65:$F$116, 0), MATCH(Curvas!BW$2, 'Fluxos de Recebimento'!$I$63:$BH$63, 0)),0)*INDEX($E:$E, MATCH(BW$2, $B:$B, 0))</f>
        <v>0</v>
      </c>
      <c r="BX6" s="193">
        <f>IFERROR(INDEX('Fluxos de Recebimento'!$I$7:$BH$58, MATCH(Curvas!$AB6, 'Fluxos de Recebimento'!$F$7:$F$58, 0), MATCH(Curvas!BX$2,'Fluxos de Recebimento'!$I$5:$BH$5, 0))+INDEX('Fluxos de Recebimento'!$I$65:$BH$116, MATCH(Curvas!$AB6, 'Fluxos de Recebimento'!$F$65:$F$116, 0), MATCH(Curvas!BX$2, 'Fluxos de Recebimento'!$I$63:$BH$63, 0)),0)*INDEX($E:$E, MATCH(BX$2, $B:$B, 0))</f>
        <v>0</v>
      </c>
      <c r="BY6" s="193">
        <f>IFERROR(INDEX('Fluxos de Recebimento'!$I$7:$BH$58, MATCH(Curvas!$AB6, 'Fluxos de Recebimento'!$F$7:$F$58, 0), MATCH(Curvas!BY$2,'Fluxos de Recebimento'!$I$5:$BH$5, 0))+INDEX('Fluxos de Recebimento'!$I$65:$BH$116, MATCH(Curvas!$AB6, 'Fluxos de Recebimento'!$F$65:$F$116, 0), MATCH(Curvas!BY$2, 'Fluxos de Recebimento'!$I$63:$BH$63, 0)),0)*INDEX($E:$E, MATCH(BY$2, $B:$B, 0))</f>
        <v>0</v>
      </c>
      <c r="BZ6" s="193">
        <f>IFERROR(INDEX('Fluxos de Recebimento'!$I$7:$BH$58, MATCH(Curvas!$AB6, 'Fluxos de Recebimento'!$F$7:$F$58, 0), MATCH(Curvas!BZ$2,'Fluxos de Recebimento'!$I$5:$BH$5, 0))+INDEX('Fluxos de Recebimento'!$I$65:$BH$116, MATCH(Curvas!$AB6, 'Fluxos de Recebimento'!$F$65:$F$116, 0), MATCH(Curvas!BZ$2, 'Fluxos de Recebimento'!$I$63:$BH$63, 0)),0)*INDEX($E:$E, MATCH(BZ$2, $B:$B, 0))</f>
        <v>0</v>
      </c>
      <c r="CA6" s="193">
        <f>IFERROR(INDEX('Fluxos de Recebimento'!$I$7:$BH$58, MATCH(Curvas!$AB6, 'Fluxos de Recebimento'!$F$7:$F$58, 0), MATCH(Curvas!CA$2,'Fluxos de Recebimento'!$I$5:$BH$5, 0))+INDEX('Fluxos de Recebimento'!$I$65:$BH$116, MATCH(Curvas!$AB6, 'Fluxos de Recebimento'!$F$65:$F$116, 0), MATCH(Curvas!CA$2, 'Fluxos de Recebimento'!$I$63:$BH$63, 0)),0)*INDEX($E:$E, MATCH(CA$2, $B:$B, 0))</f>
        <v>0</v>
      </c>
      <c r="CB6" s="193">
        <f>IFERROR(INDEX('Fluxos de Recebimento'!$I$7:$BH$58, MATCH(Curvas!$AB6, 'Fluxos de Recebimento'!$F$7:$F$58, 0), MATCH(Curvas!CB$2,'Fluxos de Recebimento'!$I$5:$BH$5, 0))+INDEX('Fluxos de Recebimento'!$I$65:$BH$116, MATCH(Curvas!$AB6, 'Fluxos de Recebimento'!$F$65:$F$116, 0), MATCH(Curvas!CB$2, 'Fluxos de Recebimento'!$I$63:$BH$63, 0)),0)*INDEX($E:$E, MATCH(CB$2, $B:$B, 0))</f>
        <v>0</v>
      </c>
      <c r="CC6" s="193">
        <f>IFERROR(INDEX('Fluxos de Recebimento'!$I$7:$BH$58, MATCH(Curvas!$AB6, 'Fluxos de Recebimento'!$F$7:$F$58, 0), MATCH(Curvas!CC$2,'Fluxos de Recebimento'!$I$5:$BH$5, 0))+INDEX('Fluxos de Recebimento'!$I$65:$BH$116, MATCH(Curvas!$AB6, 'Fluxos de Recebimento'!$F$65:$F$116, 0), MATCH(Curvas!CC$2, 'Fluxos de Recebimento'!$I$63:$BH$63, 0)),0)*INDEX($E:$E, MATCH(CC$2, $B:$B, 0))</f>
        <v>0</v>
      </c>
    </row>
    <row r="7" spans="1:81" x14ac:dyDescent="0.25">
      <c r="A7" s="2"/>
      <c r="B7" s="477">
        <f t="shared" si="16"/>
        <v>44256</v>
      </c>
      <c r="C7" s="52">
        <f t="shared" si="17"/>
        <v>4</v>
      </c>
      <c r="D7" s="2"/>
      <c r="E7" s="187">
        <f t="shared" si="4"/>
        <v>2.298850574712644E-2</v>
      </c>
      <c r="F7" s="48">
        <f t="shared" si="18"/>
        <v>9.195402298850576E-2</v>
      </c>
      <c r="G7" s="46">
        <f t="shared" ca="1" si="5"/>
        <v>0</v>
      </c>
      <c r="H7" s="48">
        <f t="shared" ca="1" si="19"/>
        <v>0</v>
      </c>
      <c r="I7" s="2"/>
      <c r="J7" s="69">
        <f t="shared" si="6"/>
        <v>16</v>
      </c>
      <c r="K7" s="479">
        <f t="shared" ca="1" si="7"/>
        <v>0</v>
      </c>
      <c r="L7" s="70">
        <f t="shared" ca="1" si="8"/>
        <v>16</v>
      </c>
      <c r="M7" s="2"/>
      <c r="N7" s="69">
        <f t="shared" si="9"/>
        <v>21</v>
      </c>
      <c r="O7" s="479">
        <f t="shared" si="10"/>
        <v>0</v>
      </c>
      <c r="P7" s="70">
        <f t="shared" si="11"/>
        <v>21</v>
      </c>
      <c r="Q7" s="2"/>
      <c r="R7" s="71">
        <f t="shared" si="12"/>
        <v>37</v>
      </c>
      <c r="S7" s="196"/>
      <c r="T7" s="46">
        <v>0</v>
      </c>
      <c r="U7" s="48">
        <f t="shared" si="20"/>
        <v>0</v>
      </c>
      <c r="V7" s="2"/>
      <c r="W7" s="56">
        <f t="shared" si="21"/>
        <v>4</v>
      </c>
      <c r="X7" s="48">
        <v>0</v>
      </c>
      <c r="Y7" s="2"/>
      <c r="Z7" s="194">
        <f t="shared" si="13"/>
        <v>1.660748787185569E-3</v>
      </c>
      <c r="AA7" s="2"/>
      <c r="AB7" s="477">
        <f t="shared" si="14"/>
        <v>44256</v>
      </c>
      <c r="AC7" s="52">
        <f t="shared" si="15"/>
        <v>4</v>
      </c>
      <c r="AD7" s="193">
        <f>IFERROR(INDEX('Fluxos de Recebimento'!$I$7:$BH$58, MATCH(Curvas!$AB7, 'Fluxos de Recebimento'!$F$7:$F$58, 0), MATCH(Curvas!AD$2,'Fluxos de Recebimento'!$I$5:$BH$5, 0))+INDEX('Fluxos de Recebimento'!$I$65:$BH$116, MATCH(Curvas!$AB7, 'Fluxos de Recebimento'!$F$65:$F$116, 0), MATCH(Curvas!AD$2, 'Fluxos de Recebimento'!$I$63:$BH$63, 0)),0)*INDEX($E:$E, MATCH(AD$2, $B:$B, 0))</f>
        <v>1.6420361247947458E-4</v>
      </c>
      <c r="AE7" s="193">
        <f>IFERROR(INDEX('Fluxos de Recebimento'!$I$7:$BH$58, MATCH(Curvas!$AB7, 'Fluxos de Recebimento'!$F$7:$F$58, 0), MATCH(Curvas!AE$2,'Fluxos de Recebimento'!$I$5:$BH$5, 0))+INDEX('Fluxos de Recebimento'!$I$65:$BH$116, MATCH(Curvas!$AB7, 'Fluxos de Recebimento'!$F$65:$F$116, 0), MATCH(Curvas!AE$2, 'Fluxos de Recebimento'!$I$63:$BH$63, 0)),0)*INDEX($E:$E, MATCH(AE$2, $B:$B, 0))</f>
        <v>1.7028522775649216E-4</v>
      </c>
      <c r="AF7" s="193">
        <f>IFERROR(INDEX('Fluxos de Recebimento'!$I$7:$BH$58, MATCH(Curvas!$AB7, 'Fluxos de Recebimento'!$F$7:$F$58, 0), MATCH(Curvas!AF$2,'Fluxos de Recebimento'!$I$5:$BH$5, 0))+INDEX('Fluxos de Recebimento'!$I$65:$BH$116, MATCH(Curvas!$AB7, 'Fluxos de Recebimento'!$F$65:$F$116, 0), MATCH(Curvas!AF$2, 'Fluxos de Recebimento'!$I$63:$BH$63, 0)),0)*INDEX($E:$E, MATCH(AF$2, $B:$B, 0))</f>
        <v>1.7683465959328031E-4</v>
      </c>
      <c r="AG7" s="193">
        <f>IFERROR(INDEX('Fluxos de Recebimento'!$I$7:$BH$58, MATCH(Curvas!$AB7, 'Fluxos de Recebimento'!$F$7:$F$58, 0), MATCH(Curvas!AG$2,'Fluxos de Recebimento'!$I$5:$BH$5, 0))+INDEX('Fluxos de Recebimento'!$I$65:$BH$116, MATCH(Curvas!$AB7, 'Fluxos de Recebimento'!$F$65:$F$116, 0), MATCH(Curvas!AG$2, 'Fluxos de Recebimento'!$I$63:$BH$63, 0)),0)*INDEX($E:$E, MATCH(AG$2, $B:$B, 0))</f>
        <v>1.149425287356322E-3</v>
      </c>
      <c r="AH7" s="193">
        <f>IFERROR(INDEX('Fluxos de Recebimento'!$I$7:$BH$58, MATCH(Curvas!$AB7, 'Fluxos de Recebimento'!$F$7:$F$58, 0), MATCH(Curvas!AH$2,'Fluxos de Recebimento'!$I$5:$BH$5, 0))+INDEX('Fluxos de Recebimento'!$I$65:$BH$116, MATCH(Curvas!$AB7, 'Fluxos de Recebimento'!$F$65:$F$116, 0), MATCH(Curvas!AH$2, 'Fluxos de Recebimento'!$I$63:$BH$63, 0)),0)*INDEX($E:$E, MATCH(AH$2, $B:$B, 0))</f>
        <v>0</v>
      </c>
      <c r="AI7" s="193">
        <f>IFERROR(INDEX('Fluxos de Recebimento'!$I$7:$BH$58, MATCH(Curvas!$AB7, 'Fluxos de Recebimento'!$F$7:$F$58, 0), MATCH(Curvas!AI$2,'Fluxos de Recebimento'!$I$5:$BH$5, 0))+INDEX('Fluxos de Recebimento'!$I$65:$BH$116, MATCH(Curvas!$AB7, 'Fluxos de Recebimento'!$F$65:$F$116, 0), MATCH(Curvas!AI$2, 'Fluxos de Recebimento'!$I$63:$BH$63, 0)),0)*INDEX($E:$E, MATCH(AI$2, $B:$B, 0))</f>
        <v>0</v>
      </c>
      <c r="AJ7" s="193">
        <f>IFERROR(INDEX('Fluxos de Recebimento'!$I$7:$BH$58, MATCH(Curvas!$AB7, 'Fluxos de Recebimento'!$F$7:$F$58, 0), MATCH(Curvas!AJ$2,'Fluxos de Recebimento'!$I$5:$BH$5, 0))+INDEX('Fluxos de Recebimento'!$I$65:$BH$116, MATCH(Curvas!$AB7, 'Fluxos de Recebimento'!$F$65:$F$116, 0), MATCH(Curvas!AJ$2, 'Fluxos de Recebimento'!$I$63:$BH$63, 0)),0)*INDEX($E:$E, MATCH(AJ$2, $B:$B, 0))</f>
        <v>0</v>
      </c>
      <c r="AK7" s="193">
        <f>IFERROR(INDEX('Fluxos de Recebimento'!$I$7:$BH$58, MATCH(Curvas!$AB7, 'Fluxos de Recebimento'!$F$7:$F$58, 0), MATCH(Curvas!AK$2,'Fluxos de Recebimento'!$I$5:$BH$5, 0))+INDEX('Fluxos de Recebimento'!$I$65:$BH$116, MATCH(Curvas!$AB7, 'Fluxos de Recebimento'!$F$65:$F$116, 0), MATCH(Curvas!AK$2, 'Fluxos de Recebimento'!$I$63:$BH$63, 0)),0)*INDEX($E:$E, MATCH(AK$2, $B:$B, 0))</f>
        <v>0</v>
      </c>
      <c r="AL7" s="193">
        <f>IFERROR(INDEX('Fluxos de Recebimento'!$I$7:$BH$58, MATCH(Curvas!$AB7, 'Fluxos de Recebimento'!$F$7:$F$58, 0), MATCH(Curvas!AL$2,'Fluxos de Recebimento'!$I$5:$BH$5, 0))+INDEX('Fluxos de Recebimento'!$I$65:$BH$116, MATCH(Curvas!$AB7, 'Fluxos de Recebimento'!$F$65:$F$116, 0), MATCH(Curvas!AL$2, 'Fluxos de Recebimento'!$I$63:$BH$63, 0)),0)*INDEX($E:$E, MATCH(AL$2, $B:$B, 0))</f>
        <v>0</v>
      </c>
      <c r="AM7" s="193">
        <f>IFERROR(INDEX('Fluxos de Recebimento'!$I$7:$BH$58, MATCH(Curvas!$AB7, 'Fluxos de Recebimento'!$F$7:$F$58, 0), MATCH(Curvas!AM$2,'Fluxos de Recebimento'!$I$5:$BH$5, 0))+INDEX('Fluxos de Recebimento'!$I$65:$BH$116, MATCH(Curvas!$AB7, 'Fluxos de Recebimento'!$F$65:$F$116, 0), MATCH(Curvas!AM$2, 'Fluxos de Recebimento'!$I$63:$BH$63, 0)),0)*INDEX($E:$E, MATCH(AM$2, $B:$B, 0))</f>
        <v>0</v>
      </c>
      <c r="AN7" s="193">
        <f>IFERROR(INDEX('Fluxos de Recebimento'!$I$7:$BH$58, MATCH(Curvas!$AB7, 'Fluxos de Recebimento'!$F$7:$F$58, 0), MATCH(Curvas!AN$2,'Fluxos de Recebimento'!$I$5:$BH$5, 0))+INDEX('Fluxos de Recebimento'!$I$65:$BH$116, MATCH(Curvas!$AB7, 'Fluxos de Recebimento'!$F$65:$F$116, 0), MATCH(Curvas!AN$2, 'Fluxos de Recebimento'!$I$63:$BH$63, 0)),0)*INDEX($E:$E, MATCH(AN$2, $B:$B, 0))</f>
        <v>0</v>
      </c>
      <c r="AO7" s="193">
        <f>IFERROR(INDEX('Fluxos de Recebimento'!$I$7:$BH$58, MATCH(Curvas!$AB7, 'Fluxos de Recebimento'!$F$7:$F$58, 0), MATCH(Curvas!AO$2,'Fluxos de Recebimento'!$I$5:$BH$5, 0))+INDEX('Fluxos de Recebimento'!$I$65:$BH$116, MATCH(Curvas!$AB7, 'Fluxos de Recebimento'!$F$65:$F$116, 0), MATCH(Curvas!AO$2, 'Fluxos de Recebimento'!$I$63:$BH$63, 0)),0)*INDEX($E:$E, MATCH(AO$2, $B:$B, 0))</f>
        <v>0</v>
      </c>
      <c r="AP7" s="193">
        <f>IFERROR(INDEX('Fluxos de Recebimento'!$I$7:$BH$58, MATCH(Curvas!$AB7, 'Fluxos de Recebimento'!$F$7:$F$58, 0), MATCH(Curvas!AP$2,'Fluxos de Recebimento'!$I$5:$BH$5, 0))+INDEX('Fluxos de Recebimento'!$I$65:$BH$116, MATCH(Curvas!$AB7, 'Fluxos de Recebimento'!$F$65:$F$116, 0), MATCH(Curvas!AP$2, 'Fluxos de Recebimento'!$I$63:$BH$63, 0)),0)*INDEX($E:$E, MATCH(AP$2, $B:$B, 0))</f>
        <v>0</v>
      </c>
      <c r="AQ7" s="193">
        <f>IFERROR(INDEX('Fluxos de Recebimento'!$I$7:$BH$58, MATCH(Curvas!$AB7, 'Fluxos de Recebimento'!$F$7:$F$58, 0), MATCH(Curvas!AQ$2,'Fluxos de Recebimento'!$I$5:$BH$5, 0))+INDEX('Fluxos de Recebimento'!$I$65:$BH$116, MATCH(Curvas!$AB7, 'Fluxos de Recebimento'!$F$65:$F$116, 0), MATCH(Curvas!AQ$2, 'Fluxos de Recebimento'!$I$63:$BH$63, 0)),0)*INDEX($E:$E, MATCH(AQ$2, $B:$B, 0))</f>
        <v>0</v>
      </c>
      <c r="AR7" s="193">
        <f>IFERROR(INDEX('Fluxos de Recebimento'!$I$7:$BH$58, MATCH(Curvas!$AB7, 'Fluxos de Recebimento'!$F$7:$F$58, 0), MATCH(Curvas!AR$2,'Fluxos de Recebimento'!$I$5:$BH$5, 0))+INDEX('Fluxos de Recebimento'!$I$65:$BH$116, MATCH(Curvas!$AB7, 'Fluxos de Recebimento'!$F$65:$F$116, 0), MATCH(Curvas!AR$2, 'Fluxos de Recebimento'!$I$63:$BH$63, 0)),0)*INDEX($E:$E, MATCH(AR$2, $B:$B, 0))</f>
        <v>0</v>
      </c>
      <c r="AS7" s="193">
        <f>IFERROR(INDEX('Fluxos de Recebimento'!$I$7:$BH$58, MATCH(Curvas!$AB7, 'Fluxos de Recebimento'!$F$7:$F$58, 0), MATCH(Curvas!AS$2,'Fluxos de Recebimento'!$I$5:$BH$5, 0))+INDEX('Fluxos de Recebimento'!$I$65:$BH$116, MATCH(Curvas!$AB7, 'Fluxos de Recebimento'!$F$65:$F$116, 0), MATCH(Curvas!AS$2, 'Fluxos de Recebimento'!$I$63:$BH$63, 0)),0)*INDEX($E:$E, MATCH(AS$2, $B:$B, 0))</f>
        <v>0</v>
      </c>
      <c r="AT7" s="193">
        <f>IFERROR(INDEX('Fluxos de Recebimento'!$I$7:$BH$58, MATCH(Curvas!$AB7, 'Fluxos de Recebimento'!$F$7:$F$58, 0), MATCH(Curvas!AT$2,'Fluxos de Recebimento'!$I$5:$BH$5, 0))+INDEX('Fluxos de Recebimento'!$I$65:$BH$116, MATCH(Curvas!$AB7, 'Fluxos de Recebimento'!$F$65:$F$116, 0), MATCH(Curvas!AT$2, 'Fluxos de Recebimento'!$I$63:$BH$63, 0)),0)*INDEX($E:$E, MATCH(AT$2, $B:$B, 0))</f>
        <v>0</v>
      </c>
      <c r="AU7" s="193">
        <f>IFERROR(INDEX('Fluxos de Recebimento'!$I$7:$BH$58, MATCH(Curvas!$AB7, 'Fluxos de Recebimento'!$F$7:$F$58, 0), MATCH(Curvas!AU$2,'Fluxos de Recebimento'!$I$5:$BH$5, 0))+INDEX('Fluxos de Recebimento'!$I$65:$BH$116, MATCH(Curvas!$AB7, 'Fluxos de Recebimento'!$F$65:$F$116, 0), MATCH(Curvas!AU$2, 'Fluxos de Recebimento'!$I$63:$BH$63, 0)),0)*INDEX($E:$E, MATCH(AU$2, $B:$B, 0))</f>
        <v>0</v>
      </c>
      <c r="AV7" s="193">
        <f>IFERROR(INDEX('Fluxos de Recebimento'!$I$7:$BH$58, MATCH(Curvas!$AB7, 'Fluxos de Recebimento'!$F$7:$F$58, 0), MATCH(Curvas!AV$2,'Fluxos de Recebimento'!$I$5:$BH$5, 0))+INDEX('Fluxos de Recebimento'!$I$65:$BH$116, MATCH(Curvas!$AB7, 'Fluxos de Recebimento'!$F$65:$F$116, 0), MATCH(Curvas!AV$2, 'Fluxos de Recebimento'!$I$63:$BH$63, 0)),0)*INDEX($E:$E, MATCH(AV$2, $B:$B, 0))</f>
        <v>0</v>
      </c>
      <c r="AW7" s="193">
        <f>IFERROR(INDEX('Fluxos de Recebimento'!$I$7:$BH$58, MATCH(Curvas!$AB7, 'Fluxos de Recebimento'!$F$7:$F$58, 0), MATCH(Curvas!AW$2,'Fluxos de Recebimento'!$I$5:$BH$5, 0))+INDEX('Fluxos de Recebimento'!$I$65:$BH$116, MATCH(Curvas!$AB7, 'Fluxos de Recebimento'!$F$65:$F$116, 0), MATCH(Curvas!AW$2, 'Fluxos de Recebimento'!$I$63:$BH$63, 0)),0)*INDEX($E:$E, MATCH(AW$2, $B:$B, 0))</f>
        <v>0</v>
      </c>
      <c r="AX7" s="193">
        <f>IFERROR(INDEX('Fluxos de Recebimento'!$I$7:$BH$58, MATCH(Curvas!$AB7, 'Fluxos de Recebimento'!$F$7:$F$58, 0), MATCH(Curvas!AX$2,'Fluxos de Recebimento'!$I$5:$BH$5, 0))+INDEX('Fluxos de Recebimento'!$I$65:$BH$116, MATCH(Curvas!$AB7, 'Fluxos de Recebimento'!$F$65:$F$116, 0), MATCH(Curvas!AX$2, 'Fluxos de Recebimento'!$I$63:$BH$63, 0)),0)*INDEX($E:$E, MATCH(AX$2, $B:$B, 0))</f>
        <v>0</v>
      </c>
      <c r="AY7" s="193">
        <f>IFERROR(INDEX('Fluxos de Recebimento'!$I$7:$BH$58, MATCH(Curvas!$AB7, 'Fluxos de Recebimento'!$F$7:$F$58, 0), MATCH(Curvas!AY$2,'Fluxos de Recebimento'!$I$5:$BH$5, 0))+INDEX('Fluxos de Recebimento'!$I$65:$BH$116, MATCH(Curvas!$AB7, 'Fluxos de Recebimento'!$F$65:$F$116, 0), MATCH(Curvas!AY$2, 'Fluxos de Recebimento'!$I$63:$BH$63, 0)),0)*INDEX($E:$E, MATCH(AY$2, $B:$B, 0))</f>
        <v>0</v>
      </c>
      <c r="AZ7" s="193">
        <f>IFERROR(INDEX('Fluxos de Recebimento'!$I$7:$BH$58, MATCH(Curvas!$AB7, 'Fluxos de Recebimento'!$F$7:$F$58, 0), MATCH(Curvas!AZ$2,'Fluxos de Recebimento'!$I$5:$BH$5, 0))+INDEX('Fluxos de Recebimento'!$I$65:$BH$116, MATCH(Curvas!$AB7, 'Fluxos de Recebimento'!$F$65:$F$116, 0), MATCH(Curvas!AZ$2, 'Fluxos de Recebimento'!$I$63:$BH$63, 0)),0)*INDEX($E:$E, MATCH(AZ$2, $B:$B, 0))</f>
        <v>0</v>
      </c>
      <c r="BA7" s="193">
        <f>IFERROR(INDEX('Fluxos de Recebimento'!$I$7:$BH$58, MATCH(Curvas!$AB7, 'Fluxos de Recebimento'!$F$7:$F$58, 0), MATCH(Curvas!BA$2,'Fluxos de Recebimento'!$I$5:$BH$5, 0))+INDEX('Fluxos de Recebimento'!$I$65:$BH$116, MATCH(Curvas!$AB7, 'Fluxos de Recebimento'!$F$65:$F$116, 0), MATCH(Curvas!BA$2, 'Fluxos de Recebimento'!$I$63:$BH$63, 0)),0)*INDEX($E:$E, MATCH(BA$2, $B:$B, 0))</f>
        <v>0</v>
      </c>
      <c r="BB7" s="193">
        <f>IFERROR(INDEX('Fluxos de Recebimento'!$I$7:$BH$58, MATCH(Curvas!$AB7, 'Fluxos de Recebimento'!$F$7:$F$58, 0), MATCH(Curvas!BB$2,'Fluxos de Recebimento'!$I$5:$BH$5, 0))+INDEX('Fluxos de Recebimento'!$I$65:$BH$116, MATCH(Curvas!$AB7, 'Fluxos de Recebimento'!$F$65:$F$116, 0), MATCH(Curvas!BB$2, 'Fluxos de Recebimento'!$I$63:$BH$63, 0)),0)*INDEX($E:$E, MATCH(BB$2, $B:$B, 0))</f>
        <v>0</v>
      </c>
      <c r="BC7" s="193">
        <f>IFERROR(INDEX('Fluxos de Recebimento'!$I$7:$BH$58, MATCH(Curvas!$AB7, 'Fluxos de Recebimento'!$F$7:$F$58, 0), MATCH(Curvas!BC$2,'Fluxos de Recebimento'!$I$5:$BH$5, 0))+INDEX('Fluxos de Recebimento'!$I$65:$BH$116, MATCH(Curvas!$AB7, 'Fluxos de Recebimento'!$F$65:$F$116, 0), MATCH(Curvas!BC$2, 'Fluxos de Recebimento'!$I$63:$BH$63, 0)),0)*INDEX($E:$E, MATCH(BC$2, $B:$B, 0))</f>
        <v>0</v>
      </c>
      <c r="BD7" s="193">
        <f>IFERROR(INDEX('Fluxos de Recebimento'!$I$7:$BH$58, MATCH(Curvas!$AB7, 'Fluxos de Recebimento'!$F$7:$F$58, 0), MATCH(Curvas!BD$2,'Fluxos de Recebimento'!$I$5:$BH$5, 0))+INDEX('Fluxos de Recebimento'!$I$65:$BH$116, MATCH(Curvas!$AB7, 'Fluxos de Recebimento'!$F$65:$F$116, 0), MATCH(Curvas!BD$2, 'Fluxos de Recebimento'!$I$63:$BH$63, 0)),0)*INDEX($E:$E, MATCH(BD$2, $B:$B, 0))</f>
        <v>0</v>
      </c>
      <c r="BE7" s="193">
        <f>IFERROR(INDEX('Fluxos de Recebimento'!$I$7:$BH$58, MATCH(Curvas!$AB7, 'Fluxos de Recebimento'!$F$7:$F$58, 0), MATCH(Curvas!BE$2,'Fluxos de Recebimento'!$I$5:$BH$5, 0))+INDEX('Fluxos de Recebimento'!$I$65:$BH$116, MATCH(Curvas!$AB7, 'Fluxos de Recebimento'!$F$65:$F$116, 0), MATCH(Curvas!BE$2, 'Fluxos de Recebimento'!$I$63:$BH$63, 0)),0)*INDEX($E:$E, MATCH(BE$2, $B:$B, 0))</f>
        <v>0</v>
      </c>
      <c r="BF7" s="193">
        <f>IFERROR(INDEX('Fluxos de Recebimento'!$I$7:$BH$58, MATCH(Curvas!$AB7, 'Fluxos de Recebimento'!$F$7:$F$58, 0), MATCH(Curvas!BF$2,'Fluxos de Recebimento'!$I$5:$BH$5, 0))+INDEX('Fluxos de Recebimento'!$I$65:$BH$116, MATCH(Curvas!$AB7, 'Fluxos de Recebimento'!$F$65:$F$116, 0), MATCH(Curvas!BF$2, 'Fluxos de Recebimento'!$I$63:$BH$63, 0)),0)*INDEX($E:$E, MATCH(BF$2, $B:$B, 0))</f>
        <v>0</v>
      </c>
      <c r="BG7" s="193">
        <f>IFERROR(INDEX('Fluxos de Recebimento'!$I$7:$BH$58, MATCH(Curvas!$AB7, 'Fluxos de Recebimento'!$F$7:$F$58, 0), MATCH(Curvas!BG$2,'Fluxos de Recebimento'!$I$5:$BH$5, 0))+INDEX('Fluxos de Recebimento'!$I$65:$BH$116, MATCH(Curvas!$AB7, 'Fluxos de Recebimento'!$F$65:$F$116, 0), MATCH(Curvas!BG$2, 'Fluxos de Recebimento'!$I$63:$BH$63, 0)),0)*INDEX($E:$E, MATCH(BG$2, $B:$B, 0))</f>
        <v>0</v>
      </c>
      <c r="BH7" s="193">
        <f>IFERROR(INDEX('Fluxos de Recebimento'!$I$7:$BH$58, MATCH(Curvas!$AB7, 'Fluxos de Recebimento'!$F$7:$F$58, 0), MATCH(Curvas!BH$2,'Fluxos de Recebimento'!$I$5:$BH$5, 0))+INDEX('Fluxos de Recebimento'!$I$65:$BH$116, MATCH(Curvas!$AB7, 'Fluxos de Recebimento'!$F$65:$F$116, 0), MATCH(Curvas!BH$2, 'Fluxos de Recebimento'!$I$63:$BH$63, 0)),0)*INDEX($E:$E, MATCH(BH$2, $B:$B, 0))</f>
        <v>0</v>
      </c>
      <c r="BI7" s="193">
        <f>IFERROR(INDEX('Fluxos de Recebimento'!$I$7:$BH$58, MATCH(Curvas!$AB7, 'Fluxos de Recebimento'!$F$7:$F$58, 0), MATCH(Curvas!BI$2,'Fluxos de Recebimento'!$I$5:$BH$5, 0))+INDEX('Fluxos de Recebimento'!$I$65:$BH$116, MATCH(Curvas!$AB7, 'Fluxos de Recebimento'!$F$65:$F$116, 0), MATCH(Curvas!BI$2, 'Fluxos de Recebimento'!$I$63:$BH$63, 0)),0)*INDEX($E:$E, MATCH(BI$2, $B:$B, 0))</f>
        <v>0</v>
      </c>
      <c r="BJ7" s="193">
        <f>IFERROR(INDEX('Fluxos de Recebimento'!$I$7:$BH$58, MATCH(Curvas!$AB7, 'Fluxos de Recebimento'!$F$7:$F$58, 0), MATCH(Curvas!BJ$2,'Fluxos de Recebimento'!$I$5:$BH$5, 0))+INDEX('Fluxos de Recebimento'!$I$65:$BH$116, MATCH(Curvas!$AB7, 'Fluxos de Recebimento'!$F$65:$F$116, 0), MATCH(Curvas!BJ$2, 'Fluxos de Recebimento'!$I$63:$BH$63, 0)),0)*INDEX($E:$E, MATCH(BJ$2, $B:$B, 0))</f>
        <v>0</v>
      </c>
      <c r="BK7" s="193">
        <f>IFERROR(INDEX('Fluxos de Recebimento'!$I$7:$BH$58, MATCH(Curvas!$AB7, 'Fluxos de Recebimento'!$F$7:$F$58, 0), MATCH(Curvas!BK$2,'Fluxos de Recebimento'!$I$5:$BH$5, 0))+INDEX('Fluxos de Recebimento'!$I$65:$BH$116, MATCH(Curvas!$AB7, 'Fluxos de Recebimento'!$F$65:$F$116, 0), MATCH(Curvas!BK$2, 'Fluxos de Recebimento'!$I$63:$BH$63, 0)),0)*INDEX($E:$E, MATCH(BK$2, $B:$B, 0))</f>
        <v>0</v>
      </c>
      <c r="BL7" s="193">
        <f>IFERROR(INDEX('Fluxos de Recebimento'!$I$7:$BH$58, MATCH(Curvas!$AB7, 'Fluxos de Recebimento'!$F$7:$F$58, 0), MATCH(Curvas!BL$2,'Fluxos de Recebimento'!$I$5:$BH$5, 0))+INDEX('Fluxos de Recebimento'!$I$65:$BH$116, MATCH(Curvas!$AB7, 'Fluxos de Recebimento'!$F$65:$F$116, 0), MATCH(Curvas!BL$2, 'Fluxos de Recebimento'!$I$63:$BH$63, 0)),0)*INDEX($E:$E, MATCH(BL$2, $B:$B, 0))</f>
        <v>0</v>
      </c>
      <c r="BM7" s="193">
        <f>IFERROR(INDEX('Fluxos de Recebimento'!$I$7:$BH$58, MATCH(Curvas!$AB7, 'Fluxos de Recebimento'!$F$7:$F$58, 0), MATCH(Curvas!BM$2,'Fluxos de Recebimento'!$I$5:$BH$5, 0))+INDEX('Fluxos de Recebimento'!$I$65:$BH$116, MATCH(Curvas!$AB7, 'Fluxos de Recebimento'!$F$65:$F$116, 0), MATCH(Curvas!BM$2, 'Fluxos de Recebimento'!$I$63:$BH$63, 0)),0)*INDEX($E:$E, MATCH(BM$2, $B:$B, 0))</f>
        <v>0</v>
      </c>
      <c r="BN7" s="193">
        <f>IFERROR(INDEX('Fluxos de Recebimento'!$I$7:$BH$58, MATCH(Curvas!$AB7, 'Fluxos de Recebimento'!$F$7:$F$58, 0), MATCH(Curvas!BN$2,'Fluxos de Recebimento'!$I$5:$BH$5, 0))+INDEX('Fluxos de Recebimento'!$I$65:$BH$116, MATCH(Curvas!$AB7, 'Fluxos de Recebimento'!$F$65:$F$116, 0), MATCH(Curvas!BN$2, 'Fluxos de Recebimento'!$I$63:$BH$63, 0)),0)*INDEX($E:$E, MATCH(BN$2, $B:$B, 0))</f>
        <v>0</v>
      </c>
      <c r="BO7" s="193">
        <f>IFERROR(INDEX('Fluxos de Recebimento'!$I$7:$BH$58, MATCH(Curvas!$AB7, 'Fluxos de Recebimento'!$F$7:$F$58, 0), MATCH(Curvas!BO$2,'Fluxos de Recebimento'!$I$5:$BH$5, 0))+INDEX('Fluxos de Recebimento'!$I$65:$BH$116, MATCH(Curvas!$AB7, 'Fluxos de Recebimento'!$F$65:$F$116, 0), MATCH(Curvas!BO$2, 'Fluxos de Recebimento'!$I$63:$BH$63, 0)),0)*INDEX($E:$E, MATCH(BO$2, $B:$B, 0))</f>
        <v>0</v>
      </c>
      <c r="BP7" s="193">
        <f>IFERROR(INDEX('Fluxos de Recebimento'!$I$7:$BH$58, MATCH(Curvas!$AB7, 'Fluxos de Recebimento'!$F$7:$F$58, 0), MATCH(Curvas!BP$2,'Fluxos de Recebimento'!$I$5:$BH$5, 0))+INDEX('Fluxos de Recebimento'!$I$65:$BH$116, MATCH(Curvas!$AB7, 'Fluxos de Recebimento'!$F$65:$F$116, 0), MATCH(Curvas!BP$2, 'Fluxos de Recebimento'!$I$63:$BH$63, 0)),0)*INDEX($E:$E, MATCH(BP$2, $B:$B, 0))</f>
        <v>0</v>
      </c>
      <c r="BQ7" s="193">
        <f>IFERROR(INDEX('Fluxos de Recebimento'!$I$7:$BH$58, MATCH(Curvas!$AB7, 'Fluxos de Recebimento'!$F$7:$F$58, 0), MATCH(Curvas!BQ$2,'Fluxos de Recebimento'!$I$5:$BH$5, 0))+INDEX('Fluxos de Recebimento'!$I$65:$BH$116, MATCH(Curvas!$AB7, 'Fluxos de Recebimento'!$F$65:$F$116, 0), MATCH(Curvas!BQ$2, 'Fluxos de Recebimento'!$I$63:$BH$63, 0)),0)*INDEX($E:$E, MATCH(BQ$2, $B:$B, 0))</f>
        <v>0</v>
      </c>
      <c r="BR7" s="193">
        <f>IFERROR(INDEX('Fluxos de Recebimento'!$I$7:$BH$58, MATCH(Curvas!$AB7, 'Fluxos de Recebimento'!$F$7:$F$58, 0), MATCH(Curvas!BR$2,'Fluxos de Recebimento'!$I$5:$BH$5, 0))+INDEX('Fluxos de Recebimento'!$I$65:$BH$116, MATCH(Curvas!$AB7, 'Fluxos de Recebimento'!$F$65:$F$116, 0), MATCH(Curvas!BR$2, 'Fluxos de Recebimento'!$I$63:$BH$63, 0)),0)*INDEX($E:$E, MATCH(BR$2, $B:$B, 0))</f>
        <v>0</v>
      </c>
      <c r="BS7" s="193">
        <f>IFERROR(INDEX('Fluxos de Recebimento'!$I$7:$BH$58, MATCH(Curvas!$AB7, 'Fluxos de Recebimento'!$F$7:$F$58, 0), MATCH(Curvas!BS$2,'Fluxos de Recebimento'!$I$5:$BH$5, 0))+INDEX('Fluxos de Recebimento'!$I$65:$BH$116, MATCH(Curvas!$AB7, 'Fluxos de Recebimento'!$F$65:$F$116, 0), MATCH(Curvas!BS$2, 'Fluxos de Recebimento'!$I$63:$BH$63, 0)),0)*INDEX($E:$E, MATCH(BS$2, $B:$B, 0))</f>
        <v>0</v>
      </c>
      <c r="BT7" s="193">
        <f>IFERROR(INDEX('Fluxos de Recebimento'!$I$7:$BH$58, MATCH(Curvas!$AB7, 'Fluxos de Recebimento'!$F$7:$F$58, 0), MATCH(Curvas!BT$2,'Fluxos de Recebimento'!$I$5:$BH$5, 0))+INDEX('Fluxos de Recebimento'!$I$65:$BH$116, MATCH(Curvas!$AB7, 'Fluxos de Recebimento'!$F$65:$F$116, 0), MATCH(Curvas!BT$2, 'Fluxos de Recebimento'!$I$63:$BH$63, 0)),0)*INDEX($E:$E, MATCH(BT$2, $B:$B, 0))</f>
        <v>0</v>
      </c>
      <c r="BU7" s="193">
        <f>IFERROR(INDEX('Fluxos de Recebimento'!$I$7:$BH$58, MATCH(Curvas!$AB7, 'Fluxos de Recebimento'!$F$7:$F$58, 0), MATCH(Curvas!BU$2,'Fluxos de Recebimento'!$I$5:$BH$5, 0))+INDEX('Fluxos de Recebimento'!$I$65:$BH$116, MATCH(Curvas!$AB7, 'Fluxos de Recebimento'!$F$65:$F$116, 0), MATCH(Curvas!BU$2, 'Fluxos de Recebimento'!$I$63:$BH$63, 0)),0)*INDEX($E:$E, MATCH(BU$2, $B:$B, 0))</f>
        <v>0</v>
      </c>
      <c r="BV7" s="193">
        <f>IFERROR(INDEX('Fluxos de Recebimento'!$I$7:$BH$58, MATCH(Curvas!$AB7, 'Fluxos de Recebimento'!$F$7:$F$58, 0), MATCH(Curvas!BV$2,'Fluxos de Recebimento'!$I$5:$BH$5, 0))+INDEX('Fluxos de Recebimento'!$I$65:$BH$116, MATCH(Curvas!$AB7, 'Fluxos de Recebimento'!$F$65:$F$116, 0), MATCH(Curvas!BV$2, 'Fluxos de Recebimento'!$I$63:$BH$63, 0)),0)*INDEX($E:$E, MATCH(BV$2, $B:$B, 0))</f>
        <v>0</v>
      </c>
      <c r="BW7" s="193">
        <f>IFERROR(INDEX('Fluxos de Recebimento'!$I$7:$BH$58, MATCH(Curvas!$AB7, 'Fluxos de Recebimento'!$F$7:$F$58, 0), MATCH(Curvas!BW$2,'Fluxos de Recebimento'!$I$5:$BH$5, 0))+INDEX('Fluxos de Recebimento'!$I$65:$BH$116, MATCH(Curvas!$AB7, 'Fluxos de Recebimento'!$F$65:$F$116, 0), MATCH(Curvas!BW$2, 'Fluxos de Recebimento'!$I$63:$BH$63, 0)),0)*INDEX($E:$E, MATCH(BW$2, $B:$B, 0))</f>
        <v>0</v>
      </c>
      <c r="BX7" s="193">
        <f>IFERROR(INDEX('Fluxos de Recebimento'!$I$7:$BH$58, MATCH(Curvas!$AB7, 'Fluxos de Recebimento'!$F$7:$F$58, 0), MATCH(Curvas!BX$2,'Fluxos de Recebimento'!$I$5:$BH$5, 0))+INDEX('Fluxos de Recebimento'!$I$65:$BH$116, MATCH(Curvas!$AB7, 'Fluxos de Recebimento'!$F$65:$F$116, 0), MATCH(Curvas!BX$2, 'Fluxos de Recebimento'!$I$63:$BH$63, 0)),0)*INDEX($E:$E, MATCH(BX$2, $B:$B, 0))</f>
        <v>0</v>
      </c>
      <c r="BY7" s="193">
        <f>IFERROR(INDEX('Fluxos de Recebimento'!$I$7:$BH$58, MATCH(Curvas!$AB7, 'Fluxos de Recebimento'!$F$7:$F$58, 0), MATCH(Curvas!BY$2,'Fluxos de Recebimento'!$I$5:$BH$5, 0))+INDEX('Fluxos de Recebimento'!$I$65:$BH$116, MATCH(Curvas!$AB7, 'Fluxos de Recebimento'!$F$65:$F$116, 0), MATCH(Curvas!BY$2, 'Fluxos de Recebimento'!$I$63:$BH$63, 0)),0)*INDEX($E:$E, MATCH(BY$2, $B:$B, 0))</f>
        <v>0</v>
      </c>
      <c r="BZ7" s="193">
        <f>IFERROR(INDEX('Fluxos de Recebimento'!$I$7:$BH$58, MATCH(Curvas!$AB7, 'Fluxos de Recebimento'!$F$7:$F$58, 0), MATCH(Curvas!BZ$2,'Fluxos de Recebimento'!$I$5:$BH$5, 0))+INDEX('Fluxos de Recebimento'!$I$65:$BH$116, MATCH(Curvas!$AB7, 'Fluxos de Recebimento'!$F$65:$F$116, 0), MATCH(Curvas!BZ$2, 'Fluxos de Recebimento'!$I$63:$BH$63, 0)),0)*INDEX($E:$E, MATCH(BZ$2, $B:$B, 0))</f>
        <v>0</v>
      </c>
      <c r="CA7" s="193">
        <f>IFERROR(INDEX('Fluxos de Recebimento'!$I$7:$BH$58, MATCH(Curvas!$AB7, 'Fluxos de Recebimento'!$F$7:$F$58, 0), MATCH(Curvas!CA$2,'Fluxos de Recebimento'!$I$5:$BH$5, 0))+INDEX('Fluxos de Recebimento'!$I$65:$BH$116, MATCH(Curvas!$AB7, 'Fluxos de Recebimento'!$F$65:$F$116, 0), MATCH(Curvas!CA$2, 'Fluxos de Recebimento'!$I$63:$BH$63, 0)),0)*INDEX($E:$E, MATCH(CA$2, $B:$B, 0))</f>
        <v>0</v>
      </c>
      <c r="CB7" s="193">
        <f>IFERROR(INDEX('Fluxos de Recebimento'!$I$7:$BH$58, MATCH(Curvas!$AB7, 'Fluxos de Recebimento'!$F$7:$F$58, 0), MATCH(Curvas!CB$2,'Fluxos de Recebimento'!$I$5:$BH$5, 0))+INDEX('Fluxos de Recebimento'!$I$65:$BH$116, MATCH(Curvas!$AB7, 'Fluxos de Recebimento'!$F$65:$F$116, 0), MATCH(Curvas!CB$2, 'Fluxos de Recebimento'!$I$63:$BH$63, 0)),0)*INDEX($E:$E, MATCH(CB$2, $B:$B, 0))</f>
        <v>0</v>
      </c>
      <c r="CC7" s="193">
        <f>IFERROR(INDEX('Fluxos de Recebimento'!$I$7:$BH$58, MATCH(Curvas!$AB7, 'Fluxos de Recebimento'!$F$7:$F$58, 0), MATCH(Curvas!CC$2,'Fluxos de Recebimento'!$I$5:$BH$5, 0))+INDEX('Fluxos de Recebimento'!$I$65:$BH$116, MATCH(Curvas!$AB7, 'Fluxos de Recebimento'!$F$65:$F$116, 0), MATCH(Curvas!CC$2, 'Fluxos de Recebimento'!$I$63:$BH$63, 0)),0)*INDEX($E:$E, MATCH(CC$2, $B:$B, 0))</f>
        <v>0</v>
      </c>
    </row>
    <row r="8" spans="1:81" x14ac:dyDescent="0.25">
      <c r="A8" s="2"/>
      <c r="B8" s="477">
        <f t="shared" si="16"/>
        <v>44287</v>
      </c>
      <c r="C8" s="52">
        <f t="shared" si="17"/>
        <v>5</v>
      </c>
      <c r="D8" s="2"/>
      <c r="E8" s="187">
        <f t="shared" si="4"/>
        <v>2.298850574712644E-2</v>
      </c>
      <c r="F8" s="48">
        <f t="shared" si="18"/>
        <v>0.1149425287356322</v>
      </c>
      <c r="G8" s="46">
        <f t="shared" ca="1" si="5"/>
        <v>0</v>
      </c>
      <c r="H8" s="48">
        <f t="shared" ca="1" si="19"/>
        <v>0</v>
      </c>
      <c r="I8" s="2"/>
      <c r="J8" s="69">
        <f t="shared" si="6"/>
        <v>16</v>
      </c>
      <c r="K8" s="479">
        <f t="shared" ca="1" si="7"/>
        <v>0</v>
      </c>
      <c r="L8" s="70">
        <f t="shared" ca="1" si="8"/>
        <v>16</v>
      </c>
      <c r="M8" s="2"/>
      <c r="N8" s="69">
        <f t="shared" si="9"/>
        <v>21</v>
      </c>
      <c r="O8" s="479">
        <f t="shared" si="10"/>
        <v>0</v>
      </c>
      <c r="P8" s="70">
        <f t="shared" si="11"/>
        <v>21</v>
      </c>
      <c r="Q8" s="2"/>
      <c r="R8" s="71">
        <f t="shared" si="12"/>
        <v>37</v>
      </c>
      <c r="S8" s="196"/>
      <c r="T8" s="46">
        <v>0</v>
      </c>
      <c r="U8" s="48">
        <f t="shared" si="20"/>
        <v>0</v>
      </c>
      <c r="V8" s="2"/>
      <c r="W8" s="56">
        <f t="shared" si="21"/>
        <v>5</v>
      </c>
      <c r="X8" s="48">
        <v>0</v>
      </c>
      <c r="Y8" s="2"/>
      <c r="Z8" s="194">
        <f t="shared" si="13"/>
        <v>1.8446568331625807E-3</v>
      </c>
      <c r="AA8" s="2"/>
      <c r="AB8" s="477">
        <f t="shared" si="14"/>
        <v>44287</v>
      </c>
      <c r="AC8" s="52">
        <f t="shared" si="15"/>
        <v>5</v>
      </c>
      <c r="AD8" s="193">
        <f>IFERROR(INDEX('Fluxos de Recebimento'!$I$7:$BH$58, MATCH(Curvas!$AB8, 'Fluxos de Recebimento'!$F$7:$F$58, 0), MATCH(Curvas!AD$2,'Fluxos de Recebimento'!$I$5:$BH$5, 0))+INDEX('Fluxos de Recebimento'!$I$65:$BH$116, MATCH(Curvas!$AB8, 'Fluxos de Recebimento'!$F$65:$F$116, 0), MATCH(Curvas!AD$2, 'Fluxos de Recebimento'!$I$63:$BH$63, 0)),0)*INDEX($E:$E, MATCH(AD$2, $B:$B, 0))</f>
        <v>1.6420361247947458E-4</v>
      </c>
      <c r="AE8" s="193">
        <f>IFERROR(INDEX('Fluxos de Recebimento'!$I$7:$BH$58, MATCH(Curvas!$AB8, 'Fluxos de Recebimento'!$F$7:$F$58, 0), MATCH(Curvas!AE$2,'Fluxos de Recebimento'!$I$5:$BH$5, 0))+INDEX('Fluxos de Recebimento'!$I$65:$BH$116, MATCH(Curvas!$AB8, 'Fluxos de Recebimento'!$F$65:$F$116, 0), MATCH(Curvas!AE$2, 'Fluxos de Recebimento'!$I$63:$BH$63, 0)),0)*INDEX($E:$E, MATCH(AE$2, $B:$B, 0))</f>
        <v>1.7028522775649216E-4</v>
      </c>
      <c r="AF8" s="193">
        <f>IFERROR(INDEX('Fluxos de Recebimento'!$I$7:$BH$58, MATCH(Curvas!$AB8, 'Fluxos de Recebimento'!$F$7:$F$58, 0), MATCH(Curvas!AF$2,'Fluxos de Recebimento'!$I$5:$BH$5, 0))+INDEX('Fluxos de Recebimento'!$I$65:$BH$116, MATCH(Curvas!$AB8, 'Fluxos de Recebimento'!$F$65:$F$116, 0), MATCH(Curvas!AF$2, 'Fluxos de Recebimento'!$I$63:$BH$63, 0)),0)*INDEX($E:$E, MATCH(AF$2, $B:$B, 0))</f>
        <v>1.7683465959328031E-4</v>
      </c>
      <c r="AG8" s="193">
        <f>IFERROR(INDEX('Fluxos de Recebimento'!$I$7:$BH$58, MATCH(Curvas!$AB8, 'Fluxos de Recebimento'!$F$7:$F$58, 0), MATCH(Curvas!AG$2,'Fluxos de Recebimento'!$I$5:$BH$5, 0))+INDEX('Fluxos de Recebimento'!$I$65:$BH$116, MATCH(Curvas!$AB8, 'Fluxos de Recebimento'!$F$65:$F$116, 0), MATCH(Curvas!AG$2, 'Fluxos de Recebimento'!$I$63:$BH$63, 0)),0)*INDEX($E:$E, MATCH(AG$2, $B:$B, 0))</f>
        <v>1.8390804597701152E-4</v>
      </c>
      <c r="AH8" s="193">
        <f>IFERROR(INDEX('Fluxos de Recebimento'!$I$7:$BH$58, MATCH(Curvas!$AB8, 'Fluxos de Recebimento'!$F$7:$F$58, 0), MATCH(Curvas!AH$2,'Fluxos de Recebimento'!$I$5:$BH$5, 0))+INDEX('Fluxos de Recebimento'!$I$65:$BH$116, MATCH(Curvas!$AB8, 'Fluxos de Recebimento'!$F$65:$F$116, 0), MATCH(Curvas!AH$2, 'Fluxos de Recebimento'!$I$63:$BH$63, 0)),0)*INDEX($E:$E, MATCH(AH$2, $B:$B, 0))</f>
        <v>1.149425287356322E-3</v>
      </c>
      <c r="AI8" s="193">
        <f>IFERROR(INDEX('Fluxos de Recebimento'!$I$7:$BH$58, MATCH(Curvas!$AB8, 'Fluxos de Recebimento'!$F$7:$F$58, 0), MATCH(Curvas!AI$2,'Fluxos de Recebimento'!$I$5:$BH$5, 0))+INDEX('Fluxos de Recebimento'!$I$65:$BH$116, MATCH(Curvas!$AB8, 'Fluxos de Recebimento'!$F$65:$F$116, 0), MATCH(Curvas!AI$2, 'Fluxos de Recebimento'!$I$63:$BH$63, 0)),0)*INDEX($E:$E, MATCH(AI$2, $B:$B, 0))</f>
        <v>0</v>
      </c>
      <c r="AJ8" s="193">
        <f>IFERROR(INDEX('Fluxos de Recebimento'!$I$7:$BH$58, MATCH(Curvas!$AB8, 'Fluxos de Recebimento'!$F$7:$F$58, 0), MATCH(Curvas!AJ$2,'Fluxos de Recebimento'!$I$5:$BH$5, 0))+INDEX('Fluxos de Recebimento'!$I$65:$BH$116, MATCH(Curvas!$AB8, 'Fluxos de Recebimento'!$F$65:$F$116, 0), MATCH(Curvas!AJ$2, 'Fluxos de Recebimento'!$I$63:$BH$63, 0)),0)*INDEX($E:$E, MATCH(AJ$2, $B:$B, 0))</f>
        <v>0</v>
      </c>
      <c r="AK8" s="193">
        <f>IFERROR(INDEX('Fluxos de Recebimento'!$I$7:$BH$58, MATCH(Curvas!$AB8, 'Fluxos de Recebimento'!$F$7:$F$58, 0), MATCH(Curvas!AK$2,'Fluxos de Recebimento'!$I$5:$BH$5, 0))+INDEX('Fluxos de Recebimento'!$I$65:$BH$116, MATCH(Curvas!$AB8, 'Fluxos de Recebimento'!$F$65:$F$116, 0), MATCH(Curvas!AK$2, 'Fluxos de Recebimento'!$I$63:$BH$63, 0)),0)*INDEX($E:$E, MATCH(AK$2, $B:$B, 0))</f>
        <v>0</v>
      </c>
      <c r="AL8" s="193">
        <f>IFERROR(INDEX('Fluxos de Recebimento'!$I$7:$BH$58, MATCH(Curvas!$AB8, 'Fluxos de Recebimento'!$F$7:$F$58, 0), MATCH(Curvas!AL$2,'Fluxos de Recebimento'!$I$5:$BH$5, 0))+INDEX('Fluxos de Recebimento'!$I$65:$BH$116, MATCH(Curvas!$AB8, 'Fluxos de Recebimento'!$F$65:$F$116, 0), MATCH(Curvas!AL$2, 'Fluxos de Recebimento'!$I$63:$BH$63, 0)),0)*INDEX($E:$E, MATCH(AL$2, $B:$B, 0))</f>
        <v>0</v>
      </c>
      <c r="AM8" s="193">
        <f>IFERROR(INDEX('Fluxos de Recebimento'!$I$7:$BH$58, MATCH(Curvas!$AB8, 'Fluxos de Recebimento'!$F$7:$F$58, 0), MATCH(Curvas!AM$2,'Fluxos de Recebimento'!$I$5:$BH$5, 0))+INDEX('Fluxos de Recebimento'!$I$65:$BH$116, MATCH(Curvas!$AB8, 'Fluxos de Recebimento'!$F$65:$F$116, 0), MATCH(Curvas!AM$2, 'Fluxos de Recebimento'!$I$63:$BH$63, 0)),0)*INDEX($E:$E, MATCH(AM$2, $B:$B, 0))</f>
        <v>0</v>
      </c>
      <c r="AN8" s="193">
        <f>IFERROR(INDEX('Fluxos de Recebimento'!$I$7:$BH$58, MATCH(Curvas!$AB8, 'Fluxos de Recebimento'!$F$7:$F$58, 0), MATCH(Curvas!AN$2,'Fluxos de Recebimento'!$I$5:$BH$5, 0))+INDEX('Fluxos de Recebimento'!$I$65:$BH$116, MATCH(Curvas!$AB8, 'Fluxos de Recebimento'!$F$65:$F$116, 0), MATCH(Curvas!AN$2, 'Fluxos de Recebimento'!$I$63:$BH$63, 0)),0)*INDEX($E:$E, MATCH(AN$2, $B:$B, 0))</f>
        <v>0</v>
      </c>
      <c r="AO8" s="193">
        <f>IFERROR(INDEX('Fluxos de Recebimento'!$I$7:$BH$58, MATCH(Curvas!$AB8, 'Fluxos de Recebimento'!$F$7:$F$58, 0), MATCH(Curvas!AO$2,'Fluxos de Recebimento'!$I$5:$BH$5, 0))+INDEX('Fluxos de Recebimento'!$I$65:$BH$116, MATCH(Curvas!$AB8, 'Fluxos de Recebimento'!$F$65:$F$116, 0), MATCH(Curvas!AO$2, 'Fluxos de Recebimento'!$I$63:$BH$63, 0)),0)*INDEX($E:$E, MATCH(AO$2, $B:$B, 0))</f>
        <v>0</v>
      </c>
      <c r="AP8" s="193">
        <f>IFERROR(INDEX('Fluxos de Recebimento'!$I$7:$BH$58, MATCH(Curvas!$AB8, 'Fluxos de Recebimento'!$F$7:$F$58, 0), MATCH(Curvas!AP$2,'Fluxos de Recebimento'!$I$5:$BH$5, 0))+INDEX('Fluxos de Recebimento'!$I$65:$BH$116, MATCH(Curvas!$AB8, 'Fluxos de Recebimento'!$F$65:$F$116, 0), MATCH(Curvas!AP$2, 'Fluxos de Recebimento'!$I$63:$BH$63, 0)),0)*INDEX($E:$E, MATCH(AP$2, $B:$B, 0))</f>
        <v>0</v>
      </c>
      <c r="AQ8" s="193">
        <f>IFERROR(INDEX('Fluxos de Recebimento'!$I$7:$BH$58, MATCH(Curvas!$AB8, 'Fluxos de Recebimento'!$F$7:$F$58, 0), MATCH(Curvas!AQ$2,'Fluxos de Recebimento'!$I$5:$BH$5, 0))+INDEX('Fluxos de Recebimento'!$I$65:$BH$116, MATCH(Curvas!$AB8, 'Fluxos de Recebimento'!$F$65:$F$116, 0), MATCH(Curvas!AQ$2, 'Fluxos de Recebimento'!$I$63:$BH$63, 0)),0)*INDEX($E:$E, MATCH(AQ$2, $B:$B, 0))</f>
        <v>0</v>
      </c>
      <c r="AR8" s="193">
        <f>IFERROR(INDEX('Fluxos de Recebimento'!$I$7:$BH$58, MATCH(Curvas!$AB8, 'Fluxos de Recebimento'!$F$7:$F$58, 0), MATCH(Curvas!AR$2,'Fluxos de Recebimento'!$I$5:$BH$5, 0))+INDEX('Fluxos de Recebimento'!$I$65:$BH$116, MATCH(Curvas!$AB8, 'Fluxos de Recebimento'!$F$65:$F$116, 0), MATCH(Curvas!AR$2, 'Fluxos de Recebimento'!$I$63:$BH$63, 0)),0)*INDEX($E:$E, MATCH(AR$2, $B:$B, 0))</f>
        <v>0</v>
      </c>
      <c r="AS8" s="193">
        <f>IFERROR(INDEX('Fluxos de Recebimento'!$I$7:$BH$58, MATCH(Curvas!$AB8, 'Fluxos de Recebimento'!$F$7:$F$58, 0), MATCH(Curvas!AS$2,'Fluxos de Recebimento'!$I$5:$BH$5, 0))+INDEX('Fluxos de Recebimento'!$I$65:$BH$116, MATCH(Curvas!$AB8, 'Fluxos de Recebimento'!$F$65:$F$116, 0), MATCH(Curvas!AS$2, 'Fluxos de Recebimento'!$I$63:$BH$63, 0)),0)*INDEX($E:$E, MATCH(AS$2, $B:$B, 0))</f>
        <v>0</v>
      </c>
      <c r="AT8" s="193">
        <f>IFERROR(INDEX('Fluxos de Recebimento'!$I$7:$BH$58, MATCH(Curvas!$AB8, 'Fluxos de Recebimento'!$F$7:$F$58, 0), MATCH(Curvas!AT$2,'Fluxos de Recebimento'!$I$5:$BH$5, 0))+INDEX('Fluxos de Recebimento'!$I$65:$BH$116, MATCH(Curvas!$AB8, 'Fluxos de Recebimento'!$F$65:$F$116, 0), MATCH(Curvas!AT$2, 'Fluxos de Recebimento'!$I$63:$BH$63, 0)),0)*INDEX($E:$E, MATCH(AT$2, $B:$B, 0))</f>
        <v>0</v>
      </c>
      <c r="AU8" s="193">
        <f>IFERROR(INDEX('Fluxos de Recebimento'!$I$7:$BH$58, MATCH(Curvas!$AB8, 'Fluxos de Recebimento'!$F$7:$F$58, 0), MATCH(Curvas!AU$2,'Fluxos de Recebimento'!$I$5:$BH$5, 0))+INDEX('Fluxos de Recebimento'!$I$65:$BH$116, MATCH(Curvas!$AB8, 'Fluxos de Recebimento'!$F$65:$F$116, 0), MATCH(Curvas!AU$2, 'Fluxos de Recebimento'!$I$63:$BH$63, 0)),0)*INDEX($E:$E, MATCH(AU$2, $B:$B, 0))</f>
        <v>0</v>
      </c>
      <c r="AV8" s="193">
        <f>IFERROR(INDEX('Fluxos de Recebimento'!$I$7:$BH$58, MATCH(Curvas!$AB8, 'Fluxos de Recebimento'!$F$7:$F$58, 0), MATCH(Curvas!AV$2,'Fluxos de Recebimento'!$I$5:$BH$5, 0))+INDEX('Fluxos de Recebimento'!$I$65:$BH$116, MATCH(Curvas!$AB8, 'Fluxos de Recebimento'!$F$65:$F$116, 0), MATCH(Curvas!AV$2, 'Fluxos de Recebimento'!$I$63:$BH$63, 0)),0)*INDEX($E:$E, MATCH(AV$2, $B:$B, 0))</f>
        <v>0</v>
      </c>
      <c r="AW8" s="193">
        <f>IFERROR(INDEX('Fluxos de Recebimento'!$I$7:$BH$58, MATCH(Curvas!$AB8, 'Fluxos de Recebimento'!$F$7:$F$58, 0), MATCH(Curvas!AW$2,'Fluxos de Recebimento'!$I$5:$BH$5, 0))+INDEX('Fluxos de Recebimento'!$I$65:$BH$116, MATCH(Curvas!$AB8, 'Fluxos de Recebimento'!$F$65:$F$116, 0), MATCH(Curvas!AW$2, 'Fluxos de Recebimento'!$I$63:$BH$63, 0)),0)*INDEX($E:$E, MATCH(AW$2, $B:$B, 0))</f>
        <v>0</v>
      </c>
      <c r="AX8" s="193">
        <f>IFERROR(INDEX('Fluxos de Recebimento'!$I$7:$BH$58, MATCH(Curvas!$AB8, 'Fluxos de Recebimento'!$F$7:$F$58, 0), MATCH(Curvas!AX$2,'Fluxos de Recebimento'!$I$5:$BH$5, 0))+INDEX('Fluxos de Recebimento'!$I$65:$BH$116, MATCH(Curvas!$AB8, 'Fluxos de Recebimento'!$F$65:$F$116, 0), MATCH(Curvas!AX$2, 'Fluxos de Recebimento'!$I$63:$BH$63, 0)),0)*INDEX($E:$E, MATCH(AX$2, $B:$B, 0))</f>
        <v>0</v>
      </c>
      <c r="AY8" s="193">
        <f>IFERROR(INDEX('Fluxos de Recebimento'!$I$7:$BH$58, MATCH(Curvas!$AB8, 'Fluxos de Recebimento'!$F$7:$F$58, 0), MATCH(Curvas!AY$2,'Fluxos de Recebimento'!$I$5:$BH$5, 0))+INDEX('Fluxos de Recebimento'!$I$65:$BH$116, MATCH(Curvas!$AB8, 'Fluxos de Recebimento'!$F$65:$F$116, 0), MATCH(Curvas!AY$2, 'Fluxos de Recebimento'!$I$63:$BH$63, 0)),0)*INDEX($E:$E, MATCH(AY$2, $B:$B, 0))</f>
        <v>0</v>
      </c>
      <c r="AZ8" s="193">
        <f>IFERROR(INDEX('Fluxos de Recebimento'!$I$7:$BH$58, MATCH(Curvas!$AB8, 'Fluxos de Recebimento'!$F$7:$F$58, 0), MATCH(Curvas!AZ$2,'Fluxos de Recebimento'!$I$5:$BH$5, 0))+INDEX('Fluxos de Recebimento'!$I$65:$BH$116, MATCH(Curvas!$AB8, 'Fluxos de Recebimento'!$F$65:$F$116, 0), MATCH(Curvas!AZ$2, 'Fluxos de Recebimento'!$I$63:$BH$63, 0)),0)*INDEX($E:$E, MATCH(AZ$2, $B:$B, 0))</f>
        <v>0</v>
      </c>
      <c r="BA8" s="193">
        <f>IFERROR(INDEX('Fluxos de Recebimento'!$I$7:$BH$58, MATCH(Curvas!$AB8, 'Fluxos de Recebimento'!$F$7:$F$58, 0), MATCH(Curvas!BA$2,'Fluxos de Recebimento'!$I$5:$BH$5, 0))+INDEX('Fluxos de Recebimento'!$I$65:$BH$116, MATCH(Curvas!$AB8, 'Fluxos de Recebimento'!$F$65:$F$116, 0), MATCH(Curvas!BA$2, 'Fluxos de Recebimento'!$I$63:$BH$63, 0)),0)*INDEX($E:$E, MATCH(BA$2, $B:$B, 0))</f>
        <v>0</v>
      </c>
      <c r="BB8" s="193">
        <f>IFERROR(INDEX('Fluxos de Recebimento'!$I$7:$BH$58, MATCH(Curvas!$AB8, 'Fluxos de Recebimento'!$F$7:$F$58, 0), MATCH(Curvas!BB$2,'Fluxos de Recebimento'!$I$5:$BH$5, 0))+INDEX('Fluxos de Recebimento'!$I$65:$BH$116, MATCH(Curvas!$AB8, 'Fluxos de Recebimento'!$F$65:$F$116, 0), MATCH(Curvas!BB$2, 'Fluxos de Recebimento'!$I$63:$BH$63, 0)),0)*INDEX($E:$E, MATCH(BB$2, $B:$B, 0))</f>
        <v>0</v>
      </c>
      <c r="BC8" s="193">
        <f>IFERROR(INDEX('Fluxos de Recebimento'!$I$7:$BH$58, MATCH(Curvas!$AB8, 'Fluxos de Recebimento'!$F$7:$F$58, 0), MATCH(Curvas!BC$2,'Fluxos de Recebimento'!$I$5:$BH$5, 0))+INDEX('Fluxos de Recebimento'!$I$65:$BH$116, MATCH(Curvas!$AB8, 'Fluxos de Recebimento'!$F$65:$F$116, 0), MATCH(Curvas!BC$2, 'Fluxos de Recebimento'!$I$63:$BH$63, 0)),0)*INDEX($E:$E, MATCH(BC$2, $B:$B, 0))</f>
        <v>0</v>
      </c>
      <c r="BD8" s="193">
        <f>IFERROR(INDEX('Fluxos de Recebimento'!$I$7:$BH$58, MATCH(Curvas!$AB8, 'Fluxos de Recebimento'!$F$7:$F$58, 0), MATCH(Curvas!BD$2,'Fluxos de Recebimento'!$I$5:$BH$5, 0))+INDEX('Fluxos de Recebimento'!$I$65:$BH$116, MATCH(Curvas!$AB8, 'Fluxos de Recebimento'!$F$65:$F$116, 0), MATCH(Curvas!BD$2, 'Fluxos de Recebimento'!$I$63:$BH$63, 0)),0)*INDEX($E:$E, MATCH(BD$2, $B:$B, 0))</f>
        <v>0</v>
      </c>
      <c r="BE8" s="193">
        <f>IFERROR(INDEX('Fluxos de Recebimento'!$I$7:$BH$58, MATCH(Curvas!$AB8, 'Fluxos de Recebimento'!$F$7:$F$58, 0), MATCH(Curvas!BE$2,'Fluxos de Recebimento'!$I$5:$BH$5, 0))+INDEX('Fluxos de Recebimento'!$I$65:$BH$116, MATCH(Curvas!$AB8, 'Fluxos de Recebimento'!$F$65:$F$116, 0), MATCH(Curvas!BE$2, 'Fluxos de Recebimento'!$I$63:$BH$63, 0)),0)*INDEX($E:$E, MATCH(BE$2, $B:$B, 0))</f>
        <v>0</v>
      </c>
      <c r="BF8" s="193">
        <f>IFERROR(INDEX('Fluxos de Recebimento'!$I$7:$BH$58, MATCH(Curvas!$AB8, 'Fluxos de Recebimento'!$F$7:$F$58, 0), MATCH(Curvas!BF$2,'Fluxos de Recebimento'!$I$5:$BH$5, 0))+INDEX('Fluxos de Recebimento'!$I$65:$BH$116, MATCH(Curvas!$AB8, 'Fluxos de Recebimento'!$F$65:$F$116, 0), MATCH(Curvas!BF$2, 'Fluxos de Recebimento'!$I$63:$BH$63, 0)),0)*INDEX($E:$E, MATCH(BF$2, $B:$B, 0))</f>
        <v>0</v>
      </c>
      <c r="BG8" s="193">
        <f>IFERROR(INDEX('Fluxos de Recebimento'!$I$7:$BH$58, MATCH(Curvas!$AB8, 'Fluxos de Recebimento'!$F$7:$F$58, 0), MATCH(Curvas!BG$2,'Fluxos de Recebimento'!$I$5:$BH$5, 0))+INDEX('Fluxos de Recebimento'!$I$65:$BH$116, MATCH(Curvas!$AB8, 'Fluxos de Recebimento'!$F$65:$F$116, 0), MATCH(Curvas!BG$2, 'Fluxos de Recebimento'!$I$63:$BH$63, 0)),0)*INDEX($E:$E, MATCH(BG$2, $B:$B, 0))</f>
        <v>0</v>
      </c>
      <c r="BH8" s="193">
        <f>IFERROR(INDEX('Fluxos de Recebimento'!$I$7:$BH$58, MATCH(Curvas!$AB8, 'Fluxos de Recebimento'!$F$7:$F$58, 0), MATCH(Curvas!BH$2,'Fluxos de Recebimento'!$I$5:$BH$5, 0))+INDEX('Fluxos de Recebimento'!$I$65:$BH$116, MATCH(Curvas!$AB8, 'Fluxos de Recebimento'!$F$65:$F$116, 0), MATCH(Curvas!BH$2, 'Fluxos de Recebimento'!$I$63:$BH$63, 0)),0)*INDEX($E:$E, MATCH(BH$2, $B:$B, 0))</f>
        <v>0</v>
      </c>
      <c r="BI8" s="193">
        <f>IFERROR(INDEX('Fluxos de Recebimento'!$I$7:$BH$58, MATCH(Curvas!$AB8, 'Fluxos de Recebimento'!$F$7:$F$58, 0), MATCH(Curvas!BI$2,'Fluxos de Recebimento'!$I$5:$BH$5, 0))+INDEX('Fluxos de Recebimento'!$I$65:$BH$116, MATCH(Curvas!$AB8, 'Fluxos de Recebimento'!$F$65:$F$116, 0), MATCH(Curvas!BI$2, 'Fluxos de Recebimento'!$I$63:$BH$63, 0)),0)*INDEX($E:$E, MATCH(BI$2, $B:$B, 0))</f>
        <v>0</v>
      </c>
      <c r="BJ8" s="193">
        <f>IFERROR(INDEX('Fluxos de Recebimento'!$I$7:$BH$58, MATCH(Curvas!$AB8, 'Fluxos de Recebimento'!$F$7:$F$58, 0), MATCH(Curvas!BJ$2,'Fluxos de Recebimento'!$I$5:$BH$5, 0))+INDEX('Fluxos de Recebimento'!$I$65:$BH$116, MATCH(Curvas!$AB8, 'Fluxos de Recebimento'!$F$65:$F$116, 0), MATCH(Curvas!BJ$2, 'Fluxos de Recebimento'!$I$63:$BH$63, 0)),0)*INDEX($E:$E, MATCH(BJ$2, $B:$B, 0))</f>
        <v>0</v>
      </c>
      <c r="BK8" s="193">
        <f>IFERROR(INDEX('Fluxos de Recebimento'!$I$7:$BH$58, MATCH(Curvas!$AB8, 'Fluxos de Recebimento'!$F$7:$F$58, 0), MATCH(Curvas!BK$2,'Fluxos de Recebimento'!$I$5:$BH$5, 0))+INDEX('Fluxos de Recebimento'!$I$65:$BH$116, MATCH(Curvas!$AB8, 'Fluxos de Recebimento'!$F$65:$F$116, 0), MATCH(Curvas!BK$2, 'Fluxos de Recebimento'!$I$63:$BH$63, 0)),0)*INDEX($E:$E, MATCH(BK$2, $B:$B, 0))</f>
        <v>0</v>
      </c>
      <c r="BL8" s="193">
        <f>IFERROR(INDEX('Fluxos de Recebimento'!$I$7:$BH$58, MATCH(Curvas!$AB8, 'Fluxos de Recebimento'!$F$7:$F$58, 0), MATCH(Curvas!BL$2,'Fluxos de Recebimento'!$I$5:$BH$5, 0))+INDEX('Fluxos de Recebimento'!$I$65:$BH$116, MATCH(Curvas!$AB8, 'Fluxos de Recebimento'!$F$65:$F$116, 0), MATCH(Curvas!BL$2, 'Fluxos de Recebimento'!$I$63:$BH$63, 0)),0)*INDEX($E:$E, MATCH(BL$2, $B:$B, 0))</f>
        <v>0</v>
      </c>
      <c r="BM8" s="193">
        <f>IFERROR(INDEX('Fluxos de Recebimento'!$I$7:$BH$58, MATCH(Curvas!$AB8, 'Fluxos de Recebimento'!$F$7:$F$58, 0), MATCH(Curvas!BM$2,'Fluxos de Recebimento'!$I$5:$BH$5, 0))+INDEX('Fluxos de Recebimento'!$I$65:$BH$116, MATCH(Curvas!$AB8, 'Fluxos de Recebimento'!$F$65:$F$116, 0), MATCH(Curvas!BM$2, 'Fluxos de Recebimento'!$I$63:$BH$63, 0)),0)*INDEX($E:$E, MATCH(BM$2, $B:$B, 0))</f>
        <v>0</v>
      </c>
      <c r="BN8" s="193">
        <f>IFERROR(INDEX('Fluxos de Recebimento'!$I$7:$BH$58, MATCH(Curvas!$AB8, 'Fluxos de Recebimento'!$F$7:$F$58, 0), MATCH(Curvas!BN$2,'Fluxos de Recebimento'!$I$5:$BH$5, 0))+INDEX('Fluxos de Recebimento'!$I$65:$BH$116, MATCH(Curvas!$AB8, 'Fluxos de Recebimento'!$F$65:$F$116, 0), MATCH(Curvas!BN$2, 'Fluxos de Recebimento'!$I$63:$BH$63, 0)),0)*INDEX($E:$E, MATCH(BN$2, $B:$B, 0))</f>
        <v>0</v>
      </c>
      <c r="BO8" s="193">
        <f>IFERROR(INDEX('Fluxos de Recebimento'!$I$7:$BH$58, MATCH(Curvas!$AB8, 'Fluxos de Recebimento'!$F$7:$F$58, 0), MATCH(Curvas!BO$2,'Fluxos de Recebimento'!$I$5:$BH$5, 0))+INDEX('Fluxos de Recebimento'!$I$65:$BH$116, MATCH(Curvas!$AB8, 'Fluxos de Recebimento'!$F$65:$F$116, 0), MATCH(Curvas!BO$2, 'Fluxos de Recebimento'!$I$63:$BH$63, 0)),0)*INDEX($E:$E, MATCH(BO$2, $B:$B, 0))</f>
        <v>0</v>
      </c>
      <c r="BP8" s="193">
        <f>IFERROR(INDEX('Fluxos de Recebimento'!$I$7:$BH$58, MATCH(Curvas!$AB8, 'Fluxos de Recebimento'!$F$7:$F$58, 0), MATCH(Curvas!BP$2,'Fluxos de Recebimento'!$I$5:$BH$5, 0))+INDEX('Fluxos de Recebimento'!$I$65:$BH$116, MATCH(Curvas!$AB8, 'Fluxos de Recebimento'!$F$65:$F$116, 0), MATCH(Curvas!BP$2, 'Fluxos de Recebimento'!$I$63:$BH$63, 0)),0)*INDEX($E:$E, MATCH(BP$2, $B:$B, 0))</f>
        <v>0</v>
      </c>
      <c r="BQ8" s="193">
        <f>IFERROR(INDEX('Fluxos de Recebimento'!$I$7:$BH$58, MATCH(Curvas!$AB8, 'Fluxos de Recebimento'!$F$7:$F$58, 0), MATCH(Curvas!BQ$2,'Fluxos de Recebimento'!$I$5:$BH$5, 0))+INDEX('Fluxos de Recebimento'!$I$65:$BH$116, MATCH(Curvas!$AB8, 'Fluxos de Recebimento'!$F$65:$F$116, 0), MATCH(Curvas!BQ$2, 'Fluxos de Recebimento'!$I$63:$BH$63, 0)),0)*INDEX($E:$E, MATCH(BQ$2, $B:$B, 0))</f>
        <v>0</v>
      </c>
      <c r="BR8" s="193">
        <f>IFERROR(INDEX('Fluxos de Recebimento'!$I$7:$BH$58, MATCH(Curvas!$AB8, 'Fluxos de Recebimento'!$F$7:$F$58, 0), MATCH(Curvas!BR$2,'Fluxos de Recebimento'!$I$5:$BH$5, 0))+INDEX('Fluxos de Recebimento'!$I$65:$BH$116, MATCH(Curvas!$AB8, 'Fluxos de Recebimento'!$F$65:$F$116, 0), MATCH(Curvas!BR$2, 'Fluxos de Recebimento'!$I$63:$BH$63, 0)),0)*INDEX($E:$E, MATCH(BR$2, $B:$B, 0))</f>
        <v>0</v>
      </c>
      <c r="BS8" s="193">
        <f>IFERROR(INDEX('Fluxos de Recebimento'!$I$7:$BH$58, MATCH(Curvas!$AB8, 'Fluxos de Recebimento'!$F$7:$F$58, 0), MATCH(Curvas!BS$2,'Fluxos de Recebimento'!$I$5:$BH$5, 0))+INDEX('Fluxos de Recebimento'!$I$65:$BH$116, MATCH(Curvas!$AB8, 'Fluxos de Recebimento'!$F$65:$F$116, 0), MATCH(Curvas!BS$2, 'Fluxos de Recebimento'!$I$63:$BH$63, 0)),0)*INDEX($E:$E, MATCH(BS$2, $B:$B, 0))</f>
        <v>0</v>
      </c>
      <c r="BT8" s="193">
        <f>IFERROR(INDEX('Fluxos de Recebimento'!$I$7:$BH$58, MATCH(Curvas!$AB8, 'Fluxos de Recebimento'!$F$7:$F$58, 0), MATCH(Curvas!BT$2,'Fluxos de Recebimento'!$I$5:$BH$5, 0))+INDEX('Fluxos de Recebimento'!$I$65:$BH$116, MATCH(Curvas!$AB8, 'Fluxos de Recebimento'!$F$65:$F$116, 0), MATCH(Curvas!BT$2, 'Fluxos de Recebimento'!$I$63:$BH$63, 0)),0)*INDEX($E:$E, MATCH(BT$2, $B:$B, 0))</f>
        <v>0</v>
      </c>
      <c r="BU8" s="193">
        <f>IFERROR(INDEX('Fluxos de Recebimento'!$I$7:$BH$58, MATCH(Curvas!$AB8, 'Fluxos de Recebimento'!$F$7:$F$58, 0), MATCH(Curvas!BU$2,'Fluxos de Recebimento'!$I$5:$BH$5, 0))+INDEX('Fluxos de Recebimento'!$I$65:$BH$116, MATCH(Curvas!$AB8, 'Fluxos de Recebimento'!$F$65:$F$116, 0), MATCH(Curvas!BU$2, 'Fluxos de Recebimento'!$I$63:$BH$63, 0)),0)*INDEX($E:$E, MATCH(BU$2, $B:$B, 0))</f>
        <v>0</v>
      </c>
      <c r="BV8" s="193">
        <f>IFERROR(INDEX('Fluxos de Recebimento'!$I$7:$BH$58, MATCH(Curvas!$AB8, 'Fluxos de Recebimento'!$F$7:$F$58, 0), MATCH(Curvas!BV$2,'Fluxos de Recebimento'!$I$5:$BH$5, 0))+INDEX('Fluxos de Recebimento'!$I$65:$BH$116, MATCH(Curvas!$AB8, 'Fluxos de Recebimento'!$F$65:$F$116, 0), MATCH(Curvas!BV$2, 'Fluxos de Recebimento'!$I$63:$BH$63, 0)),0)*INDEX($E:$E, MATCH(BV$2, $B:$B, 0))</f>
        <v>0</v>
      </c>
      <c r="BW8" s="193">
        <f>IFERROR(INDEX('Fluxos de Recebimento'!$I$7:$BH$58, MATCH(Curvas!$AB8, 'Fluxos de Recebimento'!$F$7:$F$58, 0), MATCH(Curvas!BW$2,'Fluxos de Recebimento'!$I$5:$BH$5, 0))+INDEX('Fluxos de Recebimento'!$I$65:$BH$116, MATCH(Curvas!$AB8, 'Fluxos de Recebimento'!$F$65:$F$116, 0), MATCH(Curvas!BW$2, 'Fluxos de Recebimento'!$I$63:$BH$63, 0)),0)*INDEX($E:$E, MATCH(BW$2, $B:$B, 0))</f>
        <v>0</v>
      </c>
      <c r="BX8" s="193">
        <f>IFERROR(INDEX('Fluxos de Recebimento'!$I$7:$BH$58, MATCH(Curvas!$AB8, 'Fluxos de Recebimento'!$F$7:$F$58, 0), MATCH(Curvas!BX$2,'Fluxos de Recebimento'!$I$5:$BH$5, 0))+INDEX('Fluxos de Recebimento'!$I$65:$BH$116, MATCH(Curvas!$AB8, 'Fluxos de Recebimento'!$F$65:$F$116, 0), MATCH(Curvas!BX$2, 'Fluxos de Recebimento'!$I$63:$BH$63, 0)),0)*INDEX($E:$E, MATCH(BX$2, $B:$B, 0))</f>
        <v>0</v>
      </c>
      <c r="BY8" s="193">
        <f>IFERROR(INDEX('Fluxos de Recebimento'!$I$7:$BH$58, MATCH(Curvas!$AB8, 'Fluxos de Recebimento'!$F$7:$F$58, 0), MATCH(Curvas!BY$2,'Fluxos de Recebimento'!$I$5:$BH$5, 0))+INDEX('Fluxos de Recebimento'!$I$65:$BH$116, MATCH(Curvas!$AB8, 'Fluxos de Recebimento'!$F$65:$F$116, 0), MATCH(Curvas!BY$2, 'Fluxos de Recebimento'!$I$63:$BH$63, 0)),0)*INDEX($E:$E, MATCH(BY$2, $B:$B, 0))</f>
        <v>0</v>
      </c>
      <c r="BZ8" s="193">
        <f>IFERROR(INDEX('Fluxos de Recebimento'!$I$7:$BH$58, MATCH(Curvas!$AB8, 'Fluxos de Recebimento'!$F$7:$F$58, 0), MATCH(Curvas!BZ$2,'Fluxos de Recebimento'!$I$5:$BH$5, 0))+INDEX('Fluxos de Recebimento'!$I$65:$BH$116, MATCH(Curvas!$AB8, 'Fluxos de Recebimento'!$F$65:$F$116, 0), MATCH(Curvas!BZ$2, 'Fluxos de Recebimento'!$I$63:$BH$63, 0)),0)*INDEX($E:$E, MATCH(BZ$2, $B:$B, 0))</f>
        <v>0</v>
      </c>
      <c r="CA8" s="193">
        <f>IFERROR(INDEX('Fluxos de Recebimento'!$I$7:$BH$58, MATCH(Curvas!$AB8, 'Fluxos de Recebimento'!$F$7:$F$58, 0), MATCH(Curvas!CA$2,'Fluxos de Recebimento'!$I$5:$BH$5, 0))+INDEX('Fluxos de Recebimento'!$I$65:$BH$116, MATCH(Curvas!$AB8, 'Fluxos de Recebimento'!$F$65:$F$116, 0), MATCH(Curvas!CA$2, 'Fluxos de Recebimento'!$I$63:$BH$63, 0)),0)*INDEX($E:$E, MATCH(CA$2, $B:$B, 0))</f>
        <v>0</v>
      </c>
      <c r="CB8" s="193">
        <f>IFERROR(INDEX('Fluxos de Recebimento'!$I$7:$BH$58, MATCH(Curvas!$AB8, 'Fluxos de Recebimento'!$F$7:$F$58, 0), MATCH(Curvas!CB$2,'Fluxos de Recebimento'!$I$5:$BH$5, 0))+INDEX('Fluxos de Recebimento'!$I$65:$BH$116, MATCH(Curvas!$AB8, 'Fluxos de Recebimento'!$F$65:$F$116, 0), MATCH(Curvas!CB$2, 'Fluxos de Recebimento'!$I$63:$BH$63, 0)),0)*INDEX($E:$E, MATCH(CB$2, $B:$B, 0))</f>
        <v>0</v>
      </c>
      <c r="CC8" s="193">
        <f>IFERROR(INDEX('Fluxos de Recebimento'!$I$7:$BH$58, MATCH(Curvas!$AB8, 'Fluxos de Recebimento'!$F$7:$F$58, 0), MATCH(Curvas!CC$2,'Fluxos de Recebimento'!$I$5:$BH$5, 0))+INDEX('Fluxos de Recebimento'!$I$65:$BH$116, MATCH(Curvas!$AB8, 'Fluxos de Recebimento'!$F$65:$F$116, 0), MATCH(Curvas!CC$2, 'Fluxos de Recebimento'!$I$63:$BH$63, 0)),0)*INDEX($E:$E, MATCH(CC$2, $B:$B, 0))</f>
        <v>0</v>
      </c>
    </row>
    <row r="9" spans="1:81" x14ac:dyDescent="0.25">
      <c r="A9" s="2"/>
      <c r="B9" s="477">
        <f t="shared" si="16"/>
        <v>44317</v>
      </c>
      <c r="C9" s="52">
        <f t="shared" si="17"/>
        <v>6</v>
      </c>
      <c r="D9" s="2"/>
      <c r="E9" s="187">
        <f t="shared" si="4"/>
        <v>2.298850574712644E-2</v>
      </c>
      <c r="F9" s="48">
        <f t="shared" si="18"/>
        <v>0.13793103448275865</v>
      </c>
      <c r="G9" s="46">
        <f t="shared" ca="1" si="5"/>
        <v>0</v>
      </c>
      <c r="H9" s="48">
        <f t="shared" ca="1" si="19"/>
        <v>0</v>
      </c>
      <c r="I9" s="2"/>
      <c r="J9" s="69">
        <f t="shared" si="6"/>
        <v>16</v>
      </c>
      <c r="K9" s="479">
        <f t="shared" ca="1" si="7"/>
        <v>0</v>
      </c>
      <c r="L9" s="70">
        <f t="shared" ca="1" si="8"/>
        <v>16</v>
      </c>
      <c r="M9" s="2"/>
      <c r="N9" s="69">
        <f t="shared" si="9"/>
        <v>21</v>
      </c>
      <c r="O9" s="479">
        <f t="shared" si="10"/>
        <v>0</v>
      </c>
      <c r="P9" s="70">
        <f t="shared" si="11"/>
        <v>21</v>
      </c>
      <c r="Q9" s="2"/>
      <c r="R9" s="71">
        <f t="shared" si="12"/>
        <v>37</v>
      </c>
      <c r="S9" s="196"/>
      <c r="T9" s="46">
        <v>3.7292519690657389E-3</v>
      </c>
      <c r="U9" s="48">
        <f t="shared" si="20"/>
        <v>3.7292519690657389E-3</v>
      </c>
      <c r="V9" s="2"/>
      <c r="W9" s="56">
        <f t="shared" si="21"/>
        <v>6</v>
      </c>
      <c r="X9" s="48">
        <v>0</v>
      </c>
      <c r="Y9" s="2"/>
      <c r="Z9" s="194">
        <f t="shared" si="13"/>
        <v>2.0362277143886344E-3</v>
      </c>
      <c r="AA9" s="2"/>
      <c r="AB9" s="477">
        <f t="shared" si="14"/>
        <v>44317</v>
      </c>
      <c r="AC9" s="52">
        <f t="shared" si="15"/>
        <v>6</v>
      </c>
      <c r="AD9" s="193">
        <f>IFERROR(INDEX('Fluxos de Recebimento'!$I$7:$BH$58, MATCH(Curvas!$AB9, 'Fluxos de Recebimento'!$F$7:$F$58, 0), MATCH(Curvas!AD$2,'Fluxos de Recebimento'!$I$5:$BH$5, 0))+INDEX('Fluxos de Recebimento'!$I$65:$BH$116, MATCH(Curvas!$AB9, 'Fluxos de Recebimento'!$F$65:$F$116, 0), MATCH(Curvas!AD$2, 'Fluxos de Recebimento'!$I$63:$BH$63, 0)),0)*INDEX($E:$E, MATCH(AD$2, $B:$B, 0))</f>
        <v>1.6420361247947458E-4</v>
      </c>
      <c r="AE9" s="193">
        <f>IFERROR(INDEX('Fluxos de Recebimento'!$I$7:$BH$58, MATCH(Curvas!$AB9, 'Fluxos de Recebimento'!$F$7:$F$58, 0), MATCH(Curvas!AE$2,'Fluxos de Recebimento'!$I$5:$BH$5, 0))+INDEX('Fluxos de Recebimento'!$I$65:$BH$116, MATCH(Curvas!$AB9, 'Fluxos de Recebimento'!$F$65:$F$116, 0), MATCH(Curvas!AE$2, 'Fluxos de Recebimento'!$I$63:$BH$63, 0)),0)*INDEX($E:$E, MATCH(AE$2, $B:$B, 0))</f>
        <v>1.7028522775649216E-4</v>
      </c>
      <c r="AF9" s="193">
        <f>IFERROR(INDEX('Fluxos de Recebimento'!$I$7:$BH$58, MATCH(Curvas!$AB9, 'Fluxos de Recebimento'!$F$7:$F$58, 0), MATCH(Curvas!AF$2,'Fluxos de Recebimento'!$I$5:$BH$5, 0))+INDEX('Fluxos de Recebimento'!$I$65:$BH$116, MATCH(Curvas!$AB9, 'Fluxos de Recebimento'!$F$65:$F$116, 0), MATCH(Curvas!AF$2, 'Fluxos de Recebimento'!$I$63:$BH$63, 0)),0)*INDEX($E:$E, MATCH(AF$2, $B:$B, 0))</f>
        <v>1.7683465959328031E-4</v>
      </c>
      <c r="AG9" s="193">
        <f>IFERROR(INDEX('Fluxos de Recebimento'!$I$7:$BH$58, MATCH(Curvas!$AB9, 'Fluxos de Recebimento'!$F$7:$F$58, 0), MATCH(Curvas!AG$2,'Fluxos de Recebimento'!$I$5:$BH$5, 0))+INDEX('Fluxos de Recebimento'!$I$65:$BH$116, MATCH(Curvas!$AB9, 'Fluxos de Recebimento'!$F$65:$F$116, 0), MATCH(Curvas!AG$2, 'Fluxos de Recebimento'!$I$63:$BH$63, 0)),0)*INDEX($E:$E, MATCH(AG$2, $B:$B, 0))</f>
        <v>1.8390804597701152E-4</v>
      </c>
      <c r="AH9" s="193">
        <f>IFERROR(INDEX('Fluxos de Recebimento'!$I$7:$BH$58, MATCH(Curvas!$AB9, 'Fluxos de Recebimento'!$F$7:$F$58, 0), MATCH(Curvas!AH$2,'Fluxos de Recebimento'!$I$5:$BH$5, 0))+INDEX('Fluxos de Recebimento'!$I$65:$BH$116, MATCH(Curvas!$AB9, 'Fluxos de Recebimento'!$F$65:$F$116, 0), MATCH(Curvas!AH$2, 'Fluxos de Recebimento'!$I$63:$BH$63, 0)),0)*INDEX($E:$E, MATCH(AH$2, $B:$B, 0))</f>
        <v>1.9157088122605367E-4</v>
      </c>
      <c r="AI9" s="193">
        <f>IFERROR(INDEX('Fluxos de Recebimento'!$I$7:$BH$58, MATCH(Curvas!$AB9, 'Fluxos de Recebimento'!$F$7:$F$58, 0), MATCH(Curvas!AI$2,'Fluxos de Recebimento'!$I$5:$BH$5, 0))+INDEX('Fluxos de Recebimento'!$I$65:$BH$116, MATCH(Curvas!$AB9, 'Fluxos de Recebimento'!$F$65:$F$116, 0), MATCH(Curvas!AI$2, 'Fluxos de Recebimento'!$I$63:$BH$63, 0)),0)*INDEX($E:$E, MATCH(AI$2, $B:$B, 0))</f>
        <v>1.149425287356322E-3</v>
      </c>
      <c r="AJ9" s="193">
        <f>IFERROR(INDEX('Fluxos de Recebimento'!$I$7:$BH$58, MATCH(Curvas!$AB9, 'Fluxos de Recebimento'!$F$7:$F$58, 0), MATCH(Curvas!AJ$2,'Fluxos de Recebimento'!$I$5:$BH$5, 0))+INDEX('Fluxos de Recebimento'!$I$65:$BH$116, MATCH(Curvas!$AB9, 'Fluxos de Recebimento'!$F$65:$F$116, 0), MATCH(Curvas!AJ$2, 'Fluxos de Recebimento'!$I$63:$BH$63, 0)),0)*INDEX($E:$E, MATCH(AJ$2, $B:$B, 0))</f>
        <v>0</v>
      </c>
      <c r="AK9" s="193">
        <f>IFERROR(INDEX('Fluxos de Recebimento'!$I$7:$BH$58, MATCH(Curvas!$AB9, 'Fluxos de Recebimento'!$F$7:$F$58, 0), MATCH(Curvas!AK$2,'Fluxos de Recebimento'!$I$5:$BH$5, 0))+INDEX('Fluxos de Recebimento'!$I$65:$BH$116, MATCH(Curvas!$AB9, 'Fluxos de Recebimento'!$F$65:$F$116, 0), MATCH(Curvas!AK$2, 'Fluxos de Recebimento'!$I$63:$BH$63, 0)),0)*INDEX($E:$E, MATCH(AK$2, $B:$B, 0))</f>
        <v>0</v>
      </c>
      <c r="AL9" s="193">
        <f>IFERROR(INDEX('Fluxos de Recebimento'!$I$7:$BH$58, MATCH(Curvas!$AB9, 'Fluxos de Recebimento'!$F$7:$F$58, 0), MATCH(Curvas!AL$2,'Fluxos de Recebimento'!$I$5:$BH$5, 0))+INDEX('Fluxos de Recebimento'!$I$65:$BH$116, MATCH(Curvas!$AB9, 'Fluxos de Recebimento'!$F$65:$F$116, 0), MATCH(Curvas!AL$2, 'Fluxos de Recebimento'!$I$63:$BH$63, 0)),0)*INDEX($E:$E, MATCH(AL$2, $B:$B, 0))</f>
        <v>0</v>
      </c>
      <c r="AM9" s="193">
        <f>IFERROR(INDEX('Fluxos de Recebimento'!$I$7:$BH$58, MATCH(Curvas!$AB9, 'Fluxos de Recebimento'!$F$7:$F$58, 0), MATCH(Curvas!AM$2,'Fluxos de Recebimento'!$I$5:$BH$5, 0))+INDEX('Fluxos de Recebimento'!$I$65:$BH$116, MATCH(Curvas!$AB9, 'Fluxos de Recebimento'!$F$65:$F$116, 0), MATCH(Curvas!AM$2, 'Fluxos de Recebimento'!$I$63:$BH$63, 0)),0)*INDEX($E:$E, MATCH(AM$2, $B:$B, 0))</f>
        <v>0</v>
      </c>
      <c r="AN9" s="193">
        <f>IFERROR(INDEX('Fluxos de Recebimento'!$I$7:$BH$58, MATCH(Curvas!$AB9, 'Fluxos de Recebimento'!$F$7:$F$58, 0), MATCH(Curvas!AN$2,'Fluxos de Recebimento'!$I$5:$BH$5, 0))+INDEX('Fluxos de Recebimento'!$I$65:$BH$116, MATCH(Curvas!$AB9, 'Fluxos de Recebimento'!$F$65:$F$116, 0), MATCH(Curvas!AN$2, 'Fluxos de Recebimento'!$I$63:$BH$63, 0)),0)*INDEX($E:$E, MATCH(AN$2, $B:$B, 0))</f>
        <v>0</v>
      </c>
      <c r="AO9" s="193">
        <f>IFERROR(INDEX('Fluxos de Recebimento'!$I$7:$BH$58, MATCH(Curvas!$AB9, 'Fluxos de Recebimento'!$F$7:$F$58, 0), MATCH(Curvas!AO$2,'Fluxos de Recebimento'!$I$5:$BH$5, 0))+INDEX('Fluxos de Recebimento'!$I$65:$BH$116, MATCH(Curvas!$AB9, 'Fluxos de Recebimento'!$F$65:$F$116, 0), MATCH(Curvas!AO$2, 'Fluxos de Recebimento'!$I$63:$BH$63, 0)),0)*INDEX($E:$E, MATCH(AO$2, $B:$B, 0))</f>
        <v>0</v>
      </c>
      <c r="AP9" s="193">
        <f>IFERROR(INDEX('Fluxos de Recebimento'!$I$7:$BH$58, MATCH(Curvas!$AB9, 'Fluxos de Recebimento'!$F$7:$F$58, 0), MATCH(Curvas!AP$2,'Fluxos de Recebimento'!$I$5:$BH$5, 0))+INDEX('Fluxos de Recebimento'!$I$65:$BH$116, MATCH(Curvas!$AB9, 'Fluxos de Recebimento'!$F$65:$F$116, 0), MATCH(Curvas!AP$2, 'Fluxos de Recebimento'!$I$63:$BH$63, 0)),0)*INDEX($E:$E, MATCH(AP$2, $B:$B, 0))</f>
        <v>0</v>
      </c>
      <c r="AQ9" s="193">
        <f>IFERROR(INDEX('Fluxos de Recebimento'!$I$7:$BH$58, MATCH(Curvas!$AB9, 'Fluxos de Recebimento'!$F$7:$F$58, 0), MATCH(Curvas!AQ$2,'Fluxos de Recebimento'!$I$5:$BH$5, 0))+INDEX('Fluxos de Recebimento'!$I$65:$BH$116, MATCH(Curvas!$AB9, 'Fluxos de Recebimento'!$F$65:$F$116, 0), MATCH(Curvas!AQ$2, 'Fluxos de Recebimento'!$I$63:$BH$63, 0)),0)*INDEX($E:$E, MATCH(AQ$2, $B:$B, 0))</f>
        <v>0</v>
      </c>
      <c r="AR9" s="193">
        <f>IFERROR(INDEX('Fluxos de Recebimento'!$I$7:$BH$58, MATCH(Curvas!$AB9, 'Fluxos de Recebimento'!$F$7:$F$58, 0), MATCH(Curvas!AR$2,'Fluxos de Recebimento'!$I$5:$BH$5, 0))+INDEX('Fluxos de Recebimento'!$I$65:$BH$116, MATCH(Curvas!$AB9, 'Fluxos de Recebimento'!$F$65:$F$116, 0), MATCH(Curvas!AR$2, 'Fluxos de Recebimento'!$I$63:$BH$63, 0)),0)*INDEX($E:$E, MATCH(AR$2, $B:$B, 0))</f>
        <v>0</v>
      </c>
      <c r="AS9" s="193">
        <f>IFERROR(INDEX('Fluxos de Recebimento'!$I$7:$BH$58, MATCH(Curvas!$AB9, 'Fluxos de Recebimento'!$F$7:$F$58, 0), MATCH(Curvas!AS$2,'Fluxos de Recebimento'!$I$5:$BH$5, 0))+INDEX('Fluxos de Recebimento'!$I$65:$BH$116, MATCH(Curvas!$AB9, 'Fluxos de Recebimento'!$F$65:$F$116, 0), MATCH(Curvas!AS$2, 'Fluxos de Recebimento'!$I$63:$BH$63, 0)),0)*INDEX($E:$E, MATCH(AS$2, $B:$B, 0))</f>
        <v>0</v>
      </c>
      <c r="AT9" s="193">
        <f>IFERROR(INDEX('Fluxos de Recebimento'!$I$7:$BH$58, MATCH(Curvas!$AB9, 'Fluxos de Recebimento'!$F$7:$F$58, 0), MATCH(Curvas!AT$2,'Fluxos de Recebimento'!$I$5:$BH$5, 0))+INDEX('Fluxos de Recebimento'!$I$65:$BH$116, MATCH(Curvas!$AB9, 'Fluxos de Recebimento'!$F$65:$F$116, 0), MATCH(Curvas!AT$2, 'Fluxos de Recebimento'!$I$63:$BH$63, 0)),0)*INDEX($E:$E, MATCH(AT$2, $B:$B, 0))</f>
        <v>0</v>
      </c>
      <c r="AU9" s="193">
        <f>IFERROR(INDEX('Fluxos de Recebimento'!$I$7:$BH$58, MATCH(Curvas!$AB9, 'Fluxos de Recebimento'!$F$7:$F$58, 0), MATCH(Curvas!AU$2,'Fluxos de Recebimento'!$I$5:$BH$5, 0))+INDEX('Fluxos de Recebimento'!$I$65:$BH$116, MATCH(Curvas!$AB9, 'Fluxos de Recebimento'!$F$65:$F$116, 0), MATCH(Curvas!AU$2, 'Fluxos de Recebimento'!$I$63:$BH$63, 0)),0)*INDEX($E:$E, MATCH(AU$2, $B:$B, 0))</f>
        <v>0</v>
      </c>
      <c r="AV9" s="193">
        <f>IFERROR(INDEX('Fluxos de Recebimento'!$I$7:$BH$58, MATCH(Curvas!$AB9, 'Fluxos de Recebimento'!$F$7:$F$58, 0), MATCH(Curvas!AV$2,'Fluxos de Recebimento'!$I$5:$BH$5, 0))+INDEX('Fluxos de Recebimento'!$I$65:$BH$116, MATCH(Curvas!$AB9, 'Fluxos de Recebimento'!$F$65:$F$116, 0), MATCH(Curvas!AV$2, 'Fluxos de Recebimento'!$I$63:$BH$63, 0)),0)*INDEX($E:$E, MATCH(AV$2, $B:$B, 0))</f>
        <v>0</v>
      </c>
      <c r="AW9" s="193">
        <f>IFERROR(INDEX('Fluxos de Recebimento'!$I$7:$BH$58, MATCH(Curvas!$AB9, 'Fluxos de Recebimento'!$F$7:$F$58, 0), MATCH(Curvas!AW$2,'Fluxos de Recebimento'!$I$5:$BH$5, 0))+INDEX('Fluxos de Recebimento'!$I$65:$BH$116, MATCH(Curvas!$AB9, 'Fluxos de Recebimento'!$F$65:$F$116, 0), MATCH(Curvas!AW$2, 'Fluxos de Recebimento'!$I$63:$BH$63, 0)),0)*INDEX($E:$E, MATCH(AW$2, $B:$B, 0))</f>
        <v>0</v>
      </c>
      <c r="AX9" s="193">
        <f>IFERROR(INDEX('Fluxos de Recebimento'!$I$7:$BH$58, MATCH(Curvas!$AB9, 'Fluxos de Recebimento'!$F$7:$F$58, 0), MATCH(Curvas!AX$2,'Fluxos de Recebimento'!$I$5:$BH$5, 0))+INDEX('Fluxos de Recebimento'!$I$65:$BH$116, MATCH(Curvas!$AB9, 'Fluxos de Recebimento'!$F$65:$F$116, 0), MATCH(Curvas!AX$2, 'Fluxos de Recebimento'!$I$63:$BH$63, 0)),0)*INDEX($E:$E, MATCH(AX$2, $B:$B, 0))</f>
        <v>0</v>
      </c>
      <c r="AY9" s="193">
        <f>IFERROR(INDEX('Fluxos de Recebimento'!$I$7:$BH$58, MATCH(Curvas!$AB9, 'Fluxos de Recebimento'!$F$7:$F$58, 0), MATCH(Curvas!AY$2,'Fluxos de Recebimento'!$I$5:$BH$5, 0))+INDEX('Fluxos de Recebimento'!$I$65:$BH$116, MATCH(Curvas!$AB9, 'Fluxos de Recebimento'!$F$65:$F$116, 0), MATCH(Curvas!AY$2, 'Fluxos de Recebimento'!$I$63:$BH$63, 0)),0)*INDEX($E:$E, MATCH(AY$2, $B:$B, 0))</f>
        <v>0</v>
      </c>
      <c r="AZ9" s="193">
        <f>IFERROR(INDEX('Fluxos de Recebimento'!$I$7:$BH$58, MATCH(Curvas!$AB9, 'Fluxos de Recebimento'!$F$7:$F$58, 0), MATCH(Curvas!AZ$2,'Fluxos de Recebimento'!$I$5:$BH$5, 0))+INDEX('Fluxos de Recebimento'!$I$65:$BH$116, MATCH(Curvas!$AB9, 'Fluxos de Recebimento'!$F$65:$F$116, 0), MATCH(Curvas!AZ$2, 'Fluxos de Recebimento'!$I$63:$BH$63, 0)),0)*INDEX($E:$E, MATCH(AZ$2, $B:$B, 0))</f>
        <v>0</v>
      </c>
      <c r="BA9" s="193">
        <f>IFERROR(INDEX('Fluxos de Recebimento'!$I$7:$BH$58, MATCH(Curvas!$AB9, 'Fluxos de Recebimento'!$F$7:$F$58, 0), MATCH(Curvas!BA$2,'Fluxos de Recebimento'!$I$5:$BH$5, 0))+INDEX('Fluxos de Recebimento'!$I$65:$BH$116, MATCH(Curvas!$AB9, 'Fluxos de Recebimento'!$F$65:$F$116, 0), MATCH(Curvas!BA$2, 'Fluxos de Recebimento'!$I$63:$BH$63, 0)),0)*INDEX($E:$E, MATCH(BA$2, $B:$B, 0))</f>
        <v>0</v>
      </c>
      <c r="BB9" s="193">
        <f>IFERROR(INDEX('Fluxos de Recebimento'!$I$7:$BH$58, MATCH(Curvas!$AB9, 'Fluxos de Recebimento'!$F$7:$F$58, 0), MATCH(Curvas!BB$2,'Fluxos de Recebimento'!$I$5:$BH$5, 0))+INDEX('Fluxos de Recebimento'!$I$65:$BH$116, MATCH(Curvas!$AB9, 'Fluxos de Recebimento'!$F$65:$F$116, 0), MATCH(Curvas!BB$2, 'Fluxos de Recebimento'!$I$63:$BH$63, 0)),0)*INDEX($E:$E, MATCH(BB$2, $B:$B, 0))</f>
        <v>0</v>
      </c>
      <c r="BC9" s="193">
        <f>IFERROR(INDEX('Fluxos de Recebimento'!$I$7:$BH$58, MATCH(Curvas!$AB9, 'Fluxos de Recebimento'!$F$7:$F$58, 0), MATCH(Curvas!BC$2,'Fluxos de Recebimento'!$I$5:$BH$5, 0))+INDEX('Fluxos de Recebimento'!$I$65:$BH$116, MATCH(Curvas!$AB9, 'Fluxos de Recebimento'!$F$65:$F$116, 0), MATCH(Curvas!BC$2, 'Fluxos de Recebimento'!$I$63:$BH$63, 0)),0)*INDEX($E:$E, MATCH(BC$2, $B:$B, 0))</f>
        <v>0</v>
      </c>
      <c r="BD9" s="193">
        <f>IFERROR(INDEX('Fluxos de Recebimento'!$I$7:$BH$58, MATCH(Curvas!$AB9, 'Fluxos de Recebimento'!$F$7:$F$58, 0), MATCH(Curvas!BD$2,'Fluxos de Recebimento'!$I$5:$BH$5, 0))+INDEX('Fluxos de Recebimento'!$I$65:$BH$116, MATCH(Curvas!$AB9, 'Fluxos de Recebimento'!$F$65:$F$116, 0), MATCH(Curvas!BD$2, 'Fluxos de Recebimento'!$I$63:$BH$63, 0)),0)*INDEX($E:$E, MATCH(BD$2, $B:$B, 0))</f>
        <v>0</v>
      </c>
      <c r="BE9" s="193">
        <f>IFERROR(INDEX('Fluxos de Recebimento'!$I$7:$BH$58, MATCH(Curvas!$AB9, 'Fluxos de Recebimento'!$F$7:$F$58, 0), MATCH(Curvas!BE$2,'Fluxos de Recebimento'!$I$5:$BH$5, 0))+INDEX('Fluxos de Recebimento'!$I$65:$BH$116, MATCH(Curvas!$AB9, 'Fluxos de Recebimento'!$F$65:$F$116, 0), MATCH(Curvas!BE$2, 'Fluxos de Recebimento'!$I$63:$BH$63, 0)),0)*INDEX($E:$E, MATCH(BE$2, $B:$B, 0))</f>
        <v>0</v>
      </c>
      <c r="BF9" s="193">
        <f>IFERROR(INDEX('Fluxos de Recebimento'!$I$7:$BH$58, MATCH(Curvas!$AB9, 'Fluxos de Recebimento'!$F$7:$F$58, 0), MATCH(Curvas!BF$2,'Fluxos de Recebimento'!$I$5:$BH$5, 0))+INDEX('Fluxos de Recebimento'!$I$65:$BH$116, MATCH(Curvas!$AB9, 'Fluxos de Recebimento'!$F$65:$F$116, 0), MATCH(Curvas!BF$2, 'Fluxos de Recebimento'!$I$63:$BH$63, 0)),0)*INDEX($E:$E, MATCH(BF$2, $B:$B, 0))</f>
        <v>0</v>
      </c>
      <c r="BG9" s="193">
        <f>IFERROR(INDEX('Fluxos de Recebimento'!$I$7:$BH$58, MATCH(Curvas!$AB9, 'Fluxos de Recebimento'!$F$7:$F$58, 0), MATCH(Curvas!BG$2,'Fluxos de Recebimento'!$I$5:$BH$5, 0))+INDEX('Fluxos de Recebimento'!$I$65:$BH$116, MATCH(Curvas!$AB9, 'Fluxos de Recebimento'!$F$65:$F$116, 0), MATCH(Curvas!BG$2, 'Fluxos de Recebimento'!$I$63:$BH$63, 0)),0)*INDEX($E:$E, MATCH(BG$2, $B:$B, 0))</f>
        <v>0</v>
      </c>
      <c r="BH9" s="193">
        <f>IFERROR(INDEX('Fluxos de Recebimento'!$I$7:$BH$58, MATCH(Curvas!$AB9, 'Fluxos de Recebimento'!$F$7:$F$58, 0), MATCH(Curvas!BH$2,'Fluxos de Recebimento'!$I$5:$BH$5, 0))+INDEX('Fluxos de Recebimento'!$I$65:$BH$116, MATCH(Curvas!$AB9, 'Fluxos de Recebimento'!$F$65:$F$116, 0), MATCH(Curvas!BH$2, 'Fluxos de Recebimento'!$I$63:$BH$63, 0)),0)*INDEX($E:$E, MATCH(BH$2, $B:$B, 0))</f>
        <v>0</v>
      </c>
      <c r="BI9" s="193">
        <f>IFERROR(INDEX('Fluxos de Recebimento'!$I$7:$BH$58, MATCH(Curvas!$AB9, 'Fluxos de Recebimento'!$F$7:$F$58, 0), MATCH(Curvas!BI$2,'Fluxos de Recebimento'!$I$5:$BH$5, 0))+INDEX('Fluxos de Recebimento'!$I$65:$BH$116, MATCH(Curvas!$AB9, 'Fluxos de Recebimento'!$F$65:$F$116, 0), MATCH(Curvas!BI$2, 'Fluxos de Recebimento'!$I$63:$BH$63, 0)),0)*INDEX($E:$E, MATCH(BI$2, $B:$B, 0))</f>
        <v>0</v>
      </c>
      <c r="BJ9" s="193">
        <f>IFERROR(INDEX('Fluxos de Recebimento'!$I$7:$BH$58, MATCH(Curvas!$AB9, 'Fluxos de Recebimento'!$F$7:$F$58, 0), MATCH(Curvas!BJ$2,'Fluxos de Recebimento'!$I$5:$BH$5, 0))+INDEX('Fluxos de Recebimento'!$I$65:$BH$116, MATCH(Curvas!$AB9, 'Fluxos de Recebimento'!$F$65:$F$116, 0), MATCH(Curvas!BJ$2, 'Fluxos de Recebimento'!$I$63:$BH$63, 0)),0)*INDEX($E:$E, MATCH(BJ$2, $B:$B, 0))</f>
        <v>0</v>
      </c>
      <c r="BK9" s="193">
        <f>IFERROR(INDEX('Fluxos de Recebimento'!$I$7:$BH$58, MATCH(Curvas!$AB9, 'Fluxos de Recebimento'!$F$7:$F$58, 0), MATCH(Curvas!BK$2,'Fluxos de Recebimento'!$I$5:$BH$5, 0))+INDEX('Fluxos de Recebimento'!$I$65:$BH$116, MATCH(Curvas!$AB9, 'Fluxos de Recebimento'!$F$65:$F$116, 0), MATCH(Curvas!BK$2, 'Fluxos de Recebimento'!$I$63:$BH$63, 0)),0)*INDEX($E:$E, MATCH(BK$2, $B:$B, 0))</f>
        <v>0</v>
      </c>
      <c r="BL9" s="193">
        <f>IFERROR(INDEX('Fluxos de Recebimento'!$I$7:$BH$58, MATCH(Curvas!$AB9, 'Fluxos de Recebimento'!$F$7:$F$58, 0), MATCH(Curvas!BL$2,'Fluxos de Recebimento'!$I$5:$BH$5, 0))+INDEX('Fluxos de Recebimento'!$I$65:$BH$116, MATCH(Curvas!$AB9, 'Fluxos de Recebimento'!$F$65:$F$116, 0), MATCH(Curvas!BL$2, 'Fluxos de Recebimento'!$I$63:$BH$63, 0)),0)*INDEX($E:$E, MATCH(BL$2, $B:$B, 0))</f>
        <v>0</v>
      </c>
      <c r="BM9" s="193">
        <f>IFERROR(INDEX('Fluxos de Recebimento'!$I$7:$BH$58, MATCH(Curvas!$AB9, 'Fluxos de Recebimento'!$F$7:$F$58, 0), MATCH(Curvas!BM$2,'Fluxos de Recebimento'!$I$5:$BH$5, 0))+INDEX('Fluxos de Recebimento'!$I$65:$BH$116, MATCH(Curvas!$AB9, 'Fluxos de Recebimento'!$F$65:$F$116, 0), MATCH(Curvas!BM$2, 'Fluxos de Recebimento'!$I$63:$BH$63, 0)),0)*INDEX($E:$E, MATCH(BM$2, $B:$B, 0))</f>
        <v>0</v>
      </c>
      <c r="BN9" s="193">
        <f>IFERROR(INDEX('Fluxos de Recebimento'!$I$7:$BH$58, MATCH(Curvas!$AB9, 'Fluxos de Recebimento'!$F$7:$F$58, 0), MATCH(Curvas!BN$2,'Fluxos de Recebimento'!$I$5:$BH$5, 0))+INDEX('Fluxos de Recebimento'!$I$65:$BH$116, MATCH(Curvas!$AB9, 'Fluxos de Recebimento'!$F$65:$F$116, 0), MATCH(Curvas!BN$2, 'Fluxos de Recebimento'!$I$63:$BH$63, 0)),0)*INDEX($E:$E, MATCH(BN$2, $B:$B, 0))</f>
        <v>0</v>
      </c>
      <c r="BO9" s="193">
        <f>IFERROR(INDEX('Fluxos de Recebimento'!$I$7:$BH$58, MATCH(Curvas!$AB9, 'Fluxos de Recebimento'!$F$7:$F$58, 0), MATCH(Curvas!BO$2,'Fluxos de Recebimento'!$I$5:$BH$5, 0))+INDEX('Fluxos de Recebimento'!$I$65:$BH$116, MATCH(Curvas!$AB9, 'Fluxos de Recebimento'!$F$65:$F$116, 0), MATCH(Curvas!BO$2, 'Fluxos de Recebimento'!$I$63:$BH$63, 0)),0)*INDEX($E:$E, MATCH(BO$2, $B:$B, 0))</f>
        <v>0</v>
      </c>
      <c r="BP9" s="193">
        <f>IFERROR(INDEX('Fluxos de Recebimento'!$I$7:$BH$58, MATCH(Curvas!$AB9, 'Fluxos de Recebimento'!$F$7:$F$58, 0), MATCH(Curvas!BP$2,'Fluxos de Recebimento'!$I$5:$BH$5, 0))+INDEX('Fluxos de Recebimento'!$I$65:$BH$116, MATCH(Curvas!$AB9, 'Fluxos de Recebimento'!$F$65:$F$116, 0), MATCH(Curvas!BP$2, 'Fluxos de Recebimento'!$I$63:$BH$63, 0)),0)*INDEX($E:$E, MATCH(BP$2, $B:$B, 0))</f>
        <v>0</v>
      </c>
      <c r="BQ9" s="193">
        <f>IFERROR(INDEX('Fluxos de Recebimento'!$I$7:$BH$58, MATCH(Curvas!$AB9, 'Fluxos de Recebimento'!$F$7:$F$58, 0), MATCH(Curvas!BQ$2,'Fluxos de Recebimento'!$I$5:$BH$5, 0))+INDEX('Fluxos de Recebimento'!$I$65:$BH$116, MATCH(Curvas!$AB9, 'Fluxos de Recebimento'!$F$65:$F$116, 0), MATCH(Curvas!BQ$2, 'Fluxos de Recebimento'!$I$63:$BH$63, 0)),0)*INDEX($E:$E, MATCH(BQ$2, $B:$B, 0))</f>
        <v>0</v>
      </c>
      <c r="BR9" s="193">
        <f>IFERROR(INDEX('Fluxos de Recebimento'!$I$7:$BH$58, MATCH(Curvas!$AB9, 'Fluxos de Recebimento'!$F$7:$F$58, 0), MATCH(Curvas!BR$2,'Fluxos de Recebimento'!$I$5:$BH$5, 0))+INDEX('Fluxos de Recebimento'!$I$65:$BH$116, MATCH(Curvas!$AB9, 'Fluxos de Recebimento'!$F$65:$F$116, 0), MATCH(Curvas!BR$2, 'Fluxos de Recebimento'!$I$63:$BH$63, 0)),0)*INDEX($E:$E, MATCH(BR$2, $B:$B, 0))</f>
        <v>0</v>
      </c>
      <c r="BS9" s="193">
        <f>IFERROR(INDEX('Fluxos de Recebimento'!$I$7:$BH$58, MATCH(Curvas!$AB9, 'Fluxos de Recebimento'!$F$7:$F$58, 0), MATCH(Curvas!BS$2,'Fluxos de Recebimento'!$I$5:$BH$5, 0))+INDEX('Fluxos de Recebimento'!$I$65:$BH$116, MATCH(Curvas!$AB9, 'Fluxos de Recebimento'!$F$65:$F$116, 0), MATCH(Curvas!BS$2, 'Fluxos de Recebimento'!$I$63:$BH$63, 0)),0)*INDEX($E:$E, MATCH(BS$2, $B:$B, 0))</f>
        <v>0</v>
      </c>
      <c r="BT9" s="193">
        <f>IFERROR(INDEX('Fluxos de Recebimento'!$I$7:$BH$58, MATCH(Curvas!$AB9, 'Fluxos de Recebimento'!$F$7:$F$58, 0), MATCH(Curvas!BT$2,'Fluxos de Recebimento'!$I$5:$BH$5, 0))+INDEX('Fluxos de Recebimento'!$I$65:$BH$116, MATCH(Curvas!$AB9, 'Fluxos de Recebimento'!$F$65:$F$116, 0), MATCH(Curvas!BT$2, 'Fluxos de Recebimento'!$I$63:$BH$63, 0)),0)*INDEX($E:$E, MATCH(BT$2, $B:$B, 0))</f>
        <v>0</v>
      </c>
      <c r="BU9" s="193">
        <f>IFERROR(INDEX('Fluxos de Recebimento'!$I$7:$BH$58, MATCH(Curvas!$AB9, 'Fluxos de Recebimento'!$F$7:$F$58, 0), MATCH(Curvas!BU$2,'Fluxos de Recebimento'!$I$5:$BH$5, 0))+INDEX('Fluxos de Recebimento'!$I$65:$BH$116, MATCH(Curvas!$AB9, 'Fluxos de Recebimento'!$F$65:$F$116, 0), MATCH(Curvas!BU$2, 'Fluxos de Recebimento'!$I$63:$BH$63, 0)),0)*INDEX($E:$E, MATCH(BU$2, $B:$B, 0))</f>
        <v>0</v>
      </c>
      <c r="BV9" s="193">
        <f>IFERROR(INDEX('Fluxos de Recebimento'!$I$7:$BH$58, MATCH(Curvas!$AB9, 'Fluxos de Recebimento'!$F$7:$F$58, 0), MATCH(Curvas!BV$2,'Fluxos de Recebimento'!$I$5:$BH$5, 0))+INDEX('Fluxos de Recebimento'!$I$65:$BH$116, MATCH(Curvas!$AB9, 'Fluxos de Recebimento'!$F$65:$F$116, 0), MATCH(Curvas!BV$2, 'Fluxos de Recebimento'!$I$63:$BH$63, 0)),0)*INDEX($E:$E, MATCH(BV$2, $B:$B, 0))</f>
        <v>0</v>
      </c>
      <c r="BW9" s="193">
        <f>IFERROR(INDEX('Fluxos de Recebimento'!$I$7:$BH$58, MATCH(Curvas!$AB9, 'Fluxos de Recebimento'!$F$7:$F$58, 0), MATCH(Curvas!BW$2,'Fluxos de Recebimento'!$I$5:$BH$5, 0))+INDEX('Fluxos de Recebimento'!$I$65:$BH$116, MATCH(Curvas!$AB9, 'Fluxos de Recebimento'!$F$65:$F$116, 0), MATCH(Curvas!BW$2, 'Fluxos de Recebimento'!$I$63:$BH$63, 0)),0)*INDEX($E:$E, MATCH(BW$2, $B:$B, 0))</f>
        <v>0</v>
      </c>
      <c r="BX9" s="193">
        <f>IFERROR(INDEX('Fluxos de Recebimento'!$I$7:$BH$58, MATCH(Curvas!$AB9, 'Fluxos de Recebimento'!$F$7:$F$58, 0), MATCH(Curvas!BX$2,'Fluxos de Recebimento'!$I$5:$BH$5, 0))+INDEX('Fluxos de Recebimento'!$I$65:$BH$116, MATCH(Curvas!$AB9, 'Fluxos de Recebimento'!$F$65:$F$116, 0), MATCH(Curvas!BX$2, 'Fluxos de Recebimento'!$I$63:$BH$63, 0)),0)*INDEX($E:$E, MATCH(BX$2, $B:$B, 0))</f>
        <v>0</v>
      </c>
      <c r="BY9" s="193">
        <f>IFERROR(INDEX('Fluxos de Recebimento'!$I$7:$BH$58, MATCH(Curvas!$AB9, 'Fluxos de Recebimento'!$F$7:$F$58, 0), MATCH(Curvas!BY$2,'Fluxos de Recebimento'!$I$5:$BH$5, 0))+INDEX('Fluxos de Recebimento'!$I$65:$BH$116, MATCH(Curvas!$AB9, 'Fluxos de Recebimento'!$F$65:$F$116, 0), MATCH(Curvas!BY$2, 'Fluxos de Recebimento'!$I$63:$BH$63, 0)),0)*INDEX($E:$E, MATCH(BY$2, $B:$B, 0))</f>
        <v>0</v>
      </c>
      <c r="BZ9" s="193">
        <f>IFERROR(INDEX('Fluxos de Recebimento'!$I$7:$BH$58, MATCH(Curvas!$AB9, 'Fluxos de Recebimento'!$F$7:$F$58, 0), MATCH(Curvas!BZ$2,'Fluxos de Recebimento'!$I$5:$BH$5, 0))+INDEX('Fluxos de Recebimento'!$I$65:$BH$116, MATCH(Curvas!$AB9, 'Fluxos de Recebimento'!$F$65:$F$116, 0), MATCH(Curvas!BZ$2, 'Fluxos de Recebimento'!$I$63:$BH$63, 0)),0)*INDEX($E:$E, MATCH(BZ$2, $B:$B, 0))</f>
        <v>0</v>
      </c>
      <c r="CA9" s="193">
        <f>IFERROR(INDEX('Fluxos de Recebimento'!$I$7:$BH$58, MATCH(Curvas!$AB9, 'Fluxos de Recebimento'!$F$7:$F$58, 0), MATCH(Curvas!CA$2,'Fluxos de Recebimento'!$I$5:$BH$5, 0))+INDEX('Fluxos de Recebimento'!$I$65:$BH$116, MATCH(Curvas!$AB9, 'Fluxos de Recebimento'!$F$65:$F$116, 0), MATCH(Curvas!CA$2, 'Fluxos de Recebimento'!$I$63:$BH$63, 0)),0)*INDEX($E:$E, MATCH(CA$2, $B:$B, 0))</f>
        <v>0</v>
      </c>
      <c r="CB9" s="193">
        <f>IFERROR(INDEX('Fluxos de Recebimento'!$I$7:$BH$58, MATCH(Curvas!$AB9, 'Fluxos de Recebimento'!$F$7:$F$58, 0), MATCH(Curvas!CB$2,'Fluxos de Recebimento'!$I$5:$BH$5, 0))+INDEX('Fluxos de Recebimento'!$I$65:$BH$116, MATCH(Curvas!$AB9, 'Fluxos de Recebimento'!$F$65:$F$116, 0), MATCH(Curvas!CB$2, 'Fluxos de Recebimento'!$I$63:$BH$63, 0)),0)*INDEX($E:$E, MATCH(CB$2, $B:$B, 0))</f>
        <v>0</v>
      </c>
      <c r="CC9" s="193">
        <f>IFERROR(INDEX('Fluxos de Recebimento'!$I$7:$BH$58, MATCH(Curvas!$AB9, 'Fluxos de Recebimento'!$F$7:$F$58, 0), MATCH(Curvas!CC$2,'Fluxos de Recebimento'!$I$5:$BH$5, 0))+INDEX('Fluxos de Recebimento'!$I$65:$BH$116, MATCH(Curvas!$AB9, 'Fluxos de Recebimento'!$F$65:$F$116, 0), MATCH(Curvas!CC$2, 'Fluxos de Recebimento'!$I$63:$BH$63, 0)),0)*INDEX($E:$E, MATCH(CC$2, $B:$B, 0))</f>
        <v>0</v>
      </c>
    </row>
    <row r="10" spans="1:81" x14ac:dyDescent="0.25">
      <c r="A10" s="2"/>
      <c r="B10" s="477">
        <f t="shared" si="16"/>
        <v>44348</v>
      </c>
      <c r="C10" s="52">
        <f t="shared" si="17"/>
        <v>7</v>
      </c>
      <c r="D10" s="2"/>
      <c r="E10" s="187">
        <f t="shared" si="4"/>
        <v>2.298850574712644E-2</v>
      </c>
      <c r="F10" s="48">
        <f t="shared" si="18"/>
        <v>0.16091954022988508</v>
      </c>
      <c r="G10" s="46">
        <f t="shared" ca="1" si="5"/>
        <v>0</v>
      </c>
      <c r="H10" s="48">
        <f t="shared" ca="1" si="19"/>
        <v>0</v>
      </c>
      <c r="I10" s="2"/>
      <c r="J10" s="69">
        <f t="shared" si="6"/>
        <v>16</v>
      </c>
      <c r="K10" s="479">
        <f t="shared" ca="1" si="7"/>
        <v>0</v>
      </c>
      <c r="L10" s="70">
        <f t="shared" ca="1" si="8"/>
        <v>16</v>
      </c>
      <c r="M10" s="2"/>
      <c r="N10" s="69">
        <f t="shared" si="9"/>
        <v>21</v>
      </c>
      <c r="O10" s="479">
        <f t="shared" si="10"/>
        <v>0</v>
      </c>
      <c r="P10" s="70">
        <f t="shared" si="11"/>
        <v>21</v>
      </c>
      <c r="Q10" s="2"/>
      <c r="R10" s="71">
        <f t="shared" si="12"/>
        <v>37</v>
      </c>
      <c r="S10" s="196"/>
      <c r="T10" s="46">
        <v>9.4083428308139056E-3</v>
      </c>
      <c r="U10" s="48">
        <f t="shared" si="20"/>
        <v>1.3137594799879644E-2</v>
      </c>
      <c r="V10" s="2"/>
      <c r="W10" s="56">
        <f t="shared" si="21"/>
        <v>7</v>
      </c>
      <c r="X10" s="48">
        <v>0</v>
      </c>
      <c r="Y10" s="2"/>
      <c r="Z10" s="194">
        <f t="shared" si="13"/>
        <v>2.2361277643636471E-3</v>
      </c>
      <c r="AA10" s="2"/>
      <c r="AB10" s="477">
        <f t="shared" si="14"/>
        <v>44348</v>
      </c>
      <c r="AC10" s="52">
        <f t="shared" si="15"/>
        <v>7</v>
      </c>
      <c r="AD10" s="193">
        <f>IFERROR(INDEX('Fluxos de Recebimento'!$I$7:$BH$58, MATCH(Curvas!$AB10, 'Fluxos de Recebimento'!$F$7:$F$58, 0), MATCH(Curvas!AD$2,'Fluxos de Recebimento'!$I$5:$BH$5, 0))+INDEX('Fluxos de Recebimento'!$I$65:$BH$116, MATCH(Curvas!$AB10, 'Fluxos de Recebimento'!$F$65:$F$116, 0), MATCH(Curvas!AD$2, 'Fluxos de Recebimento'!$I$63:$BH$63, 0)),0)*INDEX($E:$E, MATCH(AD$2, $B:$B, 0))</f>
        <v>1.6420361247947458E-4</v>
      </c>
      <c r="AE10" s="193">
        <f>IFERROR(INDEX('Fluxos de Recebimento'!$I$7:$BH$58, MATCH(Curvas!$AB10, 'Fluxos de Recebimento'!$F$7:$F$58, 0), MATCH(Curvas!AE$2,'Fluxos de Recebimento'!$I$5:$BH$5, 0))+INDEX('Fluxos de Recebimento'!$I$65:$BH$116, MATCH(Curvas!$AB10, 'Fluxos de Recebimento'!$F$65:$F$116, 0), MATCH(Curvas!AE$2, 'Fluxos de Recebimento'!$I$63:$BH$63, 0)),0)*INDEX($E:$E, MATCH(AE$2, $B:$B, 0))</f>
        <v>1.7028522775649216E-4</v>
      </c>
      <c r="AF10" s="193">
        <f>IFERROR(INDEX('Fluxos de Recebimento'!$I$7:$BH$58, MATCH(Curvas!$AB10, 'Fluxos de Recebimento'!$F$7:$F$58, 0), MATCH(Curvas!AF$2,'Fluxos de Recebimento'!$I$5:$BH$5, 0))+INDEX('Fluxos de Recebimento'!$I$65:$BH$116, MATCH(Curvas!$AB10, 'Fluxos de Recebimento'!$F$65:$F$116, 0), MATCH(Curvas!AF$2, 'Fluxos de Recebimento'!$I$63:$BH$63, 0)),0)*INDEX($E:$E, MATCH(AF$2, $B:$B, 0))</f>
        <v>1.7683465959328031E-4</v>
      </c>
      <c r="AG10" s="193">
        <f>IFERROR(INDEX('Fluxos de Recebimento'!$I$7:$BH$58, MATCH(Curvas!$AB10, 'Fluxos de Recebimento'!$F$7:$F$58, 0), MATCH(Curvas!AG$2,'Fluxos de Recebimento'!$I$5:$BH$5, 0))+INDEX('Fluxos de Recebimento'!$I$65:$BH$116, MATCH(Curvas!$AB10, 'Fluxos de Recebimento'!$F$65:$F$116, 0), MATCH(Curvas!AG$2, 'Fluxos de Recebimento'!$I$63:$BH$63, 0)),0)*INDEX($E:$E, MATCH(AG$2, $B:$B, 0))</f>
        <v>1.8390804597701152E-4</v>
      </c>
      <c r="AH10" s="193">
        <f>IFERROR(INDEX('Fluxos de Recebimento'!$I$7:$BH$58, MATCH(Curvas!$AB10, 'Fluxos de Recebimento'!$F$7:$F$58, 0), MATCH(Curvas!AH$2,'Fluxos de Recebimento'!$I$5:$BH$5, 0))+INDEX('Fluxos de Recebimento'!$I$65:$BH$116, MATCH(Curvas!$AB10, 'Fluxos de Recebimento'!$F$65:$F$116, 0), MATCH(Curvas!AH$2, 'Fluxos de Recebimento'!$I$63:$BH$63, 0)),0)*INDEX($E:$E, MATCH(AH$2, $B:$B, 0))</f>
        <v>1.9157088122605367E-4</v>
      </c>
      <c r="AI10" s="193">
        <f>IFERROR(INDEX('Fluxos de Recebimento'!$I$7:$BH$58, MATCH(Curvas!$AB10, 'Fluxos de Recebimento'!$F$7:$F$58, 0), MATCH(Curvas!AI$2,'Fluxos de Recebimento'!$I$5:$BH$5, 0))+INDEX('Fluxos de Recebimento'!$I$65:$BH$116, MATCH(Curvas!$AB10, 'Fluxos de Recebimento'!$F$65:$F$116, 0), MATCH(Curvas!AI$2, 'Fluxos de Recebimento'!$I$63:$BH$63, 0)),0)*INDEX($E:$E, MATCH(AI$2, $B:$B, 0))</f>
        <v>1.9990004997501253E-4</v>
      </c>
      <c r="AJ10" s="193">
        <f>IFERROR(INDEX('Fluxos de Recebimento'!$I$7:$BH$58, MATCH(Curvas!$AB10, 'Fluxos de Recebimento'!$F$7:$F$58, 0), MATCH(Curvas!AJ$2,'Fluxos de Recebimento'!$I$5:$BH$5, 0))+INDEX('Fluxos de Recebimento'!$I$65:$BH$116, MATCH(Curvas!$AB10, 'Fluxos de Recebimento'!$F$65:$F$116, 0), MATCH(Curvas!AJ$2, 'Fluxos de Recebimento'!$I$63:$BH$63, 0)),0)*INDEX($E:$E, MATCH(AJ$2, $B:$B, 0))</f>
        <v>1.149425287356322E-3</v>
      </c>
      <c r="AK10" s="193">
        <f>IFERROR(INDEX('Fluxos de Recebimento'!$I$7:$BH$58, MATCH(Curvas!$AB10, 'Fluxos de Recebimento'!$F$7:$F$58, 0), MATCH(Curvas!AK$2,'Fluxos de Recebimento'!$I$5:$BH$5, 0))+INDEX('Fluxos de Recebimento'!$I$65:$BH$116, MATCH(Curvas!$AB10, 'Fluxos de Recebimento'!$F$65:$F$116, 0), MATCH(Curvas!AK$2, 'Fluxos de Recebimento'!$I$63:$BH$63, 0)),0)*INDEX($E:$E, MATCH(AK$2, $B:$B, 0))</f>
        <v>0</v>
      </c>
      <c r="AL10" s="193">
        <f>IFERROR(INDEX('Fluxos de Recebimento'!$I$7:$BH$58, MATCH(Curvas!$AB10, 'Fluxos de Recebimento'!$F$7:$F$58, 0), MATCH(Curvas!AL$2,'Fluxos de Recebimento'!$I$5:$BH$5, 0))+INDEX('Fluxos de Recebimento'!$I$65:$BH$116, MATCH(Curvas!$AB10, 'Fluxos de Recebimento'!$F$65:$F$116, 0), MATCH(Curvas!AL$2, 'Fluxos de Recebimento'!$I$63:$BH$63, 0)),0)*INDEX($E:$E, MATCH(AL$2, $B:$B, 0))</f>
        <v>0</v>
      </c>
      <c r="AM10" s="193">
        <f>IFERROR(INDEX('Fluxos de Recebimento'!$I$7:$BH$58, MATCH(Curvas!$AB10, 'Fluxos de Recebimento'!$F$7:$F$58, 0), MATCH(Curvas!AM$2,'Fluxos de Recebimento'!$I$5:$BH$5, 0))+INDEX('Fluxos de Recebimento'!$I$65:$BH$116, MATCH(Curvas!$AB10, 'Fluxos de Recebimento'!$F$65:$F$116, 0), MATCH(Curvas!AM$2, 'Fluxos de Recebimento'!$I$63:$BH$63, 0)),0)*INDEX($E:$E, MATCH(AM$2, $B:$B, 0))</f>
        <v>0</v>
      </c>
      <c r="AN10" s="193">
        <f>IFERROR(INDEX('Fluxos de Recebimento'!$I$7:$BH$58, MATCH(Curvas!$AB10, 'Fluxos de Recebimento'!$F$7:$F$58, 0), MATCH(Curvas!AN$2,'Fluxos de Recebimento'!$I$5:$BH$5, 0))+INDEX('Fluxos de Recebimento'!$I$65:$BH$116, MATCH(Curvas!$AB10, 'Fluxos de Recebimento'!$F$65:$F$116, 0), MATCH(Curvas!AN$2, 'Fluxos de Recebimento'!$I$63:$BH$63, 0)),0)*INDEX($E:$E, MATCH(AN$2, $B:$B, 0))</f>
        <v>0</v>
      </c>
      <c r="AO10" s="193">
        <f>IFERROR(INDEX('Fluxos de Recebimento'!$I$7:$BH$58, MATCH(Curvas!$AB10, 'Fluxos de Recebimento'!$F$7:$F$58, 0), MATCH(Curvas!AO$2,'Fluxos de Recebimento'!$I$5:$BH$5, 0))+INDEX('Fluxos de Recebimento'!$I$65:$BH$116, MATCH(Curvas!$AB10, 'Fluxos de Recebimento'!$F$65:$F$116, 0), MATCH(Curvas!AO$2, 'Fluxos de Recebimento'!$I$63:$BH$63, 0)),0)*INDEX($E:$E, MATCH(AO$2, $B:$B, 0))</f>
        <v>0</v>
      </c>
      <c r="AP10" s="193">
        <f>IFERROR(INDEX('Fluxos de Recebimento'!$I$7:$BH$58, MATCH(Curvas!$AB10, 'Fluxos de Recebimento'!$F$7:$F$58, 0), MATCH(Curvas!AP$2,'Fluxos de Recebimento'!$I$5:$BH$5, 0))+INDEX('Fluxos de Recebimento'!$I$65:$BH$116, MATCH(Curvas!$AB10, 'Fluxos de Recebimento'!$F$65:$F$116, 0), MATCH(Curvas!AP$2, 'Fluxos de Recebimento'!$I$63:$BH$63, 0)),0)*INDEX($E:$E, MATCH(AP$2, $B:$B, 0))</f>
        <v>0</v>
      </c>
      <c r="AQ10" s="193">
        <f>IFERROR(INDEX('Fluxos de Recebimento'!$I$7:$BH$58, MATCH(Curvas!$AB10, 'Fluxos de Recebimento'!$F$7:$F$58, 0), MATCH(Curvas!AQ$2,'Fluxos de Recebimento'!$I$5:$BH$5, 0))+INDEX('Fluxos de Recebimento'!$I$65:$BH$116, MATCH(Curvas!$AB10, 'Fluxos de Recebimento'!$F$65:$F$116, 0), MATCH(Curvas!AQ$2, 'Fluxos de Recebimento'!$I$63:$BH$63, 0)),0)*INDEX($E:$E, MATCH(AQ$2, $B:$B, 0))</f>
        <v>0</v>
      </c>
      <c r="AR10" s="193">
        <f>IFERROR(INDEX('Fluxos de Recebimento'!$I$7:$BH$58, MATCH(Curvas!$AB10, 'Fluxos de Recebimento'!$F$7:$F$58, 0), MATCH(Curvas!AR$2,'Fluxos de Recebimento'!$I$5:$BH$5, 0))+INDEX('Fluxos de Recebimento'!$I$65:$BH$116, MATCH(Curvas!$AB10, 'Fluxos de Recebimento'!$F$65:$F$116, 0), MATCH(Curvas!AR$2, 'Fluxos de Recebimento'!$I$63:$BH$63, 0)),0)*INDEX($E:$E, MATCH(AR$2, $B:$B, 0))</f>
        <v>0</v>
      </c>
      <c r="AS10" s="193">
        <f>IFERROR(INDEX('Fluxos de Recebimento'!$I$7:$BH$58, MATCH(Curvas!$AB10, 'Fluxos de Recebimento'!$F$7:$F$58, 0), MATCH(Curvas!AS$2,'Fluxos de Recebimento'!$I$5:$BH$5, 0))+INDEX('Fluxos de Recebimento'!$I$65:$BH$116, MATCH(Curvas!$AB10, 'Fluxos de Recebimento'!$F$65:$F$116, 0), MATCH(Curvas!AS$2, 'Fluxos de Recebimento'!$I$63:$BH$63, 0)),0)*INDEX($E:$E, MATCH(AS$2, $B:$B, 0))</f>
        <v>0</v>
      </c>
      <c r="AT10" s="193">
        <f>IFERROR(INDEX('Fluxos de Recebimento'!$I$7:$BH$58, MATCH(Curvas!$AB10, 'Fluxos de Recebimento'!$F$7:$F$58, 0), MATCH(Curvas!AT$2,'Fluxos de Recebimento'!$I$5:$BH$5, 0))+INDEX('Fluxos de Recebimento'!$I$65:$BH$116, MATCH(Curvas!$AB10, 'Fluxos de Recebimento'!$F$65:$F$116, 0), MATCH(Curvas!AT$2, 'Fluxos de Recebimento'!$I$63:$BH$63, 0)),0)*INDEX($E:$E, MATCH(AT$2, $B:$B, 0))</f>
        <v>0</v>
      </c>
      <c r="AU10" s="193">
        <f>IFERROR(INDEX('Fluxos de Recebimento'!$I$7:$BH$58, MATCH(Curvas!$AB10, 'Fluxos de Recebimento'!$F$7:$F$58, 0), MATCH(Curvas!AU$2,'Fluxos de Recebimento'!$I$5:$BH$5, 0))+INDEX('Fluxos de Recebimento'!$I$65:$BH$116, MATCH(Curvas!$AB10, 'Fluxos de Recebimento'!$F$65:$F$116, 0), MATCH(Curvas!AU$2, 'Fluxos de Recebimento'!$I$63:$BH$63, 0)),0)*INDEX($E:$E, MATCH(AU$2, $B:$B, 0))</f>
        <v>0</v>
      </c>
      <c r="AV10" s="193">
        <f>IFERROR(INDEX('Fluxos de Recebimento'!$I$7:$BH$58, MATCH(Curvas!$AB10, 'Fluxos de Recebimento'!$F$7:$F$58, 0), MATCH(Curvas!AV$2,'Fluxos de Recebimento'!$I$5:$BH$5, 0))+INDEX('Fluxos de Recebimento'!$I$65:$BH$116, MATCH(Curvas!$AB10, 'Fluxos de Recebimento'!$F$65:$F$116, 0), MATCH(Curvas!AV$2, 'Fluxos de Recebimento'!$I$63:$BH$63, 0)),0)*INDEX($E:$E, MATCH(AV$2, $B:$B, 0))</f>
        <v>0</v>
      </c>
      <c r="AW10" s="193">
        <f>IFERROR(INDEX('Fluxos de Recebimento'!$I$7:$BH$58, MATCH(Curvas!$AB10, 'Fluxos de Recebimento'!$F$7:$F$58, 0), MATCH(Curvas!AW$2,'Fluxos de Recebimento'!$I$5:$BH$5, 0))+INDEX('Fluxos de Recebimento'!$I$65:$BH$116, MATCH(Curvas!$AB10, 'Fluxos de Recebimento'!$F$65:$F$116, 0), MATCH(Curvas!AW$2, 'Fluxos de Recebimento'!$I$63:$BH$63, 0)),0)*INDEX($E:$E, MATCH(AW$2, $B:$B, 0))</f>
        <v>0</v>
      </c>
      <c r="AX10" s="193">
        <f>IFERROR(INDEX('Fluxos de Recebimento'!$I$7:$BH$58, MATCH(Curvas!$AB10, 'Fluxos de Recebimento'!$F$7:$F$58, 0), MATCH(Curvas!AX$2,'Fluxos de Recebimento'!$I$5:$BH$5, 0))+INDEX('Fluxos de Recebimento'!$I$65:$BH$116, MATCH(Curvas!$AB10, 'Fluxos de Recebimento'!$F$65:$F$116, 0), MATCH(Curvas!AX$2, 'Fluxos de Recebimento'!$I$63:$BH$63, 0)),0)*INDEX($E:$E, MATCH(AX$2, $B:$B, 0))</f>
        <v>0</v>
      </c>
      <c r="AY10" s="193">
        <f>IFERROR(INDEX('Fluxos de Recebimento'!$I$7:$BH$58, MATCH(Curvas!$AB10, 'Fluxos de Recebimento'!$F$7:$F$58, 0), MATCH(Curvas!AY$2,'Fluxos de Recebimento'!$I$5:$BH$5, 0))+INDEX('Fluxos de Recebimento'!$I$65:$BH$116, MATCH(Curvas!$AB10, 'Fluxos de Recebimento'!$F$65:$F$116, 0), MATCH(Curvas!AY$2, 'Fluxos de Recebimento'!$I$63:$BH$63, 0)),0)*INDEX($E:$E, MATCH(AY$2, $B:$B, 0))</f>
        <v>0</v>
      </c>
      <c r="AZ10" s="193">
        <f>IFERROR(INDEX('Fluxos de Recebimento'!$I$7:$BH$58, MATCH(Curvas!$AB10, 'Fluxos de Recebimento'!$F$7:$F$58, 0), MATCH(Curvas!AZ$2,'Fluxos de Recebimento'!$I$5:$BH$5, 0))+INDEX('Fluxos de Recebimento'!$I$65:$BH$116, MATCH(Curvas!$AB10, 'Fluxos de Recebimento'!$F$65:$F$116, 0), MATCH(Curvas!AZ$2, 'Fluxos de Recebimento'!$I$63:$BH$63, 0)),0)*INDEX($E:$E, MATCH(AZ$2, $B:$B, 0))</f>
        <v>0</v>
      </c>
      <c r="BA10" s="193">
        <f>IFERROR(INDEX('Fluxos de Recebimento'!$I$7:$BH$58, MATCH(Curvas!$AB10, 'Fluxos de Recebimento'!$F$7:$F$58, 0), MATCH(Curvas!BA$2,'Fluxos de Recebimento'!$I$5:$BH$5, 0))+INDEX('Fluxos de Recebimento'!$I$65:$BH$116, MATCH(Curvas!$AB10, 'Fluxos de Recebimento'!$F$65:$F$116, 0), MATCH(Curvas!BA$2, 'Fluxos de Recebimento'!$I$63:$BH$63, 0)),0)*INDEX($E:$E, MATCH(BA$2, $B:$B, 0))</f>
        <v>0</v>
      </c>
      <c r="BB10" s="193">
        <f>IFERROR(INDEX('Fluxos de Recebimento'!$I$7:$BH$58, MATCH(Curvas!$AB10, 'Fluxos de Recebimento'!$F$7:$F$58, 0), MATCH(Curvas!BB$2,'Fluxos de Recebimento'!$I$5:$BH$5, 0))+INDEX('Fluxos de Recebimento'!$I$65:$BH$116, MATCH(Curvas!$AB10, 'Fluxos de Recebimento'!$F$65:$F$116, 0), MATCH(Curvas!BB$2, 'Fluxos de Recebimento'!$I$63:$BH$63, 0)),0)*INDEX($E:$E, MATCH(BB$2, $B:$B, 0))</f>
        <v>0</v>
      </c>
      <c r="BC10" s="193">
        <f>IFERROR(INDEX('Fluxos de Recebimento'!$I$7:$BH$58, MATCH(Curvas!$AB10, 'Fluxos de Recebimento'!$F$7:$F$58, 0), MATCH(Curvas!BC$2,'Fluxos de Recebimento'!$I$5:$BH$5, 0))+INDEX('Fluxos de Recebimento'!$I$65:$BH$116, MATCH(Curvas!$AB10, 'Fluxos de Recebimento'!$F$65:$F$116, 0), MATCH(Curvas!BC$2, 'Fluxos de Recebimento'!$I$63:$BH$63, 0)),0)*INDEX($E:$E, MATCH(BC$2, $B:$B, 0))</f>
        <v>0</v>
      </c>
      <c r="BD10" s="193">
        <f>IFERROR(INDEX('Fluxos de Recebimento'!$I$7:$BH$58, MATCH(Curvas!$AB10, 'Fluxos de Recebimento'!$F$7:$F$58, 0), MATCH(Curvas!BD$2,'Fluxos de Recebimento'!$I$5:$BH$5, 0))+INDEX('Fluxos de Recebimento'!$I$65:$BH$116, MATCH(Curvas!$AB10, 'Fluxos de Recebimento'!$F$65:$F$116, 0), MATCH(Curvas!BD$2, 'Fluxos de Recebimento'!$I$63:$BH$63, 0)),0)*INDEX($E:$E, MATCH(BD$2, $B:$B, 0))</f>
        <v>0</v>
      </c>
      <c r="BE10" s="193">
        <f>IFERROR(INDEX('Fluxos de Recebimento'!$I$7:$BH$58, MATCH(Curvas!$AB10, 'Fluxos de Recebimento'!$F$7:$F$58, 0), MATCH(Curvas!BE$2,'Fluxos de Recebimento'!$I$5:$BH$5, 0))+INDEX('Fluxos de Recebimento'!$I$65:$BH$116, MATCH(Curvas!$AB10, 'Fluxos de Recebimento'!$F$65:$F$116, 0), MATCH(Curvas!BE$2, 'Fluxos de Recebimento'!$I$63:$BH$63, 0)),0)*INDEX($E:$E, MATCH(BE$2, $B:$B, 0))</f>
        <v>0</v>
      </c>
      <c r="BF10" s="193">
        <f>IFERROR(INDEX('Fluxos de Recebimento'!$I$7:$BH$58, MATCH(Curvas!$AB10, 'Fluxos de Recebimento'!$F$7:$F$58, 0), MATCH(Curvas!BF$2,'Fluxos de Recebimento'!$I$5:$BH$5, 0))+INDEX('Fluxos de Recebimento'!$I$65:$BH$116, MATCH(Curvas!$AB10, 'Fluxos de Recebimento'!$F$65:$F$116, 0), MATCH(Curvas!BF$2, 'Fluxos de Recebimento'!$I$63:$BH$63, 0)),0)*INDEX($E:$E, MATCH(BF$2, $B:$B, 0))</f>
        <v>0</v>
      </c>
      <c r="BG10" s="193">
        <f>IFERROR(INDEX('Fluxos de Recebimento'!$I$7:$BH$58, MATCH(Curvas!$AB10, 'Fluxos de Recebimento'!$F$7:$F$58, 0), MATCH(Curvas!BG$2,'Fluxos de Recebimento'!$I$5:$BH$5, 0))+INDEX('Fluxos de Recebimento'!$I$65:$BH$116, MATCH(Curvas!$AB10, 'Fluxos de Recebimento'!$F$65:$F$116, 0), MATCH(Curvas!BG$2, 'Fluxos de Recebimento'!$I$63:$BH$63, 0)),0)*INDEX($E:$E, MATCH(BG$2, $B:$B, 0))</f>
        <v>0</v>
      </c>
      <c r="BH10" s="193">
        <f>IFERROR(INDEX('Fluxos de Recebimento'!$I$7:$BH$58, MATCH(Curvas!$AB10, 'Fluxos de Recebimento'!$F$7:$F$58, 0), MATCH(Curvas!BH$2,'Fluxos de Recebimento'!$I$5:$BH$5, 0))+INDEX('Fluxos de Recebimento'!$I$65:$BH$116, MATCH(Curvas!$AB10, 'Fluxos de Recebimento'!$F$65:$F$116, 0), MATCH(Curvas!BH$2, 'Fluxos de Recebimento'!$I$63:$BH$63, 0)),0)*INDEX($E:$E, MATCH(BH$2, $B:$B, 0))</f>
        <v>0</v>
      </c>
      <c r="BI10" s="193">
        <f>IFERROR(INDEX('Fluxos de Recebimento'!$I$7:$BH$58, MATCH(Curvas!$AB10, 'Fluxos de Recebimento'!$F$7:$F$58, 0), MATCH(Curvas!BI$2,'Fluxos de Recebimento'!$I$5:$BH$5, 0))+INDEX('Fluxos de Recebimento'!$I$65:$BH$116, MATCH(Curvas!$AB10, 'Fluxos de Recebimento'!$F$65:$F$116, 0), MATCH(Curvas!BI$2, 'Fluxos de Recebimento'!$I$63:$BH$63, 0)),0)*INDEX($E:$E, MATCH(BI$2, $B:$B, 0))</f>
        <v>0</v>
      </c>
      <c r="BJ10" s="193">
        <f>IFERROR(INDEX('Fluxos de Recebimento'!$I$7:$BH$58, MATCH(Curvas!$AB10, 'Fluxos de Recebimento'!$F$7:$F$58, 0), MATCH(Curvas!BJ$2,'Fluxos de Recebimento'!$I$5:$BH$5, 0))+INDEX('Fluxos de Recebimento'!$I$65:$BH$116, MATCH(Curvas!$AB10, 'Fluxos de Recebimento'!$F$65:$F$116, 0), MATCH(Curvas!BJ$2, 'Fluxos de Recebimento'!$I$63:$BH$63, 0)),0)*INDEX($E:$E, MATCH(BJ$2, $B:$B, 0))</f>
        <v>0</v>
      </c>
      <c r="BK10" s="193">
        <f>IFERROR(INDEX('Fluxos de Recebimento'!$I$7:$BH$58, MATCH(Curvas!$AB10, 'Fluxos de Recebimento'!$F$7:$F$58, 0), MATCH(Curvas!BK$2,'Fluxos de Recebimento'!$I$5:$BH$5, 0))+INDEX('Fluxos de Recebimento'!$I$65:$BH$116, MATCH(Curvas!$AB10, 'Fluxos de Recebimento'!$F$65:$F$116, 0), MATCH(Curvas!BK$2, 'Fluxos de Recebimento'!$I$63:$BH$63, 0)),0)*INDEX($E:$E, MATCH(BK$2, $B:$B, 0))</f>
        <v>0</v>
      </c>
      <c r="BL10" s="193">
        <f>IFERROR(INDEX('Fluxos de Recebimento'!$I$7:$BH$58, MATCH(Curvas!$AB10, 'Fluxos de Recebimento'!$F$7:$F$58, 0), MATCH(Curvas!BL$2,'Fluxos de Recebimento'!$I$5:$BH$5, 0))+INDEX('Fluxos de Recebimento'!$I$65:$BH$116, MATCH(Curvas!$AB10, 'Fluxos de Recebimento'!$F$65:$F$116, 0), MATCH(Curvas!BL$2, 'Fluxos de Recebimento'!$I$63:$BH$63, 0)),0)*INDEX($E:$E, MATCH(BL$2, $B:$B, 0))</f>
        <v>0</v>
      </c>
      <c r="BM10" s="193">
        <f>IFERROR(INDEX('Fluxos de Recebimento'!$I$7:$BH$58, MATCH(Curvas!$AB10, 'Fluxos de Recebimento'!$F$7:$F$58, 0), MATCH(Curvas!BM$2,'Fluxos de Recebimento'!$I$5:$BH$5, 0))+INDEX('Fluxos de Recebimento'!$I$65:$BH$116, MATCH(Curvas!$AB10, 'Fluxos de Recebimento'!$F$65:$F$116, 0), MATCH(Curvas!BM$2, 'Fluxos de Recebimento'!$I$63:$BH$63, 0)),0)*INDEX($E:$E, MATCH(BM$2, $B:$B, 0))</f>
        <v>0</v>
      </c>
      <c r="BN10" s="193">
        <f>IFERROR(INDEX('Fluxos de Recebimento'!$I$7:$BH$58, MATCH(Curvas!$AB10, 'Fluxos de Recebimento'!$F$7:$F$58, 0), MATCH(Curvas!BN$2,'Fluxos de Recebimento'!$I$5:$BH$5, 0))+INDEX('Fluxos de Recebimento'!$I$65:$BH$116, MATCH(Curvas!$AB10, 'Fluxos de Recebimento'!$F$65:$F$116, 0), MATCH(Curvas!BN$2, 'Fluxos de Recebimento'!$I$63:$BH$63, 0)),0)*INDEX($E:$E, MATCH(BN$2, $B:$B, 0))</f>
        <v>0</v>
      </c>
      <c r="BO10" s="193">
        <f>IFERROR(INDEX('Fluxos de Recebimento'!$I$7:$BH$58, MATCH(Curvas!$AB10, 'Fluxos de Recebimento'!$F$7:$F$58, 0), MATCH(Curvas!BO$2,'Fluxos de Recebimento'!$I$5:$BH$5, 0))+INDEX('Fluxos de Recebimento'!$I$65:$BH$116, MATCH(Curvas!$AB10, 'Fluxos de Recebimento'!$F$65:$F$116, 0), MATCH(Curvas!BO$2, 'Fluxos de Recebimento'!$I$63:$BH$63, 0)),0)*INDEX($E:$E, MATCH(BO$2, $B:$B, 0))</f>
        <v>0</v>
      </c>
      <c r="BP10" s="193">
        <f>IFERROR(INDEX('Fluxos de Recebimento'!$I$7:$BH$58, MATCH(Curvas!$AB10, 'Fluxos de Recebimento'!$F$7:$F$58, 0), MATCH(Curvas!BP$2,'Fluxos de Recebimento'!$I$5:$BH$5, 0))+INDEX('Fluxos de Recebimento'!$I$65:$BH$116, MATCH(Curvas!$AB10, 'Fluxos de Recebimento'!$F$65:$F$116, 0), MATCH(Curvas!BP$2, 'Fluxos de Recebimento'!$I$63:$BH$63, 0)),0)*INDEX($E:$E, MATCH(BP$2, $B:$B, 0))</f>
        <v>0</v>
      </c>
      <c r="BQ10" s="193">
        <f>IFERROR(INDEX('Fluxos de Recebimento'!$I$7:$BH$58, MATCH(Curvas!$AB10, 'Fluxos de Recebimento'!$F$7:$F$58, 0), MATCH(Curvas!BQ$2,'Fluxos de Recebimento'!$I$5:$BH$5, 0))+INDEX('Fluxos de Recebimento'!$I$65:$BH$116, MATCH(Curvas!$AB10, 'Fluxos de Recebimento'!$F$65:$F$116, 0), MATCH(Curvas!BQ$2, 'Fluxos de Recebimento'!$I$63:$BH$63, 0)),0)*INDEX($E:$E, MATCH(BQ$2, $B:$B, 0))</f>
        <v>0</v>
      </c>
      <c r="BR10" s="193">
        <f>IFERROR(INDEX('Fluxos de Recebimento'!$I$7:$BH$58, MATCH(Curvas!$AB10, 'Fluxos de Recebimento'!$F$7:$F$58, 0), MATCH(Curvas!BR$2,'Fluxos de Recebimento'!$I$5:$BH$5, 0))+INDEX('Fluxos de Recebimento'!$I$65:$BH$116, MATCH(Curvas!$AB10, 'Fluxos de Recebimento'!$F$65:$F$116, 0), MATCH(Curvas!BR$2, 'Fluxos de Recebimento'!$I$63:$BH$63, 0)),0)*INDEX($E:$E, MATCH(BR$2, $B:$B, 0))</f>
        <v>0</v>
      </c>
      <c r="BS10" s="193">
        <f>IFERROR(INDEX('Fluxos de Recebimento'!$I$7:$BH$58, MATCH(Curvas!$AB10, 'Fluxos de Recebimento'!$F$7:$F$58, 0), MATCH(Curvas!BS$2,'Fluxos de Recebimento'!$I$5:$BH$5, 0))+INDEX('Fluxos de Recebimento'!$I$65:$BH$116, MATCH(Curvas!$AB10, 'Fluxos de Recebimento'!$F$65:$F$116, 0), MATCH(Curvas!BS$2, 'Fluxos de Recebimento'!$I$63:$BH$63, 0)),0)*INDEX($E:$E, MATCH(BS$2, $B:$B, 0))</f>
        <v>0</v>
      </c>
      <c r="BT10" s="193">
        <f>IFERROR(INDEX('Fluxos de Recebimento'!$I$7:$BH$58, MATCH(Curvas!$AB10, 'Fluxos de Recebimento'!$F$7:$F$58, 0), MATCH(Curvas!BT$2,'Fluxos de Recebimento'!$I$5:$BH$5, 0))+INDEX('Fluxos de Recebimento'!$I$65:$BH$116, MATCH(Curvas!$AB10, 'Fluxos de Recebimento'!$F$65:$F$116, 0), MATCH(Curvas!BT$2, 'Fluxos de Recebimento'!$I$63:$BH$63, 0)),0)*INDEX($E:$E, MATCH(BT$2, $B:$B, 0))</f>
        <v>0</v>
      </c>
      <c r="BU10" s="193">
        <f>IFERROR(INDEX('Fluxos de Recebimento'!$I$7:$BH$58, MATCH(Curvas!$AB10, 'Fluxos de Recebimento'!$F$7:$F$58, 0), MATCH(Curvas!BU$2,'Fluxos de Recebimento'!$I$5:$BH$5, 0))+INDEX('Fluxos de Recebimento'!$I$65:$BH$116, MATCH(Curvas!$AB10, 'Fluxos de Recebimento'!$F$65:$F$116, 0), MATCH(Curvas!BU$2, 'Fluxos de Recebimento'!$I$63:$BH$63, 0)),0)*INDEX($E:$E, MATCH(BU$2, $B:$B, 0))</f>
        <v>0</v>
      </c>
      <c r="BV10" s="193">
        <f>IFERROR(INDEX('Fluxos de Recebimento'!$I$7:$BH$58, MATCH(Curvas!$AB10, 'Fluxos de Recebimento'!$F$7:$F$58, 0), MATCH(Curvas!BV$2,'Fluxos de Recebimento'!$I$5:$BH$5, 0))+INDEX('Fluxos de Recebimento'!$I$65:$BH$116, MATCH(Curvas!$AB10, 'Fluxos de Recebimento'!$F$65:$F$116, 0), MATCH(Curvas!BV$2, 'Fluxos de Recebimento'!$I$63:$BH$63, 0)),0)*INDEX($E:$E, MATCH(BV$2, $B:$B, 0))</f>
        <v>0</v>
      </c>
      <c r="BW10" s="193">
        <f>IFERROR(INDEX('Fluxos de Recebimento'!$I$7:$BH$58, MATCH(Curvas!$AB10, 'Fluxos de Recebimento'!$F$7:$F$58, 0), MATCH(Curvas!BW$2,'Fluxos de Recebimento'!$I$5:$BH$5, 0))+INDEX('Fluxos de Recebimento'!$I$65:$BH$116, MATCH(Curvas!$AB10, 'Fluxos de Recebimento'!$F$65:$F$116, 0), MATCH(Curvas!BW$2, 'Fluxos de Recebimento'!$I$63:$BH$63, 0)),0)*INDEX($E:$E, MATCH(BW$2, $B:$B, 0))</f>
        <v>0</v>
      </c>
      <c r="BX10" s="193">
        <f>IFERROR(INDEX('Fluxos de Recebimento'!$I$7:$BH$58, MATCH(Curvas!$AB10, 'Fluxos de Recebimento'!$F$7:$F$58, 0), MATCH(Curvas!BX$2,'Fluxos de Recebimento'!$I$5:$BH$5, 0))+INDEX('Fluxos de Recebimento'!$I$65:$BH$116, MATCH(Curvas!$AB10, 'Fluxos de Recebimento'!$F$65:$F$116, 0), MATCH(Curvas!BX$2, 'Fluxos de Recebimento'!$I$63:$BH$63, 0)),0)*INDEX($E:$E, MATCH(BX$2, $B:$B, 0))</f>
        <v>0</v>
      </c>
      <c r="BY10" s="193">
        <f>IFERROR(INDEX('Fluxos de Recebimento'!$I$7:$BH$58, MATCH(Curvas!$AB10, 'Fluxos de Recebimento'!$F$7:$F$58, 0), MATCH(Curvas!BY$2,'Fluxos de Recebimento'!$I$5:$BH$5, 0))+INDEX('Fluxos de Recebimento'!$I$65:$BH$116, MATCH(Curvas!$AB10, 'Fluxos de Recebimento'!$F$65:$F$116, 0), MATCH(Curvas!BY$2, 'Fluxos de Recebimento'!$I$63:$BH$63, 0)),0)*INDEX($E:$E, MATCH(BY$2, $B:$B, 0))</f>
        <v>0</v>
      </c>
      <c r="BZ10" s="193">
        <f>IFERROR(INDEX('Fluxos de Recebimento'!$I$7:$BH$58, MATCH(Curvas!$AB10, 'Fluxos de Recebimento'!$F$7:$F$58, 0), MATCH(Curvas!BZ$2,'Fluxos de Recebimento'!$I$5:$BH$5, 0))+INDEX('Fluxos de Recebimento'!$I$65:$BH$116, MATCH(Curvas!$AB10, 'Fluxos de Recebimento'!$F$65:$F$116, 0), MATCH(Curvas!BZ$2, 'Fluxos de Recebimento'!$I$63:$BH$63, 0)),0)*INDEX($E:$E, MATCH(BZ$2, $B:$B, 0))</f>
        <v>0</v>
      </c>
      <c r="CA10" s="193">
        <f>IFERROR(INDEX('Fluxos de Recebimento'!$I$7:$BH$58, MATCH(Curvas!$AB10, 'Fluxos de Recebimento'!$F$7:$F$58, 0), MATCH(Curvas!CA$2,'Fluxos de Recebimento'!$I$5:$BH$5, 0))+INDEX('Fluxos de Recebimento'!$I$65:$BH$116, MATCH(Curvas!$AB10, 'Fluxos de Recebimento'!$F$65:$F$116, 0), MATCH(Curvas!CA$2, 'Fluxos de Recebimento'!$I$63:$BH$63, 0)),0)*INDEX($E:$E, MATCH(CA$2, $B:$B, 0))</f>
        <v>0</v>
      </c>
      <c r="CB10" s="193">
        <f>IFERROR(INDEX('Fluxos de Recebimento'!$I$7:$BH$58, MATCH(Curvas!$AB10, 'Fluxos de Recebimento'!$F$7:$F$58, 0), MATCH(Curvas!CB$2,'Fluxos de Recebimento'!$I$5:$BH$5, 0))+INDEX('Fluxos de Recebimento'!$I$65:$BH$116, MATCH(Curvas!$AB10, 'Fluxos de Recebimento'!$F$65:$F$116, 0), MATCH(Curvas!CB$2, 'Fluxos de Recebimento'!$I$63:$BH$63, 0)),0)*INDEX($E:$E, MATCH(CB$2, $B:$B, 0))</f>
        <v>0</v>
      </c>
      <c r="CC10" s="193">
        <f>IFERROR(INDEX('Fluxos de Recebimento'!$I$7:$BH$58, MATCH(Curvas!$AB10, 'Fluxos de Recebimento'!$F$7:$F$58, 0), MATCH(Curvas!CC$2,'Fluxos de Recebimento'!$I$5:$BH$5, 0))+INDEX('Fluxos de Recebimento'!$I$65:$BH$116, MATCH(Curvas!$AB10, 'Fluxos de Recebimento'!$F$65:$F$116, 0), MATCH(Curvas!CC$2, 'Fluxos de Recebimento'!$I$63:$BH$63, 0)),0)*INDEX($E:$E, MATCH(CC$2, $B:$B, 0))</f>
        <v>0</v>
      </c>
    </row>
    <row r="11" spans="1:81" x14ac:dyDescent="0.25">
      <c r="A11" s="2"/>
      <c r="B11" s="477">
        <f t="shared" si="16"/>
        <v>44378</v>
      </c>
      <c r="C11" s="52">
        <f t="shared" si="17"/>
        <v>8</v>
      </c>
      <c r="D11" s="2"/>
      <c r="E11" s="187">
        <f t="shared" si="4"/>
        <v>2.298850574712644E-2</v>
      </c>
      <c r="F11" s="48">
        <f t="shared" si="18"/>
        <v>0.18390804597701152</v>
      </c>
      <c r="G11" s="46">
        <f t="shared" ca="1" si="5"/>
        <v>0</v>
      </c>
      <c r="H11" s="48">
        <f t="shared" ca="1" si="19"/>
        <v>0</v>
      </c>
      <c r="I11" s="2"/>
      <c r="J11" s="69">
        <f t="shared" si="6"/>
        <v>16</v>
      </c>
      <c r="K11" s="479">
        <f t="shared" ca="1" si="7"/>
        <v>0</v>
      </c>
      <c r="L11" s="70">
        <f t="shared" ca="1" si="8"/>
        <v>16</v>
      </c>
      <c r="M11" s="2"/>
      <c r="N11" s="69">
        <f t="shared" si="9"/>
        <v>21</v>
      </c>
      <c r="O11" s="479">
        <f t="shared" si="10"/>
        <v>0</v>
      </c>
      <c r="P11" s="70">
        <f t="shared" si="11"/>
        <v>21</v>
      </c>
      <c r="Q11" s="2"/>
      <c r="R11" s="71">
        <f t="shared" si="12"/>
        <v>37</v>
      </c>
      <c r="S11" s="196"/>
      <c r="T11" s="46">
        <v>3.1994623773930517E-2</v>
      </c>
      <c r="U11" s="48">
        <f t="shared" si="20"/>
        <v>4.5132218573810161E-2</v>
      </c>
      <c r="V11" s="2"/>
      <c r="W11" s="56">
        <f t="shared" si="21"/>
        <v>8</v>
      </c>
      <c r="X11" s="48">
        <v>0</v>
      </c>
      <c r="Y11" s="2"/>
      <c r="Z11" s="194">
        <f t="shared" si="13"/>
        <v>2.4451141802466145E-3</v>
      </c>
      <c r="AA11" s="2"/>
      <c r="AB11" s="477">
        <f t="shared" si="14"/>
        <v>44378</v>
      </c>
      <c r="AC11" s="52">
        <f t="shared" si="15"/>
        <v>8</v>
      </c>
      <c r="AD11" s="193">
        <f>IFERROR(INDEX('Fluxos de Recebimento'!$I$7:$BH$58, MATCH(Curvas!$AB11, 'Fluxos de Recebimento'!$F$7:$F$58, 0), MATCH(Curvas!AD$2,'Fluxos de Recebimento'!$I$5:$BH$5, 0))+INDEX('Fluxos de Recebimento'!$I$65:$BH$116, MATCH(Curvas!$AB11, 'Fluxos de Recebimento'!$F$65:$F$116, 0), MATCH(Curvas!AD$2, 'Fluxos de Recebimento'!$I$63:$BH$63, 0)),0)*INDEX($E:$E, MATCH(AD$2, $B:$B, 0))</f>
        <v>1.6420361247947458E-4</v>
      </c>
      <c r="AE11" s="193">
        <f>IFERROR(INDEX('Fluxos de Recebimento'!$I$7:$BH$58, MATCH(Curvas!$AB11, 'Fluxos de Recebimento'!$F$7:$F$58, 0), MATCH(Curvas!AE$2,'Fluxos de Recebimento'!$I$5:$BH$5, 0))+INDEX('Fluxos de Recebimento'!$I$65:$BH$116, MATCH(Curvas!$AB11, 'Fluxos de Recebimento'!$F$65:$F$116, 0), MATCH(Curvas!AE$2, 'Fluxos de Recebimento'!$I$63:$BH$63, 0)),0)*INDEX($E:$E, MATCH(AE$2, $B:$B, 0))</f>
        <v>1.7028522775649216E-4</v>
      </c>
      <c r="AF11" s="193">
        <f>IFERROR(INDEX('Fluxos de Recebimento'!$I$7:$BH$58, MATCH(Curvas!$AB11, 'Fluxos de Recebimento'!$F$7:$F$58, 0), MATCH(Curvas!AF$2,'Fluxos de Recebimento'!$I$5:$BH$5, 0))+INDEX('Fluxos de Recebimento'!$I$65:$BH$116, MATCH(Curvas!$AB11, 'Fluxos de Recebimento'!$F$65:$F$116, 0), MATCH(Curvas!AF$2, 'Fluxos de Recebimento'!$I$63:$BH$63, 0)),0)*INDEX($E:$E, MATCH(AF$2, $B:$B, 0))</f>
        <v>1.7683465959328031E-4</v>
      </c>
      <c r="AG11" s="193">
        <f>IFERROR(INDEX('Fluxos de Recebimento'!$I$7:$BH$58, MATCH(Curvas!$AB11, 'Fluxos de Recebimento'!$F$7:$F$58, 0), MATCH(Curvas!AG$2,'Fluxos de Recebimento'!$I$5:$BH$5, 0))+INDEX('Fluxos de Recebimento'!$I$65:$BH$116, MATCH(Curvas!$AB11, 'Fluxos de Recebimento'!$F$65:$F$116, 0), MATCH(Curvas!AG$2, 'Fluxos de Recebimento'!$I$63:$BH$63, 0)),0)*INDEX($E:$E, MATCH(AG$2, $B:$B, 0))</f>
        <v>1.8390804597701152E-4</v>
      </c>
      <c r="AH11" s="193">
        <f>IFERROR(INDEX('Fluxos de Recebimento'!$I$7:$BH$58, MATCH(Curvas!$AB11, 'Fluxos de Recebimento'!$F$7:$F$58, 0), MATCH(Curvas!AH$2,'Fluxos de Recebimento'!$I$5:$BH$5, 0))+INDEX('Fluxos de Recebimento'!$I$65:$BH$116, MATCH(Curvas!$AB11, 'Fluxos de Recebimento'!$F$65:$F$116, 0), MATCH(Curvas!AH$2, 'Fluxos de Recebimento'!$I$63:$BH$63, 0)),0)*INDEX($E:$E, MATCH(AH$2, $B:$B, 0))</f>
        <v>1.9157088122605367E-4</v>
      </c>
      <c r="AI11" s="193">
        <f>IFERROR(INDEX('Fluxos de Recebimento'!$I$7:$BH$58, MATCH(Curvas!$AB11, 'Fluxos de Recebimento'!$F$7:$F$58, 0), MATCH(Curvas!AI$2,'Fluxos de Recebimento'!$I$5:$BH$5, 0))+INDEX('Fluxos de Recebimento'!$I$65:$BH$116, MATCH(Curvas!$AB11, 'Fluxos de Recebimento'!$F$65:$F$116, 0), MATCH(Curvas!AI$2, 'Fluxos de Recebimento'!$I$63:$BH$63, 0)),0)*INDEX($E:$E, MATCH(AI$2, $B:$B, 0))</f>
        <v>1.9990004997501253E-4</v>
      </c>
      <c r="AJ11" s="193">
        <f>IFERROR(INDEX('Fluxos de Recebimento'!$I$7:$BH$58, MATCH(Curvas!$AB11, 'Fluxos de Recebimento'!$F$7:$F$58, 0), MATCH(Curvas!AJ$2,'Fluxos de Recebimento'!$I$5:$BH$5, 0))+INDEX('Fluxos de Recebimento'!$I$65:$BH$116, MATCH(Curvas!$AB11, 'Fluxos de Recebimento'!$F$65:$F$116, 0), MATCH(Curvas!AJ$2, 'Fluxos de Recebimento'!$I$63:$BH$63, 0)),0)*INDEX($E:$E, MATCH(AJ$2, $B:$B, 0))</f>
        <v>2.0898641588296767E-4</v>
      </c>
      <c r="AK11" s="193">
        <f>IFERROR(INDEX('Fluxos de Recebimento'!$I$7:$BH$58, MATCH(Curvas!$AB11, 'Fluxos de Recebimento'!$F$7:$F$58, 0), MATCH(Curvas!AK$2,'Fluxos de Recebimento'!$I$5:$BH$5, 0))+INDEX('Fluxos de Recebimento'!$I$65:$BH$116, MATCH(Curvas!$AB11, 'Fluxos de Recebimento'!$F$65:$F$116, 0), MATCH(Curvas!AK$2, 'Fluxos de Recebimento'!$I$63:$BH$63, 0)),0)*INDEX($E:$E, MATCH(AK$2, $B:$B, 0))</f>
        <v>1.149425287356322E-3</v>
      </c>
      <c r="AL11" s="193">
        <f>IFERROR(INDEX('Fluxos de Recebimento'!$I$7:$BH$58, MATCH(Curvas!$AB11, 'Fluxos de Recebimento'!$F$7:$F$58, 0), MATCH(Curvas!AL$2,'Fluxos de Recebimento'!$I$5:$BH$5, 0))+INDEX('Fluxos de Recebimento'!$I$65:$BH$116, MATCH(Curvas!$AB11, 'Fluxos de Recebimento'!$F$65:$F$116, 0), MATCH(Curvas!AL$2, 'Fluxos de Recebimento'!$I$63:$BH$63, 0)),0)*INDEX($E:$E, MATCH(AL$2, $B:$B, 0))</f>
        <v>0</v>
      </c>
      <c r="AM11" s="193">
        <f>IFERROR(INDEX('Fluxos de Recebimento'!$I$7:$BH$58, MATCH(Curvas!$AB11, 'Fluxos de Recebimento'!$F$7:$F$58, 0), MATCH(Curvas!AM$2,'Fluxos de Recebimento'!$I$5:$BH$5, 0))+INDEX('Fluxos de Recebimento'!$I$65:$BH$116, MATCH(Curvas!$AB11, 'Fluxos de Recebimento'!$F$65:$F$116, 0), MATCH(Curvas!AM$2, 'Fluxos de Recebimento'!$I$63:$BH$63, 0)),0)*INDEX($E:$E, MATCH(AM$2, $B:$B, 0))</f>
        <v>0</v>
      </c>
      <c r="AN11" s="193">
        <f>IFERROR(INDEX('Fluxos de Recebimento'!$I$7:$BH$58, MATCH(Curvas!$AB11, 'Fluxos de Recebimento'!$F$7:$F$58, 0), MATCH(Curvas!AN$2,'Fluxos de Recebimento'!$I$5:$BH$5, 0))+INDEX('Fluxos de Recebimento'!$I$65:$BH$116, MATCH(Curvas!$AB11, 'Fluxos de Recebimento'!$F$65:$F$116, 0), MATCH(Curvas!AN$2, 'Fluxos de Recebimento'!$I$63:$BH$63, 0)),0)*INDEX($E:$E, MATCH(AN$2, $B:$B, 0))</f>
        <v>0</v>
      </c>
      <c r="AO11" s="193">
        <f>IFERROR(INDEX('Fluxos de Recebimento'!$I$7:$BH$58, MATCH(Curvas!$AB11, 'Fluxos de Recebimento'!$F$7:$F$58, 0), MATCH(Curvas!AO$2,'Fluxos de Recebimento'!$I$5:$BH$5, 0))+INDEX('Fluxos de Recebimento'!$I$65:$BH$116, MATCH(Curvas!$AB11, 'Fluxos de Recebimento'!$F$65:$F$116, 0), MATCH(Curvas!AO$2, 'Fluxos de Recebimento'!$I$63:$BH$63, 0)),0)*INDEX($E:$E, MATCH(AO$2, $B:$B, 0))</f>
        <v>0</v>
      </c>
      <c r="AP11" s="193">
        <f>IFERROR(INDEX('Fluxos de Recebimento'!$I$7:$BH$58, MATCH(Curvas!$AB11, 'Fluxos de Recebimento'!$F$7:$F$58, 0), MATCH(Curvas!AP$2,'Fluxos de Recebimento'!$I$5:$BH$5, 0))+INDEX('Fluxos de Recebimento'!$I$65:$BH$116, MATCH(Curvas!$AB11, 'Fluxos de Recebimento'!$F$65:$F$116, 0), MATCH(Curvas!AP$2, 'Fluxos de Recebimento'!$I$63:$BH$63, 0)),0)*INDEX($E:$E, MATCH(AP$2, $B:$B, 0))</f>
        <v>0</v>
      </c>
      <c r="AQ11" s="193">
        <f>IFERROR(INDEX('Fluxos de Recebimento'!$I$7:$BH$58, MATCH(Curvas!$AB11, 'Fluxos de Recebimento'!$F$7:$F$58, 0), MATCH(Curvas!AQ$2,'Fluxos de Recebimento'!$I$5:$BH$5, 0))+INDEX('Fluxos de Recebimento'!$I$65:$BH$116, MATCH(Curvas!$AB11, 'Fluxos de Recebimento'!$F$65:$F$116, 0), MATCH(Curvas!AQ$2, 'Fluxos de Recebimento'!$I$63:$BH$63, 0)),0)*INDEX($E:$E, MATCH(AQ$2, $B:$B, 0))</f>
        <v>0</v>
      </c>
      <c r="AR11" s="193">
        <f>IFERROR(INDEX('Fluxos de Recebimento'!$I$7:$BH$58, MATCH(Curvas!$AB11, 'Fluxos de Recebimento'!$F$7:$F$58, 0), MATCH(Curvas!AR$2,'Fluxos de Recebimento'!$I$5:$BH$5, 0))+INDEX('Fluxos de Recebimento'!$I$65:$BH$116, MATCH(Curvas!$AB11, 'Fluxos de Recebimento'!$F$65:$F$116, 0), MATCH(Curvas!AR$2, 'Fluxos de Recebimento'!$I$63:$BH$63, 0)),0)*INDEX($E:$E, MATCH(AR$2, $B:$B, 0))</f>
        <v>0</v>
      </c>
      <c r="AS11" s="193">
        <f>IFERROR(INDEX('Fluxos de Recebimento'!$I$7:$BH$58, MATCH(Curvas!$AB11, 'Fluxos de Recebimento'!$F$7:$F$58, 0), MATCH(Curvas!AS$2,'Fluxos de Recebimento'!$I$5:$BH$5, 0))+INDEX('Fluxos de Recebimento'!$I$65:$BH$116, MATCH(Curvas!$AB11, 'Fluxos de Recebimento'!$F$65:$F$116, 0), MATCH(Curvas!AS$2, 'Fluxos de Recebimento'!$I$63:$BH$63, 0)),0)*INDEX($E:$E, MATCH(AS$2, $B:$B, 0))</f>
        <v>0</v>
      </c>
      <c r="AT11" s="193">
        <f>IFERROR(INDEX('Fluxos de Recebimento'!$I$7:$BH$58, MATCH(Curvas!$AB11, 'Fluxos de Recebimento'!$F$7:$F$58, 0), MATCH(Curvas!AT$2,'Fluxos de Recebimento'!$I$5:$BH$5, 0))+INDEX('Fluxos de Recebimento'!$I$65:$BH$116, MATCH(Curvas!$AB11, 'Fluxos de Recebimento'!$F$65:$F$116, 0), MATCH(Curvas!AT$2, 'Fluxos de Recebimento'!$I$63:$BH$63, 0)),0)*INDEX($E:$E, MATCH(AT$2, $B:$B, 0))</f>
        <v>0</v>
      </c>
      <c r="AU11" s="193">
        <f>IFERROR(INDEX('Fluxos de Recebimento'!$I$7:$BH$58, MATCH(Curvas!$AB11, 'Fluxos de Recebimento'!$F$7:$F$58, 0), MATCH(Curvas!AU$2,'Fluxos de Recebimento'!$I$5:$BH$5, 0))+INDEX('Fluxos de Recebimento'!$I$65:$BH$116, MATCH(Curvas!$AB11, 'Fluxos de Recebimento'!$F$65:$F$116, 0), MATCH(Curvas!AU$2, 'Fluxos de Recebimento'!$I$63:$BH$63, 0)),0)*INDEX($E:$E, MATCH(AU$2, $B:$B, 0))</f>
        <v>0</v>
      </c>
      <c r="AV11" s="193">
        <f>IFERROR(INDEX('Fluxos de Recebimento'!$I$7:$BH$58, MATCH(Curvas!$AB11, 'Fluxos de Recebimento'!$F$7:$F$58, 0), MATCH(Curvas!AV$2,'Fluxos de Recebimento'!$I$5:$BH$5, 0))+INDEX('Fluxos de Recebimento'!$I$65:$BH$116, MATCH(Curvas!$AB11, 'Fluxos de Recebimento'!$F$65:$F$116, 0), MATCH(Curvas!AV$2, 'Fluxos de Recebimento'!$I$63:$BH$63, 0)),0)*INDEX($E:$E, MATCH(AV$2, $B:$B, 0))</f>
        <v>0</v>
      </c>
      <c r="AW11" s="193">
        <f>IFERROR(INDEX('Fluxos de Recebimento'!$I$7:$BH$58, MATCH(Curvas!$AB11, 'Fluxos de Recebimento'!$F$7:$F$58, 0), MATCH(Curvas!AW$2,'Fluxos de Recebimento'!$I$5:$BH$5, 0))+INDEX('Fluxos de Recebimento'!$I$65:$BH$116, MATCH(Curvas!$AB11, 'Fluxos de Recebimento'!$F$65:$F$116, 0), MATCH(Curvas!AW$2, 'Fluxos de Recebimento'!$I$63:$BH$63, 0)),0)*INDEX($E:$E, MATCH(AW$2, $B:$B, 0))</f>
        <v>0</v>
      </c>
      <c r="AX11" s="193">
        <f>IFERROR(INDEX('Fluxos de Recebimento'!$I$7:$BH$58, MATCH(Curvas!$AB11, 'Fluxos de Recebimento'!$F$7:$F$58, 0), MATCH(Curvas!AX$2,'Fluxos de Recebimento'!$I$5:$BH$5, 0))+INDEX('Fluxos de Recebimento'!$I$65:$BH$116, MATCH(Curvas!$AB11, 'Fluxos de Recebimento'!$F$65:$F$116, 0), MATCH(Curvas!AX$2, 'Fluxos de Recebimento'!$I$63:$BH$63, 0)),0)*INDEX($E:$E, MATCH(AX$2, $B:$B, 0))</f>
        <v>0</v>
      </c>
      <c r="AY11" s="193">
        <f>IFERROR(INDEX('Fluxos de Recebimento'!$I$7:$BH$58, MATCH(Curvas!$AB11, 'Fluxos de Recebimento'!$F$7:$F$58, 0), MATCH(Curvas!AY$2,'Fluxos de Recebimento'!$I$5:$BH$5, 0))+INDEX('Fluxos de Recebimento'!$I$65:$BH$116, MATCH(Curvas!$AB11, 'Fluxos de Recebimento'!$F$65:$F$116, 0), MATCH(Curvas!AY$2, 'Fluxos de Recebimento'!$I$63:$BH$63, 0)),0)*INDEX($E:$E, MATCH(AY$2, $B:$B, 0))</f>
        <v>0</v>
      </c>
      <c r="AZ11" s="193">
        <f>IFERROR(INDEX('Fluxos de Recebimento'!$I$7:$BH$58, MATCH(Curvas!$AB11, 'Fluxos de Recebimento'!$F$7:$F$58, 0), MATCH(Curvas!AZ$2,'Fluxos de Recebimento'!$I$5:$BH$5, 0))+INDEX('Fluxos de Recebimento'!$I$65:$BH$116, MATCH(Curvas!$AB11, 'Fluxos de Recebimento'!$F$65:$F$116, 0), MATCH(Curvas!AZ$2, 'Fluxos de Recebimento'!$I$63:$BH$63, 0)),0)*INDEX($E:$E, MATCH(AZ$2, $B:$B, 0))</f>
        <v>0</v>
      </c>
      <c r="BA11" s="193">
        <f>IFERROR(INDEX('Fluxos de Recebimento'!$I$7:$BH$58, MATCH(Curvas!$AB11, 'Fluxos de Recebimento'!$F$7:$F$58, 0), MATCH(Curvas!BA$2,'Fluxos de Recebimento'!$I$5:$BH$5, 0))+INDEX('Fluxos de Recebimento'!$I$65:$BH$116, MATCH(Curvas!$AB11, 'Fluxos de Recebimento'!$F$65:$F$116, 0), MATCH(Curvas!BA$2, 'Fluxos de Recebimento'!$I$63:$BH$63, 0)),0)*INDEX($E:$E, MATCH(BA$2, $B:$B, 0))</f>
        <v>0</v>
      </c>
      <c r="BB11" s="193">
        <f>IFERROR(INDEX('Fluxos de Recebimento'!$I$7:$BH$58, MATCH(Curvas!$AB11, 'Fluxos de Recebimento'!$F$7:$F$58, 0), MATCH(Curvas!BB$2,'Fluxos de Recebimento'!$I$5:$BH$5, 0))+INDEX('Fluxos de Recebimento'!$I$65:$BH$116, MATCH(Curvas!$AB11, 'Fluxos de Recebimento'!$F$65:$F$116, 0), MATCH(Curvas!BB$2, 'Fluxos de Recebimento'!$I$63:$BH$63, 0)),0)*INDEX($E:$E, MATCH(BB$2, $B:$B, 0))</f>
        <v>0</v>
      </c>
      <c r="BC11" s="193">
        <f>IFERROR(INDEX('Fluxos de Recebimento'!$I$7:$BH$58, MATCH(Curvas!$AB11, 'Fluxos de Recebimento'!$F$7:$F$58, 0), MATCH(Curvas!BC$2,'Fluxos de Recebimento'!$I$5:$BH$5, 0))+INDEX('Fluxos de Recebimento'!$I$65:$BH$116, MATCH(Curvas!$AB11, 'Fluxos de Recebimento'!$F$65:$F$116, 0), MATCH(Curvas!BC$2, 'Fluxos de Recebimento'!$I$63:$BH$63, 0)),0)*INDEX($E:$E, MATCH(BC$2, $B:$B, 0))</f>
        <v>0</v>
      </c>
      <c r="BD11" s="193">
        <f>IFERROR(INDEX('Fluxos de Recebimento'!$I$7:$BH$58, MATCH(Curvas!$AB11, 'Fluxos de Recebimento'!$F$7:$F$58, 0), MATCH(Curvas!BD$2,'Fluxos de Recebimento'!$I$5:$BH$5, 0))+INDEX('Fluxos de Recebimento'!$I$65:$BH$116, MATCH(Curvas!$AB11, 'Fluxos de Recebimento'!$F$65:$F$116, 0), MATCH(Curvas!BD$2, 'Fluxos de Recebimento'!$I$63:$BH$63, 0)),0)*INDEX($E:$E, MATCH(BD$2, $B:$B, 0))</f>
        <v>0</v>
      </c>
      <c r="BE11" s="193">
        <f>IFERROR(INDEX('Fluxos de Recebimento'!$I$7:$BH$58, MATCH(Curvas!$AB11, 'Fluxos de Recebimento'!$F$7:$F$58, 0), MATCH(Curvas!BE$2,'Fluxos de Recebimento'!$I$5:$BH$5, 0))+INDEX('Fluxos de Recebimento'!$I$65:$BH$116, MATCH(Curvas!$AB11, 'Fluxos de Recebimento'!$F$65:$F$116, 0), MATCH(Curvas!BE$2, 'Fluxos de Recebimento'!$I$63:$BH$63, 0)),0)*INDEX($E:$E, MATCH(BE$2, $B:$B, 0))</f>
        <v>0</v>
      </c>
      <c r="BF11" s="193">
        <f>IFERROR(INDEX('Fluxos de Recebimento'!$I$7:$BH$58, MATCH(Curvas!$AB11, 'Fluxos de Recebimento'!$F$7:$F$58, 0), MATCH(Curvas!BF$2,'Fluxos de Recebimento'!$I$5:$BH$5, 0))+INDEX('Fluxos de Recebimento'!$I$65:$BH$116, MATCH(Curvas!$AB11, 'Fluxos de Recebimento'!$F$65:$F$116, 0), MATCH(Curvas!BF$2, 'Fluxos de Recebimento'!$I$63:$BH$63, 0)),0)*INDEX($E:$E, MATCH(BF$2, $B:$B, 0))</f>
        <v>0</v>
      </c>
      <c r="BG11" s="193">
        <f>IFERROR(INDEX('Fluxos de Recebimento'!$I$7:$BH$58, MATCH(Curvas!$AB11, 'Fluxos de Recebimento'!$F$7:$F$58, 0), MATCH(Curvas!BG$2,'Fluxos de Recebimento'!$I$5:$BH$5, 0))+INDEX('Fluxos de Recebimento'!$I$65:$BH$116, MATCH(Curvas!$AB11, 'Fluxos de Recebimento'!$F$65:$F$116, 0), MATCH(Curvas!BG$2, 'Fluxos de Recebimento'!$I$63:$BH$63, 0)),0)*INDEX($E:$E, MATCH(BG$2, $B:$B, 0))</f>
        <v>0</v>
      </c>
      <c r="BH11" s="193">
        <f>IFERROR(INDEX('Fluxos de Recebimento'!$I$7:$BH$58, MATCH(Curvas!$AB11, 'Fluxos de Recebimento'!$F$7:$F$58, 0), MATCH(Curvas!BH$2,'Fluxos de Recebimento'!$I$5:$BH$5, 0))+INDEX('Fluxos de Recebimento'!$I$65:$BH$116, MATCH(Curvas!$AB11, 'Fluxos de Recebimento'!$F$65:$F$116, 0), MATCH(Curvas!BH$2, 'Fluxos de Recebimento'!$I$63:$BH$63, 0)),0)*INDEX($E:$E, MATCH(BH$2, $B:$B, 0))</f>
        <v>0</v>
      </c>
      <c r="BI11" s="193">
        <f>IFERROR(INDEX('Fluxos de Recebimento'!$I$7:$BH$58, MATCH(Curvas!$AB11, 'Fluxos de Recebimento'!$F$7:$F$58, 0), MATCH(Curvas!BI$2,'Fluxos de Recebimento'!$I$5:$BH$5, 0))+INDEX('Fluxos de Recebimento'!$I$65:$BH$116, MATCH(Curvas!$AB11, 'Fluxos de Recebimento'!$F$65:$F$116, 0), MATCH(Curvas!BI$2, 'Fluxos de Recebimento'!$I$63:$BH$63, 0)),0)*INDEX($E:$E, MATCH(BI$2, $B:$B, 0))</f>
        <v>0</v>
      </c>
      <c r="BJ11" s="193">
        <f>IFERROR(INDEX('Fluxos de Recebimento'!$I$7:$BH$58, MATCH(Curvas!$AB11, 'Fluxos de Recebimento'!$F$7:$F$58, 0), MATCH(Curvas!BJ$2,'Fluxos de Recebimento'!$I$5:$BH$5, 0))+INDEX('Fluxos de Recebimento'!$I$65:$BH$116, MATCH(Curvas!$AB11, 'Fluxos de Recebimento'!$F$65:$F$116, 0), MATCH(Curvas!BJ$2, 'Fluxos de Recebimento'!$I$63:$BH$63, 0)),0)*INDEX($E:$E, MATCH(BJ$2, $B:$B, 0))</f>
        <v>0</v>
      </c>
      <c r="BK11" s="193">
        <f>IFERROR(INDEX('Fluxos de Recebimento'!$I$7:$BH$58, MATCH(Curvas!$AB11, 'Fluxos de Recebimento'!$F$7:$F$58, 0), MATCH(Curvas!BK$2,'Fluxos de Recebimento'!$I$5:$BH$5, 0))+INDEX('Fluxos de Recebimento'!$I$65:$BH$116, MATCH(Curvas!$AB11, 'Fluxos de Recebimento'!$F$65:$F$116, 0), MATCH(Curvas!BK$2, 'Fluxos de Recebimento'!$I$63:$BH$63, 0)),0)*INDEX($E:$E, MATCH(BK$2, $B:$B, 0))</f>
        <v>0</v>
      </c>
      <c r="BL11" s="193">
        <f>IFERROR(INDEX('Fluxos de Recebimento'!$I$7:$BH$58, MATCH(Curvas!$AB11, 'Fluxos de Recebimento'!$F$7:$F$58, 0), MATCH(Curvas!BL$2,'Fluxos de Recebimento'!$I$5:$BH$5, 0))+INDEX('Fluxos de Recebimento'!$I$65:$BH$116, MATCH(Curvas!$AB11, 'Fluxos de Recebimento'!$F$65:$F$116, 0), MATCH(Curvas!BL$2, 'Fluxos de Recebimento'!$I$63:$BH$63, 0)),0)*INDEX($E:$E, MATCH(BL$2, $B:$B, 0))</f>
        <v>0</v>
      </c>
      <c r="BM11" s="193">
        <f>IFERROR(INDEX('Fluxos de Recebimento'!$I$7:$BH$58, MATCH(Curvas!$AB11, 'Fluxos de Recebimento'!$F$7:$F$58, 0), MATCH(Curvas!BM$2,'Fluxos de Recebimento'!$I$5:$BH$5, 0))+INDEX('Fluxos de Recebimento'!$I$65:$BH$116, MATCH(Curvas!$AB11, 'Fluxos de Recebimento'!$F$65:$F$116, 0), MATCH(Curvas!BM$2, 'Fluxos de Recebimento'!$I$63:$BH$63, 0)),0)*INDEX($E:$E, MATCH(BM$2, $B:$B, 0))</f>
        <v>0</v>
      </c>
      <c r="BN11" s="193">
        <f>IFERROR(INDEX('Fluxos de Recebimento'!$I$7:$BH$58, MATCH(Curvas!$AB11, 'Fluxos de Recebimento'!$F$7:$F$58, 0), MATCH(Curvas!BN$2,'Fluxos de Recebimento'!$I$5:$BH$5, 0))+INDEX('Fluxos de Recebimento'!$I$65:$BH$116, MATCH(Curvas!$AB11, 'Fluxos de Recebimento'!$F$65:$F$116, 0), MATCH(Curvas!BN$2, 'Fluxos de Recebimento'!$I$63:$BH$63, 0)),0)*INDEX($E:$E, MATCH(BN$2, $B:$B, 0))</f>
        <v>0</v>
      </c>
      <c r="BO11" s="193">
        <f>IFERROR(INDEX('Fluxos de Recebimento'!$I$7:$BH$58, MATCH(Curvas!$AB11, 'Fluxos de Recebimento'!$F$7:$F$58, 0), MATCH(Curvas!BO$2,'Fluxos de Recebimento'!$I$5:$BH$5, 0))+INDEX('Fluxos de Recebimento'!$I$65:$BH$116, MATCH(Curvas!$AB11, 'Fluxos de Recebimento'!$F$65:$F$116, 0), MATCH(Curvas!BO$2, 'Fluxos de Recebimento'!$I$63:$BH$63, 0)),0)*INDEX($E:$E, MATCH(BO$2, $B:$B, 0))</f>
        <v>0</v>
      </c>
      <c r="BP11" s="193">
        <f>IFERROR(INDEX('Fluxos de Recebimento'!$I$7:$BH$58, MATCH(Curvas!$AB11, 'Fluxos de Recebimento'!$F$7:$F$58, 0), MATCH(Curvas!BP$2,'Fluxos de Recebimento'!$I$5:$BH$5, 0))+INDEX('Fluxos de Recebimento'!$I$65:$BH$116, MATCH(Curvas!$AB11, 'Fluxos de Recebimento'!$F$65:$F$116, 0), MATCH(Curvas!BP$2, 'Fluxos de Recebimento'!$I$63:$BH$63, 0)),0)*INDEX($E:$E, MATCH(BP$2, $B:$B, 0))</f>
        <v>0</v>
      </c>
      <c r="BQ11" s="193">
        <f>IFERROR(INDEX('Fluxos de Recebimento'!$I$7:$BH$58, MATCH(Curvas!$AB11, 'Fluxos de Recebimento'!$F$7:$F$58, 0), MATCH(Curvas!BQ$2,'Fluxos de Recebimento'!$I$5:$BH$5, 0))+INDEX('Fluxos de Recebimento'!$I$65:$BH$116, MATCH(Curvas!$AB11, 'Fluxos de Recebimento'!$F$65:$F$116, 0), MATCH(Curvas!BQ$2, 'Fluxos de Recebimento'!$I$63:$BH$63, 0)),0)*INDEX($E:$E, MATCH(BQ$2, $B:$B, 0))</f>
        <v>0</v>
      </c>
      <c r="BR11" s="193">
        <f>IFERROR(INDEX('Fluxos de Recebimento'!$I$7:$BH$58, MATCH(Curvas!$AB11, 'Fluxos de Recebimento'!$F$7:$F$58, 0), MATCH(Curvas!BR$2,'Fluxos de Recebimento'!$I$5:$BH$5, 0))+INDEX('Fluxos de Recebimento'!$I$65:$BH$116, MATCH(Curvas!$AB11, 'Fluxos de Recebimento'!$F$65:$F$116, 0), MATCH(Curvas!BR$2, 'Fluxos de Recebimento'!$I$63:$BH$63, 0)),0)*INDEX($E:$E, MATCH(BR$2, $B:$B, 0))</f>
        <v>0</v>
      </c>
      <c r="BS11" s="193">
        <f>IFERROR(INDEX('Fluxos de Recebimento'!$I$7:$BH$58, MATCH(Curvas!$AB11, 'Fluxos de Recebimento'!$F$7:$F$58, 0), MATCH(Curvas!BS$2,'Fluxos de Recebimento'!$I$5:$BH$5, 0))+INDEX('Fluxos de Recebimento'!$I$65:$BH$116, MATCH(Curvas!$AB11, 'Fluxos de Recebimento'!$F$65:$F$116, 0), MATCH(Curvas!BS$2, 'Fluxos de Recebimento'!$I$63:$BH$63, 0)),0)*INDEX($E:$E, MATCH(BS$2, $B:$B, 0))</f>
        <v>0</v>
      </c>
      <c r="BT11" s="193">
        <f>IFERROR(INDEX('Fluxos de Recebimento'!$I$7:$BH$58, MATCH(Curvas!$AB11, 'Fluxos de Recebimento'!$F$7:$F$58, 0), MATCH(Curvas!BT$2,'Fluxos de Recebimento'!$I$5:$BH$5, 0))+INDEX('Fluxos de Recebimento'!$I$65:$BH$116, MATCH(Curvas!$AB11, 'Fluxos de Recebimento'!$F$65:$F$116, 0), MATCH(Curvas!BT$2, 'Fluxos de Recebimento'!$I$63:$BH$63, 0)),0)*INDEX($E:$E, MATCH(BT$2, $B:$B, 0))</f>
        <v>0</v>
      </c>
      <c r="BU11" s="193">
        <f>IFERROR(INDEX('Fluxos de Recebimento'!$I$7:$BH$58, MATCH(Curvas!$AB11, 'Fluxos de Recebimento'!$F$7:$F$58, 0), MATCH(Curvas!BU$2,'Fluxos de Recebimento'!$I$5:$BH$5, 0))+INDEX('Fluxos de Recebimento'!$I$65:$BH$116, MATCH(Curvas!$AB11, 'Fluxos de Recebimento'!$F$65:$F$116, 0), MATCH(Curvas!BU$2, 'Fluxos de Recebimento'!$I$63:$BH$63, 0)),0)*INDEX($E:$E, MATCH(BU$2, $B:$B, 0))</f>
        <v>0</v>
      </c>
      <c r="BV11" s="193">
        <f>IFERROR(INDEX('Fluxos de Recebimento'!$I$7:$BH$58, MATCH(Curvas!$AB11, 'Fluxos de Recebimento'!$F$7:$F$58, 0), MATCH(Curvas!BV$2,'Fluxos de Recebimento'!$I$5:$BH$5, 0))+INDEX('Fluxos de Recebimento'!$I$65:$BH$116, MATCH(Curvas!$AB11, 'Fluxos de Recebimento'!$F$65:$F$116, 0), MATCH(Curvas!BV$2, 'Fluxos de Recebimento'!$I$63:$BH$63, 0)),0)*INDEX($E:$E, MATCH(BV$2, $B:$B, 0))</f>
        <v>0</v>
      </c>
      <c r="BW11" s="193">
        <f>IFERROR(INDEX('Fluxos de Recebimento'!$I$7:$BH$58, MATCH(Curvas!$AB11, 'Fluxos de Recebimento'!$F$7:$F$58, 0), MATCH(Curvas!BW$2,'Fluxos de Recebimento'!$I$5:$BH$5, 0))+INDEX('Fluxos de Recebimento'!$I$65:$BH$116, MATCH(Curvas!$AB11, 'Fluxos de Recebimento'!$F$65:$F$116, 0), MATCH(Curvas!BW$2, 'Fluxos de Recebimento'!$I$63:$BH$63, 0)),0)*INDEX($E:$E, MATCH(BW$2, $B:$B, 0))</f>
        <v>0</v>
      </c>
      <c r="BX11" s="193">
        <f>IFERROR(INDEX('Fluxos de Recebimento'!$I$7:$BH$58, MATCH(Curvas!$AB11, 'Fluxos de Recebimento'!$F$7:$F$58, 0), MATCH(Curvas!BX$2,'Fluxos de Recebimento'!$I$5:$BH$5, 0))+INDEX('Fluxos de Recebimento'!$I$65:$BH$116, MATCH(Curvas!$AB11, 'Fluxos de Recebimento'!$F$65:$F$116, 0), MATCH(Curvas!BX$2, 'Fluxos de Recebimento'!$I$63:$BH$63, 0)),0)*INDEX($E:$E, MATCH(BX$2, $B:$B, 0))</f>
        <v>0</v>
      </c>
      <c r="BY11" s="193">
        <f>IFERROR(INDEX('Fluxos de Recebimento'!$I$7:$BH$58, MATCH(Curvas!$AB11, 'Fluxos de Recebimento'!$F$7:$F$58, 0), MATCH(Curvas!BY$2,'Fluxos de Recebimento'!$I$5:$BH$5, 0))+INDEX('Fluxos de Recebimento'!$I$65:$BH$116, MATCH(Curvas!$AB11, 'Fluxos de Recebimento'!$F$65:$F$116, 0), MATCH(Curvas!BY$2, 'Fluxos de Recebimento'!$I$63:$BH$63, 0)),0)*INDEX($E:$E, MATCH(BY$2, $B:$B, 0))</f>
        <v>0</v>
      </c>
      <c r="BZ11" s="193">
        <f>IFERROR(INDEX('Fluxos de Recebimento'!$I$7:$BH$58, MATCH(Curvas!$AB11, 'Fluxos de Recebimento'!$F$7:$F$58, 0), MATCH(Curvas!BZ$2,'Fluxos de Recebimento'!$I$5:$BH$5, 0))+INDEX('Fluxos de Recebimento'!$I$65:$BH$116, MATCH(Curvas!$AB11, 'Fluxos de Recebimento'!$F$65:$F$116, 0), MATCH(Curvas!BZ$2, 'Fluxos de Recebimento'!$I$63:$BH$63, 0)),0)*INDEX($E:$E, MATCH(BZ$2, $B:$B, 0))</f>
        <v>0</v>
      </c>
      <c r="CA11" s="193">
        <f>IFERROR(INDEX('Fluxos de Recebimento'!$I$7:$BH$58, MATCH(Curvas!$AB11, 'Fluxos de Recebimento'!$F$7:$F$58, 0), MATCH(Curvas!CA$2,'Fluxos de Recebimento'!$I$5:$BH$5, 0))+INDEX('Fluxos de Recebimento'!$I$65:$BH$116, MATCH(Curvas!$AB11, 'Fluxos de Recebimento'!$F$65:$F$116, 0), MATCH(Curvas!CA$2, 'Fluxos de Recebimento'!$I$63:$BH$63, 0)),0)*INDEX($E:$E, MATCH(CA$2, $B:$B, 0))</f>
        <v>0</v>
      </c>
      <c r="CB11" s="193">
        <f>IFERROR(INDEX('Fluxos de Recebimento'!$I$7:$BH$58, MATCH(Curvas!$AB11, 'Fluxos de Recebimento'!$F$7:$F$58, 0), MATCH(Curvas!CB$2,'Fluxos de Recebimento'!$I$5:$BH$5, 0))+INDEX('Fluxos de Recebimento'!$I$65:$BH$116, MATCH(Curvas!$AB11, 'Fluxos de Recebimento'!$F$65:$F$116, 0), MATCH(Curvas!CB$2, 'Fluxos de Recebimento'!$I$63:$BH$63, 0)),0)*INDEX($E:$E, MATCH(CB$2, $B:$B, 0))</f>
        <v>0</v>
      </c>
      <c r="CC11" s="193">
        <f>IFERROR(INDEX('Fluxos de Recebimento'!$I$7:$BH$58, MATCH(Curvas!$AB11, 'Fluxos de Recebimento'!$F$7:$F$58, 0), MATCH(Curvas!CC$2,'Fluxos de Recebimento'!$I$5:$BH$5, 0))+INDEX('Fluxos de Recebimento'!$I$65:$BH$116, MATCH(Curvas!$AB11, 'Fluxos de Recebimento'!$F$65:$F$116, 0), MATCH(Curvas!CC$2, 'Fluxos de Recebimento'!$I$63:$BH$63, 0)),0)*INDEX($E:$E, MATCH(CC$2, $B:$B, 0))</f>
        <v>0</v>
      </c>
    </row>
    <row r="12" spans="1:81" x14ac:dyDescent="0.25">
      <c r="A12" s="2"/>
      <c r="B12" s="477">
        <f t="shared" si="16"/>
        <v>44409</v>
      </c>
      <c r="C12" s="52">
        <f t="shared" si="17"/>
        <v>9</v>
      </c>
      <c r="D12" s="2"/>
      <c r="E12" s="187">
        <f t="shared" si="4"/>
        <v>2.298850574712644E-2</v>
      </c>
      <c r="F12" s="48">
        <f t="shared" si="18"/>
        <v>0.20689655172413796</v>
      </c>
      <c r="G12" s="46">
        <f t="shared" ca="1" si="5"/>
        <v>0</v>
      </c>
      <c r="H12" s="48">
        <f t="shared" ca="1" si="19"/>
        <v>0</v>
      </c>
      <c r="I12" s="2"/>
      <c r="J12" s="69">
        <f t="shared" si="6"/>
        <v>16</v>
      </c>
      <c r="K12" s="479">
        <f t="shared" ca="1" si="7"/>
        <v>0</v>
      </c>
      <c r="L12" s="70">
        <f t="shared" ca="1" si="8"/>
        <v>16</v>
      </c>
      <c r="M12" s="2"/>
      <c r="N12" s="69">
        <f t="shared" si="9"/>
        <v>21</v>
      </c>
      <c r="O12" s="479">
        <f t="shared" si="10"/>
        <v>0</v>
      </c>
      <c r="P12" s="70">
        <f t="shared" si="11"/>
        <v>21</v>
      </c>
      <c r="Q12" s="2"/>
      <c r="R12" s="71">
        <f t="shared" si="12"/>
        <v>37</v>
      </c>
      <c r="S12" s="196"/>
      <c r="T12" s="46">
        <v>4.3521014539765417E-2</v>
      </c>
      <c r="U12" s="48">
        <f t="shared" si="20"/>
        <v>8.8653233113575577E-2</v>
      </c>
      <c r="V12" s="2"/>
      <c r="W12" s="56">
        <f t="shared" si="21"/>
        <v>9</v>
      </c>
      <c r="X12" s="48">
        <v>0</v>
      </c>
      <c r="Y12" s="2"/>
      <c r="Z12" s="194">
        <f t="shared" si="13"/>
        <v>2.664052330219247E-3</v>
      </c>
      <c r="AA12" s="2"/>
      <c r="AB12" s="477">
        <f t="shared" si="14"/>
        <v>44409</v>
      </c>
      <c r="AC12" s="52">
        <f t="shared" si="15"/>
        <v>9</v>
      </c>
      <c r="AD12" s="193">
        <f>IFERROR(INDEX('Fluxos de Recebimento'!$I$7:$BH$58, MATCH(Curvas!$AB12, 'Fluxos de Recebimento'!$F$7:$F$58, 0), MATCH(Curvas!AD$2,'Fluxos de Recebimento'!$I$5:$BH$5, 0))+INDEX('Fluxos de Recebimento'!$I$65:$BH$116, MATCH(Curvas!$AB12, 'Fluxos de Recebimento'!$F$65:$F$116, 0), MATCH(Curvas!AD$2, 'Fluxos de Recebimento'!$I$63:$BH$63, 0)),0)*INDEX($E:$E, MATCH(AD$2, $B:$B, 0))</f>
        <v>1.6420361247947458E-4</v>
      </c>
      <c r="AE12" s="193">
        <f>IFERROR(INDEX('Fluxos de Recebimento'!$I$7:$BH$58, MATCH(Curvas!$AB12, 'Fluxos de Recebimento'!$F$7:$F$58, 0), MATCH(Curvas!AE$2,'Fluxos de Recebimento'!$I$5:$BH$5, 0))+INDEX('Fluxos de Recebimento'!$I$65:$BH$116, MATCH(Curvas!$AB12, 'Fluxos de Recebimento'!$F$65:$F$116, 0), MATCH(Curvas!AE$2, 'Fluxos de Recebimento'!$I$63:$BH$63, 0)),0)*INDEX($E:$E, MATCH(AE$2, $B:$B, 0))</f>
        <v>1.7028522775649216E-4</v>
      </c>
      <c r="AF12" s="193">
        <f>IFERROR(INDEX('Fluxos de Recebimento'!$I$7:$BH$58, MATCH(Curvas!$AB12, 'Fluxos de Recebimento'!$F$7:$F$58, 0), MATCH(Curvas!AF$2,'Fluxos de Recebimento'!$I$5:$BH$5, 0))+INDEX('Fluxos de Recebimento'!$I$65:$BH$116, MATCH(Curvas!$AB12, 'Fluxos de Recebimento'!$F$65:$F$116, 0), MATCH(Curvas!AF$2, 'Fluxos de Recebimento'!$I$63:$BH$63, 0)),0)*INDEX($E:$E, MATCH(AF$2, $B:$B, 0))</f>
        <v>1.7683465959328031E-4</v>
      </c>
      <c r="AG12" s="193">
        <f>IFERROR(INDEX('Fluxos de Recebimento'!$I$7:$BH$58, MATCH(Curvas!$AB12, 'Fluxos de Recebimento'!$F$7:$F$58, 0), MATCH(Curvas!AG$2,'Fluxos de Recebimento'!$I$5:$BH$5, 0))+INDEX('Fluxos de Recebimento'!$I$65:$BH$116, MATCH(Curvas!$AB12, 'Fluxos de Recebimento'!$F$65:$F$116, 0), MATCH(Curvas!AG$2, 'Fluxos de Recebimento'!$I$63:$BH$63, 0)),0)*INDEX($E:$E, MATCH(AG$2, $B:$B, 0))</f>
        <v>1.8390804597701152E-4</v>
      </c>
      <c r="AH12" s="193">
        <f>IFERROR(INDEX('Fluxos de Recebimento'!$I$7:$BH$58, MATCH(Curvas!$AB12, 'Fluxos de Recebimento'!$F$7:$F$58, 0), MATCH(Curvas!AH$2,'Fluxos de Recebimento'!$I$5:$BH$5, 0))+INDEX('Fluxos de Recebimento'!$I$65:$BH$116, MATCH(Curvas!$AB12, 'Fluxos de Recebimento'!$F$65:$F$116, 0), MATCH(Curvas!AH$2, 'Fluxos de Recebimento'!$I$63:$BH$63, 0)),0)*INDEX($E:$E, MATCH(AH$2, $B:$B, 0))</f>
        <v>1.9157088122605367E-4</v>
      </c>
      <c r="AI12" s="193">
        <f>IFERROR(INDEX('Fluxos de Recebimento'!$I$7:$BH$58, MATCH(Curvas!$AB12, 'Fluxos de Recebimento'!$F$7:$F$58, 0), MATCH(Curvas!AI$2,'Fluxos de Recebimento'!$I$5:$BH$5, 0))+INDEX('Fluxos de Recebimento'!$I$65:$BH$116, MATCH(Curvas!$AB12, 'Fluxos de Recebimento'!$F$65:$F$116, 0), MATCH(Curvas!AI$2, 'Fluxos de Recebimento'!$I$63:$BH$63, 0)),0)*INDEX($E:$E, MATCH(AI$2, $B:$B, 0))</f>
        <v>1.9990004997501253E-4</v>
      </c>
      <c r="AJ12" s="193">
        <f>IFERROR(INDEX('Fluxos de Recebimento'!$I$7:$BH$58, MATCH(Curvas!$AB12, 'Fluxos de Recebimento'!$F$7:$F$58, 0), MATCH(Curvas!AJ$2,'Fluxos de Recebimento'!$I$5:$BH$5, 0))+INDEX('Fluxos de Recebimento'!$I$65:$BH$116, MATCH(Curvas!$AB12, 'Fluxos de Recebimento'!$F$65:$F$116, 0), MATCH(Curvas!AJ$2, 'Fluxos de Recebimento'!$I$63:$BH$63, 0)),0)*INDEX($E:$E, MATCH(AJ$2, $B:$B, 0))</f>
        <v>2.0898641588296767E-4</v>
      </c>
      <c r="AK12" s="193">
        <f>IFERROR(INDEX('Fluxos de Recebimento'!$I$7:$BH$58, MATCH(Curvas!$AB12, 'Fluxos de Recebimento'!$F$7:$F$58, 0), MATCH(Curvas!AK$2,'Fluxos de Recebimento'!$I$5:$BH$5, 0))+INDEX('Fluxos de Recebimento'!$I$65:$BH$116, MATCH(Curvas!$AB12, 'Fluxos de Recebimento'!$F$65:$F$116, 0), MATCH(Curvas!AK$2, 'Fluxos de Recebimento'!$I$63:$BH$63, 0)),0)*INDEX($E:$E, MATCH(AK$2, $B:$B, 0))</f>
        <v>2.1893814997263279E-4</v>
      </c>
      <c r="AL12" s="193">
        <f>IFERROR(INDEX('Fluxos de Recebimento'!$I$7:$BH$58, MATCH(Curvas!$AB12, 'Fluxos de Recebimento'!$F$7:$F$58, 0), MATCH(Curvas!AL$2,'Fluxos de Recebimento'!$I$5:$BH$5, 0))+INDEX('Fluxos de Recebimento'!$I$65:$BH$116, MATCH(Curvas!$AB12, 'Fluxos de Recebimento'!$F$65:$F$116, 0), MATCH(Curvas!AL$2, 'Fluxos de Recebimento'!$I$63:$BH$63, 0)),0)*INDEX($E:$E, MATCH(AL$2, $B:$B, 0))</f>
        <v>1.149425287356322E-3</v>
      </c>
      <c r="AM12" s="193">
        <f>IFERROR(INDEX('Fluxos de Recebimento'!$I$7:$BH$58, MATCH(Curvas!$AB12, 'Fluxos de Recebimento'!$F$7:$F$58, 0), MATCH(Curvas!AM$2,'Fluxos de Recebimento'!$I$5:$BH$5, 0))+INDEX('Fluxos de Recebimento'!$I$65:$BH$116, MATCH(Curvas!$AB12, 'Fluxos de Recebimento'!$F$65:$F$116, 0), MATCH(Curvas!AM$2, 'Fluxos de Recebimento'!$I$63:$BH$63, 0)),0)*INDEX($E:$E, MATCH(AM$2, $B:$B, 0))</f>
        <v>0</v>
      </c>
      <c r="AN12" s="193">
        <f>IFERROR(INDEX('Fluxos de Recebimento'!$I$7:$BH$58, MATCH(Curvas!$AB12, 'Fluxos de Recebimento'!$F$7:$F$58, 0), MATCH(Curvas!AN$2,'Fluxos de Recebimento'!$I$5:$BH$5, 0))+INDEX('Fluxos de Recebimento'!$I$65:$BH$116, MATCH(Curvas!$AB12, 'Fluxos de Recebimento'!$F$65:$F$116, 0), MATCH(Curvas!AN$2, 'Fluxos de Recebimento'!$I$63:$BH$63, 0)),0)*INDEX($E:$E, MATCH(AN$2, $B:$B, 0))</f>
        <v>0</v>
      </c>
      <c r="AO12" s="193">
        <f>IFERROR(INDEX('Fluxos de Recebimento'!$I$7:$BH$58, MATCH(Curvas!$AB12, 'Fluxos de Recebimento'!$F$7:$F$58, 0), MATCH(Curvas!AO$2,'Fluxos de Recebimento'!$I$5:$BH$5, 0))+INDEX('Fluxos de Recebimento'!$I$65:$BH$116, MATCH(Curvas!$AB12, 'Fluxos de Recebimento'!$F$65:$F$116, 0), MATCH(Curvas!AO$2, 'Fluxos de Recebimento'!$I$63:$BH$63, 0)),0)*INDEX($E:$E, MATCH(AO$2, $B:$B, 0))</f>
        <v>0</v>
      </c>
      <c r="AP12" s="193">
        <f>IFERROR(INDEX('Fluxos de Recebimento'!$I$7:$BH$58, MATCH(Curvas!$AB12, 'Fluxos de Recebimento'!$F$7:$F$58, 0), MATCH(Curvas!AP$2,'Fluxos de Recebimento'!$I$5:$BH$5, 0))+INDEX('Fluxos de Recebimento'!$I$65:$BH$116, MATCH(Curvas!$AB12, 'Fluxos de Recebimento'!$F$65:$F$116, 0), MATCH(Curvas!AP$2, 'Fluxos de Recebimento'!$I$63:$BH$63, 0)),0)*INDEX($E:$E, MATCH(AP$2, $B:$B, 0))</f>
        <v>0</v>
      </c>
      <c r="AQ12" s="193">
        <f>IFERROR(INDEX('Fluxos de Recebimento'!$I$7:$BH$58, MATCH(Curvas!$AB12, 'Fluxos de Recebimento'!$F$7:$F$58, 0), MATCH(Curvas!AQ$2,'Fluxos de Recebimento'!$I$5:$BH$5, 0))+INDEX('Fluxos de Recebimento'!$I$65:$BH$116, MATCH(Curvas!$AB12, 'Fluxos de Recebimento'!$F$65:$F$116, 0), MATCH(Curvas!AQ$2, 'Fluxos de Recebimento'!$I$63:$BH$63, 0)),0)*INDEX($E:$E, MATCH(AQ$2, $B:$B, 0))</f>
        <v>0</v>
      </c>
      <c r="AR12" s="193">
        <f>IFERROR(INDEX('Fluxos de Recebimento'!$I$7:$BH$58, MATCH(Curvas!$AB12, 'Fluxos de Recebimento'!$F$7:$F$58, 0), MATCH(Curvas!AR$2,'Fluxos de Recebimento'!$I$5:$BH$5, 0))+INDEX('Fluxos de Recebimento'!$I$65:$BH$116, MATCH(Curvas!$AB12, 'Fluxos de Recebimento'!$F$65:$F$116, 0), MATCH(Curvas!AR$2, 'Fluxos de Recebimento'!$I$63:$BH$63, 0)),0)*INDEX($E:$E, MATCH(AR$2, $B:$B, 0))</f>
        <v>0</v>
      </c>
      <c r="AS12" s="193">
        <f>IFERROR(INDEX('Fluxos de Recebimento'!$I$7:$BH$58, MATCH(Curvas!$AB12, 'Fluxos de Recebimento'!$F$7:$F$58, 0), MATCH(Curvas!AS$2,'Fluxos de Recebimento'!$I$5:$BH$5, 0))+INDEX('Fluxos de Recebimento'!$I$65:$BH$116, MATCH(Curvas!$AB12, 'Fluxos de Recebimento'!$F$65:$F$116, 0), MATCH(Curvas!AS$2, 'Fluxos de Recebimento'!$I$63:$BH$63, 0)),0)*INDEX($E:$E, MATCH(AS$2, $B:$B, 0))</f>
        <v>0</v>
      </c>
      <c r="AT12" s="193">
        <f>IFERROR(INDEX('Fluxos de Recebimento'!$I$7:$BH$58, MATCH(Curvas!$AB12, 'Fluxos de Recebimento'!$F$7:$F$58, 0), MATCH(Curvas!AT$2,'Fluxos de Recebimento'!$I$5:$BH$5, 0))+INDEX('Fluxos de Recebimento'!$I$65:$BH$116, MATCH(Curvas!$AB12, 'Fluxos de Recebimento'!$F$65:$F$116, 0), MATCH(Curvas!AT$2, 'Fluxos de Recebimento'!$I$63:$BH$63, 0)),0)*INDEX($E:$E, MATCH(AT$2, $B:$B, 0))</f>
        <v>0</v>
      </c>
      <c r="AU12" s="193">
        <f>IFERROR(INDEX('Fluxos de Recebimento'!$I$7:$BH$58, MATCH(Curvas!$AB12, 'Fluxos de Recebimento'!$F$7:$F$58, 0), MATCH(Curvas!AU$2,'Fluxos de Recebimento'!$I$5:$BH$5, 0))+INDEX('Fluxos de Recebimento'!$I$65:$BH$116, MATCH(Curvas!$AB12, 'Fluxos de Recebimento'!$F$65:$F$116, 0), MATCH(Curvas!AU$2, 'Fluxos de Recebimento'!$I$63:$BH$63, 0)),0)*INDEX($E:$E, MATCH(AU$2, $B:$B, 0))</f>
        <v>0</v>
      </c>
      <c r="AV12" s="193">
        <f>IFERROR(INDEX('Fluxos de Recebimento'!$I$7:$BH$58, MATCH(Curvas!$AB12, 'Fluxos de Recebimento'!$F$7:$F$58, 0), MATCH(Curvas!AV$2,'Fluxos de Recebimento'!$I$5:$BH$5, 0))+INDEX('Fluxos de Recebimento'!$I$65:$BH$116, MATCH(Curvas!$AB12, 'Fluxos de Recebimento'!$F$65:$F$116, 0), MATCH(Curvas!AV$2, 'Fluxos de Recebimento'!$I$63:$BH$63, 0)),0)*INDEX($E:$E, MATCH(AV$2, $B:$B, 0))</f>
        <v>0</v>
      </c>
      <c r="AW12" s="193">
        <f>IFERROR(INDEX('Fluxos de Recebimento'!$I$7:$BH$58, MATCH(Curvas!$AB12, 'Fluxos de Recebimento'!$F$7:$F$58, 0), MATCH(Curvas!AW$2,'Fluxos de Recebimento'!$I$5:$BH$5, 0))+INDEX('Fluxos de Recebimento'!$I$65:$BH$116, MATCH(Curvas!$AB12, 'Fluxos de Recebimento'!$F$65:$F$116, 0), MATCH(Curvas!AW$2, 'Fluxos de Recebimento'!$I$63:$BH$63, 0)),0)*INDEX($E:$E, MATCH(AW$2, $B:$B, 0))</f>
        <v>0</v>
      </c>
      <c r="AX12" s="193">
        <f>IFERROR(INDEX('Fluxos de Recebimento'!$I$7:$BH$58, MATCH(Curvas!$AB12, 'Fluxos de Recebimento'!$F$7:$F$58, 0), MATCH(Curvas!AX$2,'Fluxos de Recebimento'!$I$5:$BH$5, 0))+INDEX('Fluxos de Recebimento'!$I$65:$BH$116, MATCH(Curvas!$AB12, 'Fluxos de Recebimento'!$F$65:$F$116, 0), MATCH(Curvas!AX$2, 'Fluxos de Recebimento'!$I$63:$BH$63, 0)),0)*INDEX($E:$E, MATCH(AX$2, $B:$B, 0))</f>
        <v>0</v>
      </c>
      <c r="AY12" s="193">
        <f>IFERROR(INDEX('Fluxos de Recebimento'!$I$7:$BH$58, MATCH(Curvas!$AB12, 'Fluxos de Recebimento'!$F$7:$F$58, 0), MATCH(Curvas!AY$2,'Fluxos de Recebimento'!$I$5:$BH$5, 0))+INDEX('Fluxos de Recebimento'!$I$65:$BH$116, MATCH(Curvas!$AB12, 'Fluxos de Recebimento'!$F$65:$F$116, 0), MATCH(Curvas!AY$2, 'Fluxos de Recebimento'!$I$63:$BH$63, 0)),0)*INDEX($E:$E, MATCH(AY$2, $B:$B, 0))</f>
        <v>0</v>
      </c>
      <c r="AZ12" s="193">
        <f>IFERROR(INDEX('Fluxos de Recebimento'!$I$7:$BH$58, MATCH(Curvas!$AB12, 'Fluxos de Recebimento'!$F$7:$F$58, 0), MATCH(Curvas!AZ$2,'Fluxos de Recebimento'!$I$5:$BH$5, 0))+INDEX('Fluxos de Recebimento'!$I$65:$BH$116, MATCH(Curvas!$AB12, 'Fluxos de Recebimento'!$F$65:$F$116, 0), MATCH(Curvas!AZ$2, 'Fluxos de Recebimento'!$I$63:$BH$63, 0)),0)*INDEX($E:$E, MATCH(AZ$2, $B:$B, 0))</f>
        <v>0</v>
      </c>
      <c r="BA12" s="193">
        <f>IFERROR(INDEX('Fluxos de Recebimento'!$I$7:$BH$58, MATCH(Curvas!$AB12, 'Fluxos de Recebimento'!$F$7:$F$58, 0), MATCH(Curvas!BA$2,'Fluxos de Recebimento'!$I$5:$BH$5, 0))+INDEX('Fluxos de Recebimento'!$I$65:$BH$116, MATCH(Curvas!$AB12, 'Fluxos de Recebimento'!$F$65:$F$116, 0), MATCH(Curvas!BA$2, 'Fluxos de Recebimento'!$I$63:$BH$63, 0)),0)*INDEX($E:$E, MATCH(BA$2, $B:$B, 0))</f>
        <v>0</v>
      </c>
      <c r="BB12" s="193">
        <f>IFERROR(INDEX('Fluxos de Recebimento'!$I$7:$BH$58, MATCH(Curvas!$AB12, 'Fluxos de Recebimento'!$F$7:$F$58, 0), MATCH(Curvas!BB$2,'Fluxos de Recebimento'!$I$5:$BH$5, 0))+INDEX('Fluxos de Recebimento'!$I$65:$BH$116, MATCH(Curvas!$AB12, 'Fluxos de Recebimento'!$F$65:$F$116, 0), MATCH(Curvas!BB$2, 'Fluxos de Recebimento'!$I$63:$BH$63, 0)),0)*INDEX($E:$E, MATCH(BB$2, $B:$B, 0))</f>
        <v>0</v>
      </c>
      <c r="BC12" s="193">
        <f>IFERROR(INDEX('Fluxos de Recebimento'!$I$7:$BH$58, MATCH(Curvas!$AB12, 'Fluxos de Recebimento'!$F$7:$F$58, 0), MATCH(Curvas!BC$2,'Fluxos de Recebimento'!$I$5:$BH$5, 0))+INDEX('Fluxos de Recebimento'!$I$65:$BH$116, MATCH(Curvas!$AB12, 'Fluxos de Recebimento'!$F$65:$F$116, 0), MATCH(Curvas!BC$2, 'Fluxos de Recebimento'!$I$63:$BH$63, 0)),0)*INDEX($E:$E, MATCH(BC$2, $B:$B, 0))</f>
        <v>0</v>
      </c>
      <c r="BD12" s="193">
        <f>IFERROR(INDEX('Fluxos de Recebimento'!$I$7:$BH$58, MATCH(Curvas!$AB12, 'Fluxos de Recebimento'!$F$7:$F$58, 0), MATCH(Curvas!BD$2,'Fluxos de Recebimento'!$I$5:$BH$5, 0))+INDEX('Fluxos de Recebimento'!$I$65:$BH$116, MATCH(Curvas!$AB12, 'Fluxos de Recebimento'!$F$65:$F$116, 0), MATCH(Curvas!BD$2, 'Fluxos de Recebimento'!$I$63:$BH$63, 0)),0)*INDEX($E:$E, MATCH(BD$2, $B:$B, 0))</f>
        <v>0</v>
      </c>
      <c r="BE12" s="193">
        <f>IFERROR(INDEX('Fluxos de Recebimento'!$I$7:$BH$58, MATCH(Curvas!$AB12, 'Fluxos de Recebimento'!$F$7:$F$58, 0), MATCH(Curvas!BE$2,'Fluxos de Recebimento'!$I$5:$BH$5, 0))+INDEX('Fluxos de Recebimento'!$I$65:$BH$116, MATCH(Curvas!$AB12, 'Fluxos de Recebimento'!$F$65:$F$116, 0), MATCH(Curvas!BE$2, 'Fluxos de Recebimento'!$I$63:$BH$63, 0)),0)*INDEX($E:$E, MATCH(BE$2, $B:$B, 0))</f>
        <v>0</v>
      </c>
      <c r="BF12" s="193">
        <f>IFERROR(INDEX('Fluxos de Recebimento'!$I$7:$BH$58, MATCH(Curvas!$AB12, 'Fluxos de Recebimento'!$F$7:$F$58, 0), MATCH(Curvas!BF$2,'Fluxos de Recebimento'!$I$5:$BH$5, 0))+INDEX('Fluxos de Recebimento'!$I$65:$BH$116, MATCH(Curvas!$AB12, 'Fluxos de Recebimento'!$F$65:$F$116, 0), MATCH(Curvas!BF$2, 'Fluxos de Recebimento'!$I$63:$BH$63, 0)),0)*INDEX($E:$E, MATCH(BF$2, $B:$B, 0))</f>
        <v>0</v>
      </c>
      <c r="BG12" s="193">
        <f>IFERROR(INDEX('Fluxos de Recebimento'!$I$7:$BH$58, MATCH(Curvas!$AB12, 'Fluxos de Recebimento'!$F$7:$F$58, 0), MATCH(Curvas!BG$2,'Fluxos de Recebimento'!$I$5:$BH$5, 0))+INDEX('Fluxos de Recebimento'!$I$65:$BH$116, MATCH(Curvas!$AB12, 'Fluxos de Recebimento'!$F$65:$F$116, 0), MATCH(Curvas!BG$2, 'Fluxos de Recebimento'!$I$63:$BH$63, 0)),0)*INDEX($E:$E, MATCH(BG$2, $B:$B, 0))</f>
        <v>0</v>
      </c>
      <c r="BH12" s="193">
        <f>IFERROR(INDEX('Fluxos de Recebimento'!$I$7:$BH$58, MATCH(Curvas!$AB12, 'Fluxos de Recebimento'!$F$7:$F$58, 0), MATCH(Curvas!BH$2,'Fluxos de Recebimento'!$I$5:$BH$5, 0))+INDEX('Fluxos de Recebimento'!$I$65:$BH$116, MATCH(Curvas!$AB12, 'Fluxos de Recebimento'!$F$65:$F$116, 0), MATCH(Curvas!BH$2, 'Fluxos de Recebimento'!$I$63:$BH$63, 0)),0)*INDEX($E:$E, MATCH(BH$2, $B:$B, 0))</f>
        <v>0</v>
      </c>
      <c r="BI12" s="193">
        <f>IFERROR(INDEX('Fluxos de Recebimento'!$I$7:$BH$58, MATCH(Curvas!$AB12, 'Fluxos de Recebimento'!$F$7:$F$58, 0), MATCH(Curvas!BI$2,'Fluxos de Recebimento'!$I$5:$BH$5, 0))+INDEX('Fluxos de Recebimento'!$I$65:$BH$116, MATCH(Curvas!$AB12, 'Fluxos de Recebimento'!$F$65:$F$116, 0), MATCH(Curvas!BI$2, 'Fluxos de Recebimento'!$I$63:$BH$63, 0)),0)*INDEX($E:$E, MATCH(BI$2, $B:$B, 0))</f>
        <v>0</v>
      </c>
      <c r="BJ12" s="193">
        <f>IFERROR(INDEX('Fluxos de Recebimento'!$I$7:$BH$58, MATCH(Curvas!$AB12, 'Fluxos de Recebimento'!$F$7:$F$58, 0), MATCH(Curvas!BJ$2,'Fluxos de Recebimento'!$I$5:$BH$5, 0))+INDEX('Fluxos de Recebimento'!$I$65:$BH$116, MATCH(Curvas!$AB12, 'Fluxos de Recebimento'!$F$65:$F$116, 0), MATCH(Curvas!BJ$2, 'Fluxos de Recebimento'!$I$63:$BH$63, 0)),0)*INDEX($E:$E, MATCH(BJ$2, $B:$B, 0))</f>
        <v>0</v>
      </c>
      <c r="BK12" s="193">
        <f>IFERROR(INDEX('Fluxos de Recebimento'!$I$7:$BH$58, MATCH(Curvas!$AB12, 'Fluxos de Recebimento'!$F$7:$F$58, 0), MATCH(Curvas!BK$2,'Fluxos de Recebimento'!$I$5:$BH$5, 0))+INDEX('Fluxos de Recebimento'!$I$65:$BH$116, MATCH(Curvas!$AB12, 'Fluxos de Recebimento'!$F$65:$F$116, 0), MATCH(Curvas!BK$2, 'Fluxos de Recebimento'!$I$63:$BH$63, 0)),0)*INDEX($E:$E, MATCH(BK$2, $B:$B, 0))</f>
        <v>0</v>
      </c>
      <c r="BL12" s="193">
        <f>IFERROR(INDEX('Fluxos de Recebimento'!$I$7:$BH$58, MATCH(Curvas!$AB12, 'Fluxos de Recebimento'!$F$7:$F$58, 0), MATCH(Curvas!BL$2,'Fluxos de Recebimento'!$I$5:$BH$5, 0))+INDEX('Fluxos de Recebimento'!$I$65:$BH$116, MATCH(Curvas!$AB12, 'Fluxos de Recebimento'!$F$65:$F$116, 0), MATCH(Curvas!BL$2, 'Fluxos de Recebimento'!$I$63:$BH$63, 0)),0)*INDEX($E:$E, MATCH(BL$2, $B:$B, 0))</f>
        <v>0</v>
      </c>
      <c r="BM12" s="193">
        <f>IFERROR(INDEX('Fluxos de Recebimento'!$I$7:$BH$58, MATCH(Curvas!$AB12, 'Fluxos de Recebimento'!$F$7:$F$58, 0), MATCH(Curvas!BM$2,'Fluxos de Recebimento'!$I$5:$BH$5, 0))+INDEX('Fluxos de Recebimento'!$I$65:$BH$116, MATCH(Curvas!$AB12, 'Fluxos de Recebimento'!$F$65:$F$116, 0), MATCH(Curvas!BM$2, 'Fluxos de Recebimento'!$I$63:$BH$63, 0)),0)*INDEX($E:$E, MATCH(BM$2, $B:$B, 0))</f>
        <v>0</v>
      </c>
      <c r="BN12" s="193">
        <f>IFERROR(INDEX('Fluxos de Recebimento'!$I$7:$BH$58, MATCH(Curvas!$AB12, 'Fluxos de Recebimento'!$F$7:$F$58, 0), MATCH(Curvas!BN$2,'Fluxos de Recebimento'!$I$5:$BH$5, 0))+INDEX('Fluxos de Recebimento'!$I$65:$BH$116, MATCH(Curvas!$AB12, 'Fluxos de Recebimento'!$F$65:$F$116, 0), MATCH(Curvas!BN$2, 'Fluxos de Recebimento'!$I$63:$BH$63, 0)),0)*INDEX($E:$E, MATCH(BN$2, $B:$B, 0))</f>
        <v>0</v>
      </c>
      <c r="BO12" s="193">
        <f>IFERROR(INDEX('Fluxos de Recebimento'!$I$7:$BH$58, MATCH(Curvas!$AB12, 'Fluxos de Recebimento'!$F$7:$F$58, 0), MATCH(Curvas!BO$2,'Fluxos de Recebimento'!$I$5:$BH$5, 0))+INDEX('Fluxos de Recebimento'!$I$65:$BH$116, MATCH(Curvas!$AB12, 'Fluxos de Recebimento'!$F$65:$F$116, 0), MATCH(Curvas!BO$2, 'Fluxos de Recebimento'!$I$63:$BH$63, 0)),0)*INDEX($E:$E, MATCH(BO$2, $B:$B, 0))</f>
        <v>0</v>
      </c>
      <c r="BP12" s="193">
        <f>IFERROR(INDEX('Fluxos de Recebimento'!$I$7:$BH$58, MATCH(Curvas!$AB12, 'Fluxos de Recebimento'!$F$7:$F$58, 0), MATCH(Curvas!BP$2,'Fluxos de Recebimento'!$I$5:$BH$5, 0))+INDEX('Fluxos de Recebimento'!$I$65:$BH$116, MATCH(Curvas!$AB12, 'Fluxos de Recebimento'!$F$65:$F$116, 0), MATCH(Curvas!BP$2, 'Fluxos de Recebimento'!$I$63:$BH$63, 0)),0)*INDEX($E:$E, MATCH(BP$2, $B:$B, 0))</f>
        <v>0</v>
      </c>
      <c r="BQ12" s="193">
        <f>IFERROR(INDEX('Fluxos de Recebimento'!$I$7:$BH$58, MATCH(Curvas!$AB12, 'Fluxos de Recebimento'!$F$7:$F$58, 0), MATCH(Curvas!BQ$2,'Fluxos de Recebimento'!$I$5:$BH$5, 0))+INDEX('Fluxos de Recebimento'!$I$65:$BH$116, MATCH(Curvas!$AB12, 'Fluxos de Recebimento'!$F$65:$F$116, 0), MATCH(Curvas!BQ$2, 'Fluxos de Recebimento'!$I$63:$BH$63, 0)),0)*INDEX($E:$E, MATCH(BQ$2, $B:$B, 0))</f>
        <v>0</v>
      </c>
      <c r="BR12" s="193">
        <f>IFERROR(INDEX('Fluxos de Recebimento'!$I$7:$BH$58, MATCH(Curvas!$AB12, 'Fluxos de Recebimento'!$F$7:$F$58, 0), MATCH(Curvas!BR$2,'Fluxos de Recebimento'!$I$5:$BH$5, 0))+INDEX('Fluxos de Recebimento'!$I$65:$BH$116, MATCH(Curvas!$AB12, 'Fluxos de Recebimento'!$F$65:$F$116, 0), MATCH(Curvas!BR$2, 'Fluxos de Recebimento'!$I$63:$BH$63, 0)),0)*INDEX($E:$E, MATCH(BR$2, $B:$B, 0))</f>
        <v>0</v>
      </c>
      <c r="BS12" s="193">
        <f>IFERROR(INDEX('Fluxos de Recebimento'!$I$7:$BH$58, MATCH(Curvas!$AB12, 'Fluxos de Recebimento'!$F$7:$F$58, 0), MATCH(Curvas!BS$2,'Fluxos de Recebimento'!$I$5:$BH$5, 0))+INDEX('Fluxos de Recebimento'!$I$65:$BH$116, MATCH(Curvas!$AB12, 'Fluxos de Recebimento'!$F$65:$F$116, 0), MATCH(Curvas!BS$2, 'Fluxos de Recebimento'!$I$63:$BH$63, 0)),0)*INDEX($E:$E, MATCH(BS$2, $B:$B, 0))</f>
        <v>0</v>
      </c>
      <c r="BT12" s="193">
        <f>IFERROR(INDEX('Fluxos de Recebimento'!$I$7:$BH$58, MATCH(Curvas!$AB12, 'Fluxos de Recebimento'!$F$7:$F$58, 0), MATCH(Curvas!BT$2,'Fluxos de Recebimento'!$I$5:$BH$5, 0))+INDEX('Fluxos de Recebimento'!$I$65:$BH$116, MATCH(Curvas!$AB12, 'Fluxos de Recebimento'!$F$65:$F$116, 0), MATCH(Curvas!BT$2, 'Fluxos de Recebimento'!$I$63:$BH$63, 0)),0)*INDEX($E:$E, MATCH(BT$2, $B:$B, 0))</f>
        <v>0</v>
      </c>
      <c r="BU12" s="193">
        <f>IFERROR(INDEX('Fluxos de Recebimento'!$I$7:$BH$58, MATCH(Curvas!$AB12, 'Fluxos de Recebimento'!$F$7:$F$58, 0), MATCH(Curvas!BU$2,'Fluxos de Recebimento'!$I$5:$BH$5, 0))+INDEX('Fluxos de Recebimento'!$I$65:$BH$116, MATCH(Curvas!$AB12, 'Fluxos de Recebimento'!$F$65:$F$116, 0), MATCH(Curvas!BU$2, 'Fluxos de Recebimento'!$I$63:$BH$63, 0)),0)*INDEX($E:$E, MATCH(BU$2, $B:$B, 0))</f>
        <v>0</v>
      </c>
      <c r="BV12" s="193">
        <f>IFERROR(INDEX('Fluxos de Recebimento'!$I$7:$BH$58, MATCH(Curvas!$AB12, 'Fluxos de Recebimento'!$F$7:$F$58, 0), MATCH(Curvas!BV$2,'Fluxos de Recebimento'!$I$5:$BH$5, 0))+INDEX('Fluxos de Recebimento'!$I$65:$BH$116, MATCH(Curvas!$AB12, 'Fluxos de Recebimento'!$F$65:$F$116, 0), MATCH(Curvas!BV$2, 'Fluxos de Recebimento'!$I$63:$BH$63, 0)),0)*INDEX($E:$E, MATCH(BV$2, $B:$B, 0))</f>
        <v>0</v>
      </c>
      <c r="BW12" s="193">
        <f>IFERROR(INDEX('Fluxos de Recebimento'!$I$7:$BH$58, MATCH(Curvas!$AB12, 'Fluxos de Recebimento'!$F$7:$F$58, 0), MATCH(Curvas!BW$2,'Fluxos de Recebimento'!$I$5:$BH$5, 0))+INDEX('Fluxos de Recebimento'!$I$65:$BH$116, MATCH(Curvas!$AB12, 'Fluxos de Recebimento'!$F$65:$F$116, 0), MATCH(Curvas!BW$2, 'Fluxos de Recebimento'!$I$63:$BH$63, 0)),0)*INDEX($E:$E, MATCH(BW$2, $B:$B, 0))</f>
        <v>0</v>
      </c>
      <c r="BX12" s="193">
        <f>IFERROR(INDEX('Fluxos de Recebimento'!$I$7:$BH$58, MATCH(Curvas!$AB12, 'Fluxos de Recebimento'!$F$7:$F$58, 0), MATCH(Curvas!BX$2,'Fluxos de Recebimento'!$I$5:$BH$5, 0))+INDEX('Fluxos de Recebimento'!$I$65:$BH$116, MATCH(Curvas!$AB12, 'Fluxos de Recebimento'!$F$65:$F$116, 0), MATCH(Curvas!BX$2, 'Fluxos de Recebimento'!$I$63:$BH$63, 0)),0)*INDEX($E:$E, MATCH(BX$2, $B:$B, 0))</f>
        <v>0</v>
      </c>
      <c r="BY12" s="193">
        <f>IFERROR(INDEX('Fluxos de Recebimento'!$I$7:$BH$58, MATCH(Curvas!$AB12, 'Fluxos de Recebimento'!$F$7:$F$58, 0), MATCH(Curvas!BY$2,'Fluxos de Recebimento'!$I$5:$BH$5, 0))+INDEX('Fluxos de Recebimento'!$I$65:$BH$116, MATCH(Curvas!$AB12, 'Fluxos de Recebimento'!$F$65:$F$116, 0), MATCH(Curvas!BY$2, 'Fluxos de Recebimento'!$I$63:$BH$63, 0)),0)*INDEX($E:$E, MATCH(BY$2, $B:$B, 0))</f>
        <v>0</v>
      </c>
      <c r="BZ12" s="193">
        <f>IFERROR(INDEX('Fluxos de Recebimento'!$I$7:$BH$58, MATCH(Curvas!$AB12, 'Fluxos de Recebimento'!$F$7:$F$58, 0), MATCH(Curvas!BZ$2,'Fluxos de Recebimento'!$I$5:$BH$5, 0))+INDEX('Fluxos de Recebimento'!$I$65:$BH$116, MATCH(Curvas!$AB12, 'Fluxos de Recebimento'!$F$65:$F$116, 0), MATCH(Curvas!BZ$2, 'Fluxos de Recebimento'!$I$63:$BH$63, 0)),0)*INDEX($E:$E, MATCH(BZ$2, $B:$B, 0))</f>
        <v>0</v>
      </c>
      <c r="CA12" s="193">
        <f>IFERROR(INDEX('Fluxos de Recebimento'!$I$7:$BH$58, MATCH(Curvas!$AB12, 'Fluxos de Recebimento'!$F$7:$F$58, 0), MATCH(Curvas!CA$2,'Fluxos de Recebimento'!$I$5:$BH$5, 0))+INDEX('Fluxos de Recebimento'!$I$65:$BH$116, MATCH(Curvas!$AB12, 'Fluxos de Recebimento'!$F$65:$F$116, 0), MATCH(Curvas!CA$2, 'Fluxos de Recebimento'!$I$63:$BH$63, 0)),0)*INDEX($E:$E, MATCH(CA$2, $B:$B, 0))</f>
        <v>0</v>
      </c>
      <c r="CB12" s="193">
        <f>IFERROR(INDEX('Fluxos de Recebimento'!$I$7:$BH$58, MATCH(Curvas!$AB12, 'Fluxos de Recebimento'!$F$7:$F$58, 0), MATCH(Curvas!CB$2,'Fluxos de Recebimento'!$I$5:$BH$5, 0))+INDEX('Fluxos de Recebimento'!$I$65:$BH$116, MATCH(Curvas!$AB12, 'Fluxos de Recebimento'!$F$65:$F$116, 0), MATCH(Curvas!CB$2, 'Fluxos de Recebimento'!$I$63:$BH$63, 0)),0)*INDEX($E:$E, MATCH(CB$2, $B:$B, 0))</f>
        <v>0</v>
      </c>
      <c r="CC12" s="193">
        <f>IFERROR(INDEX('Fluxos de Recebimento'!$I$7:$BH$58, MATCH(Curvas!$AB12, 'Fluxos de Recebimento'!$F$7:$F$58, 0), MATCH(Curvas!CC$2,'Fluxos de Recebimento'!$I$5:$BH$5, 0))+INDEX('Fluxos de Recebimento'!$I$65:$BH$116, MATCH(Curvas!$AB12, 'Fluxos de Recebimento'!$F$65:$F$116, 0), MATCH(Curvas!CC$2, 'Fluxos de Recebimento'!$I$63:$BH$63, 0)),0)*INDEX($E:$E, MATCH(CC$2, $B:$B, 0))</f>
        <v>0</v>
      </c>
    </row>
    <row r="13" spans="1:81" x14ac:dyDescent="0.25">
      <c r="A13" s="2"/>
      <c r="B13" s="477">
        <f t="shared" si="16"/>
        <v>44440</v>
      </c>
      <c r="C13" s="52">
        <f t="shared" si="17"/>
        <v>10</v>
      </c>
      <c r="D13" s="2"/>
      <c r="E13" s="187">
        <f t="shared" si="4"/>
        <v>2.298850574712644E-2</v>
      </c>
      <c r="F13" s="48">
        <f t="shared" si="18"/>
        <v>0.22988505747126439</v>
      </c>
      <c r="G13" s="46">
        <f t="shared" ca="1" si="5"/>
        <v>0</v>
      </c>
      <c r="H13" s="48">
        <f t="shared" ca="1" si="19"/>
        <v>0</v>
      </c>
      <c r="I13" s="2"/>
      <c r="J13" s="69">
        <f t="shared" si="6"/>
        <v>16</v>
      </c>
      <c r="K13" s="479">
        <f t="shared" ca="1" si="7"/>
        <v>0</v>
      </c>
      <c r="L13" s="70">
        <f t="shared" ca="1" si="8"/>
        <v>16</v>
      </c>
      <c r="M13" s="2"/>
      <c r="N13" s="69">
        <f t="shared" si="9"/>
        <v>21</v>
      </c>
      <c r="O13" s="479">
        <f t="shared" si="10"/>
        <v>0</v>
      </c>
      <c r="P13" s="70">
        <f t="shared" si="11"/>
        <v>21</v>
      </c>
      <c r="Q13" s="2"/>
      <c r="R13" s="71">
        <f t="shared" si="12"/>
        <v>37</v>
      </c>
      <c r="S13" s="196"/>
      <c r="T13" s="46">
        <v>2.316847763875661E-2</v>
      </c>
      <c r="U13" s="48">
        <f t="shared" si="20"/>
        <v>0.11182171075233219</v>
      </c>
      <c r="V13" s="2"/>
      <c r="W13" s="56">
        <f t="shared" si="21"/>
        <v>10</v>
      </c>
      <c r="X13" s="48">
        <v>0</v>
      </c>
      <c r="Y13" s="2"/>
      <c r="Z13" s="194">
        <f t="shared" si="13"/>
        <v>2.8939373876905117E-3</v>
      </c>
      <c r="AA13" s="2"/>
      <c r="AB13" s="477">
        <f t="shared" si="14"/>
        <v>44440</v>
      </c>
      <c r="AC13" s="52">
        <f t="shared" si="15"/>
        <v>10</v>
      </c>
      <c r="AD13" s="193">
        <f>IFERROR(INDEX('Fluxos de Recebimento'!$I$7:$BH$58, MATCH(Curvas!$AB13, 'Fluxos de Recebimento'!$F$7:$F$58, 0), MATCH(Curvas!AD$2,'Fluxos de Recebimento'!$I$5:$BH$5, 0))+INDEX('Fluxos de Recebimento'!$I$65:$BH$116, MATCH(Curvas!$AB13, 'Fluxos de Recebimento'!$F$65:$F$116, 0), MATCH(Curvas!AD$2, 'Fluxos de Recebimento'!$I$63:$BH$63, 0)),0)*INDEX($E:$E, MATCH(AD$2, $B:$B, 0))</f>
        <v>1.6420361247947458E-4</v>
      </c>
      <c r="AE13" s="193">
        <f>IFERROR(INDEX('Fluxos de Recebimento'!$I$7:$BH$58, MATCH(Curvas!$AB13, 'Fluxos de Recebimento'!$F$7:$F$58, 0), MATCH(Curvas!AE$2,'Fluxos de Recebimento'!$I$5:$BH$5, 0))+INDEX('Fluxos de Recebimento'!$I$65:$BH$116, MATCH(Curvas!$AB13, 'Fluxos de Recebimento'!$F$65:$F$116, 0), MATCH(Curvas!AE$2, 'Fluxos de Recebimento'!$I$63:$BH$63, 0)),0)*INDEX($E:$E, MATCH(AE$2, $B:$B, 0))</f>
        <v>1.7028522775649216E-4</v>
      </c>
      <c r="AF13" s="193">
        <f>IFERROR(INDEX('Fluxos de Recebimento'!$I$7:$BH$58, MATCH(Curvas!$AB13, 'Fluxos de Recebimento'!$F$7:$F$58, 0), MATCH(Curvas!AF$2,'Fluxos de Recebimento'!$I$5:$BH$5, 0))+INDEX('Fluxos de Recebimento'!$I$65:$BH$116, MATCH(Curvas!$AB13, 'Fluxos de Recebimento'!$F$65:$F$116, 0), MATCH(Curvas!AF$2, 'Fluxos de Recebimento'!$I$63:$BH$63, 0)),0)*INDEX($E:$E, MATCH(AF$2, $B:$B, 0))</f>
        <v>1.7683465959328031E-4</v>
      </c>
      <c r="AG13" s="193">
        <f>IFERROR(INDEX('Fluxos de Recebimento'!$I$7:$BH$58, MATCH(Curvas!$AB13, 'Fluxos de Recebimento'!$F$7:$F$58, 0), MATCH(Curvas!AG$2,'Fluxos de Recebimento'!$I$5:$BH$5, 0))+INDEX('Fluxos de Recebimento'!$I$65:$BH$116, MATCH(Curvas!$AB13, 'Fluxos de Recebimento'!$F$65:$F$116, 0), MATCH(Curvas!AG$2, 'Fluxos de Recebimento'!$I$63:$BH$63, 0)),0)*INDEX($E:$E, MATCH(AG$2, $B:$B, 0))</f>
        <v>1.8390804597701152E-4</v>
      </c>
      <c r="AH13" s="193">
        <f>IFERROR(INDEX('Fluxos de Recebimento'!$I$7:$BH$58, MATCH(Curvas!$AB13, 'Fluxos de Recebimento'!$F$7:$F$58, 0), MATCH(Curvas!AH$2,'Fluxos de Recebimento'!$I$5:$BH$5, 0))+INDEX('Fluxos de Recebimento'!$I$65:$BH$116, MATCH(Curvas!$AB13, 'Fluxos de Recebimento'!$F$65:$F$116, 0), MATCH(Curvas!AH$2, 'Fluxos de Recebimento'!$I$63:$BH$63, 0)),0)*INDEX($E:$E, MATCH(AH$2, $B:$B, 0))</f>
        <v>1.9157088122605367E-4</v>
      </c>
      <c r="AI13" s="193">
        <f>IFERROR(INDEX('Fluxos de Recebimento'!$I$7:$BH$58, MATCH(Curvas!$AB13, 'Fluxos de Recebimento'!$F$7:$F$58, 0), MATCH(Curvas!AI$2,'Fluxos de Recebimento'!$I$5:$BH$5, 0))+INDEX('Fluxos de Recebimento'!$I$65:$BH$116, MATCH(Curvas!$AB13, 'Fluxos de Recebimento'!$F$65:$F$116, 0), MATCH(Curvas!AI$2, 'Fluxos de Recebimento'!$I$63:$BH$63, 0)),0)*INDEX($E:$E, MATCH(AI$2, $B:$B, 0))</f>
        <v>1.9990004997501253E-4</v>
      </c>
      <c r="AJ13" s="193">
        <f>IFERROR(INDEX('Fluxos de Recebimento'!$I$7:$BH$58, MATCH(Curvas!$AB13, 'Fluxos de Recebimento'!$F$7:$F$58, 0), MATCH(Curvas!AJ$2,'Fluxos de Recebimento'!$I$5:$BH$5, 0))+INDEX('Fluxos de Recebimento'!$I$65:$BH$116, MATCH(Curvas!$AB13, 'Fluxos de Recebimento'!$F$65:$F$116, 0), MATCH(Curvas!AJ$2, 'Fluxos de Recebimento'!$I$63:$BH$63, 0)),0)*INDEX($E:$E, MATCH(AJ$2, $B:$B, 0))</f>
        <v>2.0898641588296767E-4</v>
      </c>
      <c r="AK13" s="193">
        <f>IFERROR(INDEX('Fluxos de Recebimento'!$I$7:$BH$58, MATCH(Curvas!$AB13, 'Fluxos de Recebimento'!$F$7:$F$58, 0), MATCH(Curvas!AK$2,'Fluxos de Recebimento'!$I$5:$BH$5, 0))+INDEX('Fluxos de Recebimento'!$I$65:$BH$116, MATCH(Curvas!$AB13, 'Fluxos de Recebimento'!$F$65:$F$116, 0), MATCH(Curvas!AK$2, 'Fluxos de Recebimento'!$I$63:$BH$63, 0)),0)*INDEX($E:$E, MATCH(AK$2, $B:$B, 0))</f>
        <v>2.1893814997263279E-4</v>
      </c>
      <c r="AL13" s="193">
        <f>IFERROR(INDEX('Fluxos de Recebimento'!$I$7:$BH$58, MATCH(Curvas!$AB13, 'Fluxos de Recebimento'!$F$7:$F$58, 0), MATCH(Curvas!AL$2,'Fluxos de Recebimento'!$I$5:$BH$5, 0))+INDEX('Fluxos de Recebimento'!$I$65:$BH$116, MATCH(Curvas!$AB13, 'Fluxos de Recebimento'!$F$65:$F$116, 0), MATCH(Curvas!AL$2, 'Fluxos de Recebimento'!$I$63:$BH$63, 0)),0)*INDEX($E:$E, MATCH(AL$2, $B:$B, 0))</f>
        <v>2.2988505747126441E-4</v>
      </c>
      <c r="AM13" s="193">
        <f>IFERROR(INDEX('Fluxos de Recebimento'!$I$7:$BH$58, MATCH(Curvas!$AB13, 'Fluxos de Recebimento'!$F$7:$F$58, 0), MATCH(Curvas!AM$2,'Fluxos de Recebimento'!$I$5:$BH$5, 0))+INDEX('Fluxos de Recebimento'!$I$65:$BH$116, MATCH(Curvas!$AB13, 'Fluxos de Recebimento'!$F$65:$F$116, 0), MATCH(Curvas!AM$2, 'Fluxos de Recebimento'!$I$63:$BH$63, 0)),0)*INDEX($E:$E, MATCH(AM$2, $B:$B, 0))</f>
        <v>1.149425287356322E-3</v>
      </c>
      <c r="AN13" s="193">
        <f>IFERROR(INDEX('Fluxos de Recebimento'!$I$7:$BH$58, MATCH(Curvas!$AB13, 'Fluxos de Recebimento'!$F$7:$F$58, 0), MATCH(Curvas!AN$2,'Fluxos de Recebimento'!$I$5:$BH$5, 0))+INDEX('Fluxos de Recebimento'!$I$65:$BH$116, MATCH(Curvas!$AB13, 'Fluxos de Recebimento'!$F$65:$F$116, 0), MATCH(Curvas!AN$2, 'Fluxos de Recebimento'!$I$63:$BH$63, 0)),0)*INDEX($E:$E, MATCH(AN$2, $B:$B, 0))</f>
        <v>0</v>
      </c>
      <c r="AO13" s="193">
        <f>IFERROR(INDEX('Fluxos de Recebimento'!$I$7:$BH$58, MATCH(Curvas!$AB13, 'Fluxos de Recebimento'!$F$7:$F$58, 0), MATCH(Curvas!AO$2,'Fluxos de Recebimento'!$I$5:$BH$5, 0))+INDEX('Fluxos de Recebimento'!$I$65:$BH$116, MATCH(Curvas!$AB13, 'Fluxos de Recebimento'!$F$65:$F$116, 0), MATCH(Curvas!AO$2, 'Fluxos de Recebimento'!$I$63:$BH$63, 0)),0)*INDEX($E:$E, MATCH(AO$2, $B:$B, 0))</f>
        <v>0</v>
      </c>
      <c r="AP13" s="193">
        <f>IFERROR(INDEX('Fluxos de Recebimento'!$I$7:$BH$58, MATCH(Curvas!$AB13, 'Fluxos de Recebimento'!$F$7:$F$58, 0), MATCH(Curvas!AP$2,'Fluxos de Recebimento'!$I$5:$BH$5, 0))+INDEX('Fluxos de Recebimento'!$I$65:$BH$116, MATCH(Curvas!$AB13, 'Fluxos de Recebimento'!$F$65:$F$116, 0), MATCH(Curvas!AP$2, 'Fluxos de Recebimento'!$I$63:$BH$63, 0)),0)*INDEX($E:$E, MATCH(AP$2, $B:$B, 0))</f>
        <v>0</v>
      </c>
      <c r="AQ13" s="193">
        <f>IFERROR(INDEX('Fluxos de Recebimento'!$I$7:$BH$58, MATCH(Curvas!$AB13, 'Fluxos de Recebimento'!$F$7:$F$58, 0), MATCH(Curvas!AQ$2,'Fluxos de Recebimento'!$I$5:$BH$5, 0))+INDEX('Fluxos de Recebimento'!$I$65:$BH$116, MATCH(Curvas!$AB13, 'Fluxos de Recebimento'!$F$65:$F$116, 0), MATCH(Curvas!AQ$2, 'Fluxos de Recebimento'!$I$63:$BH$63, 0)),0)*INDEX($E:$E, MATCH(AQ$2, $B:$B, 0))</f>
        <v>0</v>
      </c>
      <c r="AR13" s="193">
        <f>IFERROR(INDEX('Fluxos de Recebimento'!$I$7:$BH$58, MATCH(Curvas!$AB13, 'Fluxos de Recebimento'!$F$7:$F$58, 0), MATCH(Curvas!AR$2,'Fluxos de Recebimento'!$I$5:$BH$5, 0))+INDEX('Fluxos de Recebimento'!$I$65:$BH$116, MATCH(Curvas!$AB13, 'Fluxos de Recebimento'!$F$65:$F$116, 0), MATCH(Curvas!AR$2, 'Fluxos de Recebimento'!$I$63:$BH$63, 0)),0)*INDEX($E:$E, MATCH(AR$2, $B:$B, 0))</f>
        <v>0</v>
      </c>
      <c r="AS13" s="193">
        <f>IFERROR(INDEX('Fluxos de Recebimento'!$I$7:$BH$58, MATCH(Curvas!$AB13, 'Fluxos de Recebimento'!$F$7:$F$58, 0), MATCH(Curvas!AS$2,'Fluxos de Recebimento'!$I$5:$BH$5, 0))+INDEX('Fluxos de Recebimento'!$I$65:$BH$116, MATCH(Curvas!$AB13, 'Fluxos de Recebimento'!$F$65:$F$116, 0), MATCH(Curvas!AS$2, 'Fluxos de Recebimento'!$I$63:$BH$63, 0)),0)*INDEX($E:$E, MATCH(AS$2, $B:$B, 0))</f>
        <v>0</v>
      </c>
      <c r="AT13" s="193">
        <f>IFERROR(INDEX('Fluxos de Recebimento'!$I$7:$BH$58, MATCH(Curvas!$AB13, 'Fluxos de Recebimento'!$F$7:$F$58, 0), MATCH(Curvas!AT$2,'Fluxos de Recebimento'!$I$5:$BH$5, 0))+INDEX('Fluxos de Recebimento'!$I$65:$BH$116, MATCH(Curvas!$AB13, 'Fluxos de Recebimento'!$F$65:$F$116, 0), MATCH(Curvas!AT$2, 'Fluxos de Recebimento'!$I$63:$BH$63, 0)),0)*INDEX($E:$E, MATCH(AT$2, $B:$B, 0))</f>
        <v>0</v>
      </c>
      <c r="AU13" s="193">
        <f>IFERROR(INDEX('Fluxos de Recebimento'!$I$7:$BH$58, MATCH(Curvas!$AB13, 'Fluxos de Recebimento'!$F$7:$F$58, 0), MATCH(Curvas!AU$2,'Fluxos de Recebimento'!$I$5:$BH$5, 0))+INDEX('Fluxos de Recebimento'!$I$65:$BH$116, MATCH(Curvas!$AB13, 'Fluxos de Recebimento'!$F$65:$F$116, 0), MATCH(Curvas!AU$2, 'Fluxos de Recebimento'!$I$63:$BH$63, 0)),0)*INDEX($E:$E, MATCH(AU$2, $B:$B, 0))</f>
        <v>0</v>
      </c>
      <c r="AV13" s="193">
        <f>IFERROR(INDEX('Fluxos de Recebimento'!$I$7:$BH$58, MATCH(Curvas!$AB13, 'Fluxos de Recebimento'!$F$7:$F$58, 0), MATCH(Curvas!AV$2,'Fluxos de Recebimento'!$I$5:$BH$5, 0))+INDEX('Fluxos de Recebimento'!$I$65:$BH$116, MATCH(Curvas!$AB13, 'Fluxos de Recebimento'!$F$65:$F$116, 0), MATCH(Curvas!AV$2, 'Fluxos de Recebimento'!$I$63:$BH$63, 0)),0)*INDEX($E:$E, MATCH(AV$2, $B:$B, 0))</f>
        <v>0</v>
      </c>
      <c r="AW13" s="193">
        <f>IFERROR(INDEX('Fluxos de Recebimento'!$I$7:$BH$58, MATCH(Curvas!$AB13, 'Fluxos de Recebimento'!$F$7:$F$58, 0), MATCH(Curvas!AW$2,'Fluxos de Recebimento'!$I$5:$BH$5, 0))+INDEX('Fluxos de Recebimento'!$I$65:$BH$116, MATCH(Curvas!$AB13, 'Fluxos de Recebimento'!$F$65:$F$116, 0), MATCH(Curvas!AW$2, 'Fluxos de Recebimento'!$I$63:$BH$63, 0)),0)*INDEX($E:$E, MATCH(AW$2, $B:$B, 0))</f>
        <v>0</v>
      </c>
      <c r="AX13" s="193">
        <f>IFERROR(INDEX('Fluxos de Recebimento'!$I$7:$BH$58, MATCH(Curvas!$AB13, 'Fluxos de Recebimento'!$F$7:$F$58, 0), MATCH(Curvas!AX$2,'Fluxos de Recebimento'!$I$5:$BH$5, 0))+INDEX('Fluxos de Recebimento'!$I$65:$BH$116, MATCH(Curvas!$AB13, 'Fluxos de Recebimento'!$F$65:$F$116, 0), MATCH(Curvas!AX$2, 'Fluxos de Recebimento'!$I$63:$BH$63, 0)),0)*INDEX($E:$E, MATCH(AX$2, $B:$B, 0))</f>
        <v>0</v>
      </c>
      <c r="AY13" s="193">
        <f>IFERROR(INDEX('Fluxos de Recebimento'!$I$7:$BH$58, MATCH(Curvas!$AB13, 'Fluxos de Recebimento'!$F$7:$F$58, 0), MATCH(Curvas!AY$2,'Fluxos de Recebimento'!$I$5:$BH$5, 0))+INDEX('Fluxos de Recebimento'!$I$65:$BH$116, MATCH(Curvas!$AB13, 'Fluxos de Recebimento'!$F$65:$F$116, 0), MATCH(Curvas!AY$2, 'Fluxos de Recebimento'!$I$63:$BH$63, 0)),0)*INDEX($E:$E, MATCH(AY$2, $B:$B, 0))</f>
        <v>0</v>
      </c>
      <c r="AZ13" s="193">
        <f>IFERROR(INDEX('Fluxos de Recebimento'!$I$7:$BH$58, MATCH(Curvas!$AB13, 'Fluxos de Recebimento'!$F$7:$F$58, 0), MATCH(Curvas!AZ$2,'Fluxos de Recebimento'!$I$5:$BH$5, 0))+INDEX('Fluxos de Recebimento'!$I$65:$BH$116, MATCH(Curvas!$AB13, 'Fluxos de Recebimento'!$F$65:$F$116, 0), MATCH(Curvas!AZ$2, 'Fluxos de Recebimento'!$I$63:$BH$63, 0)),0)*INDEX($E:$E, MATCH(AZ$2, $B:$B, 0))</f>
        <v>0</v>
      </c>
      <c r="BA13" s="193">
        <f>IFERROR(INDEX('Fluxos de Recebimento'!$I$7:$BH$58, MATCH(Curvas!$AB13, 'Fluxos de Recebimento'!$F$7:$F$58, 0), MATCH(Curvas!BA$2,'Fluxos de Recebimento'!$I$5:$BH$5, 0))+INDEX('Fluxos de Recebimento'!$I$65:$BH$116, MATCH(Curvas!$AB13, 'Fluxos de Recebimento'!$F$65:$F$116, 0), MATCH(Curvas!BA$2, 'Fluxos de Recebimento'!$I$63:$BH$63, 0)),0)*INDEX($E:$E, MATCH(BA$2, $B:$B, 0))</f>
        <v>0</v>
      </c>
      <c r="BB13" s="193">
        <f>IFERROR(INDEX('Fluxos de Recebimento'!$I$7:$BH$58, MATCH(Curvas!$AB13, 'Fluxos de Recebimento'!$F$7:$F$58, 0), MATCH(Curvas!BB$2,'Fluxos de Recebimento'!$I$5:$BH$5, 0))+INDEX('Fluxos de Recebimento'!$I$65:$BH$116, MATCH(Curvas!$AB13, 'Fluxos de Recebimento'!$F$65:$F$116, 0), MATCH(Curvas!BB$2, 'Fluxos de Recebimento'!$I$63:$BH$63, 0)),0)*INDEX($E:$E, MATCH(BB$2, $B:$B, 0))</f>
        <v>0</v>
      </c>
      <c r="BC13" s="193">
        <f>IFERROR(INDEX('Fluxos de Recebimento'!$I$7:$BH$58, MATCH(Curvas!$AB13, 'Fluxos de Recebimento'!$F$7:$F$58, 0), MATCH(Curvas!BC$2,'Fluxos de Recebimento'!$I$5:$BH$5, 0))+INDEX('Fluxos de Recebimento'!$I$65:$BH$116, MATCH(Curvas!$AB13, 'Fluxos de Recebimento'!$F$65:$F$116, 0), MATCH(Curvas!BC$2, 'Fluxos de Recebimento'!$I$63:$BH$63, 0)),0)*INDEX($E:$E, MATCH(BC$2, $B:$B, 0))</f>
        <v>0</v>
      </c>
      <c r="BD13" s="193">
        <f>IFERROR(INDEX('Fluxos de Recebimento'!$I$7:$BH$58, MATCH(Curvas!$AB13, 'Fluxos de Recebimento'!$F$7:$F$58, 0), MATCH(Curvas!BD$2,'Fluxos de Recebimento'!$I$5:$BH$5, 0))+INDEX('Fluxos de Recebimento'!$I$65:$BH$116, MATCH(Curvas!$AB13, 'Fluxos de Recebimento'!$F$65:$F$116, 0), MATCH(Curvas!BD$2, 'Fluxos de Recebimento'!$I$63:$BH$63, 0)),0)*INDEX($E:$E, MATCH(BD$2, $B:$B, 0))</f>
        <v>0</v>
      </c>
      <c r="BE13" s="193">
        <f>IFERROR(INDEX('Fluxos de Recebimento'!$I$7:$BH$58, MATCH(Curvas!$AB13, 'Fluxos de Recebimento'!$F$7:$F$58, 0), MATCH(Curvas!BE$2,'Fluxos de Recebimento'!$I$5:$BH$5, 0))+INDEX('Fluxos de Recebimento'!$I$65:$BH$116, MATCH(Curvas!$AB13, 'Fluxos de Recebimento'!$F$65:$F$116, 0), MATCH(Curvas!BE$2, 'Fluxos de Recebimento'!$I$63:$BH$63, 0)),0)*INDEX($E:$E, MATCH(BE$2, $B:$B, 0))</f>
        <v>0</v>
      </c>
      <c r="BF13" s="193">
        <f>IFERROR(INDEX('Fluxos de Recebimento'!$I$7:$BH$58, MATCH(Curvas!$AB13, 'Fluxos de Recebimento'!$F$7:$F$58, 0), MATCH(Curvas!BF$2,'Fluxos de Recebimento'!$I$5:$BH$5, 0))+INDEX('Fluxos de Recebimento'!$I$65:$BH$116, MATCH(Curvas!$AB13, 'Fluxos de Recebimento'!$F$65:$F$116, 0), MATCH(Curvas!BF$2, 'Fluxos de Recebimento'!$I$63:$BH$63, 0)),0)*INDEX($E:$E, MATCH(BF$2, $B:$B, 0))</f>
        <v>0</v>
      </c>
      <c r="BG13" s="193">
        <f>IFERROR(INDEX('Fluxos de Recebimento'!$I$7:$BH$58, MATCH(Curvas!$AB13, 'Fluxos de Recebimento'!$F$7:$F$58, 0), MATCH(Curvas!BG$2,'Fluxos de Recebimento'!$I$5:$BH$5, 0))+INDEX('Fluxos de Recebimento'!$I$65:$BH$116, MATCH(Curvas!$AB13, 'Fluxos de Recebimento'!$F$65:$F$116, 0), MATCH(Curvas!BG$2, 'Fluxos de Recebimento'!$I$63:$BH$63, 0)),0)*INDEX($E:$E, MATCH(BG$2, $B:$B, 0))</f>
        <v>0</v>
      </c>
      <c r="BH13" s="193">
        <f>IFERROR(INDEX('Fluxos de Recebimento'!$I$7:$BH$58, MATCH(Curvas!$AB13, 'Fluxos de Recebimento'!$F$7:$F$58, 0), MATCH(Curvas!BH$2,'Fluxos de Recebimento'!$I$5:$BH$5, 0))+INDEX('Fluxos de Recebimento'!$I$65:$BH$116, MATCH(Curvas!$AB13, 'Fluxos de Recebimento'!$F$65:$F$116, 0), MATCH(Curvas!BH$2, 'Fluxos de Recebimento'!$I$63:$BH$63, 0)),0)*INDEX($E:$E, MATCH(BH$2, $B:$B, 0))</f>
        <v>0</v>
      </c>
      <c r="BI13" s="193">
        <f>IFERROR(INDEX('Fluxos de Recebimento'!$I$7:$BH$58, MATCH(Curvas!$AB13, 'Fluxos de Recebimento'!$F$7:$F$58, 0), MATCH(Curvas!BI$2,'Fluxos de Recebimento'!$I$5:$BH$5, 0))+INDEX('Fluxos de Recebimento'!$I$65:$BH$116, MATCH(Curvas!$AB13, 'Fluxos de Recebimento'!$F$65:$F$116, 0), MATCH(Curvas!BI$2, 'Fluxos de Recebimento'!$I$63:$BH$63, 0)),0)*INDEX($E:$E, MATCH(BI$2, $B:$B, 0))</f>
        <v>0</v>
      </c>
      <c r="BJ13" s="193">
        <f>IFERROR(INDEX('Fluxos de Recebimento'!$I$7:$BH$58, MATCH(Curvas!$AB13, 'Fluxos de Recebimento'!$F$7:$F$58, 0), MATCH(Curvas!BJ$2,'Fluxos de Recebimento'!$I$5:$BH$5, 0))+INDEX('Fluxos de Recebimento'!$I$65:$BH$116, MATCH(Curvas!$AB13, 'Fluxos de Recebimento'!$F$65:$F$116, 0), MATCH(Curvas!BJ$2, 'Fluxos de Recebimento'!$I$63:$BH$63, 0)),0)*INDEX($E:$E, MATCH(BJ$2, $B:$B, 0))</f>
        <v>0</v>
      </c>
      <c r="BK13" s="193">
        <f>IFERROR(INDEX('Fluxos de Recebimento'!$I$7:$BH$58, MATCH(Curvas!$AB13, 'Fluxos de Recebimento'!$F$7:$F$58, 0), MATCH(Curvas!BK$2,'Fluxos de Recebimento'!$I$5:$BH$5, 0))+INDEX('Fluxos de Recebimento'!$I$65:$BH$116, MATCH(Curvas!$AB13, 'Fluxos de Recebimento'!$F$65:$F$116, 0), MATCH(Curvas!BK$2, 'Fluxos de Recebimento'!$I$63:$BH$63, 0)),0)*INDEX($E:$E, MATCH(BK$2, $B:$B, 0))</f>
        <v>0</v>
      </c>
      <c r="BL13" s="193">
        <f>IFERROR(INDEX('Fluxos de Recebimento'!$I$7:$BH$58, MATCH(Curvas!$AB13, 'Fluxos de Recebimento'!$F$7:$F$58, 0), MATCH(Curvas!BL$2,'Fluxos de Recebimento'!$I$5:$BH$5, 0))+INDEX('Fluxos de Recebimento'!$I$65:$BH$116, MATCH(Curvas!$AB13, 'Fluxos de Recebimento'!$F$65:$F$116, 0), MATCH(Curvas!BL$2, 'Fluxos de Recebimento'!$I$63:$BH$63, 0)),0)*INDEX($E:$E, MATCH(BL$2, $B:$B, 0))</f>
        <v>0</v>
      </c>
      <c r="BM13" s="193">
        <f>IFERROR(INDEX('Fluxos de Recebimento'!$I$7:$BH$58, MATCH(Curvas!$AB13, 'Fluxos de Recebimento'!$F$7:$F$58, 0), MATCH(Curvas!BM$2,'Fluxos de Recebimento'!$I$5:$BH$5, 0))+INDEX('Fluxos de Recebimento'!$I$65:$BH$116, MATCH(Curvas!$AB13, 'Fluxos de Recebimento'!$F$65:$F$116, 0), MATCH(Curvas!BM$2, 'Fluxos de Recebimento'!$I$63:$BH$63, 0)),0)*INDEX($E:$E, MATCH(BM$2, $B:$B, 0))</f>
        <v>0</v>
      </c>
      <c r="BN13" s="193">
        <f>IFERROR(INDEX('Fluxos de Recebimento'!$I$7:$BH$58, MATCH(Curvas!$AB13, 'Fluxos de Recebimento'!$F$7:$F$58, 0), MATCH(Curvas!BN$2,'Fluxos de Recebimento'!$I$5:$BH$5, 0))+INDEX('Fluxos de Recebimento'!$I$65:$BH$116, MATCH(Curvas!$AB13, 'Fluxos de Recebimento'!$F$65:$F$116, 0), MATCH(Curvas!BN$2, 'Fluxos de Recebimento'!$I$63:$BH$63, 0)),0)*INDEX($E:$E, MATCH(BN$2, $B:$B, 0))</f>
        <v>0</v>
      </c>
      <c r="BO13" s="193">
        <f>IFERROR(INDEX('Fluxos de Recebimento'!$I$7:$BH$58, MATCH(Curvas!$AB13, 'Fluxos de Recebimento'!$F$7:$F$58, 0), MATCH(Curvas!BO$2,'Fluxos de Recebimento'!$I$5:$BH$5, 0))+INDEX('Fluxos de Recebimento'!$I$65:$BH$116, MATCH(Curvas!$AB13, 'Fluxos de Recebimento'!$F$65:$F$116, 0), MATCH(Curvas!BO$2, 'Fluxos de Recebimento'!$I$63:$BH$63, 0)),0)*INDEX($E:$E, MATCH(BO$2, $B:$B, 0))</f>
        <v>0</v>
      </c>
      <c r="BP13" s="193">
        <f>IFERROR(INDEX('Fluxos de Recebimento'!$I$7:$BH$58, MATCH(Curvas!$AB13, 'Fluxos de Recebimento'!$F$7:$F$58, 0), MATCH(Curvas!BP$2,'Fluxos de Recebimento'!$I$5:$BH$5, 0))+INDEX('Fluxos de Recebimento'!$I$65:$BH$116, MATCH(Curvas!$AB13, 'Fluxos de Recebimento'!$F$65:$F$116, 0), MATCH(Curvas!BP$2, 'Fluxos de Recebimento'!$I$63:$BH$63, 0)),0)*INDEX($E:$E, MATCH(BP$2, $B:$B, 0))</f>
        <v>0</v>
      </c>
      <c r="BQ13" s="193">
        <f>IFERROR(INDEX('Fluxos de Recebimento'!$I$7:$BH$58, MATCH(Curvas!$AB13, 'Fluxos de Recebimento'!$F$7:$F$58, 0), MATCH(Curvas!BQ$2,'Fluxos de Recebimento'!$I$5:$BH$5, 0))+INDEX('Fluxos de Recebimento'!$I$65:$BH$116, MATCH(Curvas!$AB13, 'Fluxos de Recebimento'!$F$65:$F$116, 0), MATCH(Curvas!BQ$2, 'Fluxos de Recebimento'!$I$63:$BH$63, 0)),0)*INDEX($E:$E, MATCH(BQ$2, $B:$B, 0))</f>
        <v>0</v>
      </c>
      <c r="BR13" s="193">
        <f>IFERROR(INDEX('Fluxos de Recebimento'!$I$7:$BH$58, MATCH(Curvas!$AB13, 'Fluxos de Recebimento'!$F$7:$F$58, 0), MATCH(Curvas!BR$2,'Fluxos de Recebimento'!$I$5:$BH$5, 0))+INDEX('Fluxos de Recebimento'!$I$65:$BH$116, MATCH(Curvas!$AB13, 'Fluxos de Recebimento'!$F$65:$F$116, 0), MATCH(Curvas!BR$2, 'Fluxos de Recebimento'!$I$63:$BH$63, 0)),0)*INDEX($E:$E, MATCH(BR$2, $B:$B, 0))</f>
        <v>0</v>
      </c>
      <c r="BS13" s="193">
        <f>IFERROR(INDEX('Fluxos de Recebimento'!$I$7:$BH$58, MATCH(Curvas!$AB13, 'Fluxos de Recebimento'!$F$7:$F$58, 0), MATCH(Curvas!BS$2,'Fluxos de Recebimento'!$I$5:$BH$5, 0))+INDEX('Fluxos de Recebimento'!$I$65:$BH$116, MATCH(Curvas!$AB13, 'Fluxos de Recebimento'!$F$65:$F$116, 0), MATCH(Curvas!BS$2, 'Fluxos de Recebimento'!$I$63:$BH$63, 0)),0)*INDEX($E:$E, MATCH(BS$2, $B:$B, 0))</f>
        <v>0</v>
      </c>
      <c r="BT13" s="193">
        <f>IFERROR(INDEX('Fluxos de Recebimento'!$I$7:$BH$58, MATCH(Curvas!$AB13, 'Fluxos de Recebimento'!$F$7:$F$58, 0), MATCH(Curvas!BT$2,'Fluxos de Recebimento'!$I$5:$BH$5, 0))+INDEX('Fluxos de Recebimento'!$I$65:$BH$116, MATCH(Curvas!$AB13, 'Fluxos de Recebimento'!$F$65:$F$116, 0), MATCH(Curvas!BT$2, 'Fluxos de Recebimento'!$I$63:$BH$63, 0)),0)*INDEX($E:$E, MATCH(BT$2, $B:$B, 0))</f>
        <v>0</v>
      </c>
      <c r="BU13" s="193">
        <f>IFERROR(INDEX('Fluxos de Recebimento'!$I$7:$BH$58, MATCH(Curvas!$AB13, 'Fluxos de Recebimento'!$F$7:$F$58, 0), MATCH(Curvas!BU$2,'Fluxos de Recebimento'!$I$5:$BH$5, 0))+INDEX('Fluxos de Recebimento'!$I$65:$BH$116, MATCH(Curvas!$AB13, 'Fluxos de Recebimento'!$F$65:$F$116, 0), MATCH(Curvas!BU$2, 'Fluxos de Recebimento'!$I$63:$BH$63, 0)),0)*INDEX($E:$E, MATCH(BU$2, $B:$B, 0))</f>
        <v>0</v>
      </c>
      <c r="BV13" s="193">
        <f>IFERROR(INDEX('Fluxos de Recebimento'!$I$7:$BH$58, MATCH(Curvas!$AB13, 'Fluxos de Recebimento'!$F$7:$F$58, 0), MATCH(Curvas!BV$2,'Fluxos de Recebimento'!$I$5:$BH$5, 0))+INDEX('Fluxos de Recebimento'!$I$65:$BH$116, MATCH(Curvas!$AB13, 'Fluxos de Recebimento'!$F$65:$F$116, 0), MATCH(Curvas!BV$2, 'Fluxos de Recebimento'!$I$63:$BH$63, 0)),0)*INDEX($E:$E, MATCH(BV$2, $B:$B, 0))</f>
        <v>0</v>
      </c>
      <c r="BW13" s="193">
        <f>IFERROR(INDEX('Fluxos de Recebimento'!$I$7:$BH$58, MATCH(Curvas!$AB13, 'Fluxos de Recebimento'!$F$7:$F$58, 0), MATCH(Curvas!BW$2,'Fluxos de Recebimento'!$I$5:$BH$5, 0))+INDEX('Fluxos de Recebimento'!$I$65:$BH$116, MATCH(Curvas!$AB13, 'Fluxos de Recebimento'!$F$65:$F$116, 0), MATCH(Curvas!BW$2, 'Fluxos de Recebimento'!$I$63:$BH$63, 0)),0)*INDEX($E:$E, MATCH(BW$2, $B:$B, 0))</f>
        <v>0</v>
      </c>
      <c r="BX13" s="193">
        <f>IFERROR(INDEX('Fluxos de Recebimento'!$I$7:$BH$58, MATCH(Curvas!$AB13, 'Fluxos de Recebimento'!$F$7:$F$58, 0), MATCH(Curvas!BX$2,'Fluxos de Recebimento'!$I$5:$BH$5, 0))+INDEX('Fluxos de Recebimento'!$I$65:$BH$116, MATCH(Curvas!$AB13, 'Fluxos de Recebimento'!$F$65:$F$116, 0), MATCH(Curvas!BX$2, 'Fluxos de Recebimento'!$I$63:$BH$63, 0)),0)*INDEX($E:$E, MATCH(BX$2, $B:$B, 0))</f>
        <v>0</v>
      </c>
      <c r="BY13" s="193">
        <f>IFERROR(INDEX('Fluxos de Recebimento'!$I$7:$BH$58, MATCH(Curvas!$AB13, 'Fluxos de Recebimento'!$F$7:$F$58, 0), MATCH(Curvas!BY$2,'Fluxos de Recebimento'!$I$5:$BH$5, 0))+INDEX('Fluxos de Recebimento'!$I$65:$BH$116, MATCH(Curvas!$AB13, 'Fluxos de Recebimento'!$F$65:$F$116, 0), MATCH(Curvas!BY$2, 'Fluxos de Recebimento'!$I$63:$BH$63, 0)),0)*INDEX($E:$E, MATCH(BY$2, $B:$B, 0))</f>
        <v>0</v>
      </c>
      <c r="BZ13" s="193">
        <f>IFERROR(INDEX('Fluxos de Recebimento'!$I$7:$BH$58, MATCH(Curvas!$AB13, 'Fluxos de Recebimento'!$F$7:$F$58, 0), MATCH(Curvas!BZ$2,'Fluxos de Recebimento'!$I$5:$BH$5, 0))+INDEX('Fluxos de Recebimento'!$I$65:$BH$116, MATCH(Curvas!$AB13, 'Fluxos de Recebimento'!$F$65:$F$116, 0), MATCH(Curvas!BZ$2, 'Fluxos de Recebimento'!$I$63:$BH$63, 0)),0)*INDEX($E:$E, MATCH(BZ$2, $B:$B, 0))</f>
        <v>0</v>
      </c>
      <c r="CA13" s="193">
        <f>IFERROR(INDEX('Fluxos de Recebimento'!$I$7:$BH$58, MATCH(Curvas!$AB13, 'Fluxos de Recebimento'!$F$7:$F$58, 0), MATCH(Curvas!CA$2,'Fluxos de Recebimento'!$I$5:$BH$5, 0))+INDEX('Fluxos de Recebimento'!$I$65:$BH$116, MATCH(Curvas!$AB13, 'Fluxos de Recebimento'!$F$65:$F$116, 0), MATCH(Curvas!CA$2, 'Fluxos de Recebimento'!$I$63:$BH$63, 0)),0)*INDEX($E:$E, MATCH(CA$2, $B:$B, 0))</f>
        <v>0</v>
      </c>
      <c r="CB13" s="193">
        <f>IFERROR(INDEX('Fluxos de Recebimento'!$I$7:$BH$58, MATCH(Curvas!$AB13, 'Fluxos de Recebimento'!$F$7:$F$58, 0), MATCH(Curvas!CB$2,'Fluxos de Recebimento'!$I$5:$BH$5, 0))+INDEX('Fluxos de Recebimento'!$I$65:$BH$116, MATCH(Curvas!$AB13, 'Fluxos de Recebimento'!$F$65:$F$116, 0), MATCH(Curvas!CB$2, 'Fluxos de Recebimento'!$I$63:$BH$63, 0)),0)*INDEX($E:$E, MATCH(CB$2, $B:$B, 0))</f>
        <v>0</v>
      </c>
      <c r="CC13" s="193">
        <f>IFERROR(INDEX('Fluxos de Recebimento'!$I$7:$BH$58, MATCH(Curvas!$AB13, 'Fluxos de Recebimento'!$F$7:$F$58, 0), MATCH(Curvas!CC$2,'Fluxos de Recebimento'!$I$5:$BH$5, 0))+INDEX('Fluxos de Recebimento'!$I$65:$BH$116, MATCH(Curvas!$AB13, 'Fluxos de Recebimento'!$F$65:$F$116, 0), MATCH(Curvas!CC$2, 'Fluxos de Recebimento'!$I$63:$BH$63, 0)),0)*INDEX($E:$E, MATCH(CC$2, $B:$B, 0))</f>
        <v>0</v>
      </c>
    </row>
    <row r="14" spans="1:81" x14ac:dyDescent="0.25">
      <c r="A14" s="2"/>
      <c r="B14" s="477">
        <f t="shared" si="16"/>
        <v>44470</v>
      </c>
      <c r="C14" s="52">
        <f t="shared" si="17"/>
        <v>11</v>
      </c>
      <c r="D14" s="2"/>
      <c r="E14" s="187">
        <f t="shared" si="4"/>
        <v>2.298850574712644E-2</v>
      </c>
      <c r="F14" s="48">
        <f t="shared" si="18"/>
        <v>0.25287356321839083</v>
      </c>
      <c r="G14" s="46">
        <f t="shared" ca="1" si="5"/>
        <v>0</v>
      </c>
      <c r="H14" s="48">
        <f t="shared" ca="1" si="19"/>
        <v>0</v>
      </c>
      <c r="I14" s="2"/>
      <c r="J14" s="69">
        <f t="shared" si="6"/>
        <v>16</v>
      </c>
      <c r="K14" s="479">
        <f t="shared" ca="1" si="7"/>
        <v>0</v>
      </c>
      <c r="L14" s="70">
        <f t="shared" ca="1" si="8"/>
        <v>16</v>
      </c>
      <c r="M14" s="2"/>
      <c r="N14" s="69">
        <f t="shared" si="9"/>
        <v>21</v>
      </c>
      <c r="O14" s="479">
        <f t="shared" si="10"/>
        <v>0</v>
      </c>
      <c r="P14" s="70">
        <f t="shared" si="11"/>
        <v>21</v>
      </c>
      <c r="Q14" s="2"/>
      <c r="R14" s="71">
        <f t="shared" si="12"/>
        <v>37</v>
      </c>
      <c r="S14" s="196"/>
      <c r="T14" s="46">
        <v>2.5164751815928189E-2</v>
      </c>
      <c r="U14" s="48">
        <f t="shared" si="20"/>
        <v>0.13698646256826039</v>
      </c>
      <c r="V14" s="2"/>
      <c r="W14" s="56">
        <f t="shared" si="21"/>
        <v>11</v>
      </c>
      <c r="X14" s="48">
        <v>0</v>
      </c>
      <c r="Y14" s="2"/>
      <c r="Z14" s="194">
        <f t="shared" si="13"/>
        <v>3.1359216587128948E-3</v>
      </c>
      <c r="AA14" s="2"/>
      <c r="AB14" s="477">
        <f t="shared" si="14"/>
        <v>44470</v>
      </c>
      <c r="AC14" s="52">
        <f t="shared" si="15"/>
        <v>11</v>
      </c>
      <c r="AD14" s="193">
        <f>IFERROR(INDEX('Fluxos de Recebimento'!$I$7:$BH$58, MATCH(Curvas!$AB14, 'Fluxos de Recebimento'!$F$7:$F$58, 0), MATCH(Curvas!AD$2,'Fluxos de Recebimento'!$I$5:$BH$5, 0))+INDEX('Fluxos de Recebimento'!$I$65:$BH$116, MATCH(Curvas!$AB14, 'Fluxos de Recebimento'!$F$65:$F$116, 0), MATCH(Curvas!AD$2, 'Fluxos de Recebimento'!$I$63:$BH$63, 0)),0)*INDEX($E:$E, MATCH(AD$2, $B:$B, 0))</f>
        <v>1.6420361247947458E-4</v>
      </c>
      <c r="AE14" s="193">
        <f>IFERROR(INDEX('Fluxos de Recebimento'!$I$7:$BH$58, MATCH(Curvas!$AB14, 'Fluxos de Recebimento'!$F$7:$F$58, 0), MATCH(Curvas!AE$2,'Fluxos de Recebimento'!$I$5:$BH$5, 0))+INDEX('Fluxos de Recebimento'!$I$65:$BH$116, MATCH(Curvas!$AB14, 'Fluxos de Recebimento'!$F$65:$F$116, 0), MATCH(Curvas!AE$2, 'Fluxos de Recebimento'!$I$63:$BH$63, 0)),0)*INDEX($E:$E, MATCH(AE$2, $B:$B, 0))</f>
        <v>1.7028522775649216E-4</v>
      </c>
      <c r="AF14" s="193">
        <f>IFERROR(INDEX('Fluxos de Recebimento'!$I$7:$BH$58, MATCH(Curvas!$AB14, 'Fluxos de Recebimento'!$F$7:$F$58, 0), MATCH(Curvas!AF$2,'Fluxos de Recebimento'!$I$5:$BH$5, 0))+INDEX('Fluxos de Recebimento'!$I$65:$BH$116, MATCH(Curvas!$AB14, 'Fluxos de Recebimento'!$F$65:$F$116, 0), MATCH(Curvas!AF$2, 'Fluxos de Recebimento'!$I$63:$BH$63, 0)),0)*INDEX($E:$E, MATCH(AF$2, $B:$B, 0))</f>
        <v>1.7683465959328031E-4</v>
      </c>
      <c r="AG14" s="193">
        <f>IFERROR(INDEX('Fluxos de Recebimento'!$I$7:$BH$58, MATCH(Curvas!$AB14, 'Fluxos de Recebimento'!$F$7:$F$58, 0), MATCH(Curvas!AG$2,'Fluxos de Recebimento'!$I$5:$BH$5, 0))+INDEX('Fluxos de Recebimento'!$I$65:$BH$116, MATCH(Curvas!$AB14, 'Fluxos de Recebimento'!$F$65:$F$116, 0), MATCH(Curvas!AG$2, 'Fluxos de Recebimento'!$I$63:$BH$63, 0)),0)*INDEX($E:$E, MATCH(AG$2, $B:$B, 0))</f>
        <v>1.8390804597701152E-4</v>
      </c>
      <c r="AH14" s="193">
        <f>IFERROR(INDEX('Fluxos de Recebimento'!$I$7:$BH$58, MATCH(Curvas!$AB14, 'Fluxos de Recebimento'!$F$7:$F$58, 0), MATCH(Curvas!AH$2,'Fluxos de Recebimento'!$I$5:$BH$5, 0))+INDEX('Fluxos de Recebimento'!$I$65:$BH$116, MATCH(Curvas!$AB14, 'Fluxos de Recebimento'!$F$65:$F$116, 0), MATCH(Curvas!AH$2, 'Fluxos de Recebimento'!$I$63:$BH$63, 0)),0)*INDEX($E:$E, MATCH(AH$2, $B:$B, 0))</f>
        <v>1.9157088122605367E-4</v>
      </c>
      <c r="AI14" s="193">
        <f>IFERROR(INDEX('Fluxos de Recebimento'!$I$7:$BH$58, MATCH(Curvas!$AB14, 'Fluxos de Recebimento'!$F$7:$F$58, 0), MATCH(Curvas!AI$2,'Fluxos de Recebimento'!$I$5:$BH$5, 0))+INDEX('Fluxos de Recebimento'!$I$65:$BH$116, MATCH(Curvas!$AB14, 'Fluxos de Recebimento'!$F$65:$F$116, 0), MATCH(Curvas!AI$2, 'Fluxos de Recebimento'!$I$63:$BH$63, 0)),0)*INDEX($E:$E, MATCH(AI$2, $B:$B, 0))</f>
        <v>1.9990004997501253E-4</v>
      </c>
      <c r="AJ14" s="193">
        <f>IFERROR(INDEX('Fluxos de Recebimento'!$I$7:$BH$58, MATCH(Curvas!$AB14, 'Fluxos de Recebimento'!$F$7:$F$58, 0), MATCH(Curvas!AJ$2,'Fluxos de Recebimento'!$I$5:$BH$5, 0))+INDEX('Fluxos de Recebimento'!$I$65:$BH$116, MATCH(Curvas!$AB14, 'Fluxos de Recebimento'!$F$65:$F$116, 0), MATCH(Curvas!AJ$2, 'Fluxos de Recebimento'!$I$63:$BH$63, 0)),0)*INDEX($E:$E, MATCH(AJ$2, $B:$B, 0))</f>
        <v>2.0898641588296767E-4</v>
      </c>
      <c r="AK14" s="193">
        <f>IFERROR(INDEX('Fluxos de Recebimento'!$I$7:$BH$58, MATCH(Curvas!$AB14, 'Fluxos de Recebimento'!$F$7:$F$58, 0), MATCH(Curvas!AK$2,'Fluxos de Recebimento'!$I$5:$BH$5, 0))+INDEX('Fluxos de Recebimento'!$I$65:$BH$116, MATCH(Curvas!$AB14, 'Fluxos de Recebimento'!$F$65:$F$116, 0), MATCH(Curvas!AK$2, 'Fluxos de Recebimento'!$I$63:$BH$63, 0)),0)*INDEX($E:$E, MATCH(AK$2, $B:$B, 0))</f>
        <v>2.1893814997263279E-4</v>
      </c>
      <c r="AL14" s="193">
        <f>IFERROR(INDEX('Fluxos de Recebimento'!$I$7:$BH$58, MATCH(Curvas!$AB14, 'Fluxos de Recebimento'!$F$7:$F$58, 0), MATCH(Curvas!AL$2,'Fluxos de Recebimento'!$I$5:$BH$5, 0))+INDEX('Fluxos de Recebimento'!$I$65:$BH$116, MATCH(Curvas!$AB14, 'Fluxos de Recebimento'!$F$65:$F$116, 0), MATCH(Curvas!AL$2, 'Fluxos de Recebimento'!$I$63:$BH$63, 0)),0)*INDEX($E:$E, MATCH(AL$2, $B:$B, 0))</f>
        <v>2.2988505747126441E-4</v>
      </c>
      <c r="AM14" s="193">
        <f>IFERROR(INDEX('Fluxos de Recebimento'!$I$7:$BH$58, MATCH(Curvas!$AB14, 'Fluxos de Recebimento'!$F$7:$F$58, 0), MATCH(Curvas!AM$2,'Fluxos de Recebimento'!$I$5:$BH$5, 0))+INDEX('Fluxos de Recebimento'!$I$65:$BH$116, MATCH(Curvas!$AB14, 'Fluxos de Recebimento'!$F$65:$F$116, 0), MATCH(Curvas!AM$2, 'Fluxos de Recebimento'!$I$63:$BH$63, 0)),0)*INDEX($E:$E, MATCH(AM$2, $B:$B, 0))</f>
        <v>2.4198427102238356E-4</v>
      </c>
      <c r="AN14" s="193">
        <f>IFERROR(INDEX('Fluxos de Recebimento'!$I$7:$BH$58, MATCH(Curvas!$AB14, 'Fluxos de Recebimento'!$F$7:$F$58, 0), MATCH(Curvas!AN$2,'Fluxos de Recebimento'!$I$5:$BH$5, 0))+INDEX('Fluxos de Recebimento'!$I$65:$BH$116, MATCH(Curvas!$AB14, 'Fluxos de Recebimento'!$F$65:$F$116, 0), MATCH(Curvas!AN$2, 'Fluxos de Recebimento'!$I$63:$BH$63, 0)),0)*INDEX($E:$E, MATCH(AN$2, $B:$B, 0))</f>
        <v>1.149425287356322E-3</v>
      </c>
      <c r="AO14" s="193">
        <f>IFERROR(INDEX('Fluxos de Recebimento'!$I$7:$BH$58, MATCH(Curvas!$AB14, 'Fluxos de Recebimento'!$F$7:$F$58, 0), MATCH(Curvas!AO$2,'Fluxos de Recebimento'!$I$5:$BH$5, 0))+INDEX('Fluxos de Recebimento'!$I$65:$BH$116, MATCH(Curvas!$AB14, 'Fluxos de Recebimento'!$F$65:$F$116, 0), MATCH(Curvas!AO$2, 'Fluxos de Recebimento'!$I$63:$BH$63, 0)),0)*INDEX($E:$E, MATCH(AO$2, $B:$B, 0))</f>
        <v>0</v>
      </c>
      <c r="AP14" s="193">
        <f>IFERROR(INDEX('Fluxos de Recebimento'!$I$7:$BH$58, MATCH(Curvas!$AB14, 'Fluxos de Recebimento'!$F$7:$F$58, 0), MATCH(Curvas!AP$2,'Fluxos de Recebimento'!$I$5:$BH$5, 0))+INDEX('Fluxos de Recebimento'!$I$65:$BH$116, MATCH(Curvas!$AB14, 'Fluxos de Recebimento'!$F$65:$F$116, 0), MATCH(Curvas!AP$2, 'Fluxos de Recebimento'!$I$63:$BH$63, 0)),0)*INDEX($E:$E, MATCH(AP$2, $B:$B, 0))</f>
        <v>0</v>
      </c>
      <c r="AQ14" s="193">
        <f>IFERROR(INDEX('Fluxos de Recebimento'!$I$7:$BH$58, MATCH(Curvas!$AB14, 'Fluxos de Recebimento'!$F$7:$F$58, 0), MATCH(Curvas!AQ$2,'Fluxos de Recebimento'!$I$5:$BH$5, 0))+INDEX('Fluxos de Recebimento'!$I$65:$BH$116, MATCH(Curvas!$AB14, 'Fluxos de Recebimento'!$F$65:$F$116, 0), MATCH(Curvas!AQ$2, 'Fluxos de Recebimento'!$I$63:$BH$63, 0)),0)*INDEX($E:$E, MATCH(AQ$2, $B:$B, 0))</f>
        <v>0</v>
      </c>
      <c r="AR14" s="193">
        <f>IFERROR(INDEX('Fluxos de Recebimento'!$I$7:$BH$58, MATCH(Curvas!$AB14, 'Fluxos de Recebimento'!$F$7:$F$58, 0), MATCH(Curvas!AR$2,'Fluxos de Recebimento'!$I$5:$BH$5, 0))+INDEX('Fluxos de Recebimento'!$I$65:$BH$116, MATCH(Curvas!$AB14, 'Fluxos de Recebimento'!$F$65:$F$116, 0), MATCH(Curvas!AR$2, 'Fluxos de Recebimento'!$I$63:$BH$63, 0)),0)*INDEX($E:$E, MATCH(AR$2, $B:$B, 0))</f>
        <v>0</v>
      </c>
      <c r="AS14" s="193">
        <f>IFERROR(INDEX('Fluxos de Recebimento'!$I$7:$BH$58, MATCH(Curvas!$AB14, 'Fluxos de Recebimento'!$F$7:$F$58, 0), MATCH(Curvas!AS$2,'Fluxos de Recebimento'!$I$5:$BH$5, 0))+INDEX('Fluxos de Recebimento'!$I$65:$BH$116, MATCH(Curvas!$AB14, 'Fluxos de Recebimento'!$F$65:$F$116, 0), MATCH(Curvas!AS$2, 'Fluxos de Recebimento'!$I$63:$BH$63, 0)),0)*INDEX($E:$E, MATCH(AS$2, $B:$B, 0))</f>
        <v>0</v>
      </c>
      <c r="AT14" s="193">
        <f>IFERROR(INDEX('Fluxos de Recebimento'!$I$7:$BH$58, MATCH(Curvas!$AB14, 'Fluxos de Recebimento'!$F$7:$F$58, 0), MATCH(Curvas!AT$2,'Fluxos de Recebimento'!$I$5:$BH$5, 0))+INDEX('Fluxos de Recebimento'!$I$65:$BH$116, MATCH(Curvas!$AB14, 'Fluxos de Recebimento'!$F$65:$F$116, 0), MATCH(Curvas!AT$2, 'Fluxos de Recebimento'!$I$63:$BH$63, 0)),0)*INDEX($E:$E, MATCH(AT$2, $B:$B, 0))</f>
        <v>0</v>
      </c>
      <c r="AU14" s="193">
        <f>IFERROR(INDEX('Fluxos de Recebimento'!$I$7:$BH$58, MATCH(Curvas!$AB14, 'Fluxos de Recebimento'!$F$7:$F$58, 0), MATCH(Curvas!AU$2,'Fluxos de Recebimento'!$I$5:$BH$5, 0))+INDEX('Fluxos de Recebimento'!$I$65:$BH$116, MATCH(Curvas!$AB14, 'Fluxos de Recebimento'!$F$65:$F$116, 0), MATCH(Curvas!AU$2, 'Fluxos de Recebimento'!$I$63:$BH$63, 0)),0)*INDEX($E:$E, MATCH(AU$2, $B:$B, 0))</f>
        <v>0</v>
      </c>
      <c r="AV14" s="193">
        <f>IFERROR(INDEX('Fluxos de Recebimento'!$I$7:$BH$58, MATCH(Curvas!$AB14, 'Fluxos de Recebimento'!$F$7:$F$58, 0), MATCH(Curvas!AV$2,'Fluxos de Recebimento'!$I$5:$BH$5, 0))+INDEX('Fluxos de Recebimento'!$I$65:$BH$116, MATCH(Curvas!$AB14, 'Fluxos de Recebimento'!$F$65:$F$116, 0), MATCH(Curvas!AV$2, 'Fluxos de Recebimento'!$I$63:$BH$63, 0)),0)*INDEX($E:$E, MATCH(AV$2, $B:$B, 0))</f>
        <v>0</v>
      </c>
      <c r="AW14" s="193">
        <f>IFERROR(INDEX('Fluxos de Recebimento'!$I$7:$BH$58, MATCH(Curvas!$AB14, 'Fluxos de Recebimento'!$F$7:$F$58, 0), MATCH(Curvas!AW$2,'Fluxos de Recebimento'!$I$5:$BH$5, 0))+INDEX('Fluxos de Recebimento'!$I$65:$BH$116, MATCH(Curvas!$AB14, 'Fluxos de Recebimento'!$F$65:$F$116, 0), MATCH(Curvas!AW$2, 'Fluxos de Recebimento'!$I$63:$BH$63, 0)),0)*INDEX($E:$E, MATCH(AW$2, $B:$B, 0))</f>
        <v>0</v>
      </c>
      <c r="AX14" s="193">
        <f>IFERROR(INDEX('Fluxos de Recebimento'!$I$7:$BH$58, MATCH(Curvas!$AB14, 'Fluxos de Recebimento'!$F$7:$F$58, 0), MATCH(Curvas!AX$2,'Fluxos de Recebimento'!$I$5:$BH$5, 0))+INDEX('Fluxos de Recebimento'!$I$65:$BH$116, MATCH(Curvas!$AB14, 'Fluxos de Recebimento'!$F$65:$F$116, 0), MATCH(Curvas!AX$2, 'Fluxos de Recebimento'!$I$63:$BH$63, 0)),0)*INDEX($E:$E, MATCH(AX$2, $B:$B, 0))</f>
        <v>0</v>
      </c>
      <c r="AY14" s="193">
        <f>IFERROR(INDEX('Fluxos de Recebimento'!$I$7:$BH$58, MATCH(Curvas!$AB14, 'Fluxos de Recebimento'!$F$7:$F$58, 0), MATCH(Curvas!AY$2,'Fluxos de Recebimento'!$I$5:$BH$5, 0))+INDEX('Fluxos de Recebimento'!$I$65:$BH$116, MATCH(Curvas!$AB14, 'Fluxos de Recebimento'!$F$65:$F$116, 0), MATCH(Curvas!AY$2, 'Fluxos de Recebimento'!$I$63:$BH$63, 0)),0)*INDEX($E:$E, MATCH(AY$2, $B:$B, 0))</f>
        <v>0</v>
      </c>
      <c r="AZ14" s="193">
        <f>IFERROR(INDEX('Fluxos de Recebimento'!$I$7:$BH$58, MATCH(Curvas!$AB14, 'Fluxos de Recebimento'!$F$7:$F$58, 0), MATCH(Curvas!AZ$2,'Fluxos de Recebimento'!$I$5:$BH$5, 0))+INDEX('Fluxos de Recebimento'!$I$65:$BH$116, MATCH(Curvas!$AB14, 'Fluxos de Recebimento'!$F$65:$F$116, 0), MATCH(Curvas!AZ$2, 'Fluxos de Recebimento'!$I$63:$BH$63, 0)),0)*INDEX($E:$E, MATCH(AZ$2, $B:$B, 0))</f>
        <v>0</v>
      </c>
      <c r="BA14" s="193">
        <f>IFERROR(INDEX('Fluxos de Recebimento'!$I$7:$BH$58, MATCH(Curvas!$AB14, 'Fluxos de Recebimento'!$F$7:$F$58, 0), MATCH(Curvas!BA$2,'Fluxos de Recebimento'!$I$5:$BH$5, 0))+INDEX('Fluxos de Recebimento'!$I$65:$BH$116, MATCH(Curvas!$AB14, 'Fluxos de Recebimento'!$F$65:$F$116, 0), MATCH(Curvas!BA$2, 'Fluxos de Recebimento'!$I$63:$BH$63, 0)),0)*INDEX($E:$E, MATCH(BA$2, $B:$B, 0))</f>
        <v>0</v>
      </c>
      <c r="BB14" s="193">
        <f>IFERROR(INDEX('Fluxos de Recebimento'!$I$7:$BH$58, MATCH(Curvas!$AB14, 'Fluxos de Recebimento'!$F$7:$F$58, 0), MATCH(Curvas!BB$2,'Fluxos de Recebimento'!$I$5:$BH$5, 0))+INDEX('Fluxos de Recebimento'!$I$65:$BH$116, MATCH(Curvas!$AB14, 'Fluxos de Recebimento'!$F$65:$F$116, 0), MATCH(Curvas!BB$2, 'Fluxos de Recebimento'!$I$63:$BH$63, 0)),0)*INDEX($E:$E, MATCH(BB$2, $B:$B, 0))</f>
        <v>0</v>
      </c>
      <c r="BC14" s="193">
        <f>IFERROR(INDEX('Fluxos de Recebimento'!$I$7:$BH$58, MATCH(Curvas!$AB14, 'Fluxos de Recebimento'!$F$7:$F$58, 0), MATCH(Curvas!BC$2,'Fluxos de Recebimento'!$I$5:$BH$5, 0))+INDEX('Fluxos de Recebimento'!$I$65:$BH$116, MATCH(Curvas!$AB14, 'Fluxos de Recebimento'!$F$65:$F$116, 0), MATCH(Curvas!BC$2, 'Fluxos de Recebimento'!$I$63:$BH$63, 0)),0)*INDEX($E:$E, MATCH(BC$2, $B:$B, 0))</f>
        <v>0</v>
      </c>
      <c r="BD14" s="193">
        <f>IFERROR(INDEX('Fluxos de Recebimento'!$I$7:$BH$58, MATCH(Curvas!$AB14, 'Fluxos de Recebimento'!$F$7:$F$58, 0), MATCH(Curvas!BD$2,'Fluxos de Recebimento'!$I$5:$BH$5, 0))+INDEX('Fluxos de Recebimento'!$I$65:$BH$116, MATCH(Curvas!$AB14, 'Fluxos de Recebimento'!$F$65:$F$116, 0), MATCH(Curvas!BD$2, 'Fluxos de Recebimento'!$I$63:$BH$63, 0)),0)*INDEX($E:$E, MATCH(BD$2, $B:$B, 0))</f>
        <v>0</v>
      </c>
      <c r="BE14" s="193">
        <f>IFERROR(INDEX('Fluxos de Recebimento'!$I$7:$BH$58, MATCH(Curvas!$AB14, 'Fluxos de Recebimento'!$F$7:$F$58, 0), MATCH(Curvas!BE$2,'Fluxos de Recebimento'!$I$5:$BH$5, 0))+INDEX('Fluxos de Recebimento'!$I$65:$BH$116, MATCH(Curvas!$AB14, 'Fluxos de Recebimento'!$F$65:$F$116, 0), MATCH(Curvas!BE$2, 'Fluxos de Recebimento'!$I$63:$BH$63, 0)),0)*INDEX($E:$E, MATCH(BE$2, $B:$B, 0))</f>
        <v>0</v>
      </c>
      <c r="BF14" s="193">
        <f>IFERROR(INDEX('Fluxos de Recebimento'!$I$7:$BH$58, MATCH(Curvas!$AB14, 'Fluxos de Recebimento'!$F$7:$F$58, 0), MATCH(Curvas!BF$2,'Fluxos de Recebimento'!$I$5:$BH$5, 0))+INDEX('Fluxos de Recebimento'!$I$65:$BH$116, MATCH(Curvas!$AB14, 'Fluxos de Recebimento'!$F$65:$F$116, 0), MATCH(Curvas!BF$2, 'Fluxos de Recebimento'!$I$63:$BH$63, 0)),0)*INDEX($E:$E, MATCH(BF$2, $B:$B, 0))</f>
        <v>0</v>
      </c>
      <c r="BG14" s="193">
        <f>IFERROR(INDEX('Fluxos de Recebimento'!$I$7:$BH$58, MATCH(Curvas!$AB14, 'Fluxos de Recebimento'!$F$7:$F$58, 0), MATCH(Curvas!BG$2,'Fluxos de Recebimento'!$I$5:$BH$5, 0))+INDEX('Fluxos de Recebimento'!$I$65:$BH$116, MATCH(Curvas!$AB14, 'Fluxos de Recebimento'!$F$65:$F$116, 0), MATCH(Curvas!BG$2, 'Fluxos de Recebimento'!$I$63:$BH$63, 0)),0)*INDEX($E:$E, MATCH(BG$2, $B:$B, 0))</f>
        <v>0</v>
      </c>
      <c r="BH14" s="193">
        <f>IFERROR(INDEX('Fluxos de Recebimento'!$I$7:$BH$58, MATCH(Curvas!$AB14, 'Fluxos de Recebimento'!$F$7:$F$58, 0), MATCH(Curvas!BH$2,'Fluxos de Recebimento'!$I$5:$BH$5, 0))+INDEX('Fluxos de Recebimento'!$I$65:$BH$116, MATCH(Curvas!$AB14, 'Fluxos de Recebimento'!$F$65:$F$116, 0), MATCH(Curvas!BH$2, 'Fluxos de Recebimento'!$I$63:$BH$63, 0)),0)*INDEX($E:$E, MATCH(BH$2, $B:$B, 0))</f>
        <v>0</v>
      </c>
      <c r="BI14" s="193">
        <f>IFERROR(INDEX('Fluxos de Recebimento'!$I$7:$BH$58, MATCH(Curvas!$AB14, 'Fluxos de Recebimento'!$F$7:$F$58, 0), MATCH(Curvas!BI$2,'Fluxos de Recebimento'!$I$5:$BH$5, 0))+INDEX('Fluxos de Recebimento'!$I$65:$BH$116, MATCH(Curvas!$AB14, 'Fluxos de Recebimento'!$F$65:$F$116, 0), MATCH(Curvas!BI$2, 'Fluxos de Recebimento'!$I$63:$BH$63, 0)),0)*INDEX($E:$E, MATCH(BI$2, $B:$B, 0))</f>
        <v>0</v>
      </c>
      <c r="BJ14" s="193">
        <f>IFERROR(INDEX('Fluxos de Recebimento'!$I$7:$BH$58, MATCH(Curvas!$AB14, 'Fluxos de Recebimento'!$F$7:$F$58, 0), MATCH(Curvas!BJ$2,'Fluxos de Recebimento'!$I$5:$BH$5, 0))+INDEX('Fluxos de Recebimento'!$I$65:$BH$116, MATCH(Curvas!$AB14, 'Fluxos de Recebimento'!$F$65:$F$116, 0), MATCH(Curvas!BJ$2, 'Fluxos de Recebimento'!$I$63:$BH$63, 0)),0)*INDEX($E:$E, MATCH(BJ$2, $B:$B, 0))</f>
        <v>0</v>
      </c>
      <c r="BK14" s="193">
        <f>IFERROR(INDEX('Fluxos de Recebimento'!$I$7:$BH$58, MATCH(Curvas!$AB14, 'Fluxos de Recebimento'!$F$7:$F$58, 0), MATCH(Curvas!BK$2,'Fluxos de Recebimento'!$I$5:$BH$5, 0))+INDEX('Fluxos de Recebimento'!$I$65:$BH$116, MATCH(Curvas!$AB14, 'Fluxos de Recebimento'!$F$65:$F$116, 0), MATCH(Curvas!BK$2, 'Fluxos de Recebimento'!$I$63:$BH$63, 0)),0)*INDEX($E:$E, MATCH(BK$2, $B:$B, 0))</f>
        <v>0</v>
      </c>
      <c r="BL14" s="193">
        <f>IFERROR(INDEX('Fluxos de Recebimento'!$I$7:$BH$58, MATCH(Curvas!$AB14, 'Fluxos de Recebimento'!$F$7:$F$58, 0), MATCH(Curvas!BL$2,'Fluxos de Recebimento'!$I$5:$BH$5, 0))+INDEX('Fluxos de Recebimento'!$I$65:$BH$116, MATCH(Curvas!$AB14, 'Fluxos de Recebimento'!$F$65:$F$116, 0), MATCH(Curvas!BL$2, 'Fluxos de Recebimento'!$I$63:$BH$63, 0)),0)*INDEX($E:$E, MATCH(BL$2, $B:$B, 0))</f>
        <v>0</v>
      </c>
      <c r="BM14" s="193">
        <f>IFERROR(INDEX('Fluxos de Recebimento'!$I$7:$BH$58, MATCH(Curvas!$AB14, 'Fluxos de Recebimento'!$F$7:$F$58, 0), MATCH(Curvas!BM$2,'Fluxos de Recebimento'!$I$5:$BH$5, 0))+INDEX('Fluxos de Recebimento'!$I$65:$BH$116, MATCH(Curvas!$AB14, 'Fluxos de Recebimento'!$F$65:$F$116, 0), MATCH(Curvas!BM$2, 'Fluxos de Recebimento'!$I$63:$BH$63, 0)),0)*INDEX($E:$E, MATCH(BM$2, $B:$B, 0))</f>
        <v>0</v>
      </c>
      <c r="BN14" s="193">
        <f>IFERROR(INDEX('Fluxos de Recebimento'!$I$7:$BH$58, MATCH(Curvas!$AB14, 'Fluxos de Recebimento'!$F$7:$F$58, 0), MATCH(Curvas!BN$2,'Fluxos de Recebimento'!$I$5:$BH$5, 0))+INDEX('Fluxos de Recebimento'!$I$65:$BH$116, MATCH(Curvas!$AB14, 'Fluxos de Recebimento'!$F$65:$F$116, 0), MATCH(Curvas!BN$2, 'Fluxos de Recebimento'!$I$63:$BH$63, 0)),0)*INDEX($E:$E, MATCH(BN$2, $B:$B, 0))</f>
        <v>0</v>
      </c>
      <c r="BO14" s="193">
        <f>IFERROR(INDEX('Fluxos de Recebimento'!$I$7:$BH$58, MATCH(Curvas!$AB14, 'Fluxos de Recebimento'!$F$7:$F$58, 0), MATCH(Curvas!BO$2,'Fluxos de Recebimento'!$I$5:$BH$5, 0))+INDEX('Fluxos de Recebimento'!$I$65:$BH$116, MATCH(Curvas!$AB14, 'Fluxos de Recebimento'!$F$65:$F$116, 0), MATCH(Curvas!BO$2, 'Fluxos de Recebimento'!$I$63:$BH$63, 0)),0)*INDEX($E:$E, MATCH(BO$2, $B:$B, 0))</f>
        <v>0</v>
      </c>
      <c r="BP14" s="193">
        <f>IFERROR(INDEX('Fluxos de Recebimento'!$I$7:$BH$58, MATCH(Curvas!$AB14, 'Fluxos de Recebimento'!$F$7:$F$58, 0), MATCH(Curvas!BP$2,'Fluxos de Recebimento'!$I$5:$BH$5, 0))+INDEX('Fluxos de Recebimento'!$I$65:$BH$116, MATCH(Curvas!$AB14, 'Fluxos de Recebimento'!$F$65:$F$116, 0), MATCH(Curvas!BP$2, 'Fluxos de Recebimento'!$I$63:$BH$63, 0)),0)*INDEX($E:$E, MATCH(BP$2, $B:$B, 0))</f>
        <v>0</v>
      </c>
      <c r="BQ14" s="193">
        <f>IFERROR(INDEX('Fluxos de Recebimento'!$I$7:$BH$58, MATCH(Curvas!$AB14, 'Fluxos de Recebimento'!$F$7:$F$58, 0), MATCH(Curvas!BQ$2,'Fluxos de Recebimento'!$I$5:$BH$5, 0))+INDEX('Fluxos de Recebimento'!$I$65:$BH$116, MATCH(Curvas!$AB14, 'Fluxos de Recebimento'!$F$65:$F$116, 0), MATCH(Curvas!BQ$2, 'Fluxos de Recebimento'!$I$63:$BH$63, 0)),0)*INDEX($E:$E, MATCH(BQ$2, $B:$B, 0))</f>
        <v>0</v>
      </c>
      <c r="BR14" s="193">
        <f>IFERROR(INDEX('Fluxos de Recebimento'!$I$7:$BH$58, MATCH(Curvas!$AB14, 'Fluxos de Recebimento'!$F$7:$F$58, 0), MATCH(Curvas!BR$2,'Fluxos de Recebimento'!$I$5:$BH$5, 0))+INDEX('Fluxos de Recebimento'!$I$65:$BH$116, MATCH(Curvas!$AB14, 'Fluxos de Recebimento'!$F$65:$F$116, 0), MATCH(Curvas!BR$2, 'Fluxos de Recebimento'!$I$63:$BH$63, 0)),0)*INDEX($E:$E, MATCH(BR$2, $B:$B, 0))</f>
        <v>0</v>
      </c>
      <c r="BS14" s="193">
        <f>IFERROR(INDEX('Fluxos de Recebimento'!$I$7:$BH$58, MATCH(Curvas!$AB14, 'Fluxos de Recebimento'!$F$7:$F$58, 0), MATCH(Curvas!BS$2,'Fluxos de Recebimento'!$I$5:$BH$5, 0))+INDEX('Fluxos de Recebimento'!$I$65:$BH$116, MATCH(Curvas!$AB14, 'Fluxos de Recebimento'!$F$65:$F$116, 0), MATCH(Curvas!BS$2, 'Fluxos de Recebimento'!$I$63:$BH$63, 0)),0)*INDEX($E:$E, MATCH(BS$2, $B:$B, 0))</f>
        <v>0</v>
      </c>
      <c r="BT14" s="193">
        <f>IFERROR(INDEX('Fluxos de Recebimento'!$I$7:$BH$58, MATCH(Curvas!$AB14, 'Fluxos de Recebimento'!$F$7:$F$58, 0), MATCH(Curvas!BT$2,'Fluxos de Recebimento'!$I$5:$BH$5, 0))+INDEX('Fluxos de Recebimento'!$I$65:$BH$116, MATCH(Curvas!$AB14, 'Fluxos de Recebimento'!$F$65:$F$116, 0), MATCH(Curvas!BT$2, 'Fluxos de Recebimento'!$I$63:$BH$63, 0)),0)*INDEX($E:$E, MATCH(BT$2, $B:$B, 0))</f>
        <v>0</v>
      </c>
      <c r="BU14" s="193">
        <f>IFERROR(INDEX('Fluxos de Recebimento'!$I$7:$BH$58, MATCH(Curvas!$AB14, 'Fluxos de Recebimento'!$F$7:$F$58, 0), MATCH(Curvas!BU$2,'Fluxos de Recebimento'!$I$5:$BH$5, 0))+INDEX('Fluxos de Recebimento'!$I$65:$BH$116, MATCH(Curvas!$AB14, 'Fluxos de Recebimento'!$F$65:$F$116, 0), MATCH(Curvas!BU$2, 'Fluxos de Recebimento'!$I$63:$BH$63, 0)),0)*INDEX($E:$E, MATCH(BU$2, $B:$B, 0))</f>
        <v>0</v>
      </c>
      <c r="BV14" s="193">
        <f>IFERROR(INDEX('Fluxos de Recebimento'!$I$7:$BH$58, MATCH(Curvas!$AB14, 'Fluxos de Recebimento'!$F$7:$F$58, 0), MATCH(Curvas!BV$2,'Fluxos de Recebimento'!$I$5:$BH$5, 0))+INDEX('Fluxos de Recebimento'!$I$65:$BH$116, MATCH(Curvas!$AB14, 'Fluxos de Recebimento'!$F$65:$F$116, 0), MATCH(Curvas!BV$2, 'Fluxos de Recebimento'!$I$63:$BH$63, 0)),0)*INDEX($E:$E, MATCH(BV$2, $B:$B, 0))</f>
        <v>0</v>
      </c>
      <c r="BW14" s="193">
        <f>IFERROR(INDEX('Fluxos de Recebimento'!$I$7:$BH$58, MATCH(Curvas!$AB14, 'Fluxos de Recebimento'!$F$7:$F$58, 0), MATCH(Curvas!BW$2,'Fluxos de Recebimento'!$I$5:$BH$5, 0))+INDEX('Fluxos de Recebimento'!$I$65:$BH$116, MATCH(Curvas!$AB14, 'Fluxos de Recebimento'!$F$65:$F$116, 0), MATCH(Curvas!BW$2, 'Fluxos de Recebimento'!$I$63:$BH$63, 0)),0)*INDEX($E:$E, MATCH(BW$2, $B:$B, 0))</f>
        <v>0</v>
      </c>
      <c r="BX14" s="193">
        <f>IFERROR(INDEX('Fluxos de Recebimento'!$I$7:$BH$58, MATCH(Curvas!$AB14, 'Fluxos de Recebimento'!$F$7:$F$58, 0), MATCH(Curvas!BX$2,'Fluxos de Recebimento'!$I$5:$BH$5, 0))+INDEX('Fluxos de Recebimento'!$I$65:$BH$116, MATCH(Curvas!$AB14, 'Fluxos de Recebimento'!$F$65:$F$116, 0), MATCH(Curvas!BX$2, 'Fluxos de Recebimento'!$I$63:$BH$63, 0)),0)*INDEX($E:$E, MATCH(BX$2, $B:$B, 0))</f>
        <v>0</v>
      </c>
      <c r="BY14" s="193">
        <f>IFERROR(INDEX('Fluxos de Recebimento'!$I$7:$BH$58, MATCH(Curvas!$AB14, 'Fluxos de Recebimento'!$F$7:$F$58, 0), MATCH(Curvas!BY$2,'Fluxos de Recebimento'!$I$5:$BH$5, 0))+INDEX('Fluxos de Recebimento'!$I$65:$BH$116, MATCH(Curvas!$AB14, 'Fluxos de Recebimento'!$F$65:$F$116, 0), MATCH(Curvas!BY$2, 'Fluxos de Recebimento'!$I$63:$BH$63, 0)),0)*INDEX($E:$E, MATCH(BY$2, $B:$B, 0))</f>
        <v>0</v>
      </c>
      <c r="BZ14" s="193">
        <f>IFERROR(INDEX('Fluxos de Recebimento'!$I$7:$BH$58, MATCH(Curvas!$AB14, 'Fluxos de Recebimento'!$F$7:$F$58, 0), MATCH(Curvas!BZ$2,'Fluxos de Recebimento'!$I$5:$BH$5, 0))+INDEX('Fluxos de Recebimento'!$I$65:$BH$116, MATCH(Curvas!$AB14, 'Fluxos de Recebimento'!$F$65:$F$116, 0), MATCH(Curvas!BZ$2, 'Fluxos de Recebimento'!$I$63:$BH$63, 0)),0)*INDEX($E:$E, MATCH(BZ$2, $B:$B, 0))</f>
        <v>0</v>
      </c>
      <c r="CA14" s="193">
        <f>IFERROR(INDEX('Fluxos de Recebimento'!$I$7:$BH$58, MATCH(Curvas!$AB14, 'Fluxos de Recebimento'!$F$7:$F$58, 0), MATCH(Curvas!CA$2,'Fluxos de Recebimento'!$I$5:$BH$5, 0))+INDEX('Fluxos de Recebimento'!$I$65:$BH$116, MATCH(Curvas!$AB14, 'Fluxos de Recebimento'!$F$65:$F$116, 0), MATCH(Curvas!CA$2, 'Fluxos de Recebimento'!$I$63:$BH$63, 0)),0)*INDEX($E:$E, MATCH(CA$2, $B:$B, 0))</f>
        <v>0</v>
      </c>
      <c r="CB14" s="193">
        <f>IFERROR(INDEX('Fluxos de Recebimento'!$I$7:$BH$58, MATCH(Curvas!$AB14, 'Fluxos de Recebimento'!$F$7:$F$58, 0), MATCH(Curvas!CB$2,'Fluxos de Recebimento'!$I$5:$BH$5, 0))+INDEX('Fluxos de Recebimento'!$I$65:$BH$116, MATCH(Curvas!$AB14, 'Fluxos de Recebimento'!$F$65:$F$116, 0), MATCH(Curvas!CB$2, 'Fluxos de Recebimento'!$I$63:$BH$63, 0)),0)*INDEX($E:$E, MATCH(CB$2, $B:$B, 0))</f>
        <v>0</v>
      </c>
      <c r="CC14" s="193">
        <f>IFERROR(INDEX('Fluxos de Recebimento'!$I$7:$BH$58, MATCH(Curvas!$AB14, 'Fluxos de Recebimento'!$F$7:$F$58, 0), MATCH(Curvas!CC$2,'Fluxos de Recebimento'!$I$5:$BH$5, 0))+INDEX('Fluxos de Recebimento'!$I$65:$BH$116, MATCH(Curvas!$AB14, 'Fluxos de Recebimento'!$F$65:$F$116, 0), MATCH(Curvas!CC$2, 'Fluxos de Recebimento'!$I$63:$BH$63, 0)),0)*INDEX($E:$E, MATCH(CC$2, $B:$B, 0))</f>
        <v>0</v>
      </c>
    </row>
    <row r="15" spans="1:81" x14ac:dyDescent="0.25">
      <c r="A15" s="2"/>
      <c r="B15" s="477">
        <f t="shared" si="16"/>
        <v>44501</v>
      </c>
      <c r="C15" s="52">
        <f t="shared" si="17"/>
        <v>12</v>
      </c>
      <c r="D15" s="2"/>
      <c r="E15" s="187">
        <f t="shared" si="4"/>
        <v>2.298850574712644E-2</v>
      </c>
      <c r="F15" s="48">
        <f t="shared" si="18"/>
        <v>0.27586206896551729</v>
      </c>
      <c r="G15" s="46">
        <f t="shared" ca="1" si="5"/>
        <v>0</v>
      </c>
      <c r="H15" s="48">
        <f t="shared" ca="1" si="19"/>
        <v>0</v>
      </c>
      <c r="I15" s="2"/>
      <c r="J15" s="69">
        <f t="shared" si="6"/>
        <v>16</v>
      </c>
      <c r="K15" s="479">
        <f t="shared" ca="1" si="7"/>
        <v>0</v>
      </c>
      <c r="L15" s="70">
        <f t="shared" ca="1" si="8"/>
        <v>16</v>
      </c>
      <c r="M15" s="2"/>
      <c r="N15" s="69">
        <f t="shared" si="9"/>
        <v>21</v>
      </c>
      <c r="O15" s="479">
        <f t="shared" si="10"/>
        <v>0</v>
      </c>
      <c r="P15" s="70">
        <f t="shared" si="11"/>
        <v>21</v>
      </c>
      <c r="Q15" s="2"/>
      <c r="R15" s="71">
        <f t="shared" si="12"/>
        <v>37</v>
      </c>
      <c r="S15" s="196"/>
      <c r="T15" s="46">
        <v>2.3270708563733072E-2</v>
      </c>
      <c r="U15" s="48">
        <f t="shared" si="20"/>
        <v>0.16025717113199345</v>
      </c>
      <c r="V15" s="2"/>
      <c r="W15" s="56">
        <f t="shared" si="21"/>
        <v>12</v>
      </c>
      <c r="X15" s="48">
        <v>0</v>
      </c>
      <c r="Y15" s="2"/>
      <c r="Z15" s="194">
        <f t="shared" si="13"/>
        <v>3.3913495003476332E-3</v>
      </c>
      <c r="AA15" s="2"/>
      <c r="AB15" s="477">
        <f t="shared" si="14"/>
        <v>44501</v>
      </c>
      <c r="AC15" s="52">
        <f t="shared" si="15"/>
        <v>12</v>
      </c>
      <c r="AD15" s="193">
        <f>IFERROR(INDEX('Fluxos de Recebimento'!$I$7:$BH$58, MATCH(Curvas!$AB15, 'Fluxos de Recebimento'!$F$7:$F$58, 0), MATCH(Curvas!AD$2,'Fluxos de Recebimento'!$I$5:$BH$5, 0))+INDEX('Fluxos de Recebimento'!$I$65:$BH$116, MATCH(Curvas!$AB15, 'Fluxos de Recebimento'!$F$65:$F$116, 0), MATCH(Curvas!AD$2, 'Fluxos de Recebimento'!$I$63:$BH$63, 0)),0)*INDEX($E:$E, MATCH(AD$2, $B:$B, 0))</f>
        <v>1.6420361247947458E-4</v>
      </c>
      <c r="AE15" s="193">
        <f>IFERROR(INDEX('Fluxos de Recebimento'!$I$7:$BH$58, MATCH(Curvas!$AB15, 'Fluxos de Recebimento'!$F$7:$F$58, 0), MATCH(Curvas!AE$2,'Fluxos de Recebimento'!$I$5:$BH$5, 0))+INDEX('Fluxos de Recebimento'!$I$65:$BH$116, MATCH(Curvas!$AB15, 'Fluxos de Recebimento'!$F$65:$F$116, 0), MATCH(Curvas!AE$2, 'Fluxos de Recebimento'!$I$63:$BH$63, 0)),0)*INDEX($E:$E, MATCH(AE$2, $B:$B, 0))</f>
        <v>1.7028522775649216E-4</v>
      </c>
      <c r="AF15" s="193">
        <f>IFERROR(INDEX('Fluxos de Recebimento'!$I$7:$BH$58, MATCH(Curvas!$AB15, 'Fluxos de Recebimento'!$F$7:$F$58, 0), MATCH(Curvas!AF$2,'Fluxos de Recebimento'!$I$5:$BH$5, 0))+INDEX('Fluxos de Recebimento'!$I$65:$BH$116, MATCH(Curvas!$AB15, 'Fluxos de Recebimento'!$F$65:$F$116, 0), MATCH(Curvas!AF$2, 'Fluxos de Recebimento'!$I$63:$BH$63, 0)),0)*INDEX($E:$E, MATCH(AF$2, $B:$B, 0))</f>
        <v>1.7683465959328031E-4</v>
      </c>
      <c r="AG15" s="193">
        <f>IFERROR(INDEX('Fluxos de Recebimento'!$I$7:$BH$58, MATCH(Curvas!$AB15, 'Fluxos de Recebimento'!$F$7:$F$58, 0), MATCH(Curvas!AG$2,'Fluxos de Recebimento'!$I$5:$BH$5, 0))+INDEX('Fluxos de Recebimento'!$I$65:$BH$116, MATCH(Curvas!$AB15, 'Fluxos de Recebimento'!$F$65:$F$116, 0), MATCH(Curvas!AG$2, 'Fluxos de Recebimento'!$I$63:$BH$63, 0)),0)*INDEX($E:$E, MATCH(AG$2, $B:$B, 0))</f>
        <v>1.8390804597701152E-4</v>
      </c>
      <c r="AH15" s="193">
        <f>IFERROR(INDEX('Fluxos de Recebimento'!$I$7:$BH$58, MATCH(Curvas!$AB15, 'Fluxos de Recebimento'!$F$7:$F$58, 0), MATCH(Curvas!AH$2,'Fluxos de Recebimento'!$I$5:$BH$5, 0))+INDEX('Fluxos de Recebimento'!$I$65:$BH$116, MATCH(Curvas!$AB15, 'Fluxos de Recebimento'!$F$65:$F$116, 0), MATCH(Curvas!AH$2, 'Fluxos de Recebimento'!$I$63:$BH$63, 0)),0)*INDEX($E:$E, MATCH(AH$2, $B:$B, 0))</f>
        <v>1.9157088122605367E-4</v>
      </c>
      <c r="AI15" s="193">
        <f>IFERROR(INDEX('Fluxos de Recebimento'!$I$7:$BH$58, MATCH(Curvas!$AB15, 'Fluxos de Recebimento'!$F$7:$F$58, 0), MATCH(Curvas!AI$2,'Fluxos de Recebimento'!$I$5:$BH$5, 0))+INDEX('Fluxos de Recebimento'!$I$65:$BH$116, MATCH(Curvas!$AB15, 'Fluxos de Recebimento'!$F$65:$F$116, 0), MATCH(Curvas!AI$2, 'Fluxos de Recebimento'!$I$63:$BH$63, 0)),0)*INDEX($E:$E, MATCH(AI$2, $B:$B, 0))</f>
        <v>1.9990004997501253E-4</v>
      </c>
      <c r="AJ15" s="193">
        <f>IFERROR(INDEX('Fluxos de Recebimento'!$I$7:$BH$58, MATCH(Curvas!$AB15, 'Fluxos de Recebimento'!$F$7:$F$58, 0), MATCH(Curvas!AJ$2,'Fluxos de Recebimento'!$I$5:$BH$5, 0))+INDEX('Fluxos de Recebimento'!$I$65:$BH$116, MATCH(Curvas!$AB15, 'Fluxos de Recebimento'!$F$65:$F$116, 0), MATCH(Curvas!AJ$2, 'Fluxos de Recebimento'!$I$63:$BH$63, 0)),0)*INDEX($E:$E, MATCH(AJ$2, $B:$B, 0))</f>
        <v>2.0898641588296767E-4</v>
      </c>
      <c r="AK15" s="193">
        <f>IFERROR(INDEX('Fluxos de Recebimento'!$I$7:$BH$58, MATCH(Curvas!$AB15, 'Fluxos de Recebimento'!$F$7:$F$58, 0), MATCH(Curvas!AK$2,'Fluxos de Recebimento'!$I$5:$BH$5, 0))+INDEX('Fluxos de Recebimento'!$I$65:$BH$116, MATCH(Curvas!$AB15, 'Fluxos de Recebimento'!$F$65:$F$116, 0), MATCH(Curvas!AK$2, 'Fluxos de Recebimento'!$I$63:$BH$63, 0)),0)*INDEX($E:$E, MATCH(AK$2, $B:$B, 0))</f>
        <v>2.1893814997263279E-4</v>
      </c>
      <c r="AL15" s="193">
        <f>IFERROR(INDEX('Fluxos de Recebimento'!$I$7:$BH$58, MATCH(Curvas!$AB15, 'Fluxos de Recebimento'!$F$7:$F$58, 0), MATCH(Curvas!AL$2,'Fluxos de Recebimento'!$I$5:$BH$5, 0))+INDEX('Fluxos de Recebimento'!$I$65:$BH$116, MATCH(Curvas!$AB15, 'Fluxos de Recebimento'!$F$65:$F$116, 0), MATCH(Curvas!AL$2, 'Fluxos de Recebimento'!$I$63:$BH$63, 0)),0)*INDEX($E:$E, MATCH(AL$2, $B:$B, 0))</f>
        <v>2.2988505747126441E-4</v>
      </c>
      <c r="AM15" s="193">
        <f>IFERROR(INDEX('Fluxos de Recebimento'!$I$7:$BH$58, MATCH(Curvas!$AB15, 'Fluxos de Recebimento'!$F$7:$F$58, 0), MATCH(Curvas!AM$2,'Fluxos de Recebimento'!$I$5:$BH$5, 0))+INDEX('Fluxos de Recebimento'!$I$65:$BH$116, MATCH(Curvas!$AB15, 'Fluxos de Recebimento'!$F$65:$F$116, 0), MATCH(Curvas!AM$2, 'Fluxos de Recebimento'!$I$63:$BH$63, 0)),0)*INDEX($E:$E, MATCH(AM$2, $B:$B, 0))</f>
        <v>2.4198427102238356E-4</v>
      </c>
      <c r="AN15" s="193">
        <f>IFERROR(INDEX('Fluxos de Recebimento'!$I$7:$BH$58, MATCH(Curvas!$AB15, 'Fluxos de Recebimento'!$F$7:$F$58, 0), MATCH(Curvas!AN$2,'Fluxos de Recebimento'!$I$5:$BH$5, 0))+INDEX('Fluxos de Recebimento'!$I$65:$BH$116, MATCH(Curvas!$AB15, 'Fluxos de Recebimento'!$F$65:$F$116, 0), MATCH(Curvas!AN$2, 'Fluxos de Recebimento'!$I$63:$BH$63, 0)),0)*INDEX($E:$E, MATCH(AN$2, $B:$B, 0))</f>
        <v>2.5542784163473821E-4</v>
      </c>
      <c r="AO15" s="193">
        <f>IFERROR(INDEX('Fluxos de Recebimento'!$I$7:$BH$58, MATCH(Curvas!$AB15, 'Fluxos de Recebimento'!$F$7:$F$58, 0), MATCH(Curvas!AO$2,'Fluxos de Recebimento'!$I$5:$BH$5, 0))+INDEX('Fluxos de Recebimento'!$I$65:$BH$116, MATCH(Curvas!$AB15, 'Fluxos de Recebimento'!$F$65:$F$116, 0), MATCH(Curvas!AO$2, 'Fluxos de Recebimento'!$I$63:$BH$63, 0)),0)*INDEX($E:$E, MATCH(AO$2, $B:$B, 0))</f>
        <v>1.149425287356322E-3</v>
      </c>
      <c r="AP15" s="193">
        <f>IFERROR(INDEX('Fluxos de Recebimento'!$I$7:$BH$58, MATCH(Curvas!$AB15, 'Fluxos de Recebimento'!$F$7:$F$58, 0), MATCH(Curvas!AP$2,'Fluxos de Recebimento'!$I$5:$BH$5, 0))+INDEX('Fluxos de Recebimento'!$I$65:$BH$116, MATCH(Curvas!$AB15, 'Fluxos de Recebimento'!$F$65:$F$116, 0), MATCH(Curvas!AP$2, 'Fluxos de Recebimento'!$I$63:$BH$63, 0)),0)*INDEX($E:$E, MATCH(AP$2, $B:$B, 0))</f>
        <v>0</v>
      </c>
      <c r="AQ15" s="193">
        <f>IFERROR(INDEX('Fluxos de Recebimento'!$I$7:$BH$58, MATCH(Curvas!$AB15, 'Fluxos de Recebimento'!$F$7:$F$58, 0), MATCH(Curvas!AQ$2,'Fluxos de Recebimento'!$I$5:$BH$5, 0))+INDEX('Fluxos de Recebimento'!$I$65:$BH$116, MATCH(Curvas!$AB15, 'Fluxos de Recebimento'!$F$65:$F$116, 0), MATCH(Curvas!AQ$2, 'Fluxos de Recebimento'!$I$63:$BH$63, 0)),0)*INDEX($E:$E, MATCH(AQ$2, $B:$B, 0))</f>
        <v>0</v>
      </c>
      <c r="AR15" s="193">
        <f>IFERROR(INDEX('Fluxos de Recebimento'!$I$7:$BH$58, MATCH(Curvas!$AB15, 'Fluxos de Recebimento'!$F$7:$F$58, 0), MATCH(Curvas!AR$2,'Fluxos de Recebimento'!$I$5:$BH$5, 0))+INDEX('Fluxos de Recebimento'!$I$65:$BH$116, MATCH(Curvas!$AB15, 'Fluxos de Recebimento'!$F$65:$F$116, 0), MATCH(Curvas!AR$2, 'Fluxos de Recebimento'!$I$63:$BH$63, 0)),0)*INDEX($E:$E, MATCH(AR$2, $B:$B, 0))</f>
        <v>0</v>
      </c>
      <c r="AS15" s="193">
        <f>IFERROR(INDEX('Fluxos de Recebimento'!$I$7:$BH$58, MATCH(Curvas!$AB15, 'Fluxos de Recebimento'!$F$7:$F$58, 0), MATCH(Curvas!AS$2,'Fluxos de Recebimento'!$I$5:$BH$5, 0))+INDEX('Fluxos de Recebimento'!$I$65:$BH$116, MATCH(Curvas!$AB15, 'Fluxos de Recebimento'!$F$65:$F$116, 0), MATCH(Curvas!AS$2, 'Fluxos de Recebimento'!$I$63:$BH$63, 0)),0)*INDEX($E:$E, MATCH(AS$2, $B:$B, 0))</f>
        <v>0</v>
      </c>
      <c r="AT15" s="193">
        <f>IFERROR(INDEX('Fluxos de Recebimento'!$I$7:$BH$58, MATCH(Curvas!$AB15, 'Fluxos de Recebimento'!$F$7:$F$58, 0), MATCH(Curvas!AT$2,'Fluxos de Recebimento'!$I$5:$BH$5, 0))+INDEX('Fluxos de Recebimento'!$I$65:$BH$116, MATCH(Curvas!$AB15, 'Fluxos de Recebimento'!$F$65:$F$116, 0), MATCH(Curvas!AT$2, 'Fluxos de Recebimento'!$I$63:$BH$63, 0)),0)*INDEX($E:$E, MATCH(AT$2, $B:$B, 0))</f>
        <v>0</v>
      </c>
      <c r="AU15" s="193">
        <f>IFERROR(INDEX('Fluxos de Recebimento'!$I$7:$BH$58, MATCH(Curvas!$AB15, 'Fluxos de Recebimento'!$F$7:$F$58, 0), MATCH(Curvas!AU$2,'Fluxos de Recebimento'!$I$5:$BH$5, 0))+INDEX('Fluxos de Recebimento'!$I$65:$BH$116, MATCH(Curvas!$AB15, 'Fluxos de Recebimento'!$F$65:$F$116, 0), MATCH(Curvas!AU$2, 'Fluxos de Recebimento'!$I$63:$BH$63, 0)),0)*INDEX($E:$E, MATCH(AU$2, $B:$B, 0))</f>
        <v>0</v>
      </c>
      <c r="AV15" s="193">
        <f>IFERROR(INDEX('Fluxos de Recebimento'!$I$7:$BH$58, MATCH(Curvas!$AB15, 'Fluxos de Recebimento'!$F$7:$F$58, 0), MATCH(Curvas!AV$2,'Fluxos de Recebimento'!$I$5:$BH$5, 0))+INDEX('Fluxos de Recebimento'!$I$65:$BH$116, MATCH(Curvas!$AB15, 'Fluxos de Recebimento'!$F$65:$F$116, 0), MATCH(Curvas!AV$2, 'Fluxos de Recebimento'!$I$63:$BH$63, 0)),0)*INDEX($E:$E, MATCH(AV$2, $B:$B, 0))</f>
        <v>0</v>
      </c>
      <c r="AW15" s="193">
        <f>IFERROR(INDEX('Fluxos de Recebimento'!$I$7:$BH$58, MATCH(Curvas!$AB15, 'Fluxos de Recebimento'!$F$7:$F$58, 0), MATCH(Curvas!AW$2,'Fluxos de Recebimento'!$I$5:$BH$5, 0))+INDEX('Fluxos de Recebimento'!$I$65:$BH$116, MATCH(Curvas!$AB15, 'Fluxos de Recebimento'!$F$65:$F$116, 0), MATCH(Curvas!AW$2, 'Fluxos de Recebimento'!$I$63:$BH$63, 0)),0)*INDEX($E:$E, MATCH(AW$2, $B:$B, 0))</f>
        <v>0</v>
      </c>
      <c r="AX15" s="193">
        <f>IFERROR(INDEX('Fluxos de Recebimento'!$I$7:$BH$58, MATCH(Curvas!$AB15, 'Fluxos de Recebimento'!$F$7:$F$58, 0), MATCH(Curvas!AX$2,'Fluxos de Recebimento'!$I$5:$BH$5, 0))+INDEX('Fluxos de Recebimento'!$I$65:$BH$116, MATCH(Curvas!$AB15, 'Fluxos de Recebimento'!$F$65:$F$116, 0), MATCH(Curvas!AX$2, 'Fluxos de Recebimento'!$I$63:$BH$63, 0)),0)*INDEX($E:$E, MATCH(AX$2, $B:$B, 0))</f>
        <v>0</v>
      </c>
      <c r="AY15" s="193">
        <f>IFERROR(INDEX('Fluxos de Recebimento'!$I$7:$BH$58, MATCH(Curvas!$AB15, 'Fluxos de Recebimento'!$F$7:$F$58, 0), MATCH(Curvas!AY$2,'Fluxos de Recebimento'!$I$5:$BH$5, 0))+INDEX('Fluxos de Recebimento'!$I$65:$BH$116, MATCH(Curvas!$AB15, 'Fluxos de Recebimento'!$F$65:$F$116, 0), MATCH(Curvas!AY$2, 'Fluxos de Recebimento'!$I$63:$BH$63, 0)),0)*INDEX($E:$E, MATCH(AY$2, $B:$B, 0))</f>
        <v>0</v>
      </c>
      <c r="AZ15" s="193">
        <f>IFERROR(INDEX('Fluxos de Recebimento'!$I$7:$BH$58, MATCH(Curvas!$AB15, 'Fluxos de Recebimento'!$F$7:$F$58, 0), MATCH(Curvas!AZ$2,'Fluxos de Recebimento'!$I$5:$BH$5, 0))+INDEX('Fluxos de Recebimento'!$I$65:$BH$116, MATCH(Curvas!$AB15, 'Fluxos de Recebimento'!$F$65:$F$116, 0), MATCH(Curvas!AZ$2, 'Fluxos de Recebimento'!$I$63:$BH$63, 0)),0)*INDEX($E:$E, MATCH(AZ$2, $B:$B, 0))</f>
        <v>0</v>
      </c>
      <c r="BA15" s="193">
        <f>IFERROR(INDEX('Fluxos de Recebimento'!$I$7:$BH$58, MATCH(Curvas!$AB15, 'Fluxos de Recebimento'!$F$7:$F$58, 0), MATCH(Curvas!BA$2,'Fluxos de Recebimento'!$I$5:$BH$5, 0))+INDEX('Fluxos de Recebimento'!$I$65:$BH$116, MATCH(Curvas!$AB15, 'Fluxos de Recebimento'!$F$65:$F$116, 0), MATCH(Curvas!BA$2, 'Fluxos de Recebimento'!$I$63:$BH$63, 0)),0)*INDEX($E:$E, MATCH(BA$2, $B:$B, 0))</f>
        <v>0</v>
      </c>
      <c r="BB15" s="193">
        <f>IFERROR(INDEX('Fluxos de Recebimento'!$I$7:$BH$58, MATCH(Curvas!$AB15, 'Fluxos de Recebimento'!$F$7:$F$58, 0), MATCH(Curvas!BB$2,'Fluxos de Recebimento'!$I$5:$BH$5, 0))+INDEX('Fluxos de Recebimento'!$I$65:$BH$116, MATCH(Curvas!$AB15, 'Fluxos de Recebimento'!$F$65:$F$116, 0), MATCH(Curvas!BB$2, 'Fluxos de Recebimento'!$I$63:$BH$63, 0)),0)*INDEX($E:$E, MATCH(BB$2, $B:$B, 0))</f>
        <v>0</v>
      </c>
      <c r="BC15" s="193">
        <f>IFERROR(INDEX('Fluxos de Recebimento'!$I$7:$BH$58, MATCH(Curvas!$AB15, 'Fluxos de Recebimento'!$F$7:$F$58, 0), MATCH(Curvas!BC$2,'Fluxos de Recebimento'!$I$5:$BH$5, 0))+INDEX('Fluxos de Recebimento'!$I$65:$BH$116, MATCH(Curvas!$AB15, 'Fluxos de Recebimento'!$F$65:$F$116, 0), MATCH(Curvas!BC$2, 'Fluxos de Recebimento'!$I$63:$BH$63, 0)),0)*INDEX($E:$E, MATCH(BC$2, $B:$B, 0))</f>
        <v>0</v>
      </c>
      <c r="BD15" s="193">
        <f>IFERROR(INDEX('Fluxos de Recebimento'!$I$7:$BH$58, MATCH(Curvas!$AB15, 'Fluxos de Recebimento'!$F$7:$F$58, 0), MATCH(Curvas!BD$2,'Fluxos de Recebimento'!$I$5:$BH$5, 0))+INDEX('Fluxos de Recebimento'!$I$65:$BH$116, MATCH(Curvas!$AB15, 'Fluxos de Recebimento'!$F$65:$F$116, 0), MATCH(Curvas!BD$2, 'Fluxos de Recebimento'!$I$63:$BH$63, 0)),0)*INDEX($E:$E, MATCH(BD$2, $B:$B, 0))</f>
        <v>0</v>
      </c>
      <c r="BE15" s="193">
        <f>IFERROR(INDEX('Fluxos de Recebimento'!$I$7:$BH$58, MATCH(Curvas!$AB15, 'Fluxos de Recebimento'!$F$7:$F$58, 0), MATCH(Curvas!BE$2,'Fluxos de Recebimento'!$I$5:$BH$5, 0))+INDEX('Fluxos de Recebimento'!$I$65:$BH$116, MATCH(Curvas!$AB15, 'Fluxos de Recebimento'!$F$65:$F$116, 0), MATCH(Curvas!BE$2, 'Fluxos de Recebimento'!$I$63:$BH$63, 0)),0)*INDEX($E:$E, MATCH(BE$2, $B:$B, 0))</f>
        <v>0</v>
      </c>
      <c r="BF15" s="193">
        <f>IFERROR(INDEX('Fluxos de Recebimento'!$I$7:$BH$58, MATCH(Curvas!$AB15, 'Fluxos de Recebimento'!$F$7:$F$58, 0), MATCH(Curvas!BF$2,'Fluxos de Recebimento'!$I$5:$BH$5, 0))+INDEX('Fluxos de Recebimento'!$I$65:$BH$116, MATCH(Curvas!$AB15, 'Fluxos de Recebimento'!$F$65:$F$116, 0), MATCH(Curvas!BF$2, 'Fluxos de Recebimento'!$I$63:$BH$63, 0)),0)*INDEX($E:$E, MATCH(BF$2, $B:$B, 0))</f>
        <v>0</v>
      </c>
      <c r="BG15" s="193">
        <f>IFERROR(INDEX('Fluxos de Recebimento'!$I$7:$BH$58, MATCH(Curvas!$AB15, 'Fluxos de Recebimento'!$F$7:$F$58, 0), MATCH(Curvas!BG$2,'Fluxos de Recebimento'!$I$5:$BH$5, 0))+INDEX('Fluxos de Recebimento'!$I$65:$BH$116, MATCH(Curvas!$AB15, 'Fluxos de Recebimento'!$F$65:$F$116, 0), MATCH(Curvas!BG$2, 'Fluxos de Recebimento'!$I$63:$BH$63, 0)),0)*INDEX($E:$E, MATCH(BG$2, $B:$B, 0))</f>
        <v>0</v>
      </c>
      <c r="BH15" s="193">
        <f>IFERROR(INDEX('Fluxos de Recebimento'!$I$7:$BH$58, MATCH(Curvas!$AB15, 'Fluxos de Recebimento'!$F$7:$F$58, 0), MATCH(Curvas!BH$2,'Fluxos de Recebimento'!$I$5:$BH$5, 0))+INDEX('Fluxos de Recebimento'!$I$65:$BH$116, MATCH(Curvas!$AB15, 'Fluxos de Recebimento'!$F$65:$F$116, 0), MATCH(Curvas!BH$2, 'Fluxos de Recebimento'!$I$63:$BH$63, 0)),0)*INDEX($E:$E, MATCH(BH$2, $B:$B, 0))</f>
        <v>0</v>
      </c>
      <c r="BI15" s="193">
        <f>IFERROR(INDEX('Fluxos de Recebimento'!$I$7:$BH$58, MATCH(Curvas!$AB15, 'Fluxos de Recebimento'!$F$7:$F$58, 0), MATCH(Curvas!BI$2,'Fluxos de Recebimento'!$I$5:$BH$5, 0))+INDEX('Fluxos de Recebimento'!$I$65:$BH$116, MATCH(Curvas!$AB15, 'Fluxos de Recebimento'!$F$65:$F$116, 0), MATCH(Curvas!BI$2, 'Fluxos de Recebimento'!$I$63:$BH$63, 0)),0)*INDEX($E:$E, MATCH(BI$2, $B:$B, 0))</f>
        <v>0</v>
      </c>
      <c r="BJ15" s="193">
        <f>IFERROR(INDEX('Fluxos de Recebimento'!$I$7:$BH$58, MATCH(Curvas!$AB15, 'Fluxos de Recebimento'!$F$7:$F$58, 0), MATCH(Curvas!BJ$2,'Fluxos de Recebimento'!$I$5:$BH$5, 0))+INDEX('Fluxos de Recebimento'!$I$65:$BH$116, MATCH(Curvas!$AB15, 'Fluxos de Recebimento'!$F$65:$F$116, 0), MATCH(Curvas!BJ$2, 'Fluxos de Recebimento'!$I$63:$BH$63, 0)),0)*INDEX($E:$E, MATCH(BJ$2, $B:$B, 0))</f>
        <v>0</v>
      </c>
      <c r="BK15" s="193">
        <f>IFERROR(INDEX('Fluxos de Recebimento'!$I$7:$BH$58, MATCH(Curvas!$AB15, 'Fluxos de Recebimento'!$F$7:$F$58, 0), MATCH(Curvas!BK$2,'Fluxos de Recebimento'!$I$5:$BH$5, 0))+INDEX('Fluxos de Recebimento'!$I$65:$BH$116, MATCH(Curvas!$AB15, 'Fluxos de Recebimento'!$F$65:$F$116, 0), MATCH(Curvas!BK$2, 'Fluxos de Recebimento'!$I$63:$BH$63, 0)),0)*INDEX($E:$E, MATCH(BK$2, $B:$B, 0))</f>
        <v>0</v>
      </c>
      <c r="BL15" s="193">
        <f>IFERROR(INDEX('Fluxos de Recebimento'!$I$7:$BH$58, MATCH(Curvas!$AB15, 'Fluxos de Recebimento'!$F$7:$F$58, 0), MATCH(Curvas!BL$2,'Fluxos de Recebimento'!$I$5:$BH$5, 0))+INDEX('Fluxos de Recebimento'!$I$65:$BH$116, MATCH(Curvas!$AB15, 'Fluxos de Recebimento'!$F$65:$F$116, 0), MATCH(Curvas!BL$2, 'Fluxos de Recebimento'!$I$63:$BH$63, 0)),0)*INDEX($E:$E, MATCH(BL$2, $B:$B, 0))</f>
        <v>0</v>
      </c>
      <c r="BM15" s="193">
        <f>IFERROR(INDEX('Fluxos de Recebimento'!$I$7:$BH$58, MATCH(Curvas!$AB15, 'Fluxos de Recebimento'!$F$7:$F$58, 0), MATCH(Curvas!BM$2,'Fluxos de Recebimento'!$I$5:$BH$5, 0))+INDEX('Fluxos de Recebimento'!$I$65:$BH$116, MATCH(Curvas!$AB15, 'Fluxos de Recebimento'!$F$65:$F$116, 0), MATCH(Curvas!BM$2, 'Fluxos de Recebimento'!$I$63:$BH$63, 0)),0)*INDEX($E:$E, MATCH(BM$2, $B:$B, 0))</f>
        <v>0</v>
      </c>
      <c r="BN15" s="193">
        <f>IFERROR(INDEX('Fluxos de Recebimento'!$I$7:$BH$58, MATCH(Curvas!$AB15, 'Fluxos de Recebimento'!$F$7:$F$58, 0), MATCH(Curvas!BN$2,'Fluxos de Recebimento'!$I$5:$BH$5, 0))+INDEX('Fluxos de Recebimento'!$I$65:$BH$116, MATCH(Curvas!$AB15, 'Fluxos de Recebimento'!$F$65:$F$116, 0), MATCH(Curvas!BN$2, 'Fluxos de Recebimento'!$I$63:$BH$63, 0)),0)*INDEX($E:$E, MATCH(BN$2, $B:$B, 0))</f>
        <v>0</v>
      </c>
      <c r="BO15" s="193">
        <f>IFERROR(INDEX('Fluxos de Recebimento'!$I$7:$BH$58, MATCH(Curvas!$AB15, 'Fluxos de Recebimento'!$F$7:$F$58, 0), MATCH(Curvas!BO$2,'Fluxos de Recebimento'!$I$5:$BH$5, 0))+INDEX('Fluxos de Recebimento'!$I$65:$BH$116, MATCH(Curvas!$AB15, 'Fluxos de Recebimento'!$F$65:$F$116, 0), MATCH(Curvas!BO$2, 'Fluxos de Recebimento'!$I$63:$BH$63, 0)),0)*INDEX($E:$E, MATCH(BO$2, $B:$B, 0))</f>
        <v>0</v>
      </c>
      <c r="BP15" s="193">
        <f>IFERROR(INDEX('Fluxos de Recebimento'!$I$7:$BH$58, MATCH(Curvas!$AB15, 'Fluxos de Recebimento'!$F$7:$F$58, 0), MATCH(Curvas!BP$2,'Fluxos de Recebimento'!$I$5:$BH$5, 0))+INDEX('Fluxos de Recebimento'!$I$65:$BH$116, MATCH(Curvas!$AB15, 'Fluxos de Recebimento'!$F$65:$F$116, 0), MATCH(Curvas!BP$2, 'Fluxos de Recebimento'!$I$63:$BH$63, 0)),0)*INDEX($E:$E, MATCH(BP$2, $B:$B, 0))</f>
        <v>0</v>
      </c>
      <c r="BQ15" s="193">
        <f>IFERROR(INDEX('Fluxos de Recebimento'!$I$7:$BH$58, MATCH(Curvas!$AB15, 'Fluxos de Recebimento'!$F$7:$F$58, 0), MATCH(Curvas!BQ$2,'Fluxos de Recebimento'!$I$5:$BH$5, 0))+INDEX('Fluxos de Recebimento'!$I$65:$BH$116, MATCH(Curvas!$AB15, 'Fluxos de Recebimento'!$F$65:$F$116, 0), MATCH(Curvas!BQ$2, 'Fluxos de Recebimento'!$I$63:$BH$63, 0)),0)*INDEX($E:$E, MATCH(BQ$2, $B:$B, 0))</f>
        <v>0</v>
      </c>
      <c r="BR15" s="193">
        <f>IFERROR(INDEX('Fluxos de Recebimento'!$I$7:$BH$58, MATCH(Curvas!$AB15, 'Fluxos de Recebimento'!$F$7:$F$58, 0), MATCH(Curvas!BR$2,'Fluxos de Recebimento'!$I$5:$BH$5, 0))+INDEX('Fluxos de Recebimento'!$I$65:$BH$116, MATCH(Curvas!$AB15, 'Fluxos de Recebimento'!$F$65:$F$116, 0), MATCH(Curvas!BR$2, 'Fluxos de Recebimento'!$I$63:$BH$63, 0)),0)*INDEX($E:$E, MATCH(BR$2, $B:$B, 0))</f>
        <v>0</v>
      </c>
      <c r="BS15" s="193">
        <f>IFERROR(INDEX('Fluxos de Recebimento'!$I$7:$BH$58, MATCH(Curvas!$AB15, 'Fluxos de Recebimento'!$F$7:$F$58, 0), MATCH(Curvas!BS$2,'Fluxos de Recebimento'!$I$5:$BH$5, 0))+INDEX('Fluxos de Recebimento'!$I$65:$BH$116, MATCH(Curvas!$AB15, 'Fluxos de Recebimento'!$F$65:$F$116, 0), MATCH(Curvas!BS$2, 'Fluxos de Recebimento'!$I$63:$BH$63, 0)),0)*INDEX($E:$E, MATCH(BS$2, $B:$B, 0))</f>
        <v>0</v>
      </c>
      <c r="BT15" s="193">
        <f>IFERROR(INDEX('Fluxos de Recebimento'!$I$7:$BH$58, MATCH(Curvas!$AB15, 'Fluxos de Recebimento'!$F$7:$F$58, 0), MATCH(Curvas!BT$2,'Fluxos de Recebimento'!$I$5:$BH$5, 0))+INDEX('Fluxos de Recebimento'!$I$65:$BH$116, MATCH(Curvas!$AB15, 'Fluxos de Recebimento'!$F$65:$F$116, 0), MATCH(Curvas!BT$2, 'Fluxos de Recebimento'!$I$63:$BH$63, 0)),0)*INDEX($E:$E, MATCH(BT$2, $B:$B, 0))</f>
        <v>0</v>
      </c>
      <c r="BU15" s="193">
        <f>IFERROR(INDEX('Fluxos de Recebimento'!$I$7:$BH$58, MATCH(Curvas!$AB15, 'Fluxos de Recebimento'!$F$7:$F$58, 0), MATCH(Curvas!BU$2,'Fluxos de Recebimento'!$I$5:$BH$5, 0))+INDEX('Fluxos de Recebimento'!$I$65:$BH$116, MATCH(Curvas!$AB15, 'Fluxos de Recebimento'!$F$65:$F$116, 0), MATCH(Curvas!BU$2, 'Fluxos de Recebimento'!$I$63:$BH$63, 0)),0)*INDEX($E:$E, MATCH(BU$2, $B:$B, 0))</f>
        <v>0</v>
      </c>
      <c r="BV15" s="193">
        <f>IFERROR(INDEX('Fluxos de Recebimento'!$I$7:$BH$58, MATCH(Curvas!$AB15, 'Fluxos de Recebimento'!$F$7:$F$58, 0), MATCH(Curvas!BV$2,'Fluxos de Recebimento'!$I$5:$BH$5, 0))+INDEX('Fluxos de Recebimento'!$I$65:$BH$116, MATCH(Curvas!$AB15, 'Fluxos de Recebimento'!$F$65:$F$116, 0), MATCH(Curvas!BV$2, 'Fluxos de Recebimento'!$I$63:$BH$63, 0)),0)*INDEX($E:$E, MATCH(BV$2, $B:$B, 0))</f>
        <v>0</v>
      </c>
      <c r="BW15" s="193">
        <f>IFERROR(INDEX('Fluxos de Recebimento'!$I$7:$BH$58, MATCH(Curvas!$AB15, 'Fluxos de Recebimento'!$F$7:$F$58, 0), MATCH(Curvas!BW$2,'Fluxos de Recebimento'!$I$5:$BH$5, 0))+INDEX('Fluxos de Recebimento'!$I$65:$BH$116, MATCH(Curvas!$AB15, 'Fluxos de Recebimento'!$F$65:$F$116, 0), MATCH(Curvas!BW$2, 'Fluxos de Recebimento'!$I$63:$BH$63, 0)),0)*INDEX($E:$E, MATCH(BW$2, $B:$B, 0))</f>
        <v>0</v>
      </c>
      <c r="BX15" s="193">
        <f>IFERROR(INDEX('Fluxos de Recebimento'!$I$7:$BH$58, MATCH(Curvas!$AB15, 'Fluxos de Recebimento'!$F$7:$F$58, 0), MATCH(Curvas!BX$2,'Fluxos de Recebimento'!$I$5:$BH$5, 0))+INDEX('Fluxos de Recebimento'!$I$65:$BH$116, MATCH(Curvas!$AB15, 'Fluxos de Recebimento'!$F$65:$F$116, 0), MATCH(Curvas!BX$2, 'Fluxos de Recebimento'!$I$63:$BH$63, 0)),0)*INDEX($E:$E, MATCH(BX$2, $B:$B, 0))</f>
        <v>0</v>
      </c>
      <c r="BY15" s="193">
        <f>IFERROR(INDEX('Fluxos de Recebimento'!$I$7:$BH$58, MATCH(Curvas!$AB15, 'Fluxos de Recebimento'!$F$7:$F$58, 0), MATCH(Curvas!BY$2,'Fluxos de Recebimento'!$I$5:$BH$5, 0))+INDEX('Fluxos de Recebimento'!$I$65:$BH$116, MATCH(Curvas!$AB15, 'Fluxos de Recebimento'!$F$65:$F$116, 0), MATCH(Curvas!BY$2, 'Fluxos de Recebimento'!$I$63:$BH$63, 0)),0)*INDEX($E:$E, MATCH(BY$2, $B:$B, 0))</f>
        <v>0</v>
      </c>
      <c r="BZ15" s="193">
        <f>IFERROR(INDEX('Fluxos de Recebimento'!$I$7:$BH$58, MATCH(Curvas!$AB15, 'Fluxos de Recebimento'!$F$7:$F$58, 0), MATCH(Curvas!BZ$2,'Fluxos de Recebimento'!$I$5:$BH$5, 0))+INDEX('Fluxos de Recebimento'!$I$65:$BH$116, MATCH(Curvas!$AB15, 'Fluxos de Recebimento'!$F$65:$F$116, 0), MATCH(Curvas!BZ$2, 'Fluxos de Recebimento'!$I$63:$BH$63, 0)),0)*INDEX($E:$E, MATCH(BZ$2, $B:$B, 0))</f>
        <v>0</v>
      </c>
      <c r="CA15" s="193">
        <f>IFERROR(INDEX('Fluxos de Recebimento'!$I$7:$BH$58, MATCH(Curvas!$AB15, 'Fluxos de Recebimento'!$F$7:$F$58, 0), MATCH(Curvas!CA$2,'Fluxos de Recebimento'!$I$5:$BH$5, 0))+INDEX('Fluxos de Recebimento'!$I$65:$BH$116, MATCH(Curvas!$AB15, 'Fluxos de Recebimento'!$F$65:$F$116, 0), MATCH(Curvas!CA$2, 'Fluxos de Recebimento'!$I$63:$BH$63, 0)),0)*INDEX($E:$E, MATCH(CA$2, $B:$B, 0))</f>
        <v>0</v>
      </c>
      <c r="CB15" s="193">
        <f>IFERROR(INDEX('Fluxos de Recebimento'!$I$7:$BH$58, MATCH(Curvas!$AB15, 'Fluxos de Recebimento'!$F$7:$F$58, 0), MATCH(Curvas!CB$2,'Fluxos de Recebimento'!$I$5:$BH$5, 0))+INDEX('Fluxos de Recebimento'!$I$65:$BH$116, MATCH(Curvas!$AB15, 'Fluxos de Recebimento'!$F$65:$F$116, 0), MATCH(Curvas!CB$2, 'Fluxos de Recebimento'!$I$63:$BH$63, 0)),0)*INDEX($E:$E, MATCH(CB$2, $B:$B, 0))</f>
        <v>0</v>
      </c>
      <c r="CC15" s="193">
        <f>IFERROR(INDEX('Fluxos de Recebimento'!$I$7:$BH$58, MATCH(Curvas!$AB15, 'Fluxos de Recebimento'!$F$7:$F$58, 0), MATCH(Curvas!CC$2,'Fluxos de Recebimento'!$I$5:$BH$5, 0))+INDEX('Fluxos de Recebimento'!$I$65:$BH$116, MATCH(Curvas!$AB15, 'Fluxos de Recebimento'!$F$65:$F$116, 0), MATCH(Curvas!CC$2, 'Fluxos de Recebimento'!$I$63:$BH$63, 0)),0)*INDEX($E:$E, MATCH(CC$2, $B:$B, 0))</f>
        <v>0</v>
      </c>
    </row>
    <row r="16" spans="1:81" x14ac:dyDescent="0.25">
      <c r="A16" s="2"/>
      <c r="B16" s="477">
        <f t="shared" si="16"/>
        <v>44531</v>
      </c>
      <c r="C16" s="52">
        <f t="shared" si="17"/>
        <v>13</v>
      </c>
      <c r="D16" s="2"/>
      <c r="E16" s="187">
        <f t="shared" si="4"/>
        <v>2.298850574712644E-2</v>
      </c>
      <c r="F16" s="48">
        <f t="shared" si="18"/>
        <v>0.29885057471264376</v>
      </c>
      <c r="G16" s="46">
        <f t="shared" ca="1" si="5"/>
        <v>0</v>
      </c>
      <c r="H16" s="48">
        <f t="shared" ca="1" si="19"/>
        <v>0</v>
      </c>
      <c r="I16" s="2"/>
      <c r="J16" s="69">
        <f t="shared" si="6"/>
        <v>16</v>
      </c>
      <c r="K16" s="479">
        <f t="shared" ca="1" si="7"/>
        <v>0</v>
      </c>
      <c r="L16" s="70">
        <f t="shared" ca="1" si="8"/>
        <v>16</v>
      </c>
      <c r="M16" s="2"/>
      <c r="N16" s="69">
        <f t="shared" si="9"/>
        <v>21</v>
      </c>
      <c r="O16" s="479">
        <f t="shared" si="10"/>
        <v>0</v>
      </c>
      <c r="P16" s="70">
        <f t="shared" si="11"/>
        <v>21</v>
      </c>
      <c r="Q16" s="2"/>
      <c r="R16" s="71">
        <f t="shared" si="12"/>
        <v>37</v>
      </c>
      <c r="S16" s="196"/>
      <c r="T16" s="46">
        <v>1.9546257580780851E-2</v>
      </c>
      <c r="U16" s="48">
        <f t="shared" si="20"/>
        <v>0.1798034287127743</v>
      </c>
      <c r="V16" s="2"/>
      <c r="W16" s="56"/>
      <c r="X16" s="48"/>
      <c r="Y16" s="2"/>
      <c r="Z16" s="194">
        <f t="shared" si="13"/>
        <v>3.661802509137356E-3</v>
      </c>
      <c r="AA16" s="2"/>
      <c r="AB16" s="477">
        <f t="shared" si="14"/>
        <v>44531</v>
      </c>
      <c r="AC16" s="52">
        <f t="shared" si="15"/>
        <v>13</v>
      </c>
      <c r="AD16" s="193">
        <f>IFERROR(INDEX('Fluxos de Recebimento'!$I$7:$BH$58, MATCH(Curvas!$AB16, 'Fluxos de Recebimento'!$F$7:$F$58, 0), MATCH(Curvas!AD$2,'Fluxos de Recebimento'!$I$5:$BH$5, 0))+INDEX('Fluxos de Recebimento'!$I$65:$BH$116, MATCH(Curvas!$AB16, 'Fluxos de Recebimento'!$F$65:$F$116, 0), MATCH(Curvas!AD$2, 'Fluxos de Recebimento'!$I$63:$BH$63, 0)),0)*INDEX($E:$E, MATCH(AD$2, $B:$B, 0))</f>
        <v>1.6420361247947458E-4</v>
      </c>
      <c r="AE16" s="193">
        <f>IFERROR(INDEX('Fluxos de Recebimento'!$I$7:$BH$58, MATCH(Curvas!$AB16, 'Fluxos de Recebimento'!$F$7:$F$58, 0), MATCH(Curvas!AE$2,'Fluxos de Recebimento'!$I$5:$BH$5, 0))+INDEX('Fluxos de Recebimento'!$I$65:$BH$116, MATCH(Curvas!$AB16, 'Fluxos de Recebimento'!$F$65:$F$116, 0), MATCH(Curvas!AE$2, 'Fluxos de Recebimento'!$I$63:$BH$63, 0)),0)*INDEX($E:$E, MATCH(AE$2, $B:$B, 0))</f>
        <v>1.7028522775649216E-4</v>
      </c>
      <c r="AF16" s="193">
        <f>IFERROR(INDEX('Fluxos de Recebimento'!$I$7:$BH$58, MATCH(Curvas!$AB16, 'Fluxos de Recebimento'!$F$7:$F$58, 0), MATCH(Curvas!AF$2,'Fluxos de Recebimento'!$I$5:$BH$5, 0))+INDEX('Fluxos de Recebimento'!$I$65:$BH$116, MATCH(Curvas!$AB16, 'Fluxos de Recebimento'!$F$65:$F$116, 0), MATCH(Curvas!AF$2, 'Fluxos de Recebimento'!$I$63:$BH$63, 0)),0)*INDEX($E:$E, MATCH(AF$2, $B:$B, 0))</f>
        <v>1.7683465959328031E-4</v>
      </c>
      <c r="AG16" s="193">
        <f>IFERROR(INDEX('Fluxos de Recebimento'!$I$7:$BH$58, MATCH(Curvas!$AB16, 'Fluxos de Recebimento'!$F$7:$F$58, 0), MATCH(Curvas!AG$2,'Fluxos de Recebimento'!$I$5:$BH$5, 0))+INDEX('Fluxos de Recebimento'!$I$65:$BH$116, MATCH(Curvas!$AB16, 'Fluxos de Recebimento'!$F$65:$F$116, 0), MATCH(Curvas!AG$2, 'Fluxos de Recebimento'!$I$63:$BH$63, 0)),0)*INDEX($E:$E, MATCH(AG$2, $B:$B, 0))</f>
        <v>1.8390804597701152E-4</v>
      </c>
      <c r="AH16" s="193">
        <f>IFERROR(INDEX('Fluxos de Recebimento'!$I$7:$BH$58, MATCH(Curvas!$AB16, 'Fluxos de Recebimento'!$F$7:$F$58, 0), MATCH(Curvas!AH$2,'Fluxos de Recebimento'!$I$5:$BH$5, 0))+INDEX('Fluxos de Recebimento'!$I$65:$BH$116, MATCH(Curvas!$AB16, 'Fluxos de Recebimento'!$F$65:$F$116, 0), MATCH(Curvas!AH$2, 'Fluxos de Recebimento'!$I$63:$BH$63, 0)),0)*INDEX($E:$E, MATCH(AH$2, $B:$B, 0))</f>
        <v>1.9157088122605367E-4</v>
      </c>
      <c r="AI16" s="193">
        <f>IFERROR(INDEX('Fluxos de Recebimento'!$I$7:$BH$58, MATCH(Curvas!$AB16, 'Fluxos de Recebimento'!$F$7:$F$58, 0), MATCH(Curvas!AI$2,'Fluxos de Recebimento'!$I$5:$BH$5, 0))+INDEX('Fluxos de Recebimento'!$I$65:$BH$116, MATCH(Curvas!$AB16, 'Fluxos de Recebimento'!$F$65:$F$116, 0), MATCH(Curvas!AI$2, 'Fluxos de Recebimento'!$I$63:$BH$63, 0)),0)*INDEX($E:$E, MATCH(AI$2, $B:$B, 0))</f>
        <v>1.9990004997501253E-4</v>
      </c>
      <c r="AJ16" s="193">
        <f>IFERROR(INDEX('Fluxos de Recebimento'!$I$7:$BH$58, MATCH(Curvas!$AB16, 'Fluxos de Recebimento'!$F$7:$F$58, 0), MATCH(Curvas!AJ$2,'Fluxos de Recebimento'!$I$5:$BH$5, 0))+INDEX('Fluxos de Recebimento'!$I$65:$BH$116, MATCH(Curvas!$AB16, 'Fluxos de Recebimento'!$F$65:$F$116, 0), MATCH(Curvas!AJ$2, 'Fluxos de Recebimento'!$I$63:$BH$63, 0)),0)*INDEX($E:$E, MATCH(AJ$2, $B:$B, 0))</f>
        <v>2.0898641588296767E-4</v>
      </c>
      <c r="AK16" s="193">
        <f>IFERROR(INDEX('Fluxos de Recebimento'!$I$7:$BH$58, MATCH(Curvas!$AB16, 'Fluxos de Recebimento'!$F$7:$F$58, 0), MATCH(Curvas!AK$2,'Fluxos de Recebimento'!$I$5:$BH$5, 0))+INDEX('Fluxos de Recebimento'!$I$65:$BH$116, MATCH(Curvas!$AB16, 'Fluxos de Recebimento'!$F$65:$F$116, 0), MATCH(Curvas!AK$2, 'Fluxos de Recebimento'!$I$63:$BH$63, 0)),0)*INDEX($E:$E, MATCH(AK$2, $B:$B, 0))</f>
        <v>2.1893814997263279E-4</v>
      </c>
      <c r="AL16" s="193">
        <f>IFERROR(INDEX('Fluxos de Recebimento'!$I$7:$BH$58, MATCH(Curvas!$AB16, 'Fluxos de Recebimento'!$F$7:$F$58, 0), MATCH(Curvas!AL$2,'Fluxos de Recebimento'!$I$5:$BH$5, 0))+INDEX('Fluxos de Recebimento'!$I$65:$BH$116, MATCH(Curvas!$AB16, 'Fluxos de Recebimento'!$F$65:$F$116, 0), MATCH(Curvas!AL$2, 'Fluxos de Recebimento'!$I$63:$BH$63, 0)),0)*INDEX($E:$E, MATCH(AL$2, $B:$B, 0))</f>
        <v>2.2988505747126441E-4</v>
      </c>
      <c r="AM16" s="193">
        <f>IFERROR(INDEX('Fluxos de Recebimento'!$I$7:$BH$58, MATCH(Curvas!$AB16, 'Fluxos de Recebimento'!$F$7:$F$58, 0), MATCH(Curvas!AM$2,'Fluxos de Recebimento'!$I$5:$BH$5, 0))+INDEX('Fluxos de Recebimento'!$I$65:$BH$116, MATCH(Curvas!$AB16, 'Fluxos de Recebimento'!$F$65:$F$116, 0), MATCH(Curvas!AM$2, 'Fluxos de Recebimento'!$I$63:$BH$63, 0)),0)*INDEX($E:$E, MATCH(AM$2, $B:$B, 0))</f>
        <v>2.4198427102238356E-4</v>
      </c>
      <c r="AN16" s="193">
        <f>IFERROR(INDEX('Fluxos de Recebimento'!$I$7:$BH$58, MATCH(Curvas!$AB16, 'Fluxos de Recebimento'!$F$7:$F$58, 0), MATCH(Curvas!AN$2,'Fluxos de Recebimento'!$I$5:$BH$5, 0))+INDEX('Fluxos de Recebimento'!$I$65:$BH$116, MATCH(Curvas!$AB16, 'Fluxos de Recebimento'!$F$65:$F$116, 0), MATCH(Curvas!AN$2, 'Fluxos de Recebimento'!$I$63:$BH$63, 0)),0)*INDEX($E:$E, MATCH(AN$2, $B:$B, 0))</f>
        <v>2.5542784163473821E-4</v>
      </c>
      <c r="AO16" s="193">
        <f>IFERROR(INDEX('Fluxos de Recebimento'!$I$7:$BH$58, MATCH(Curvas!$AB16, 'Fluxos de Recebimento'!$F$7:$F$58, 0), MATCH(Curvas!AO$2,'Fluxos de Recebimento'!$I$5:$BH$5, 0))+INDEX('Fluxos de Recebimento'!$I$65:$BH$116, MATCH(Curvas!$AB16, 'Fluxos de Recebimento'!$F$65:$F$116, 0), MATCH(Curvas!AO$2, 'Fluxos de Recebimento'!$I$63:$BH$63, 0)),0)*INDEX($E:$E, MATCH(AO$2, $B:$B, 0))</f>
        <v>2.7045300878972284E-4</v>
      </c>
      <c r="AP16" s="193">
        <f>IFERROR(INDEX('Fluxos de Recebimento'!$I$7:$BH$58, MATCH(Curvas!$AB16, 'Fluxos de Recebimento'!$F$7:$F$58, 0), MATCH(Curvas!AP$2,'Fluxos de Recebimento'!$I$5:$BH$5, 0))+INDEX('Fluxos de Recebimento'!$I$65:$BH$116, MATCH(Curvas!$AB16, 'Fluxos de Recebimento'!$F$65:$F$116, 0), MATCH(Curvas!AP$2, 'Fluxos de Recebimento'!$I$63:$BH$63, 0)),0)*INDEX($E:$E, MATCH(AP$2, $B:$B, 0))</f>
        <v>1.149425287356322E-3</v>
      </c>
      <c r="AQ16" s="193">
        <f>IFERROR(INDEX('Fluxos de Recebimento'!$I$7:$BH$58, MATCH(Curvas!$AB16, 'Fluxos de Recebimento'!$F$7:$F$58, 0), MATCH(Curvas!AQ$2,'Fluxos de Recebimento'!$I$5:$BH$5, 0))+INDEX('Fluxos de Recebimento'!$I$65:$BH$116, MATCH(Curvas!$AB16, 'Fluxos de Recebimento'!$F$65:$F$116, 0), MATCH(Curvas!AQ$2, 'Fluxos de Recebimento'!$I$63:$BH$63, 0)),0)*INDEX($E:$E, MATCH(AQ$2, $B:$B, 0))</f>
        <v>0</v>
      </c>
      <c r="AR16" s="193">
        <f>IFERROR(INDEX('Fluxos de Recebimento'!$I$7:$BH$58, MATCH(Curvas!$AB16, 'Fluxos de Recebimento'!$F$7:$F$58, 0), MATCH(Curvas!AR$2,'Fluxos de Recebimento'!$I$5:$BH$5, 0))+INDEX('Fluxos de Recebimento'!$I$65:$BH$116, MATCH(Curvas!$AB16, 'Fluxos de Recebimento'!$F$65:$F$116, 0), MATCH(Curvas!AR$2, 'Fluxos de Recebimento'!$I$63:$BH$63, 0)),0)*INDEX($E:$E, MATCH(AR$2, $B:$B, 0))</f>
        <v>0</v>
      </c>
      <c r="AS16" s="193">
        <f>IFERROR(INDEX('Fluxos de Recebimento'!$I$7:$BH$58, MATCH(Curvas!$AB16, 'Fluxos de Recebimento'!$F$7:$F$58, 0), MATCH(Curvas!AS$2,'Fluxos de Recebimento'!$I$5:$BH$5, 0))+INDEX('Fluxos de Recebimento'!$I$65:$BH$116, MATCH(Curvas!$AB16, 'Fluxos de Recebimento'!$F$65:$F$116, 0), MATCH(Curvas!AS$2, 'Fluxos de Recebimento'!$I$63:$BH$63, 0)),0)*INDEX($E:$E, MATCH(AS$2, $B:$B, 0))</f>
        <v>0</v>
      </c>
      <c r="AT16" s="193">
        <f>IFERROR(INDEX('Fluxos de Recebimento'!$I$7:$BH$58, MATCH(Curvas!$AB16, 'Fluxos de Recebimento'!$F$7:$F$58, 0), MATCH(Curvas!AT$2,'Fluxos de Recebimento'!$I$5:$BH$5, 0))+INDEX('Fluxos de Recebimento'!$I$65:$BH$116, MATCH(Curvas!$AB16, 'Fluxos de Recebimento'!$F$65:$F$116, 0), MATCH(Curvas!AT$2, 'Fluxos de Recebimento'!$I$63:$BH$63, 0)),0)*INDEX($E:$E, MATCH(AT$2, $B:$B, 0))</f>
        <v>0</v>
      </c>
      <c r="AU16" s="193">
        <f>IFERROR(INDEX('Fluxos de Recebimento'!$I$7:$BH$58, MATCH(Curvas!$AB16, 'Fluxos de Recebimento'!$F$7:$F$58, 0), MATCH(Curvas!AU$2,'Fluxos de Recebimento'!$I$5:$BH$5, 0))+INDEX('Fluxos de Recebimento'!$I$65:$BH$116, MATCH(Curvas!$AB16, 'Fluxos de Recebimento'!$F$65:$F$116, 0), MATCH(Curvas!AU$2, 'Fluxos de Recebimento'!$I$63:$BH$63, 0)),0)*INDEX($E:$E, MATCH(AU$2, $B:$B, 0))</f>
        <v>0</v>
      </c>
      <c r="AV16" s="193">
        <f>IFERROR(INDEX('Fluxos de Recebimento'!$I$7:$BH$58, MATCH(Curvas!$AB16, 'Fluxos de Recebimento'!$F$7:$F$58, 0), MATCH(Curvas!AV$2,'Fluxos de Recebimento'!$I$5:$BH$5, 0))+INDEX('Fluxos de Recebimento'!$I$65:$BH$116, MATCH(Curvas!$AB16, 'Fluxos de Recebimento'!$F$65:$F$116, 0), MATCH(Curvas!AV$2, 'Fluxos de Recebimento'!$I$63:$BH$63, 0)),0)*INDEX($E:$E, MATCH(AV$2, $B:$B, 0))</f>
        <v>0</v>
      </c>
      <c r="AW16" s="193">
        <f>IFERROR(INDEX('Fluxos de Recebimento'!$I$7:$BH$58, MATCH(Curvas!$AB16, 'Fluxos de Recebimento'!$F$7:$F$58, 0), MATCH(Curvas!AW$2,'Fluxos de Recebimento'!$I$5:$BH$5, 0))+INDEX('Fluxos de Recebimento'!$I$65:$BH$116, MATCH(Curvas!$AB16, 'Fluxos de Recebimento'!$F$65:$F$116, 0), MATCH(Curvas!AW$2, 'Fluxos de Recebimento'!$I$63:$BH$63, 0)),0)*INDEX($E:$E, MATCH(AW$2, $B:$B, 0))</f>
        <v>0</v>
      </c>
      <c r="AX16" s="193">
        <f>IFERROR(INDEX('Fluxos de Recebimento'!$I$7:$BH$58, MATCH(Curvas!$AB16, 'Fluxos de Recebimento'!$F$7:$F$58, 0), MATCH(Curvas!AX$2,'Fluxos de Recebimento'!$I$5:$BH$5, 0))+INDEX('Fluxos de Recebimento'!$I$65:$BH$116, MATCH(Curvas!$AB16, 'Fluxos de Recebimento'!$F$65:$F$116, 0), MATCH(Curvas!AX$2, 'Fluxos de Recebimento'!$I$63:$BH$63, 0)),0)*INDEX($E:$E, MATCH(AX$2, $B:$B, 0))</f>
        <v>0</v>
      </c>
      <c r="AY16" s="193">
        <f>IFERROR(INDEX('Fluxos de Recebimento'!$I$7:$BH$58, MATCH(Curvas!$AB16, 'Fluxos de Recebimento'!$F$7:$F$58, 0), MATCH(Curvas!AY$2,'Fluxos de Recebimento'!$I$5:$BH$5, 0))+INDEX('Fluxos de Recebimento'!$I$65:$BH$116, MATCH(Curvas!$AB16, 'Fluxos de Recebimento'!$F$65:$F$116, 0), MATCH(Curvas!AY$2, 'Fluxos de Recebimento'!$I$63:$BH$63, 0)),0)*INDEX($E:$E, MATCH(AY$2, $B:$B, 0))</f>
        <v>0</v>
      </c>
      <c r="AZ16" s="193">
        <f>IFERROR(INDEX('Fluxos de Recebimento'!$I$7:$BH$58, MATCH(Curvas!$AB16, 'Fluxos de Recebimento'!$F$7:$F$58, 0), MATCH(Curvas!AZ$2,'Fluxos de Recebimento'!$I$5:$BH$5, 0))+INDEX('Fluxos de Recebimento'!$I$65:$BH$116, MATCH(Curvas!$AB16, 'Fluxos de Recebimento'!$F$65:$F$116, 0), MATCH(Curvas!AZ$2, 'Fluxos de Recebimento'!$I$63:$BH$63, 0)),0)*INDEX($E:$E, MATCH(AZ$2, $B:$B, 0))</f>
        <v>0</v>
      </c>
      <c r="BA16" s="193">
        <f>IFERROR(INDEX('Fluxos de Recebimento'!$I$7:$BH$58, MATCH(Curvas!$AB16, 'Fluxos de Recebimento'!$F$7:$F$58, 0), MATCH(Curvas!BA$2,'Fluxos de Recebimento'!$I$5:$BH$5, 0))+INDEX('Fluxos de Recebimento'!$I$65:$BH$116, MATCH(Curvas!$AB16, 'Fluxos de Recebimento'!$F$65:$F$116, 0), MATCH(Curvas!BA$2, 'Fluxos de Recebimento'!$I$63:$BH$63, 0)),0)*INDEX($E:$E, MATCH(BA$2, $B:$B, 0))</f>
        <v>0</v>
      </c>
      <c r="BB16" s="193">
        <f>IFERROR(INDEX('Fluxos de Recebimento'!$I$7:$BH$58, MATCH(Curvas!$AB16, 'Fluxos de Recebimento'!$F$7:$F$58, 0), MATCH(Curvas!BB$2,'Fluxos de Recebimento'!$I$5:$BH$5, 0))+INDEX('Fluxos de Recebimento'!$I$65:$BH$116, MATCH(Curvas!$AB16, 'Fluxos de Recebimento'!$F$65:$F$116, 0), MATCH(Curvas!BB$2, 'Fluxos de Recebimento'!$I$63:$BH$63, 0)),0)*INDEX($E:$E, MATCH(BB$2, $B:$B, 0))</f>
        <v>0</v>
      </c>
      <c r="BC16" s="193">
        <f>IFERROR(INDEX('Fluxos de Recebimento'!$I$7:$BH$58, MATCH(Curvas!$AB16, 'Fluxos de Recebimento'!$F$7:$F$58, 0), MATCH(Curvas!BC$2,'Fluxos de Recebimento'!$I$5:$BH$5, 0))+INDEX('Fluxos de Recebimento'!$I$65:$BH$116, MATCH(Curvas!$AB16, 'Fluxos de Recebimento'!$F$65:$F$116, 0), MATCH(Curvas!BC$2, 'Fluxos de Recebimento'!$I$63:$BH$63, 0)),0)*INDEX($E:$E, MATCH(BC$2, $B:$B, 0))</f>
        <v>0</v>
      </c>
      <c r="BD16" s="193">
        <f>IFERROR(INDEX('Fluxos de Recebimento'!$I$7:$BH$58, MATCH(Curvas!$AB16, 'Fluxos de Recebimento'!$F$7:$F$58, 0), MATCH(Curvas!BD$2,'Fluxos de Recebimento'!$I$5:$BH$5, 0))+INDEX('Fluxos de Recebimento'!$I$65:$BH$116, MATCH(Curvas!$AB16, 'Fluxos de Recebimento'!$F$65:$F$116, 0), MATCH(Curvas!BD$2, 'Fluxos de Recebimento'!$I$63:$BH$63, 0)),0)*INDEX($E:$E, MATCH(BD$2, $B:$B, 0))</f>
        <v>0</v>
      </c>
      <c r="BE16" s="193">
        <f>IFERROR(INDEX('Fluxos de Recebimento'!$I$7:$BH$58, MATCH(Curvas!$AB16, 'Fluxos de Recebimento'!$F$7:$F$58, 0), MATCH(Curvas!BE$2,'Fluxos de Recebimento'!$I$5:$BH$5, 0))+INDEX('Fluxos de Recebimento'!$I$65:$BH$116, MATCH(Curvas!$AB16, 'Fluxos de Recebimento'!$F$65:$F$116, 0), MATCH(Curvas!BE$2, 'Fluxos de Recebimento'!$I$63:$BH$63, 0)),0)*INDEX($E:$E, MATCH(BE$2, $B:$B, 0))</f>
        <v>0</v>
      </c>
      <c r="BF16" s="193">
        <f>IFERROR(INDEX('Fluxos de Recebimento'!$I$7:$BH$58, MATCH(Curvas!$AB16, 'Fluxos de Recebimento'!$F$7:$F$58, 0), MATCH(Curvas!BF$2,'Fluxos de Recebimento'!$I$5:$BH$5, 0))+INDEX('Fluxos de Recebimento'!$I$65:$BH$116, MATCH(Curvas!$AB16, 'Fluxos de Recebimento'!$F$65:$F$116, 0), MATCH(Curvas!BF$2, 'Fluxos de Recebimento'!$I$63:$BH$63, 0)),0)*INDEX($E:$E, MATCH(BF$2, $B:$B, 0))</f>
        <v>0</v>
      </c>
      <c r="BG16" s="193">
        <f>IFERROR(INDEX('Fluxos de Recebimento'!$I$7:$BH$58, MATCH(Curvas!$AB16, 'Fluxos de Recebimento'!$F$7:$F$58, 0), MATCH(Curvas!BG$2,'Fluxos de Recebimento'!$I$5:$BH$5, 0))+INDEX('Fluxos de Recebimento'!$I$65:$BH$116, MATCH(Curvas!$AB16, 'Fluxos de Recebimento'!$F$65:$F$116, 0), MATCH(Curvas!BG$2, 'Fluxos de Recebimento'!$I$63:$BH$63, 0)),0)*INDEX($E:$E, MATCH(BG$2, $B:$B, 0))</f>
        <v>0</v>
      </c>
      <c r="BH16" s="193">
        <f>IFERROR(INDEX('Fluxos de Recebimento'!$I$7:$BH$58, MATCH(Curvas!$AB16, 'Fluxos de Recebimento'!$F$7:$F$58, 0), MATCH(Curvas!BH$2,'Fluxos de Recebimento'!$I$5:$BH$5, 0))+INDEX('Fluxos de Recebimento'!$I$65:$BH$116, MATCH(Curvas!$AB16, 'Fluxos de Recebimento'!$F$65:$F$116, 0), MATCH(Curvas!BH$2, 'Fluxos de Recebimento'!$I$63:$BH$63, 0)),0)*INDEX($E:$E, MATCH(BH$2, $B:$B, 0))</f>
        <v>0</v>
      </c>
      <c r="BI16" s="193">
        <f>IFERROR(INDEX('Fluxos de Recebimento'!$I$7:$BH$58, MATCH(Curvas!$AB16, 'Fluxos de Recebimento'!$F$7:$F$58, 0), MATCH(Curvas!BI$2,'Fluxos de Recebimento'!$I$5:$BH$5, 0))+INDEX('Fluxos de Recebimento'!$I$65:$BH$116, MATCH(Curvas!$AB16, 'Fluxos de Recebimento'!$F$65:$F$116, 0), MATCH(Curvas!BI$2, 'Fluxos de Recebimento'!$I$63:$BH$63, 0)),0)*INDEX($E:$E, MATCH(BI$2, $B:$B, 0))</f>
        <v>0</v>
      </c>
      <c r="BJ16" s="193">
        <f>IFERROR(INDEX('Fluxos de Recebimento'!$I$7:$BH$58, MATCH(Curvas!$AB16, 'Fluxos de Recebimento'!$F$7:$F$58, 0), MATCH(Curvas!BJ$2,'Fluxos de Recebimento'!$I$5:$BH$5, 0))+INDEX('Fluxos de Recebimento'!$I$65:$BH$116, MATCH(Curvas!$AB16, 'Fluxos de Recebimento'!$F$65:$F$116, 0), MATCH(Curvas!BJ$2, 'Fluxos de Recebimento'!$I$63:$BH$63, 0)),0)*INDEX($E:$E, MATCH(BJ$2, $B:$B, 0))</f>
        <v>0</v>
      </c>
      <c r="BK16" s="193">
        <f>IFERROR(INDEX('Fluxos de Recebimento'!$I$7:$BH$58, MATCH(Curvas!$AB16, 'Fluxos de Recebimento'!$F$7:$F$58, 0), MATCH(Curvas!BK$2,'Fluxos de Recebimento'!$I$5:$BH$5, 0))+INDEX('Fluxos de Recebimento'!$I$65:$BH$116, MATCH(Curvas!$AB16, 'Fluxos de Recebimento'!$F$65:$F$116, 0), MATCH(Curvas!BK$2, 'Fluxos de Recebimento'!$I$63:$BH$63, 0)),0)*INDEX($E:$E, MATCH(BK$2, $B:$B, 0))</f>
        <v>0</v>
      </c>
      <c r="BL16" s="193">
        <f>IFERROR(INDEX('Fluxos de Recebimento'!$I$7:$BH$58, MATCH(Curvas!$AB16, 'Fluxos de Recebimento'!$F$7:$F$58, 0), MATCH(Curvas!BL$2,'Fluxos de Recebimento'!$I$5:$BH$5, 0))+INDEX('Fluxos de Recebimento'!$I$65:$BH$116, MATCH(Curvas!$AB16, 'Fluxos de Recebimento'!$F$65:$F$116, 0), MATCH(Curvas!BL$2, 'Fluxos de Recebimento'!$I$63:$BH$63, 0)),0)*INDEX($E:$E, MATCH(BL$2, $B:$B, 0))</f>
        <v>0</v>
      </c>
      <c r="BM16" s="193">
        <f>IFERROR(INDEX('Fluxos de Recebimento'!$I$7:$BH$58, MATCH(Curvas!$AB16, 'Fluxos de Recebimento'!$F$7:$F$58, 0), MATCH(Curvas!BM$2,'Fluxos de Recebimento'!$I$5:$BH$5, 0))+INDEX('Fluxos de Recebimento'!$I$65:$BH$116, MATCH(Curvas!$AB16, 'Fluxos de Recebimento'!$F$65:$F$116, 0), MATCH(Curvas!BM$2, 'Fluxos de Recebimento'!$I$63:$BH$63, 0)),0)*INDEX($E:$E, MATCH(BM$2, $B:$B, 0))</f>
        <v>0</v>
      </c>
      <c r="BN16" s="193">
        <f>IFERROR(INDEX('Fluxos de Recebimento'!$I$7:$BH$58, MATCH(Curvas!$AB16, 'Fluxos de Recebimento'!$F$7:$F$58, 0), MATCH(Curvas!BN$2,'Fluxos de Recebimento'!$I$5:$BH$5, 0))+INDEX('Fluxos de Recebimento'!$I$65:$BH$116, MATCH(Curvas!$AB16, 'Fluxos de Recebimento'!$F$65:$F$116, 0), MATCH(Curvas!BN$2, 'Fluxos de Recebimento'!$I$63:$BH$63, 0)),0)*INDEX($E:$E, MATCH(BN$2, $B:$B, 0))</f>
        <v>0</v>
      </c>
      <c r="BO16" s="193">
        <f>IFERROR(INDEX('Fluxos de Recebimento'!$I$7:$BH$58, MATCH(Curvas!$AB16, 'Fluxos de Recebimento'!$F$7:$F$58, 0), MATCH(Curvas!BO$2,'Fluxos de Recebimento'!$I$5:$BH$5, 0))+INDEX('Fluxos de Recebimento'!$I$65:$BH$116, MATCH(Curvas!$AB16, 'Fluxos de Recebimento'!$F$65:$F$116, 0), MATCH(Curvas!BO$2, 'Fluxos de Recebimento'!$I$63:$BH$63, 0)),0)*INDEX($E:$E, MATCH(BO$2, $B:$B, 0))</f>
        <v>0</v>
      </c>
      <c r="BP16" s="193">
        <f>IFERROR(INDEX('Fluxos de Recebimento'!$I$7:$BH$58, MATCH(Curvas!$AB16, 'Fluxos de Recebimento'!$F$7:$F$58, 0), MATCH(Curvas!BP$2,'Fluxos de Recebimento'!$I$5:$BH$5, 0))+INDEX('Fluxos de Recebimento'!$I$65:$BH$116, MATCH(Curvas!$AB16, 'Fluxos de Recebimento'!$F$65:$F$116, 0), MATCH(Curvas!BP$2, 'Fluxos de Recebimento'!$I$63:$BH$63, 0)),0)*INDEX($E:$E, MATCH(BP$2, $B:$B, 0))</f>
        <v>0</v>
      </c>
      <c r="BQ16" s="193">
        <f>IFERROR(INDEX('Fluxos de Recebimento'!$I$7:$BH$58, MATCH(Curvas!$AB16, 'Fluxos de Recebimento'!$F$7:$F$58, 0), MATCH(Curvas!BQ$2,'Fluxos de Recebimento'!$I$5:$BH$5, 0))+INDEX('Fluxos de Recebimento'!$I$65:$BH$116, MATCH(Curvas!$AB16, 'Fluxos de Recebimento'!$F$65:$F$116, 0), MATCH(Curvas!BQ$2, 'Fluxos de Recebimento'!$I$63:$BH$63, 0)),0)*INDEX($E:$E, MATCH(BQ$2, $B:$B, 0))</f>
        <v>0</v>
      </c>
      <c r="BR16" s="193">
        <f>IFERROR(INDEX('Fluxos de Recebimento'!$I$7:$BH$58, MATCH(Curvas!$AB16, 'Fluxos de Recebimento'!$F$7:$F$58, 0), MATCH(Curvas!BR$2,'Fluxos de Recebimento'!$I$5:$BH$5, 0))+INDEX('Fluxos de Recebimento'!$I$65:$BH$116, MATCH(Curvas!$AB16, 'Fluxos de Recebimento'!$F$65:$F$116, 0), MATCH(Curvas!BR$2, 'Fluxos de Recebimento'!$I$63:$BH$63, 0)),0)*INDEX($E:$E, MATCH(BR$2, $B:$B, 0))</f>
        <v>0</v>
      </c>
      <c r="BS16" s="193">
        <f>IFERROR(INDEX('Fluxos de Recebimento'!$I$7:$BH$58, MATCH(Curvas!$AB16, 'Fluxos de Recebimento'!$F$7:$F$58, 0), MATCH(Curvas!BS$2,'Fluxos de Recebimento'!$I$5:$BH$5, 0))+INDEX('Fluxos de Recebimento'!$I$65:$BH$116, MATCH(Curvas!$AB16, 'Fluxos de Recebimento'!$F$65:$F$116, 0), MATCH(Curvas!BS$2, 'Fluxos de Recebimento'!$I$63:$BH$63, 0)),0)*INDEX($E:$E, MATCH(BS$2, $B:$B, 0))</f>
        <v>0</v>
      </c>
      <c r="BT16" s="193">
        <f>IFERROR(INDEX('Fluxos de Recebimento'!$I$7:$BH$58, MATCH(Curvas!$AB16, 'Fluxos de Recebimento'!$F$7:$F$58, 0), MATCH(Curvas!BT$2,'Fluxos de Recebimento'!$I$5:$BH$5, 0))+INDEX('Fluxos de Recebimento'!$I$65:$BH$116, MATCH(Curvas!$AB16, 'Fluxos de Recebimento'!$F$65:$F$116, 0), MATCH(Curvas!BT$2, 'Fluxos de Recebimento'!$I$63:$BH$63, 0)),0)*INDEX($E:$E, MATCH(BT$2, $B:$B, 0))</f>
        <v>0</v>
      </c>
      <c r="BU16" s="193">
        <f>IFERROR(INDEX('Fluxos de Recebimento'!$I$7:$BH$58, MATCH(Curvas!$AB16, 'Fluxos de Recebimento'!$F$7:$F$58, 0), MATCH(Curvas!BU$2,'Fluxos de Recebimento'!$I$5:$BH$5, 0))+INDEX('Fluxos de Recebimento'!$I$65:$BH$116, MATCH(Curvas!$AB16, 'Fluxos de Recebimento'!$F$65:$F$116, 0), MATCH(Curvas!BU$2, 'Fluxos de Recebimento'!$I$63:$BH$63, 0)),0)*INDEX($E:$E, MATCH(BU$2, $B:$B, 0))</f>
        <v>0</v>
      </c>
      <c r="BV16" s="193">
        <f>IFERROR(INDEX('Fluxos de Recebimento'!$I$7:$BH$58, MATCH(Curvas!$AB16, 'Fluxos de Recebimento'!$F$7:$F$58, 0), MATCH(Curvas!BV$2,'Fluxos de Recebimento'!$I$5:$BH$5, 0))+INDEX('Fluxos de Recebimento'!$I$65:$BH$116, MATCH(Curvas!$AB16, 'Fluxos de Recebimento'!$F$65:$F$116, 0), MATCH(Curvas!BV$2, 'Fluxos de Recebimento'!$I$63:$BH$63, 0)),0)*INDEX($E:$E, MATCH(BV$2, $B:$B, 0))</f>
        <v>0</v>
      </c>
      <c r="BW16" s="193">
        <f>IFERROR(INDEX('Fluxos de Recebimento'!$I$7:$BH$58, MATCH(Curvas!$AB16, 'Fluxos de Recebimento'!$F$7:$F$58, 0), MATCH(Curvas!BW$2,'Fluxos de Recebimento'!$I$5:$BH$5, 0))+INDEX('Fluxos de Recebimento'!$I$65:$BH$116, MATCH(Curvas!$AB16, 'Fluxos de Recebimento'!$F$65:$F$116, 0), MATCH(Curvas!BW$2, 'Fluxos de Recebimento'!$I$63:$BH$63, 0)),0)*INDEX($E:$E, MATCH(BW$2, $B:$B, 0))</f>
        <v>0</v>
      </c>
      <c r="BX16" s="193">
        <f>IFERROR(INDEX('Fluxos de Recebimento'!$I$7:$BH$58, MATCH(Curvas!$AB16, 'Fluxos de Recebimento'!$F$7:$F$58, 0), MATCH(Curvas!BX$2,'Fluxos de Recebimento'!$I$5:$BH$5, 0))+INDEX('Fluxos de Recebimento'!$I$65:$BH$116, MATCH(Curvas!$AB16, 'Fluxos de Recebimento'!$F$65:$F$116, 0), MATCH(Curvas!BX$2, 'Fluxos de Recebimento'!$I$63:$BH$63, 0)),0)*INDEX($E:$E, MATCH(BX$2, $B:$B, 0))</f>
        <v>0</v>
      </c>
      <c r="BY16" s="193">
        <f>IFERROR(INDEX('Fluxos de Recebimento'!$I$7:$BH$58, MATCH(Curvas!$AB16, 'Fluxos de Recebimento'!$F$7:$F$58, 0), MATCH(Curvas!BY$2,'Fluxos de Recebimento'!$I$5:$BH$5, 0))+INDEX('Fluxos de Recebimento'!$I$65:$BH$116, MATCH(Curvas!$AB16, 'Fluxos de Recebimento'!$F$65:$F$116, 0), MATCH(Curvas!BY$2, 'Fluxos de Recebimento'!$I$63:$BH$63, 0)),0)*INDEX($E:$E, MATCH(BY$2, $B:$B, 0))</f>
        <v>0</v>
      </c>
      <c r="BZ16" s="193">
        <f>IFERROR(INDEX('Fluxos de Recebimento'!$I$7:$BH$58, MATCH(Curvas!$AB16, 'Fluxos de Recebimento'!$F$7:$F$58, 0), MATCH(Curvas!BZ$2,'Fluxos de Recebimento'!$I$5:$BH$5, 0))+INDEX('Fluxos de Recebimento'!$I$65:$BH$116, MATCH(Curvas!$AB16, 'Fluxos de Recebimento'!$F$65:$F$116, 0), MATCH(Curvas!BZ$2, 'Fluxos de Recebimento'!$I$63:$BH$63, 0)),0)*INDEX($E:$E, MATCH(BZ$2, $B:$B, 0))</f>
        <v>0</v>
      </c>
      <c r="CA16" s="193">
        <f>IFERROR(INDEX('Fluxos de Recebimento'!$I$7:$BH$58, MATCH(Curvas!$AB16, 'Fluxos de Recebimento'!$F$7:$F$58, 0), MATCH(Curvas!CA$2,'Fluxos de Recebimento'!$I$5:$BH$5, 0))+INDEX('Fluxos de Recebimento'!$I$65:$BH$116, MATCH(Curvas!$AB16, 'Fluxos de Recebimento'!$F$65:$F$116, 0), MATCH(Curvas!CA$2, 'Fluxos de Recebimento'!$I$63:$BH$63, 0)),0)*INDEX($E:$E, MATCH(CA$2, $B:$B, 0))</f>
        <v>0</v>
      </c>
      <c r="CB16" s="193">
        <f>IFERROR(INDEX('Fluxos de Recebimento'!$I$7:$BH$58, MATCH(Curvas!$AB16, 'Fluxos de Recebimento'!$F$7:$F$58, 0), MATCH(Curvas!CB$2,'Fluxos de Recebimento'!$I$5:$BH$5, 0))+INDEX('Fluxos de Recebimento'!$I$65:$BH$116, MATCH(Curvas!$AB16, 'Fluxos de Recebimento'!$F$65:$F$116, 0), MATCH(Curvas!CB$2, 'Fluxos de Recebimento'!$I$63:$BH$63, 0)),0)*INDEX($E:$E, MATCH(CB$2, $B:$B, 0))</f>
        <v>0</v>
      </c>
      <c r="CC16" s="193">
        <f>IFERROR(INDEX('Fluxos de Recebimento'!$I$7:$BH$58, MATCH(Curvas!$AB16, 'Fluxos de Recebimento'!$F$7:$F$58, 0), MATCH(Curvas!CC$2,'Fluxos de Recebimento'!$I$5:$BH$5, 0))+INDEX('Fluxos de Recebimento'!$I$65:$BH$116, MATCH(Curvas!$AB16, 'Fluxos de Recebimento'!$F$65:$F$116, 0), MATCH(Curvas!CC$2, 'Fluxos de Recebimento'!$I$63:$BH$63, 0)),0)*INDEX($E:$E, MATCH(CC$2, $B:$B, 0))</f>
        <v>0</v>
      </c>
    </row>
    <row r="17" spans="1:81" x14ac:dyDescent="0.25">
      <c r="A17" s="2"/>
      <c r="B17" s="477">
        <f t="shared" si="16"/>
        <v>44562</v>
      </c>
      <c r="C17" s="52">
        <f t="shared" si="17"/>
        <v>14</v>
      </c>
      <c r="D17" s="2"/>
      <c r="E17" s="187">
        <f t="shared" si="4"/>
        <v>2.298850574712644E-2</v>
      </c>
      <c r="F17" s="48">
        <f t="shared" si="18"/>
        <v>0.32183908045977022</v>
      </c>
      <c r="G17" s="46">
        <f t="shared" ca="1" si="5"/>
        <v>0</v>
      </c>
      <c r="H17" s="48">
        <f t="shared" ca="1" si="19"/>
        <v>0</v>
      </c>
      <c r="I17" s="2"/>
      <c r="J17" s="69">
        <f t="shared" si="6"/>
        <v>16</v>
      </c>
      <c r="K17" s="479">
        <f t="shared" ca="1" si="7"/>
        <v>0</v>
      </c>
      <c r="L17" s="70">
        <f t="shared" ca="1" si="8"/>
        <v>16</v>
      </c>
      <c r="M17" s="2"/>
      <c r="N17" s="69">
        <f t="shared" si="9"/>
        <v>21</v>
      </c>
      <c r="O17" s="479">
        <f t="shared" si="10"/>
        <v>0</v>
      </c>
      <c r="P17" s="70">
        <f t="shared" si="11"/>
        <v>21</v>
      </c>
      <c r="Q17" s="2"/>
      <c r="R17" s="71">
        <f t="shared" si="12"/>
        <v>37</v>
      </c>
      <c r="S17" s="196"/>
      <c r="T17" s="46">
        <v>2.1083268446573381E-2</v>
      </c>
      <c r="U17" s="48">
        <f t="shared" si="20"/>
        <v>0.20088669715934768</v>
      </c>
      <c r="V17" s="2"/>
      <c r="W17" s="56"/>
      <c r="X17" s="48"/>
      <c r="Y17" s="2"/>
      <c r="Z17" s="194">
        <f t="shared" si="13"/>
        <v>3.9491588309764365E-3</v>
      </c>
      <c r="AA17" s="2"/>
      <c r="AB17" s="477">
        <f t="shared" si="14"/>
        <v>44562</v>
      </c>
      <c r="AC17" s="52">
        <f t="shared" si="15"/>
        <v>14</v>
      </c>
      <c r="AD17" s="193">
        <f>IFERROR(INDEX('Fluxos de Recebimento'!$I$7:$BH$58, MATCH(Curvas!$AB17, 'Fluxos de Recebimento'!$F$7:$F$58, 0), MATCH(Curvas!AD$2,'Fluxos de Recebimento'!$I$5:$BH$5, 0))+INDEX('Fluxos de Recebimento'!$I$65:$BH$116, MATCH(Curvas!$AB17, 'Fluxos de Recebimento'!$F$65:$F$116, 0), MATCH(Curvas!AD$2, 'Fluxos de Recebimento'!$I$63:$BH$63, 0)),0)*INDEX($E:$E, MATCH(AD$2, $B:$B, 0))</f>
        <v>1.6420361247947458E-4</v>
      </c>
      <c r="AE17" s="193">
        <f>IFERROR(INDEX('Fluxos de Recebimento'!$I$7:$BH$58, MATCH(Curvas!$AB17, 'Fluxos de Recebimento'!$F$7:$F$58, 0), MATCH(Curvas!AE$2,'Fluxos de Recebimento'!$I$5:$BH$5, 0))+INDEX('Fluxos de Recebimento'!$I$65:$BH$116, MATCH(Curvas!$AB17, 'Fluxos de Recebimento'!$F$65:$F$116, 0), MATCH(Curvas!AE$2, 'Fluxos de Recebimento'!$I$63:$BH$63, 0)),0)*INDEX($E:$E, MATCH(AE$2, $B:$B, 0))</f>
        <v>1.7028522775649216E-4</v>
      </c>
      <c r="AF17" s="193">
        <f>IFERROR(INDEX('Fluxos de Recebimento'!$I$7:$BH$58, MATCH(Curvas!$AB17, 'Fluxos de Recebimento'!$F$7:$F$58, 0), MATCH(Curvas!AF$2,'Fluxos de Recebimento'!$I$5:$BH$5, 0))+INDEX('Fluxos de Recebimento'!$I$65:$BH$116, MATCH(Curvas!$AB17, 'Fluxos de Recebimento'!$F$65:$F$116, 0), MATCH(Curvas!AF$2, 'Fluxos de Recebimento'!$I$63:$BH$63, 0)),0)*INDEX($E:$E, MATCH(AF$2, $B:$B, 0))</f>
        <v>1.7683465959328031E-4</v>
      </c>
      <c r="AG17" s="193">
        <f>IFERROR(INDEX('Fluxos de Recebimento'!$I$7:$BH$58, MATCH(Curvas!$AB17, 'Fluxos de Recebimento'!$F$7:$F$58, 0), MATCH(Curvas!AG$2,'Fluxos de Recebimento'!$I$5:$BH$5, 0))+INDEX('Fluxos de Recebimento'!$I$65:$BH$116, MATCH(Curvas!$AB17, 'Fluxos de Recebimento'!$F$65:$F$116, 0), MATCH(Curvas!AG$2, 'Fluxos de Recebimento'!$I$63:$BH$63, 0)),0)*INDEX($E:$E, MATCH(AG$2, $B:$B, 0))</f>
        <v>1.8390804597701152E-4</v>
      </c>
      <c r="AH17" s="193">
        <f>IFERROR(INDEX('Fluxos de Recebimento'!$I$7:$BH$58, MATCH(Curvas!$AB17, 'Fluxos de Recebimento'!$F$7:$F$58, 0), MATCH(Curvas!AH$2,'Fluxos de Recebimento'!$I$5:$BH$5, 0))+INDEX('Fluxos de Recebimento'!$I$65:$BH$116, MATCH(Curvas!$AB17, 'Fluxos de Recebimento'!$F$65:$F$116, 0), MATCH(Curvas!AH$2, 'Fluxos de Recebimento'!$I$63:$BH$63, 0)),0)*INDEX($E:$E, MATCH(AH$2, $B:$B, 0))</f>
        <v>1.9157088122605367E-4</v>
      </c>
      <c r="AI17" s="193">
        <f>IFERROR(INDEX('Fluxos de Recebimento'!$I$7:$BH$58, MATCH(Curvas!$AB17, 'Fluxos de Recebimento'!$F$7:$F$58, 0), MATCH(Curvas!AI$2,'Fluxos de Recebimento'!$I$5:$BH$5, 0))+INDEX('Fluxos de Recebimento'!$I$65:$BH$116, MATCH(Curvas!$AB17, 'Fluxos de Recebimento'!$F$65:$F$116, 0), MATCH(Curvas!AI$2, 'Fluxos de Recebimento'!$I$63:$BH$63, 0)),0)*INDEX($E:$E, MATCH(AI$2, $B:$B, 0))</f>
        <v>1.9990004997501253E-4</v>
      </c>
      <c r="AJ17" s="193">
        <f>IFERROR(INDEX('Fluxos de Recebimento'!$I$7:$BH$58, MATCH(Curvas!$AB17, 'Fluxos de Recebimento'!$F$7:$F$58, 0), MATCH(Curvas!AJ$2,'Fluxos de Recebimento'!$I$5:$BH$5, 0))+INDEX('Fluxos de Recebimento'!$I$65:$BH$116, MATCH(Curvas!$AB17, 'Fluxos de Recebimento'!$F$65:$F$116, 0), MATCH(Curvas!AJ$2, 'Fluxos de Recebimento'!$I$63:$BH$63, 0)),0)*INDEX($E:$E, MATCH(AJ$2, $B:$B, 0))</f>
        <v>2.0898641588296767E-4</v>
      </c>
      <c r="AK17" s="193">
        <f>IFERROR(INDEX('Fluxos de Recebimento'!$I$7:$BH$58, MATCH(Curvas!$AB17, 'Fluxos de Recebimento'!$F$7:$F$58, 0), MATCH(Curvas!AK$2,'Fluxos de Recebimento'!$I$5:$BH$5, 0))+INDEX('Fluxos de Recebimento'!$I$65:$BH$116, MATCH(Curvas!$AB17, 'Fluxos de Recebimento'!$F$65:$F$116, 0), MATCH(Curvas!AK$2, 'Fluxos de Recebimento'!$I$63:$BH$63, 0)),0)*INDEX($E:$E, MATCH(AK$2, $B:$B, 0))</f>
        <v>2.1893814997263279E-4</v>
      </c>
      <c r="AL17" s="193">
        <f>IFERROR(INDEX('Fluxos de Recebimento'!$I$7:$BH$58, MATCH(Curvas!$AB17, 'Fluxos de Recebimento'!$F$7:$F$58, 0), MATCH(Curvas!AL$2,'Fluxos de Recebimento'!$I$5:$BH$5, 0))+INDEX('Fluxos de Recebimento'!$I$65:$BH$116, MATCH(Curvas!$AB17, 'Fluxos de Recebimento'!$F$65:$F$116, 0), MATCH(Curvas!AL$2, 'Fluxos de Recebimento'!$I$63:$BH$63, 0)),0)*INDEX($E:$E, MATCH(AL$2, $B:$B, 0))</f>
        <v>2.2988505747126441E-4</v>
      </c>
      <c r="AM17" s="193">
        <f>IFERROR(INDEX('Fluxos de Recebimento'!$I$7:$BH$58, MATCH(Curvas!$AB17, 'Fluxos de Recebimento'!$F$7:$F$58, 0), MATCH(Curvas!AM$2,'Fluxos de Recebimento'!$I$5:$BH$5, 0))+INDEX('Fluxos de Recebimento'!$I$65:$BH$116, MATCH(Curvas!$AB17, 'Fluxos de Recebimento'!$F$65:$F$116, 0), MATCH(Curvas!AM$2, 'Fluxos de Recebimento'!$I$63:$BH$63, 0)),0)*INDEX($E:$E, MATCH(AM$2, $B:$B, 0))</f>
        <v>2.4198427102238356E-4</v>
      </c>
      <c r="AN17" s="193">
        <f>IFERROR(INDEX('Fluxos de Recebimento'!$I$7:$BH$58, MATCH(Curvas!$AB17, 'Fluxos de Recebimento'!$F$7:$F$58, 0), MATCH(Curvas!AN$2,'Fluxos de Recebimento'!$I$5:$BH$5, 0))+INDEX('Fluxos de Recebimento'!$I$65:$BH$116, MATCH(Curvas!$AB17, 'Fluxos de Recebimento'!$F$65:$F$116, 0), MATCH(Curvas!AN$2, 'Fluxos de Recebimento'!$I$63:$BH$63, 0)),0)*INDEX($E:$E, MATCH(AN$2, $B:$B, 0))</f>
        <v>2.5542784163473821E-4</v>
      </c>
      <c r="AO17" s="193">
        <f>IFERROR(INDEX('Fluxos de Recebimento'!$I$7:$BH$58, MATCH(Curvas!$AB17, 'Fluxos de Recebimento'!$F$7:$F$58, 0), MATCH(Curvas!AO$2,'Fluxos de Recebimento'!$I$5:$BH$5, 0))+INDEX('Fluxos de Recebimento'!$I$65:$BH$116, MATCH(Curvas!$AB17, 'Fluxos de Recebimento'!$F$65:$F$116, 0), MATCH(Curvas!AO$2, 'Fluxos de Recebimento'!$I$63:$BH$63, 0)),0)*INDEX($E:$E, MATCH(AO$2, $B:$B, 0))</f>
        <v>2.7045300878972284E-4</v>
      </c>
      <c r="AP17" s="193">
        <f>IFERROR(INDEX('Fluxos de Recebimento'!$I$7:$BH$58, MATCH(Curvas!$AB17, 'Fluxos de Recebimento'!$F$7:$F$58, 0), MATCH(Curvas!AP$2,'Fluxos de Recebimento'!$I$5:$BH$5, 0))+INDEX('Fluxos de Recebimento'!$I$65:$BH$116, MATCH(Curvas!$AB17, 'Fluxos de Recebimento'!$F$65:$F$116, 0), MATCH(Curvas!AP$2, 'Fluxos de Recebimento'!$I$63:$BH$63, 0)),0)*INDEX($E:$E, MATCH(AP$2, $B:$B, 0))</f>
        <v>2.8735632183908051E-4</v>
      </c>
      <c r="AQ17" s="193">
        <f>IFERROR(INDEX('Fluxos de Recebimento'!$I$7:$BH$58, MATCH(Curvas!$AB17, 'Fluxos de Recebimento'!$F$7:$F$58, 0), MATCH(Curvas!AQ$2,'Fluxos de Recebimento'!$I$5:$BH$5, 0))+INDEX('Fluxos de Recebimento'!$I$65:$BH$116, MATCH(Curvas!$AB17, 'Fluxos de Recebimento'!$F$65:$F$116, 0), MATCH(Curvas!AQ$2, 'Fluxos de Recebimento'!$I$63:$BH$63, 0)),0)*INDEX($E:$E, MATCH(AQ$2, $B:$B, 0))</f>
        <v>1.149425287356322E-3</v>
      </c>
      <c r="AR17" s="193">
        <f>IFERROR(INDEX('Fluxos de Recebimento'!$I$7:$BH$58, MATCH(Curvas!$AB17, 'Fluxos de Recebimento'!$F$7:$F$58, 0), MATCH(Curvas!AR$2,'Fluxos de Recebimento'!$I$5:$BH$5, 0))+INDEX('Fluxos de Recebimento'!$I$65:$BH$116, MATCH(Curvas!$AB17, 'Fluxos de Recebimento'!$F$65:$F$116, 0), MATCH(Curvas!AR$2, 'Fluxos de Recebimento'!$I$63:$BH$63, 0)),0)*INDEX($E:$E, MATCH(AR$2, $B:$B, 0))</f>
        <v>0</v>
      </c>
      <c r="AS17" s="193">
        <f>IFERROR(INDEX('Fluxos de Recebimento'!$I$7:$BH$58, MATCH(Curvas!$AB17, 'Fluxos de Recebimento'!$F$7:$F$58, 0), MATCH(Curvas!AS$2,'Fluxos de Recebimento'!$I$5:$BH$5, 0))+INDEX('Fluxos de Recebimento'!$I$65:$BH$116, MATCH(Curvas!$AB17, 'Fluxos de Recebimento'!$F$65:$F$116, 0), MATCH(Curvas!AS$2, 'Fluxos de Recebimento'!$I$63:$BH$63, 0)),0)*INDEX($E:$E, MATCH(AS$2, $B:$B, 0))</f>
        <v>0</v>
      </c>
      <c r="AT17" s="193">
        <f>IFERROR(INDEX('Fluxos de Recebimento'!$I$7:$BH$58, MATCH(Curvas!$AB17, 'Fluxos de Recebimento'!$F$7:$F$58, 0), MATCH(Curvas!AT$2,'Fluxos de Recebimento'!$I$5:$BH$5, 0))+INDEX('Fluxos de Recebimento'!$I$65:$BH$116, MATCH(Curvas!$AB17, 'Fluxos de Recebimento'!$F$65:$F$116, 0), MATCH(Curvas!AT$2, 'Fluxos de Recebimento'!$I$63:$BH$63, 0)),0)*INDEX($E:$E, MATCH(AT$2, $B:$B, 0))</f>
        <v>0</v>
      </c>
      <c r="AU17" s="193">
        <f>IFERROR(INDEX('Fluxos de Recebimento'!$I$7:$BH$58, MATCH(Curvas!$AB17, 'Fluxos de Recebimento'!$F$7:$F$58, 0), MATCH(Curvas!AU$2,'Fluxos de Recebimento'!$I$5:$BH$5, 0))+INDEX('Fluxos de Recebimento'!$I$65:$BH$116, MATCH(Curvas!$AB17, 'Fluxos de Recebimento'!$F$65:$F$116, 0), MATCH(Curvas!AU$2, 'Fluxos de Recebimento'!$I$63:$BH$63, 0)),0)*INDEX($E:$E, MATCH(AU$2, $B:$B, 0))</f>
        <v>0</v>
      </c>
      <c r="AV17" s="193">
        <f>IFERROR(INDEX('Fluxos de Recebimento'!$I$7:$BH$58, MATCH(Curvas!$AB17, 'Fluxos de Recebimento'!$F$7:$F$58, 0), MATCH(Curvas!AV$2,'Fluxos de Recebimento'!$I$5:$BH$5, 0))+INDEX('Fluxos de Recebimento'!$I$65:$BH$116, MATCH(Curvas!$AB17, 'Fluxos de Recebimento'!$F$65:$F$116, 0), MATCH(Curvas!AV$2, 'Fluxos de Recebimento'!$I$63:$BH$63, 0)),0)*INDEX($E:$E, MATCH(AV$2, $B:$B, 0))</f>
        <v>0</v>
      </c>
      <c r="AW17" s="193">
        <f>IFERROR(INDEX('Fluxos de Recebimento'!$I$7:$BH$58, MATCH(Curvas!$AB17, 'Fluxos de Recebimento'!$F$7:$F$58, 0), MATCH(Curvas!AW$2,'Fluxos de Recebimento'!$I$5:$BH$5, 0))+INDEX('Fluxos de Recebimento'!$I$65:$BH$116, MATCH(Curvas!$AB17, 'Fluxos de Recebimento'!$F$65:$F$116, 0), MATCH(Curvas!AW$2, 'Fluxos de Recebimento'!$I$63:$BH$63, 0)),0)*INDEX($E:$E, MATCH(AW$2, $B:$B, 0))</f>
        <v>0</v>
      </c>
      <c r="AX17" s="193">
        <f>IFERROR(INDEX('Fluxos de Recebimento'!$I$7:$BH$58, MATCH(Curvas!$AB17, 'Fluxos de Recebimento'!$F$7:$F$58, 0), MATCH(Curvas!AX$2,'Fluxos de Recebimento'!$I$5:$BH$5, 0))+INDEX('Fluxos de Recebimento'!$I$65:$BH$116, MATCH(Curvas!$AB17, 'Fluxos de Recebimento'!$F$65:$F$116, 0), MATCH(Curvas!AX$2, 'Fluxos de Recebimento'!$I$63:$BH$63, 0)),0)*INDEX($E:$E, MATCH(AX$2, $B:$B, 0))</f>
        <v>0</v>
      </c>
      <c r="AY17" s="193">
        <f>IFERROR(INDEX('Fluxos de Recebimento'!$I$7:$BH$58, MATCH(Curvas!$AB17, 'Fluxos de Recebimento'!$F$7:$F$58, 0), MATCH(Curvas!AY$2,'Fluxos de Recebimento'!$I$5:$BH$5, 0))+INDEX('Fluxos de Recebimento'!$I$65:$BH$116, MATCH(Curvas!$AB17, 'Fluxos de Recebimento'!$F$65:$F$116, 0), MATCH(Curvas!AY$2, 'Fluxos de Recebimento'!$I$63:$BH$63, 0)),0)*INDEX($E:$E, MATCH(AY$2, $B:$B, 0))</f>
        <v>0</v>
      </c>
      <c r="AZ17" s="193">
        <f>IFERROR(INDEX('Fluxos de Recebimento'!$I$7:$BH$58, MATCH(Curvas!$AB17, 'Fluxos de Recebimento'!$F$7:$F$58, 0), MATCH(Curvas!AZ$2,'Fluxos de Recebimento'!$I$5:$BH$5, 0))+INDEX('Fluxos de Recebimento'!$I$65:$BH$116, MATCH(Curvas!$AB17, 'Fluxos de Recebimento'!$F$65:$F$116, 0), MATCH(Curvas!AZ$2, 'Fluxos de Recebimento'!$I$63:$BH$63, 0)),0)*INDEX($E:$E, MATCH(AZ$2, $B:$B, 0))</f>
        <v>0</v>
      </c>
      <c r="BA17" s="193">
        <f>IFERROR(INDEX('Fluxos de Recebimento'!$I$7:$BH$58, MATCH(Curvas!$AB17, 'Fluxos de Recebimento'!$F$7:$F$58, 0), MATCH(Curvas!BA$2,'Fluxos de Recebimento'!$I$5:$BH$5, 0))+INDEX('Fluxos de Recebimento'!$I$65:$BH$116, MATCH(Curvas!$AB17, 'Fluxos de Recebimento'!$F$65:$F$116, 0), MATCH(Curvas!BA$2, 'Fluxos de Recebimento'!$I$63:$BH$63, 0)),0)*INDEX($E:$E, MATCH(BA$2, $B:$B, 0))</f>
        <v>0</v>
      </c>
      <c r="BB17" s="193">
        <f>IFERROR(INDEX('Fluxos de Recebimento'!$I$7:$BH$58, MATCH(Curvas!$AB17, 'Fluxos de Recebimento'!$F$7:$F$58, 0), MATCH(Curvas!BB$2,'Fluxos de Recebimento'!$I$5:$BH$5, 0))+INDEX('Fluxos de Recebimento'!$I$65:$BH$116, MATCH(Curvas!$AB17, 'Fluxos de Recebimento'!$F$65:$F$116, 0), MATCH(Curvas!BB$2, 'Fluxos de Recebimento'!$I$63:$BH$63, 0)),0)*INDEX($E:$E, MATCH(BB$2, $B:$B, 0))</f>
        <v>0</v>
      </c>
      <c r="BC17" s="193">
        <f>IFERROR(INDEX('Fluxos de Recebimento'!$I$7:$BH$58, MATCH(Curvas!$AB17, 'Fluxos de Recebimento'!$F$7:$F$58, 0), MATCH(Curvas!BC$2,'Fluxos de Recebimento'!$I$5:$BH$5, 0))+INDEX('Fluxos de Recebimento'!$I$65:$BH$116, MATCH(Curvas!$AB17, 'Fluxos de Recebimento'!$F$65:$F$116, 0), MATCH(Curvas!BC$2, 'Fluxos de Recebimento'!$I$63:$BH$63, 0)),0)*INDEX($E:$E, MATCH(BC$2, $B:$B, 0))</f>
        <v>0</v>
      </c>
      <c r="BD17" s="193">
        <f>IFERROR(INDEX('Fluxos de Recebimento'!$I$7:$BH$58, MATCH(Curvas!$AB17, 'Fluxos de Recebimento'!$F$7:$F$58, 0), MATCH(Curvas!BD$2,'Fluxos de Recebimento'!$I$5:$BH$5, 0))+INDEX('Fluxos de Recebimento'!$I$65:$BH$116, MATCH(Curvas!$AB17, 'Fluxos de Recebimento'!$F$65:$F$116, 0), MATCH(Curvas!BD$2, 'Fluxos de Recebimento'!$I$63:$BH$63, 0)),0)*INDEX($E:$E, MATCH(BD$2, $B:$B, 0))</f>
        <v>0</v>
      </c>
      <c r="BE17" s="193">
        <f>IFERROR(INDEX('Fluxos de Recebimento'!$I$7:$BH$58, MATCH(Curvas!$AB17, 'Fluxos de Recebimento'!$F$7:$F$58, 0), MATCH(Curvas!BE$2,'Fluxos de Recebimento'!$I$5:$BH$5, 0))+INDEX('Fluxos de Recebimento'!$I$65:$BH$116, MATCH(Curvas!$AB17, 'Fluxos de Recebimento'!$F$65:$F$116, 0), MATCH(Curvas!BE$2, 'Fluxos de Recebimento'!$I$63:$BH$63, 0)),0)*INDEX($E:$E, MATCH(BE$2, $B:$B, 0))</f>
        <v>0</v>
      </c>
      <c r="BF17" s="193">
        <f>IFERROR(INDEX('Fluxos de Recebimento'!$I$7:$BH$58, MATCH(Curvas!$AB17, 'Fluxos de Recebimento'!$F$7:$F$58, 0), MATCH(Curvas!BF$2,'Fluxos de Recebimento'!$I$5:$BH$5, 0))+INDEX('Fluxos de Recebimento'!$I$65:$BH$116, MATCH(Curvas!$AB17, 'Fluxos de Recebimento'!$F$65:$F$116, 0), MATCH(Curvas!BF$2, 'Fluxos de Recebimento'!$I$63:$BH$63, 0)),0)*INDEX($E:$E, MATCH(BF$2, $B:$B, 0))</f>
        <v>0</v>
      </c>
      <c r="BG17" s="193">
        <f>IFERROR(INDEX('Fluxos de Recebimento'!$I$7:$BH$58, MATCH(Curvas!$AB17, 'Fluxos de Recebimento'!$F$7:$F$58, 0), MATCH(Curvas!BG$2,'Fluxos de Recebimento'!$I$5:$BH$5, 0))+INDEX('Fluxos de Recebimento'!$I$65:$BH$116, MATCH(Curvas!$AB17, 'Fluxos de Recebimento'!$F$65:$F$116, 0), MATCH(Curvas!BG$2, 'Fluxos de Recebimento'!$I$63:$BH$63, 0)),0)*INDEX($E:$E, MATCH(BG$2, $B:$B, 0))</f>
        <v>0</v>
      </c>
      <c r="BH17" s="193">
        <f>IFERROR(INDEX('Fluxos de Recebimento'!$I$7:$BH$58, MATCH(Curvas!$AB17, 'Fluxos de Recebimento'!$F$7:$F$58, 0), MATCH(Curvas!BH$2,'Fluxos de Recebimento'!$I$5:$BH$5, 0))+INDEX('Fluxos de Recebimento'!$I$65:$BH$116, MATCH(Curvas!$AB17, 'Fluxos de Recebimento'!$F$65:$F$116, 0), MATCH(Curvas!BH$2, 'Fluxos de Recebimento'!$I$63:$BH$63, 0)),0)*INDEX($E:$E, MATCH(BH$2, $B:$B, 0))</f>
        <v>0</v>
      </c>
      <c r="BI17" s="193">
        <f>IFERROR(INDEX('Fluxos de Recebimento'!$I$7:$BH$58, MATCH(Curvas!$AB17, 'Fluxos de Recebimento'!$F$7:$F$58, 0), MATCH(Curvas!BI$2,'Fluxos de Recebimento'!$I$5:$BH$5, 0))+INDEX('Fluxos de Recebimento'!$I$65:$BH$116, MATCH(Curvas!$AB17, 'Fluxos de Recebimento'!$F$65:$F$116, 0), MATCH(Curvas!BI$2, 'Fluxos de Recebimento'!$I$63:$BH$63, 0)),0)*INDEX($E:$E, MATCH(BI$2, $B:$B, 0))</f>
        <v>0</v>
      </c>
      <c r="BJ17" s="193">
        <f>IFERROR(INDEX('Fluxos de Recebimento'!$I$7:$BH$58, MATCH(Curvas!$AB17, 'Fluxos de Recebimento'!$F$7:$F$58, 0), MATCH(Curvas!BJ$2,'Fluxos de Recebimento'!$I$5:$BH$5, 0))+INDEX('Fluxos de Recebimento'!$I$65:$BH$116, MATCH(Curvas!$AB17, 'Fluxos de Recebimento'!$F$65:$F$116, 0), MATCH(Curvas!BJ$2, 'Fluxos de Recebimento'!$I$63:$BH$63, 0)),0)*INDEX($E:$E, MATCH(BJ$2, $B:$B, 0))</f>
        <v>0</v>
      </c>
      <c r="BK17" s="193">
        <f>IFERROR(INDEX('Fluxos de Recebimento'!$I$7:$BH$58, MATCH(Curvas!$AB17, 'Fluxos de Recebimento'!$F$7:$F$58, 0), MATCH(Curvas!BK$2,'Fluxos de Recebimento'!$I$5:$BH$5, 0))+INDEX('Fluxos de Recebimento'!$I$65:$BH$116, MATCH(Curvas!$AB17, 'Fluxos de Recebimento'!$F$65:$F$116, 0), MATCH(Curvas!BK$2, 'Fluxos de Recebimento'!$I$63:$BH$63, 0)),0)*INDEX($E:$E, MATCH(BK$2, $B:$B, 0))</f>
        <v>0</v>
      </c>
      <c r="BL17" s="193">
        <f>IFERROR(INDEX('Fluxos de Recebimento'!$I$7:$BH$58, MATCH(Curvas!$AB17, 'Fluxos de Recebimento'!$F$7:$F$58, 0), MATCH(Curvas!BL$2,'Fluxos de Recebimento'!$I$5:$BH$5, 0))+INDEX('Fluxos de Recebimento'!$I$65:$BH$116, MATCH(Curvas!$AB17, 'Fluxos de Recebimento'!$F$65:$F$116, 0), MATCH(Curvas!BL$2, 'Fluxos de Recebimento'!$I$63:$BH$63, 0)),0)*INDEX($E:$E, MATCH(BL$2, $B:$B, 0))</f>
        <v>0</v>
      </c>
      <c r="BM17" s="193">
        <f>IFERROR(INDEX('Fluxos de Recebimento'!$I$7:$BH$58, MATCH(Curvas!$AB17, 'Fluxos de Recebimento'!$F$7:$F$58, 0), MATCH(Curvas!BM$2,'Fluxos de Recebimento'!$I$5:$BH$5, 0))+INDEX('Fluxos de Recebimento'!$I$65:$BH$116, MATCH(Curvas!$AB17, 'Fluxos de Recebimento'!$F$65:$F$116, 0), MATCH(Curvas!BM$2, 'Fluxos de Recebimento'!$I$63:$BH$63, 0)),0)*INDEX($E:$E, MATCH(BM$2, $B:$B, 0))</f>
        <v>0</v>
      </c>
      <c r="BN17" s="193">
        <f>IFERROR(INDEX('Fluxos de Recebimento'!$I$7:$BH$58, MATCH(Curvas!$AB17, 'Fluxos de Recebimento'!$F$7:$F$58, 0), MATCH(Curvas!BN$2,'Fluxos de Recebimento'!$I$5:$BH$5, 0))+INDEX('Fluxos de Recebimento'!$I$65:$BH$116, MATCH(Curvas!$AB17, 'Fluxos de Recebimento'!$F$65:$F$116, 0), MATCH(Curvas!BN$2, 'Fluxos de Recebimento'!$I$63:$BH$63, 0)),0)*INDEX($E:$E, MATCH(BN$2, $B:$B, 0))</f>
        <v>0</v>
      </c>
      <c r="BO17" s="193">
        <f>IFERROR(INDEX('Fluxos de Recebimento'!$I$7:$BH$58, MATCH(Curvas!$AB17, 'Fluxos de Recebimento'!$F$7:$F$58, 0), MATCH(Curvas!BO$2,'Fluxos de Recebimento'!$I$5:$BH$5, 0))+INDEX('Fluxos de Recebimento'!$I$65:$BH$116, MATCH(Curvas!$AB17, 'Fluxos de Recebimento'!$F$65:$F$116, 0), MATCH(Curvas!BO$2, 'Fluxos de Recebimento'!$I$63:$BH$63, 0)),0)*INDEX($E:$E, MATCH(BO$2, $B:$B, 0))</f>
        <v>0</v>
      </c>
      <c r="BP17" s="193">
        <f>IFERROR(INDEX('Fluxos de Recebimento'!$I$7:$BH$58, MATCH(Curvas!$AB17, 'Fluxos de Recebimento'!$F$7:$F$58, 0), MATCH(Curvas!BP$2,'Fluxos de Recebimento'!$I$5:$BH$5, 0))+INDEX('Fluxos de Recebimento'!$I$65:$BH$116, MATCH(Curvas!$AB17, 'Fluxos de Recebimento'!$F$65:$F$116, 0), MATCH(Curvas!BP$2, 'Fluxos de Recebimento'!$I$63:$BH$63, 0)),0)*INDEX($E:$E, MATCH(BP$2, $B:$B, 0))</f>
        <v>0</v>
      </c>
      <c r="BQ17" s="193">
        <f>IFERROR(INDEX('Fluxos de Recebimento'!$I$7:$BH$58, MATCH(Curvas!$AB17, 'Fluxos de Recebimento'!$F$7:$F$58, 0), MATCH(Curvas!BQ$2,'Fluxos de Recebimento'!$I$5:$BH$5, 0))+INDEX('Fluxos de Recebimento'!$I$65:$BH$116, MATCH(Curvas!$AB17, 'Fluxos de Recebimento'!$F$65:$F$116, 0), MATCH(Curvas!BQ$2, 'Fluxos de Recebimento'!$I$63:$BH$63, 0)),0)*INDEX($E:$E, MATCH(BQ$2, $B:$B, 0))</f>
        <v>0</v>
      </c>
      <c r="BR17" s="193">
        <f>IFERROR(INDEX('Fluxos de Recebimento'!$I$7:$BH$58, MATCH(Curvas!$AB17, 'Fluxos de Recebimento'!$F$7:$F$58, 0), MATCH(Curvas!BR$2,'Fluxos de Recebimento'!$I$5:$BH$5, 0))+INDEX('Fluxos de Recebimento'!$I$65:$BH$116, MATCH(Curvas!$AB17, 'Fluxos de Recebimento'!$F$65:$F$116, 0), MATCH(Curvas!BR$2, 'Fluxos de Recebimento'!$I$63:$BH$63, 0)),0)*INDEX($E:$E, MATCH(BR$2, $B:$B, 0))</f>
        <v>0</v>
      </c>
      <c r="BS17" s="193">
        <f>IFERROR(INDEX('Fluxos de Recebimento'!$I$7:$BH$58, MATCH(Curvas!$AB17, 'Fluxos de Recebimento'!$F$7:$F$58, 0), MATCH(Curvas!BS$2,'Fluxos de Recebimento'!$I$5:$BH$5, 0))+INDEX('Fluxos de Recebimento'!$I$65:$BH$116, MATCH(Curvas!$AB17, 'Fluxos de Recebimento'!$F$65:$F$116, 0), MATCH(Curvas!BS$2, 'Fluxos de Recebimento'!$I$63:$BH$63, 0)),0)*INDEX($E:$E, MATCH(BS$2, $B:$B, 0))</f>
        <v>0</v>
      </c>
      <c r="BT17" s="193">
        <f>IFERROR(INDEX('Fluxos de Recebimento'!$I$7:$BH$58, MATCH(Curvas!$AB17, 'Fluxos de Recebimento'!$F$7:$F$58, 0), MATCH(Curvas!BT$2,'Fluxos de Recebimento'!$I$5:$BH$5, 0))+INDEX('Fluxos de Recebimento'!$I$65:$BH$116, MATCH(Curvas!$AB17, 'Fluxos de Recebimento'!$F$65:$F$116, 0), MATCH(Curvas!BT$2, 'Fluxos de Recebimento'!$I$63:$BH$63, 0)),0)*INDEX($E:$E, MATCH(BT$2, $B:$B, 0))</f>
        <v>0</v>
      </c>
      <c r="BU17" s="193">
        <f>IFERROR(INDEX('Fluxos de Recebimento'!$I$7:$BH$58, MATCH(Curvas!$AB17, 'Fluxos de Recebimento'!$F$7:$F$58, 0), MATCH(Curvas!BU$2,'Fluxos de Recebimento'!$I$5:$BH$5, 0))+INDEX('Fluxos de Recebimento'!$I$65:$BH$116, MATCH(Curvas!$AB17, 'Fluxos de Recebimento'!$F$65:$F$116, 0), MATCH(Curvas!BU$2, 'Fluxos de Recebimento'!$I$63:$BH$63, 0)),0)*INDEX($E:$E, MATCH(BU$2, $B:$B, 0))</f>
        <v>0</v>
      </c>
      <c r="BV17" s="193">
        <f>IFERROR(INDEX('Fluxos de Recebimento'!$I$7:$BH$58, MATCH(Curvas!$AB17, 'Fluxos de Recebimento'!$F$7:$F$58, 0), MATCH(Curvas!BV$2,'Fluxos de Recebimento'!$I$5:$BH$5, 0))+INDEX('Fluxos de Recebimento'!$I$65:$BH$116, MATCH(Curvas!$AB17, 'Fluxos de Recebimento'!$F$65:$F$116, 0), MATCH(Curvas!BV$2, 'Fluxos de Recebimento'!$I$63:$BH$63, 0)),0)*INDEX($E:$E, MATCH(BV$2, $B:$B, 0))</f>
        <v>0</v>
      </c>
      <c r="BW17" s="193">
        <f>IFERROR(INDEX('Fluxos de Recebimento'!$I$7:$BH$58, MATCH(Curvas!$AB17, 'Fluxos de Recebimento'!$F$7:$F$58, 0), MATCH(Curvas!BW$2,'Fluxos de Recebimento'!$I$5:$BH$5, 0))+INDEX('Fluxos de Recebimento'!$I$65:$BH$116, MATCH(Curvas!$AB17, 'Fluxos de Recebimento'!$F$65:$F$116, 0), MATCH(Curvas!BW$2, 'Fluxos de Recebimento'!$I$63:$BH$63, 0)),0)*INDEX($E:$E, MATCH(BW$2, $B:$B, 0))</f>
        <v>0</v>
      </c>
      <c r="BX17" s="193">
        <f>IFERROR(INDEX('Fluxos de Recebimento'!$I$7:$BH$58, MATCH(Curvas!$AB17, 'Fluxos de Recebimento'!$F$7:$F$58, 0), MATCH(Curvas!BX$2,'Fluxos de Recebimento'!$I$5:$BH$5, 0))+INDEX('Fluxos de Recebimento'!$I$65:$BH$116, MATCH(Curvas!$AB17, 'Fluxos de Recebimento'!$F$65:$F$116, 0), MATCH(Curvas!BX$2, 'Fluxos de Recebimento'!$I$63:$BH$63, 0)),0)*INDEX($E:$E, MATCH(BX$2, $B:$B, 0))</f>
        <v>0</v>
      </c>
      <c r="BY17" s="193">
        <f>IFERROR(INDEX('Fluxos de Recebimento'!$I$7:$BH$58, MATCH(Curvas!$AB17, 'Fluxos de Recebimento'!$F$7:$F$58, 0), MATCH(Curvas!BY$2,'Fluxos de Recebimento'!$I$5:$BH$5, 0))+INDEX('Fluxos de Recebimento'!$I$65:$BH$116, MATCH(Curvas!$AB17, 'Fluxos de Recebimento'!$F$65:$F$116, 0), MATCH(Curvas!BY$2, 'Fluxos de Recebimento'!$I$63:$BH$63, 0)),0)*INDEX($E:$E, MATCH(BY$2, $B:$B, 0))</f>
        <v>0</v>
      </c>
      <c r="BZ17" s="193">
        <f>IFERROR(INDEX('Fluxos de Recebimento'!$I$7:$BH$58, MATCH(Curvas!$AB17, 'Fluxos de Recebimento'!$F$7:$F$58, 0), MATCH(Curvas!BZ$2,'Fluxos de Recebimento'!$I$5:$BH$5, 0))+INDEX('Fluxos de Recebimento'!$I$65:$BH$116, MATCH(Curvas!$AB17, 'Fluxos de Recebimento'!$F$65:$F$116, 0), MATCH(Curvas!BZ$2, 'Fluxos de Recebimento'!$I$63:$BH$63, 0)),0)*INDEX($E:$E, MATCH(BZ$2, $B:$B, 0))</f>
        <v>0</v>
      </c>
      <c r="CA17" s="193">
        <f>IFERROR(INDEX('Fluxos de Recebimento'!$I$7:$BH$58, MATCH(Curvas!$AB17, 'Fluxos de Recebimento'!$F$7:$F$58, 0), MATCH(Curvas!CA$2,'Fluxos de Recebimento'!$I$5:$BH$5, 0))+INDEX('Fluxos de Recebimento'!$I$65:$BH$116, MATCH(Curvas!$AB17, 'Fluxos de Recebimento'!$F$65:$F$116, 0), MATCH(Curvas!CA$2, 'Fluxos de Recebimento'!$I$63:$BH$63, 0)),0)*INDEX($E:$E, MATCH(CA$2, $B:$B, 0))</f>
        <v>0</v>
      </c>
      <c r="CB17" s="193">
        <f>IFERROR(INDEX('Fluxos de Recebimento'!$I$7:$BH$58, MATCH(Curvas!$AB17, 'Fluxos de Recebimento'!$F$7:$F$58, 0), MATCH(Curvas!CB$2,'Fluxos de Recebimento'!$I$5:$BH$5, 0))+INDEX('Fluxos de Recebimento'!$I$65:$BH$116, MATCH(Curvas!$AB17, 'Fluxos de Recebimento'!$F$65:$F$116, 0), MATCH(Curvas!CB$2, 'Fluxos de Recebimento'!$I$63:$BH$63, 0)),0)*INDEX($E:$E, MATCH(CB$2, $B:$B, 0))</f>
        <v>0</v>
      </c>
      <c r="CC17" s="193">
        <f>IFERROR(INDEX('Fluxos de Recebimento'!$I$7:$BH$58, MATCH(Curvas!$AB17, 'Fluxos de Recebimento'!$F$7:$F$58, 0), MATCH(Curvas!CC$2,'Fluxos de Recebimento'!$I$5:$BH$5, 0))+INDEX('Fluxos de Recebimento'!$I$65:$BH$116, MATCH(Curvas!$AB17, 'Fluxos de Recebimento'!$F$65:$F$116, 0), MATCH(Curvas!CC$2, 'Fluxos de Recebimento'!$I$63:$BH$63, 0)),0)*INDEX($E:$E, MATCH(CC$2, $B:$B, 0))</f>
        <v>0</v>
      </c>
    </row>
    <row r="18" spans="1:81" x14ac:dyDescent="0.25">
      <c r="A18" s="2"/>
      <c r="B18" s="477">
        <f t="shared" si="16"/>
        <v>44593</v>
      </c>
      <c r="C18" s="52">
        <f t="shared" si="17"/>
        <v>15</v>
      </c>
      <c r="D18" s="2"/>
      <c r="E18" s="187">
        <f t="shared" si="4"/>
        <v>2.298850574712644E-2</v>
      </c>
      <c r="F18" s="48">
        <f t="shared" si="18"/>
        <v>0.34482758620689669</v>
      </c>
      <c r="G18" s="46">
        <f t="shared" ca="1" si="5"/>
        <v>0</v>
      </c>
      <c r="H18" s="48">
        <f t="shared" ca="1" si="19"/>
        <v>0</v>
      </c>
      <c r="I18" s="2"/>
      <c r="J18" s="69">
        <f t="shared" si="6"/>
        <v>16</v>
      </c>
      <c r="K18" s="479">
        <f t="shared" ca="1" si="7"/>
        <v>0</v>
      </c>
      <c r="L18" s="70">
        <f t="shared" ca="1" si="8"/>
        <v>16</v>
      </c>
      <c r="M18" s="2"/>
      <c r="N18" s="69">
        <f t="shared" si="9"/>
        <v>21</v>
      </c>
      <c r="O18" s="479">
        <f t="shared" si="10"/>
        <v>0</v>
      </c>
      <c r="P18" s="70">
        <f t="shared" si="11"/>
        <v>21</v>
      </c>
      <c r="Q18" s="2"/>
      <c r="R18" s="71">
        <f t="shared" si="12"/>
        <v>37</v>
      </c>
      <c r="S18" s="196"/>
      <c r="T18" s="46">
        <v>2.2555092199517641E-2</v>
      </c>
      <c r="U18" s="48">
        <f t="shared" si="20"/>
        <v>0.22344178935886533</v>
      </c>
      <c r="V18" s="2"/>
      <c r="W18" s="56"/>
      <c r="X18" s="48"/>
      <c r="Y18" s="2"/>
      <c r="Z18" s="194">
        <f t="shared" si="13"/>
        <v>4.2556722409381222E-3</v>
      </c>
      <c r="AA18" s="2"/>
      <c r="AB18" s="477">
        <f t="shared" si="14"/>
        <v>44593</v>
      </c>
      <c r="AC18" s="52">
        <f t="shared" si="15"/>
        <v>15</v>
      </c>
      <c r="AD18" s="193">
        <f>IFERROR(INDEX('Fluxos de Recebimento'!$I$7:$BH$58, MATCH(Curvas!$AB18, 'Fluxos de Recebimento'!$F$7:$F$58, 0), MATCH(Curvas!AD$2,'Fluxos de Recebimento'!$I$5:$BH$5, 0))+INDEX('Fluxos de Recebimento'!$I$65:$BH$116, MATCH(Curvas!$AB18, 'Fluxos de Recebimento'!$F$65:$F$116, 0), MATCH(Curvas!AD$2, 'Fluxos de Recebimento'!$I$63:$BH$63, 0)),0)*INDEX($E:$E, MATCH(AD$2, $B:$B, 0))</f>
        <v>1.6420361247947458E-4</v>
      </c>
      <c r="AE18" s="193">
        <f>IFERROR(INDEX('Fluxos de Recebimento'!$I$7:$BH$58, MATCH(Curvas!$AB18, 'Fluxos de Recebimento'!$F$7:$F$58, 0), MATCH(Curvas!AE$2,'Fluxos de Recebimento'!$I$5:$BH$5, 0))+INDEX('Fluxos de Recebimento'!$I$65:$BH$116, MATCH(Curvas!$AB18, 'Fluxos de Recebimento'!$F$65:$F$116, 0), MATCH(Curvas!AE$2, 'Fluxos de Recebimento'!$I$63:$BH$63, 0)),0)*INDEX($E:$E, MATCH(AE$2, $B:$B, 0))</f>
        <v>1.7028522775649216E-4</v>
      </c>
      <c r="AF18" s="193">
        <f>IFERROR(INDEX('Fluxos de Recebimento'!$I$7:$BH$58, MATCH(Curvas!$AB18, 'Fluxos de Recebimento'!$F$7:$F$58, 0), MATCH(Curvas!AF$2,'Fluxos de Recebimento'!$I$5:$BH$5, 0))+INDEX('Fluxos de Recebimento'!$I$65:$BH$116, MATCH(Curvas!$AB18, 'Fluxos de Recebimento'!$F$65:$F$116, 0), MATCH(Curvas!AF$2, 'Fluxos de Recebimento'!$I$63:$BH$63, 0)),0)*INDEX($E:$E, MATCH(AF$2, $B:$B, 0))</f>
        <v>1.7683465959328031E-4</v>
      </c>
      <c r="AG18" s="193">
        <f>IFERROR(INDEX('Fluxos de Recebimento'!$I$7:$BH$58, MATCH(Curvas!$AB18, 'Fluxos de Recebimento'!$F$7:$F$58, 0), MATCH(Curvas!AG$2,'Fluxos de Recebimento'!$I$5:$BH$5, 0))+INDEX('Fluxos de Recebimento'!$I$65:$BH$116, MATCH(Curvas!$AB18, 'Fluxos de Recebimento'!$F$65:$F$116, 0), MATCH(Curvas!AG$2, 'Fluxos de Recebimento'!$I$63:$BH$63, 0)),0)*INDEX($E:$E, MATCH(AG$2, $B:$B, 0))</f>
        <v>1.8390804597701152E-4</v>
      </c>
      <c r="AH18" s="193">
        <f>IFERROR(INDEX('Fluxos de Recebimento'!$I$7:$BH$58, MATCH(Curvas!$AB18, 'Fluxos de Recebimento'!$F$7:$F$58, 0), MATCH(Curvas!AH$2,'Fluxos de Recebimento'!$I$5:$BH$5, 0))+INDEX('Fluxos de Recebimento'!$I$65:$BH$116, MATCH(Curvas!$AB18, 'Fluxos de Recebimento'!$F$65:$F$116, 0), MATCH(Curvas!AH$2, 'Fluxos de Recebimento'!$I$63:$BH$63, 0)),0)*INDEX($E:$E, MATCH(AH$2, $B:$B, 0))</f>
        <v>1.9157088122605367E-4</v>
      </c>
      <c r="AI18" s="193">
        <f>IFERROR(INDEX('Fluxos de Recebimento'!$I$7:$BH$58, MATCH(Curvas!$AB18, 'Fluxos de Recebimento'!$F$7:$F$58, 0), MATCH(Curvas!AI$2,'Fluxos de Recebimento'!$I$5:$BH$5, 0))+INDEX('Fluxos de Recebimento'!$I$65:$BH$116, MATCH(Curvas!$AB18, 'Fluxos de Recebimento'!$F$65:$F$116, 0), MATCH(Curvas!AI$2, 'Fluxos de Recebimento'!$I$63:$BH$63, 0)),0)*INDEX($E:$E, MATCH(AI$2, $B:$B, 0))</f>
        <v>1.9990004997501253E-4</v>
      </c>
      <c r="AJ18" s="193">
        <f>IFERROR(INDEX('Fluxos de Recebimento'!$I$7:$BH$58, MATCH(Curvas!$AB18, 'Fluxos de Recebimento'!$F$7:$F$58, 0), MATCH(Curvas!AJ$2,'Fluxos de Recebimento'!$I$5:$BH$5, 0))+INDEX('Fluxos de Recebimento'!$I$65:$BH$116, MATCH(Curvas!$AB18, 'Fluxos de Recebimento'!$F$65:$F$116, 0), MATCH(Curvas!AJ$2, 'Fluxos de Recebimento'!$I$63:$BH$63, 0)),0)*INDEX($E:$E, MATCH(AJ$2, $B:$B, 0))</f>
        <v>2.0898641588296767E-4</v>
      </c>
      <c r="AK18" s="193">
        <f>IFERROR(INDEX('Fluxos de Recebimento'!$I$7:$BH$58, MATCH(Curvas!$AB18, 'Fluxos de Recebimento'!$F$7:$F$58, 0), MATCH(Curvas!AK$2,'Fluxos de Recebimento'!$I$5:$BH$5, 0))+INDEX('Fluxos de Recebimento'!$I$65:$BH$116, MATCH(Curvas!$AB18, 'Fluxos de Recebimento'!$F$65:$F$116, 0), MATCH(Curvas!AK$2, 'Fluxos de Recebimento'!$I$63:$BH$63, 0)),0)*INDEX($E:$E, MATCH(AK$2, $B:$B, 0))</f>
        <v>2.1893814997263279E-4</v>
      </c>
      <c r="AL18" s="193">
        <f>IFERROR(INDEX('Fluxos de Recebimento'!$I$7:$BH$58, MATCH(Curvas!$AB18, 'Fluxos de Recebimento'!$F$7:$F$58, 0), MATCH(Curvas!AL$2,'Fluxos de Recebimento'!$I$5:$BH$5, 0))+INDEX('Fluxos de Recebimento'!$I$65:$BH$116, MATCH(Curvas!$AB18, 'Fluxos de Recebimento'!$F$65:$F$116, 0), MATCH(Curvas!AL$2, 'Fluxos de Recebimento'!$I$63:$BH$63, 0)),0)*INDEX($E:$E, MATCH(AL$2, $B:$B, 0))</f>
        <v>2.2988505747126441E-4</v>
      </c>
      <c r="AM18" s="193">
        <f>IFERROR(INDEX('Fluxos de Recebimento'!$I$7:$BH$58, MATCH(Curvas!$AB18, 'Fluxos de Recebimento'!$F$7:$F$58, 0), MATCH(Curvas!AM$2,'Fluxos de Recebimento'!$I$5:$BH$5, 0))+INDEX('Fluxos de Recebimento'!$I$65:$BH$116, MATCH(Curvas!$AB18, 'Fluxos de Recebimento'!$F$65:$F$116, 0), MATCH(Curvas!AM$2, 'Fluxos de Recebimento'!$I$63:$BH$63, 0)),0)*INDEX($E:$E, MATCH(AM$2, $B:$B, 0))</f>
        <v>2.4198427102238356E-4</v>
      </c>
      <c r="AN18" s="193">
        <f>IFERROR(INDEX('Fluxos de Recebimento'!$I$7:$BH$58, MATCH(Curvas!$AB18, 'Fluxos de Recebimento'!$F$7:$F$58, 0), MATCH(Curvas!AN$2,'Fluxos de Recebimento'!$I$5:$BH$5, 0))+INDEX('Fluxos de Recebimento'!$I$65:$BH$116, MATCH(Curvas!$AB18, 'Fluxos de Recebimento'!$F$65:$F$116, 0), MATCH(Curvas!AN$2, 'Fluxos de Recebimento'!$I$63:$BH$63, 0)),0)*INDEX($E:$E, MATCH(AN$2, $B:$B, 0))</f>
        <v>2.5542784163473821E-4</v>
      </c>
      <c r="AO18" s="193">
        <f>IFERROR(INDEX('Fluxos de Recebimento'!$I$7:$BH$58, MATCH(Curvas!$AB18, 'Fluxos de Recebimento'!$F$7:$F$58, 0), MATCH(Curvas!AO$2,'Fluxos de Recebimento'!$I$5:$BH$5, 0))+INDEX('Fluxos de Recebimento'!$I$65:$BH$116, MATCH(Curvas!$AB18, 'Fluxos de Recebimento'!$F$65:$F$116, 0), MATCH(Curvas!AO$2, 'Fluxos de Recebimento'!$I$63:$BH$63, 0)),0)*INDEX($E:$E, MATCH(AO$2, $B:$B, 0))</f>
        <v>2.7045300878972284E-4</v>
      </c>
      <c r="AP18" s="193">
        <f>IFERROR(INDEX('Fluxos de Recebimento'!$I$7:$BH$58, MATCH(Curvas!$AB18, 'Fluxos de Recebimento'!$F$7:$F$58, 0), MATCH(Curvas!AP$2,'Fluxos de Recebimento'!$I$5:$BH$5, 0))+INDEX('Fluxos de Recebimento'!$I$65:$BH$116, MATCH(Curvas!$AB18, 'Fluxos de Recebimento'!$F$65:$F$116, 0), MATCH(Curvas!AP$2, 'Fluxos de Recebimento'!$I$63:$BH$63, 0)),0)*INDEX($E:$E, MATCH(AP$2, $B:$B, 0))</f>
        <v>2.8735632183908051E-4</v>
      </c>
      <c r="AQ18" s="193">
        <f>IFERROR(INDEX('Fluxos de Recebimento'!$I$7:$BH$58, MATCH(Curvas!$AB18, 'Fluxos de Recebimento'!$F$7:$F$58, 0), MATCH(Curvas!AQ$2,'Fluxos de Recebimento'!$I$5:$BH$5, 0))+INDEX('Fluxos de Recebimento'!$I$65:$BH$116, MATCH(Curvas!$AB18, 'Fluxos de Recebimento'!$F$65:$F$116, 0), MATCH(Curvas!AQ$2, 'Fluxos de Recebimento'!$I$63:$BH$63, 0)),0)*INDEX($E:$E, MATCH(AQ$2, $B:$B, 0))</f>
        <v>3.0651340996168587E-4</v>
      </c>
      <c r="AR18" s="193">
        <f>IFERROR(INDEX('Fluxos de Recebimento'!$I$7:$BH$58, MATCH(Curvas!$AB18, 'Fluxos de Recebimento'!$F$7:$F$58, 0), MATCH(Curvas!AR$2,'Fluxos de Recebimento'!$I$5:$BH$5, 0))+INDEX('Fluxos de Recebimento'!$I$65:$BH$116, MATCH(Curvas!$AB18, 'Fluxos de Recebimento'!$F$65:$F$116, 0), MATCH(Curvas!AR$2, 'Fluxos de Recebimento'!$I$63:$BH$63, 0)),0)*INDEX($E:$E, MATCH(AR$2, $B:$B, 0))</f>
        <v>1.149425287356322E-3</v>
      </c>
      <c r="AS18" s="193">
        <f>IFERROR(INDEX('Fluxos de Recebimento'!$I$7:$BH$58, MATCH(Curvas!$AB18, 'Fluxos de Recebimento'!$F$7:$F$58, 0), MATCH(Curvas!AS$2,'Fluxos de Recebimento'!$I$5:$BH$5, 0))+INDEX('Fluxos de Recebimento'!$I$65:$BH$116, MATCH(Curvas!$AB18, 'Fluxos de Recebimento'!$F$65:$F$116, 0), MATCH(Curvas!AS$2, 'Fluxos de Recebimento'!$I$63:$BH$63, 0)),0)*INDEX($E:$E, MATCH(AS$2, $B:$B, 0))</f>
        <v>0</v>
      </c>
      <c r="AT18" s="193">
        <f>IFERROR(INDEX('Fluxos de Recebimento'!$I$7:$BH$58, MATCH(Curvas!$AB18, 'Fluxos de Recebimento'!$F$7:$F$58, 0), MATCH(Curvas!AT$2,'Fluxos de Recebimento'!$I$5:$BH$5, 0))+INDEX('Fluxos de Recebimento'!$I$65:$BH$116, MATCH(Curvas!$AB18, 'Fluxos de Recebimento'!$F$65:$F$116, 0), MATCH(Curvas!AT$2, 'Fluxos de Recebimento'!$I$63:$BH$63, 0)),0)*INDEX($E:$E, MATCH(AT$2, $B:$B, 0))</f>
        <v>0</v>
      </c>
      <c r="AU18" s="193">
        <f>IFERROR(INDEX('Fluxos de Recebimento'!$I$7:$BH$58, MATCH(Curvas!$AB18, 'Fluxos de Recebimento'!$F$7:$F$58, 0), MATCH(Curvas!AU$2,'Fluxos de Recebimento'!$I$5:$BH$5, 0))+INDEX('Fluxos de Recebimento'!$I$65:$BH$116, MATCH(Curvas!$AB18, 'Fluxos de Recebimento'!$F$65:$F$116, 0), MATCH(Curvas!AU$2, 'Fluxos de Recebimento'!$I$63:$BH$63, 0)),0)*INDEX($E:$E, MATCH(AU$2, $B:$B, 0))</f>
        <v>0</v>
      </c>
      <c r="AV18" s="193">
        <f>IFERROR(INDEX('Fluxos de Recebimento'!$I$7:$BH$58, MATCH(Curvas!$AB18, 'Fluxos de Recebimento'!$F$7:$F$58, 0), MATCH(Curvas!AV$2,'Fluxos de Recebimento'!$I$5:$BH$5, 0))+INDEX('Fluxos de Recebimento'!$I$65:$BH$116, MATCH(Curvas!$AB18, 'Fluxos de Recebimento'!$F$65:$F$116, 0), MATCH(Curvas!AV$2, 'Fluxos de Recebimento'!$I$63:$BH$63, 0)),0)*INDEX($E:$E, MATCH(AV$2, $B:$B, 0))</f>
        <v>0</v>
      </c>
      <c r="AW18" s="193">
        <f>IFERROR(INDEX('Fluxos de Recebimento'!$I$7:$BH$58, MATCH(Curvas!$AB18, 'Fluxos de Recebimento'!$F$7:$F$58, 0), MATCH(Curvas!AW$2,'Fluxos de Recebimento'!$I$5:$BH$5, 0))+INDEX('Fluxos de Recebimento'!$I$65:$BH$116, MATCH(Curvas!$AB18, 'Fluxos de Recebimento'!$F$65:$F$116, 0), MATCH(Curvas!AW$2, 'Fluxos de Recebimento'!$I$63:$BH$63, 0)),0)*INDEX($E:$E, MATCH(AW$2, $B:$B, 0))</f>
        <v>0</v>
      </c>
      <c r="AX18" s="193">
        <f>IFERROR(INDEX('Fluxos de Recebimento'!$I$7:$BH$58, MATCH(Curvas!$AB18, 'Fluxos de Recebimento'!$F$7:$F$58, 0), MATCH(Curvas!AX$2,'Fluxos de Recebimento'!$I$5:$BH$5, 0))+INDEX('Fluxos de Recebimento'!$I$65:$BH$116, MATCH(Curvas!$AB18, 'Fluxos de Recebimento'!$F$65:$F$116, 0), MATCH(Curvas!AX$2, 'Fluxos de Recebimento'!$I$63:$BH$63, 0)),0)*INDEX($E:$E, MATCH(AX$2, $B:$B, 0))</f>
        <v>0</v>
      </c>
      <c r="AY18" s="193">
        <f>IFERROR(INDEX('Fluxos de Recebimento'!$I$7:$BH$58, MATCH(Curvas!$AB18, 'Fluxos de Recebimento'!$F$7:$F$58, 0), MATCH(Curvas!AY$2,'Fluxos de Recebimento'!$I$5:$BH$5, 0))+INDEX('Fluxos de Recebimento'!$I$65:$BH$116, MATCH(Curvas!$AB18, 'Fluxos de Recebimento'!$F$65:$F$116, 0), MATCH(Curvas!AY$2, 'Fluxos de Recebimento'!$I$63:$BH$63, 0)),0)*INDEX($E:$E, MATCH(AY$2, $B:$B, 0))</f>
        <v>0</v>
      </c>
      <c r="AZ18" s="193">
        <f>IFERROR(INDEX('Fluxos de Recebimento'!$I$7:$BH$58, MATCH(Curvas!$AB18, 'Fluxos de Recebimento'!$F$7:$F$58, 0), MATCH(Curvas!AZ$2,'Fluxos de Recebimento'!$I$5:$BH$5, 0))+INDEX('Fluxos de Recebimento'!$I$65:$BH$116, MATCH(Curvas!$AB18, 'Fluxos de Recebimento'!$F$65:$F$116, 0), MATCH(Curvas!AZ$2, 'Fluxos de Recebimento'!$I$63:$BH$63, 0)),0)*INDEX($E:$E, MATCH(AZ$2, $B:$B, 0))</f>
        <v>0</v>
      </c>
      <c r="BA18" s="193">
        <f>IFERROR(INDEX('Fluxos de Recebimento'!$I$7:$BH$58, MATCH(Curvas!$AB18, 'Fluxos de Recebimento'!$F$7:$F$58, 0), MATCH(Curvas!BA$2,'Fluxos de Recebimento'!$I$5:$BH$5, 0))+INDEX('Fluxos de Recebimento'!$I$65:$BH$116, MATCH(Curvas!$AB18, 'Fluxos de Recebimento'!$F$65:$F$116, 0), MATCH(Curvas!BA$2, 'Fluxos de Recebimento'!$I$63:$BH$63, 0)),0)*INDEX($E:$E, MATCH(BA$2, $B:$B, 0))</f>
        <v>0</v>
      </c>
      <c r="BB18" s="193">
        <f>IFERROR(INDEX('Fluxos de Recebimento'!$I$7:$BH$58, MATCH(Curvas!$AB18, 'Fluxos de Recebimento'!$F$7:$F$58, 0), MATCH(Curvas!BB$2,'Fluxos de Recebimento'!$I$5:$BH$5, 0))+INDEX('Fluxos de Recebimento'!$I$65:$BH$116, MATCH(Curvas!$AB18, 'Fluxos de Recebimento'!$F$65:$F$116, 0), MATCH(Curvas!BB$2, 'Fluxos de Recebimento'!$I$63:$BH$63, 0)),0)*INDEX($E:$E, MATCH(BB$2, $B:$B, 0))</f>
        <v>0</v>
      </c>
      <c r="BC18" s="193">
        <f>IFERROR(INDEX('Fluxos de Recebimento'!$I$7:$BH$58, MATCH(Curvas!$AB18, 'Fluxos de Recebimento'!$F$7:$F$58, 0), MATCH(Curvas!BC$2,'Fluxos de Recebimento'!$I$5:$BH$5, 0))+INDEX('Fluxos de Recebimento'!$I$65:$BH$116, MATCH(Curvas!$AB18, 'Fluxos de Recebimento'!$F$65:$F$116, 0), MATCH(Curvas!BC$2, 'Fluxos de Recebimento'!$I$63:$BH$63, 0)),0)*INDEX($E:$E, MATCH(BC$2, $B:$B, 0))</f>
        <v>0</v>
      </c>
      <c r="BD18" s="193">
        <f>IFERROR(INDEX('Fluxos de Recebimento'!$I$7:$BH$58, MATCH(Curvas!$AB18, 'Fluxos de Recebimento'!$F$7:$F$58, 0), MATCH(Curvas!BD$2,'Fluxos de Recebimento'!$I$5:$BH$5, 0))+INDEX('Fluxos de Recebimento'!$I$65:$BH$116, MATCH(Curvas!$AB18, 'Fluxos de Recebimento'!$F$65:$F$116, 0), MATCH(Curvas!BD$2, 'Fluxos de Recebimento'!$I$63:$BH$63, 0)),0)*INDEX($E:$E, MATCH(BD$2, $B:$B, 0))</f>
        <v>0</v>
      </c>
      <c r="BE18" s="193">
        <f>IFERROR(INDEX('Fluxos de Recebimento'!$I$7:$BH$58, MATCH(Curvas!$AB18, 'Fluxos de Recebimento'!$F$7:$F$58, 0), MATCH(Curvas!BE$2,'Fluxos de Recebimento'!$I$5:$BH$5, 0))+INDEX('Fluxos de Recebimento'!$I$65:$BH$116, MATCH(Curvas!$AB18, 'Fluxos de Recebimento'!$F$65:$F$116, 0), MATCH(Curvas!BE$2, 'Fluxos de Recebimento'!$I$63:$BH$63, 0)),0)*INDEX($E:$E, MATCH(BE$2, $B:$B, 0))</f>
        <v>0</v>
      </c>
      <c r="BF18" s="193">
        <f>IFERROR(INDEX('Fluxos de Recebimento'!$I$7:$BH$58, MATCH(Curvas!$AB18, 'Fluxos de Recebimento'!$F$7:$F$58, 0), MATCH(Curvas!BF$2,'Fluxos de Recebimento'!$I$5:$BH$5, 0))+INDEX('Fluxos de Recebimento'!$I$65:$BH$116, MATCH(Curvas!$AB18, 'Fluxos de Recebimento'!$F$65:$F$116, 0), MATCH(Curvas!BF$2, 'Fluxos de Recebimento'!$I$63:$BH$63, 0)),0)*INDEX($E:$E, MATCH(BF$2, $B:$B, 0))</f>
        <v>0</v>
      </c>
      <c r="BG18" s="193">
        <f>IFERROR(INDEX('Fluxos de Recebimento'!$I$7:$BH$58, MATCH(Curvas!$AB18, 'Fluxos de Recebimento'!$F$7:$F$58, 0), MATCH(Curvas!BG$2,'Fluxos de Recebimento'!$I$5:$BH$5, 0))+INDEX('Fluxos de Recebimento'!$I$65:$BH$116, MATCH(Curvas!$AB18, 'Fluxos de Recebimento'!$F$65:$F$116, 0), MATCH(Curvas!BG$2, 'Fluxos de Recebimento'!$I$63:$BH$63, 0)),0)*INDEX($E:$E, MATCH(BG$2, $B:$B, 0))</f>
        <v>0</v>
      </c>
      <c r="BH18" s="193">
        <f>IFERROR(INDEX('Fluxos de Recebimento'!$I$7:$BH$58, MATCH(Curvas!$AB18, 'Fluxos de Recebimento'!$F$7:$F$58, 0), MATCH(Curvas!BH$2,'Fluxos de Recebimento'!$I$5:$BH$5, 0))+INDEX('Fluxos de Recebimento'!$I$65:$BH$116, MATCH(Curvas!$AB18, 'Fluxos de Recebimento'!$F$65:$F$116, 0), MATCH(Curvas!BH$2, 'Fluxos de Recebimento'!$I$63:$BH$63, 0)),0)*INDEX($E:$E, MATCH(BH$2, $B:$B, 0))</f>
        <v>0</v>
      </c>
      <c r="BI18" s="193">
        <f>IFERROR(INDEX('Fluxos de Recebimento'!$I$7:$BH$58, MATCH(Curvas!$AB18, 'Fluxos de Recebimento'!$F$7:$F$58, 0), MATCH(Curvas!BI$2,'Fluxos de Recebimento'!$I$5:$BH$5, 0))+INDEX('Fluxos de Recebimento'!$I$65:$BH$116, MATCH(Curvas!$AB18, 'Fluxos de Recebimento'!$F$65:$F$116, 0), MATCH(Curvas!BI$2, 'Fluxos de Recebimento'!$I$63:$BH$63, 0)),0)*INDEX($E:$E, MATCH(BI$2, $B:$B, 0))</f>
        <v>0</v>
      </c>
      <c r="BJ18" s="193">
        <f>IFERROR(INDEX('Fluxos de Recebimento'!$I$7:$BH$58, MATCH(Curvas!$AB18, 'Fluxos de Recebimento'!$F$7:$F$58, 0), MATCH(Curvas!BJ$2,'Fluxos de Recebimento'!$I$5:$BH$5, 0))+INDEX('Fluxos de Recebimento'!$I$65:$BH$116, MATCH(Curvas!$AB18, 'Fluxos de Recebimento'!$F$65:$F$116, 0), MATCH(Curvas!BJ$2, 'Fluxos de Recebimento'!$I$63:$BH$63, 0)),0)*INDEX($E:$E, MATCH(BJ$2, $B:$B, 0))</f>
        <v>0</v>
      </c>
      <c r="BK18" s="193">
        <f>IFERROR(INDEX('Fluxos de Recebimento'!$I$7:$BH$58, MATCH(Curvas!$AB18, 'Fluxos de Recebimento'!$F$7:$F$58, 0), MATCH(Curvas!BK$2,'Fluxos de Recebimento'!$I$5:$BH$5, 0))+INDEX('Fluxos de Recebimento'!$I$65:$BH$116, MATCH(Curvas!$AB18, 'Fluxos de Recebimento'!$F$65:$F$116, 0), MATCH(Curvas!BK$2, 'Fluxos de Recebimento'!$I$63:$BH$63, 0)),0)*INDEX($E:$E, MATCH(BK$2, $B:$B, 0))</f>
        <v>0</v>
      </c>
      <c r="BL18" s="193">
        <f>IFERROR(INDEX('Fluxos de Recebimento'!$I$7:$BH$58, MATCH(Curvas!$AB18, 'Fluxos de Recebimento'!$F$7:$F$58, 0), MATCH(Curvas!BL$2,'Fluxos de Recebimento'!$I$5:$BH$5, 0))+INDEX('Fluxos de Recebimento'!$I$65:$BH$116, MATCH(Curvas!$AB18, 'Fluxos de Recebimento'!$F$65:$F$116, 0), MATCH(Curvas!BL$2, 'Fluxos de Recebimento'!$I$63:$BH$63, 0)),0)*INDEX($E:$E, MATCH(BL$2, $B:$B, 0))</f>
        <v>0</v>
      </c>
      <c r="BM18" s="193">
        <f>IFERROR(INDEX('Fluxos de Recebimento'!$I$7:$BH$58, MATCH(Curvas!$AB18, 'Fluxos de Recebimento'!$F$7:$F$58, 0), MATCH(Curvas!BM$2,'Fluxos de Recebimento'!$I$5:$BH$5, 0))+INDEX('Fluxos de Recebimento'!$I$65:$BH$116, MATCH(Curvas!$AB18, 'Fluxos de Recebimento'!$F$65:$F$116, 0), MATCH(Curvas!BM$2, 'Fluxos de Recebimento'!$I$63:$BH$63, 0)),0)*INDEX($E:$E, MATCH(BM$2, $B:$B, 0))</f>
        <v>0</v>
      </c>
      <c r="BN18" s="193">
        <f>IFERROR(INDEX('Fluxos de Recebimento'!$I$7:$BH$58, MATCH(Curvas!$AB18, 'Fluxos de Recebimento'!$F$7:$F$58, 0), MATCH(Curvas!BN$2,'Fluxos de Recebimento'!$I$5:$BH$5, 0))+INDEX('Fluxos de Recebimento'!$I$65:$BH$116, MATCH(Curvas!$AB18, 'Fluxos de Recebimento'!$F$65:$F$116, 0), MATCH(Curvas!BN$2, 'Fluxos de Recebimento'!$I$63:$BH$63, 0)),0)*INDEX($E:$E, MATCH(BN$2, $B:$B, 0))</f>
        <v>0</v>
      </c>
      <c r="BO18" s="193">
        <f>IFERROR(INDEX('Fluxos de Recebimento'!$I$7:$BH$58, MATCH(Curvas!$AB18, 'Fluxos de Recebimento'!$F$7:$F$58, 0), MATCH(Curvas!BO$2,'Fluxos de Recebimento'!$I$5:$BH$5, 0))+INDEX('Fluxos de Recebimento'!$I$65:$BH$116, MATCH(Curvas!$AB18, 'Fluxos de Recebimento'!$F$65:$F$116, 0), MATCH(Curvas!BO$2, 'Fluxos de Recebimento'!$I$63:$BH$63, 0)),0)*INDEX($E:$E, MATCH(BO$2, $B:$B, 0))</f>
        <v>0</v>
      </c>
      <c r="BP18" s="193">
        <f>IFERROR(INDEX('Fluxos de Recebimento'!$I$7:$BH$58, MATCH(Curvas!$AB18, 'Fluxos de Recebimento'!$F$7:$F$58, 0), MATCH(Curvas!BP$2,'Fluxos de Recebimento'!$I$5:$BH$5, 0))+INDEX('Fluxos de Recebimento'!$I$65:$BH$116, MATCH(Curvas!$AB18, 'Fluxos de Recebimento'!$F$65:$F$116, 0), MATCH(Curvas!BP$2, 'Fluxos de Recebimento'!$I$63:$BH$63, 0)),0)*INDEX($E:$E, MATCH(BP$2, $B:$B, 0))</f>
        <v>0</v>
      </c>
      <c r="BQ18" s="193">
        <f>IFERROR(INDEX('Fluxos de Recebimento'!$I$7:$BH$58, MATCH(Curvas!$AB18, 'Fluxos de Recebimento'!$F$7:$F$58, 0), MATCH(Curvas!BQ$2,'Fluxos de Recebimento'!$I$5:$BH$5, 0))+INDEX('Fluxos de Recebimento'!$I$65:$BH$116, MATCH(Curvas!$AB18, 'Fluxos de Recebimento'!$F$65:$F$116, 0), MATCH(Curvas!BQ$2, 'Fluxos de Recebimento'!$I$63:$BH$63, 0)),0)*INDEX($E:$E, MATCH(BQ$2, $B:$B, 0))</f>
        <v>0</v>
      </c>
      <c r="BR18" s="193">
        <f>IFERROR(INDEX('Fluxos de Recebimento'!$I$7:$BH$58, MATCH(Curvas!$AB18, 'Fluxos de Recebimento'!$F$7:$F$58, 0), MATCH(Curvas!BR$2,'Fluxos de Recebimento'!$I$5:$BH$5, 0))+INDEX('Fluxos de Recebimento'!$I$65:$BH$116, MATCH(Curvas!$AB18, 'Fluxos de Recebimento'!$F$65:$F$116, 0), MATCH(Curvas!BR$2, 'Fluxos de Recebimento'!$I$63:$BH$63, 0)),0)*INDEX($E:$E, MATCH(BR$2, $B:$B, 0))</f>
        <v>0</v>
      </c>
      <c r="BS18" s="193">
        <f>IFERROR(INDEX('Fluxos de Recebimento'!$I$7:$BH$58, MATCH(Curvas!$AB18, 'Fluxos de Recebimento'!$F$7:$F$58, 0), MATCH(Curvas!BS$2,'Fluxos de Recebimento'!$I$5:$BH$5, 0))+INDEX('Fluxos de Recebimento'!$I$65:$BH$116, MATCH(Curvas!$AB18, 'Fluxos de Recebimento'!$F$65:$F$116, 0), MATCH(Curvas!BS$2, 'Fluxos de Recebimento'!$I$63:$BH$63, 0)),0)*INDEX($E:$E, MATCH(BS$2, $B:$B, 0))</f>
        <v>0</v>
      </c>
      <c r="BT18" s="193">
        <f>IFERROR(INDEX('Fluxos de Recebimento'!$I$7:$BH$58, MATCH(Curvas!$AB18, 'Fluxos de Recebimento'!$F$7:$F$58, 0), MATCH(Curvas!BT$2,'Fluxos de Recebimento'!$I$5:$BH$5, 0))+INDEX('Fluxos de Recebimento'!$I$65:$BH$116, MATCH(Curvas!$AB18, 'Fluxos de Recebimento'!$F$65:$F$116, 0), MATCH(Curvas!BT$2, 'Fluxos de Recebimento'!$I$63:$BH$63, 0)),0)*INDEX($E:$E, MATCH(BT$2, $B:$B, 0))</f>
        <v>0</v>
      </c>
      <c r="BU18" s="193">
        <f>IFERROR(INDEX('Fluxos de Recebimento'!$I$7:$BH$58, MATCH(Curvas!$AB18, 'Fluxos de Recebimento'!$F$7:$F$58, 0), MATCH(Curvas!BU$2,'Fluxos de Recebimento'!$I$5:$BH$5, 0))+INDEX('Fluxos de Recebimento'!$I$65:$BH$116, MATCH(Curvas!$AB18, 'Fluxos de Recebimento'!$F$65:$F$116, 0), MATCH(Curvas!BU$2, 'Fluxos de Recebimento'!$I$63:$BH$63, 0)),0)*INDEX($E:$E, MATCH(BU$2, $B:$B, 0))</f>
        <v>0</v>
      </c>
      <c r="BV18" s="193">
        <f>IFERROR(INDEX('Fluxos de Recebimento'!$I$7:$BH$58, MATCH(Curvas!$AB18, 'Fluxos de Recebimento'!$F$7:$F$58, 0), MATCH(Curvas!BV$2,'Fluxos de Recebimento'!$I$5:$BH$5, 0))+INDEX('Fluxos de Recebimento'!$I$65:$BH$116, MATCH(Curvas!$AB18, 'Fluxos de Recebimento'!$F$65:$F$116, 0), MATCH(Curvas!BV$2, 'Fluxos de Recebimento'!$I$63:$BH$63, 0)),0)*INDEX($E:$E, MATCH(BV$2, $B:$B, 0))</f>
        <v>0</v>
      </c>
      <c r="BW18" s="193">
        <f>IFERROR(INDEX('Fluxos de Recebimento'!$I$7:$BH$58, MATCH(Curvas!$AB18, 'Fluxos de Recebimento'!$F$7:$F$58, 0), MATCH(Curvas!BW$2,'Fluxos de Recebimento'!$I$5:$BH$5, 0))+INDEX('Fluxos de Recebimento'!$I$65:$BH$116, MATCH(Curvas!$AB18, 'Fluxos de Recebimento'!$F$65:$F$116, 0), MATCH(Curvas!BW$2, 'Fluxos de Recebimento'!$I$63:$BH$63, 0)),0)*INDEX($E:$E, MATCH(BW$2, $B:$B, 0))</f>
        <v>0</v>
      </c>
      <c r="BX18" s="193">
        <f>IFERROR(INDEX('Fluxos de Recebimento'!$I$7:$BH$58, MATCH(Curvas!$AB18, 'Fluxos de Recebimento'!$F$7:$F$58, 0), MATCH(Curvas!BX$2,'Fluxos de Recebimento'!$I$5:$BH$5, 0))+INDEX('Fluxos de Recebimento'!$I$65:$BH$116, MATCH(Curvas!$AB18, 'Fluxos de Recebimento'!$F$65:$F$116, 0), MATCH(Curvas!BX$2, 'Fluxos de Recebimento'!$I$63:$BH$63, 0)),0)*INDEX($E:$E, MATCH(BX$2, $B:$B, 0))</f>
        <v>0</v>
      </c>
      <c r="BY18" s="193">
        <f>IFERROR(INDEX('Fluxos de Recebimento'!$I$7:$BH$58, MATCH(Curvas!$AB18, 'Fluxos de Recebimento'!$F$7:$F$58, 0), MATCH(Curvas!BY$2,'Fluxos de Recebimento'!$I$5:$BH$5, 0))+INDEX('Fluxos de Recebimento'!$I$65:$BH$116, MATCH(Curvas!$AB18, 'Fluxos de Recebimento'!$F$65:$F$116, 0), MATCH(Curvas!BY$2, 'Fluxos de Recebimento'!$I$63:$BH$63, 0)),0)*INDEX($E:$E, MATCH(BY$2, $B:$B, 0))</f>
        <v>0</v>
      </c>
      <c r="BZ18" s="193">
        <f>IFERROR(INDEX('Fluxos de Recebimento'!$I$7:$BH$58, MATCH(Curvas!$AB18, 'Fluxos de Recebimento'!$F$7:$F$58, 0), MATCH(Curvas!BZ$2,'Fluxos de Recebimento'!$I$5:$BH$5, 0))+INDEX('Fluxos de Recebimento'!$I$65:$BH$116, MATCH(Curvas!$AB18, 'Fluxos de Recebimento'!$F$65:$F$116, 0), MATCH(Curvas!BZ$2, 'Fluxos de Recebimento'!$I$63:$BH$63, 0)),0)*INDEX($E:$E, MATCH(BZ$2, $B:$B, 0))</f>
        <v>0</v>
      </c>
      <c r="CA18" s="193">
        <f>IFERROR(INDEX('Fluxos de Recebimento'!$I$7:$BH$58, MATCH(Curvas!$AB18, 'Fluxos de Recebimento'!$F$7:$F$58, 0), MATCH(Curvas!CA$2,'Fluxos de Recebimento'!$I$5:$BH$5, 0))+INDEX('Fluxos de Recebimento'!$I$65:$BH$116, MATCH(Curvas!$AB18, 'Fluxos de Recebimento'!$F$65:$F$116, 0), MATCH(Curvas!CA$2, 'Fluxos de Recebimento'!$I$63:$BH$63, 0)),0)*INDEX($E:$E, MATCH(CA$2, $B:$B, 0))</f>
        <v>0</v>
      </c>
      <c r="CB18" s="193">
        <f>IFERROR(INDEX('Fluxos de Recebimento'!$I$7:$BH$58, MATCH(Curvas!$AB18, 'Fluxos de Recebimento'!$F$7:$F$58, 0), MATCH(Curvas!CB$2,'Fluxos de Recebimento'!$I$5:$BH$5, 0))+INDEX('Fluxos de Recebimento'!$I$65:$BH$116, MATCH(Curvas!$AB18, 'Fluxos de Recebimento'!$F$65:$F$116, 0), MATCH(Curvas!CB$2, 'Fluxos de Recebimento'!$I$63:$BH$63, 0)),0)*INDEX($E:$E, MATCH(CB$2, $B:$B, 0))</f>
        <v>0</v>
      </c>
      <c r="CC18" s="193">
        <f>IFERROR(INDEX('Fluxos de Recebimento'!$I$7:$BH$58, MATCH(Curvas!$AB18, 'Fluxos de Recebimento'!$F$7:$F$58, 0), MATCH(Curvas!CC$2,'Fluxos de Recebimento'!$I$5:$BH$5, 0))+INDEX('Fluxos de Recebimento'!$I$65:$BH$116, MATCH(Curvas!$AB18, 'Fluxos de Recebimento'!$F$65:$F$116, 0), MATCH(Curvas!CC$2, 'Fluxos de Recebimento'!$I$63:$BH$63, 0)),0)*INDEX($E:$E, MATCH(CC$2, $B:$B, 0))</f>
        <v>0</v>
      </c>
    </row>
    <row r="19" spans="1:81" x14ac:dyDescent="0.25">
      <c r="A19" s="2"/>
      <c r="B19" s="477">
        <f t="shared" si="16"/>
        <v>44621</v>
      </c>
      <c r="C19" s="52">
        <f t="shared" si="17"/>
        <v>16</v>
      </c>
      <c r="D19" s="2"/>
      <c r="E19" s="187">
        <f t="shared" si="4"/>
        <v>2.298850574712644E-2</v>
      </c>
      <c r="F19" s="48">
        <f t="shared" si="18"/>
        <v>0.36781609195402315</v>
      </c>
      <c r="G19" s="46">
        <f t="shared" ca="1" si="5"/>
        <v>0</v>
      </c>
      <c r="H19" s="48">
        <f t="shared" ca="1" si="19"/>
        <v>0</v>
      </c>
      <c r="I19" s="2"/>
      <c r="J19" s="69">
        <f t="shared" si="6"/>
        <v>16</v>
      </c>
      <c r="K19" s="479">
        <f t="shared" ca="1" si="7"/>
        <v>0</v>
      </c>
      <c r="L19" s="70">
        <f t="shared" ca="1" si="8"/>
        <v>16</v>
      </c>
      <c r="M19" s="2"/>
      <c r="N19" s="69">
        <f t="shared" si="9"/>
        <v>21</v>
      </c>
      <c r="O19" s="479">
        <f t="shared" si="10"/>
        <v>0</v>
      </c>
      <c r="P19" s="70">
        <f t="shared" si="11"/>
        <v>21</v>
      </c>
      <c r="Q19" s="2"/>
      <c r="R19" s="71">
        <f t="shared" si="12"/>
        <v>37</v>
      </c>
      <c r="S19" s="196"/>
      <c r="T19" s="46">
        <v>2.5306964595080271E-2</v>
      </c>
      <c r="U19" s="48">
        <f t="shared" si="20"/>
        <v>0.24874875395394561</v>
      </c>
      <c r="V19" s="2"/>
      <c r="W19" s="56"/>
      <c r="X19" s="48"/>
      <c r="Y19" s="2"/>
      <c r="Z19" s="194">
        <f t="shared" si="13"/>
        <v>4.5840794658970714E-3</v>
      </c>
      <c r="AA19" s="2"/>
      <c r="AB19" s="477">
        <f t="shared" si="14"/>
        <v>44621</v>
      </c>
      <c r="AC19" s="52">
        <f t="shared" si="15"/>
        <v>16</v>
      </c>
      <c r="AD19" s="193">
        <f>IFERROR(INDEX('Fluxos de Recebimento'!$I$7:$BH$58, MATCH(Curvas!$AB19, 'Fluxos de Recebimento'!$F$7:$F$58, 0), MATCH(Curvas!AD$2,'Fluxos de Recebimento'!$I$5:$BH$5, 0))+INDEX('Fluxos de Recebimento'!$I$65:$BH$116, MATCH(Curvas!$AB19, 'Fluxos de Recebimento'!$F$65:$F$116, 0), MATCH(Curvas!AD$2, 'Fluxos de Recebimento'!$I$63:$BH$63, 0)),0)*INDEX($E:$E, MATCH(AD$2, $B:$B, 0))</f>
        <v>1.6420361247947458E-4</v>
      </c>
      <c r="AE19" s="193">
        <f>IFERROR(INDEX('Fluxos de Recebimento'!$I$7:$BH$58, MATCH(Curvas!$AB19, 'Fluxos de Recebimento'!$F$7:$F$58, 0), MATCH(Curvas!AE$2,'Fluxos de Recebimento'!$I$5:$BH$5, 0))+INDEX('Fluxos de Recebimento'!$I$65:$BH$116, MATCH(Curvas!$AB19, 'Fluxos de Recebimento'!$F$65:$F$116, 0), MATCH(Curvas!AE$2, 'Fluxos de Recebimento'!$I$63:$BH$63, 0)),0)*INDEX($E:$E, MATCH(AE$2, $B:$B, 0))</f>
        <v>1.7028522775649216E-4</v>
      </c>
      <c r="AF19" s="193">
        <f>IFERROR(INDEX('Fluxos de Recebimento'!$I$7:$BH$58, MATCH(Curvas!$AB19, 'Fluxos de Recebimento'!$F$7:$F$58, 0), MATCH(Curvas!AF$2,'Fluxos de Recebimento'!$I$5:$BH$5, 0))+INDEX('Fluxos de Recebimento'!$I$65:$BH$116, MATCH(Curvas!$AB19, 'Fluxos de Recebimento'!$F$65:$F$116, 0), MATCH(Curvas!AF$2, 'Fluxos de Recebimento'!$I$63:$BH$63, 0)),0)*INDEX($E:$E, MATCH(AF$2, $B:$B, 0))</f>
        <v>1.7683465959328031E-4</v>
      </c>
      <c r="AG19" s="193">
        <f>IFERROR(INDEX('Fluxos de Recebimento'!$I$7:$BH$58, MATCH(Curvas!$AB19, 'Fluxos de Recebimento'!$F$7:$F$58, 0), MATCH(Curvas!AG$2,'Fluxos de Recebimento'!$I$5:$BH$5, 0))+INDEX('Fluxos de Recebimento'!$I$65:$BH$116, MATCH(Curvas!$AB19, 'Fluxos de Recebimento'!$F$65:$F$116, 0), MATCH(Curvas!AG$2, 'Fluxos de Recebimento'!$I$63:$BH$63, 0)),0)*INDEX($E:$E, MATCH(AG$2, $B:$B, 0))</f>
        <v>1.8390804597701152E-4</v>
      </c>
      <c r="AH19" s="193">
        <f>IFERROR(INDEX('Fluxos de Recebimento'!$I$7:$BH$58, MATCH(Curvas!$AB19, 'Fluxos de Recebimento'!$F$7:$F$58, 0), MATCH(Curvas!AH$2,'Fluxos de Recebimento'!$I$5:$BH$5, 0))+INDEX('Fluxos de Recebimento'!$I$65:$BH$116, MATCH(Curvas!$AB19, 'Fluxos de Recebimento'!$F$65:$F$116, 0), MATCH(Curvas!AH$2, 'Fluxos de Recebimento'!$I$63:$BH$63, 0)),0)*INDEX($E:$E, MATCH(AH$2, $B:$B, 0))</f>
        <v>1.9157088122605367E-4</v>
      </c>
      <c r="AI19" s="193">
        <f>IFERROR(INDEX('Fluxos de Recebimento'!$I$7:$BH$58, MATCH(Curvas!$AB19, 'Fluxos de Recebimento'!$F$7:$F$58, 0), MATCH(Curvas!AI$2,'Fluxos de Recebimento'!$I$5:$BH$5, 0))+INDEX('Fluxos de Recebimento'!$I$65:$BH$116, MATCH(Curvas!$AB19, 'Fluxos de Recebimento'!$F$65:$F$116, 0), MATCH(Curvas!AI$2, 'Fluxos de Recebimento'!$I$63:$BH$63, 0)),0)*INDEX($E:$E, MATCH(AI$2, $B:$B, 0))</f>
        <v>1.9990004997501253E-4</v>
      </c>
      <c r="AJ19" s="193">
        <f>IFERROR(INDEX('Fluxos de Recebimento'!$I$7:$BH$58, MATCH(Curvas!$AB19, 'Fluxos de Recebimento'!$F$7:$F$58, 0), MATCH(Curvas!AJ$2,'Fluxos de Recebimento'!$I$5:$BH$5, 0))+INDEX('Fluxos de Recebimento'!$I$65:$BH$116, MATCH(Curvas!$AB19, 'Fluxos de Recebimento'!$F$65:$F$116, 0), MATCH(Curvas!AJ$2, 'Fluxos de Recebimento'!$I$63:$BH$63, 0)),0)*INDEX($E:$E, MATCH(AJ$2, $B:$B, 0))</f>
        <v>2.0898641588296767E-4</v>
      </c>
      <c r="AK19" s="193">
        <f>IFERROR(INDEX('Fluxos de Recebimento'!$I$7:$BH$58, MATCH(Curvas!$AB19, 'Fluxos de Recebimento'!$F$7:$F$58, 0), MATCH(Curvas!AK$2,'Fluxos de Recebimento'!$I$5:$BH$5, 0))+INDEX('Fluxos de Recebimento'!$I$65:$BH$116, MATCH(Curvas!$AB19, 'Fluxos de Recebimento'!$F$65:$F$116, 0), MATCH(Curvas!AK$2, 'Fluxos de Recebimento'!$I$63:$BH$63, 0)),0)*INDEX($E:$E, MATCH(AK$2, $B:$B, 0))</f>
        <v>2.1893814997263279E-4</v>
      </c>
      <c r="AL19" s="193">
        <f>IFERROR(INDEX('Fluxos de Recebimento'!$I$7:$BH$58, MATCH(Curvas!$AB19, 'Fluxos de Recebimento'!$F$7:$F$58, 0), MATCH(Curvas!AL$2,'Fluxos de Recebimento'!$I$5:$BH$5, 0))+INDEX('Fluxos de Recebimento'!$I$65:$BH$116, MATCH(Curvas!$AB19, 'Fluxos de Recebimento'!$F$65:$F$116, 0), MATCH(Curvas!AL$2, 'Fluxos de Recebimento'!$I$63:$BH$63, 0)),0)*INDEX($E:$E, MATCH(AL$2, $B:$B, 0))</f>
        <v>2.2988505747126441E-4</v>
      </c>
      <c r="AM19" s="193">
        <f>IFERROR(INDEX('Fluxos de Recebimento'!$I$7:$BH$58, MATCH(Curvas!$AB19, 'Fluxos de Recebimento'!$F$7:$F$58, 0), MATCH(Curvas!AM$2,'Fluxos de Recebimento'!$I$5:$BH$5, 0))+INDEX('Fluxos de Recebimento'!$I$65:$BH$116, MATCH(Curvas!$AB19, 'Fluxos de Recebimento'!$F$65:$F$116, 0), MATCH(Curvas!AM$2, 'Fluxos de Recebimento'!$I$63:$BH$63, 0)),0)*INDEX($E:$E, MATCH(AM$2, $B:$B, 0))</f>
        <v>2.4198427102238356E-4</v>
      </c>
      <c r="AN19" s="193">
        <f>IFERROR(INDEX('Fluxos de Recebimento'!$I$7:$BH$58, MATCH(Curvas!$AB19, 'Fluxos de Recebimento'!$F$7:$F$58, 0), MATCH(Curvas!AN$2,'Fluxos de Recebimento'!$I$5:$BH$5, 0))+INDEX('Fluxos de Recebimento'!$I$65:$BH$116, MATCH(Curvas!$AB19, 'Fluxos de Recebimento'!$F$65:$F$116, 0), MATCH(Curvas!AN$2, 'Fluxos de Recebimento'!$I$63:$BH$63, 0)),0)*INDEX($E:$E, MATCH(AN$2, $B:$B, 0))</f>
        <v>2.5542784163473821E-4</v>
      </c>
      <c r="AO19" s="193">
        <f>IFERROR(INDEX('Fluxos de Recebimento'!$I$7:$BH$58, MATCH(Curvas!$AB19, 'Fluxos de Recebimento'!$F$7:$F$58, 0), MATCH(Curvas!AO$2,'Fluxos de Recebimento'!$I$5:$BH$5, 0))+INDEX('Fluxos de Recebimento'!$I$65:$BH$116, MATCH(Curvas!$AB19, 'Fluxos de Recebimento'!$F$65:$F$116, 0), MATCH(Curvas!AO$2, 'Fluxos de Recebimento'!$I$63:$BH$63, 0)),0)*INDEX($E:$E, MATCH(AO$2, $B:$B, 0))</f>
        <v>2.7045300878972284E-4</v>
      </c>
      <c r="AP19" s="193">
        <f>IFERROR(INDEX('Fluxos de Recebimento'!$I$7:$BH$58, MATCH(Curvas!$AB19, 'Fluxos de Recebimento'!$F$7:$F$58, 0), MATCH(Curvas!AP$2,'Fluxos de Recebimento'!$I$5:$BH$5, 0))+INDEX('Fluxos de Recebimento'!$I$65:$BH$116, MATCH(Curvas!$AB19, 'Fluxos de Recebimento'!$F$65:$F$116, 0), MATCH(Curvas!AP$2, 'Fluxos de Recebimento'!$I$63:$BH$63, 0)),0)*INDEX($E:$E, MATCH(AP$2, $B:$B, 0))</f>
        <v>2.8735632183908051E-4</v>
      </c>
      <c r="AQ19" s="193">
        <f>IFERROR(INDEX('Fluxos de Recebimento'!$I$7:$BH$58, MATCH(Curvas!$AB19, 'Fluxos de Recebimento'!$F$7:$F$58, 0), MATCH(Curvas!AQ$2,'Fluxos de Recebimento'!$I$5:$BH$5, 0))+INDEX('Fluxos de Recebimento'!$I$65:$BH$116, MATCH(Curvas!$AB19, 'Fluxos de Recebimento'!$F$65:$F$116, 0), MATCH(Curvas!AQ$2, 'Fluxos de Recebimento'!$I$63:$BH$63, 0)),0)*INDEX($E:$E, MATCH(AQ$2, $B:$B, 0))</f>
        <v>3.0651340996168587E-4</v>
      </c>
      <c r="AR19" s="193">
        <f>IFERROR(INDEX('Fluxos de Recebimento'!$I$7:$BH$58, MATCH(Curvas!$AB19, 'Fluxos de Recebimento'!$F$7:$F$58, 0), MATCH(Curvas!AR$2,'Fluxos de Recebimento'!$I$5:$BH$5, 0))+INDEX('Fluxos de Recebimento'!$I$65:$BH$116, MATCH(Curvas!$AB19, 'Fluxos de Recebimento'!$F$65:$F$116, 0), MATCH(Curvas!AR$2, 'Fluxos de Recebimento'!$I$63:$BH$63, 0)),0)*INDEX($E:$E, MATCH(AR$2, $B:$B, 0))</f>
        <v>3.2840722495894916E-4</v>
      </c>
      <c r="AS19" s="193">
        <f>IFERROR(INDEX('Fluxos de Recebimento'!$I$7:$BH$58, MATCH(Curvas!$AB19, 'Fluxos de Recebimento'!$F$7:$F$58, 0), MATCH(Curvas!AS$2,'Fluxos de Recebimento'!$I$5:$BH$5, 0))+INDEX('Fluxos de Recebimento'!$I$65:$BH$116, MATCH(Curvas!$AB19, 'Fluxos de Recebimento'!$F$65:$F$116, 0), MATCH(Curvas!AS$2, 'Fluxos de Recebimento'!$I$63:$BH$63, 0)),0)*INDEX($E:$E, MATCH(AS$2, $B:$B, 0))</f>
        <v>1.149425287356322E-3</v>
      </c>
      <c r="AT19" s="193">
        <f>IFERROR(INDEX('Fluxos de Recebimento'!$I$7:$BH$58, MATCH(Curvas!$AB19, 'Fluxos de Recebimento'!$F$7:$F$58, 0), MATCH(Curvas!AT$2,'Fluxos de Recebimento'!$I$5:$BH$5, 0))+INDEX('Fluxos de Recebimento'!$I$65:$BH$116, MATCH(Curvas!$AB19, 'Fluxos de Recebimento'!$F$65:$F$116, 0), MATCH(Curvas!AT$2, 'Fluxos de Recebimento'!$I$63:$BH$63, 0)),0)*INDEX($E:$E, MATCH(AT$2, $B:$B, 0))</f>
        <v>0</v>
      </c>
      <c r="AU19" s="193">
        <f>IFERROR(INDEX('Fluxos de Recebimento'!$I$7:$BH$58, MATCH(Curvas!$AB19, 'Fluxos de Recebimento'!$F$7:$F$58, 0), MATCH(Curvas!AU$2,'Fluxos de Recebimento'!$I$5:$BH$5, 0))+INDEX('Fluxos de Recebimento'!$I$65:$BH$116, MATCH(Curvas!$AB19, 'Fluxos de Recebimento'!$F$65:$F$116, 0), MATCH(Curvas!AU$2, 'Fluxos de Recebimento'!$I$63:$BH$63, 0)),0)*INDEX($E:$E, MATCH(AU$2, $B:$B, 0))</f>
        <v>0</v>
      </c>
      <c r="AV19" s="193">
        <f>IFERROR(INDEX('Fluxos de Recebimento'!$I$7:$BH$58, MATCH(Curvas!$AB19, 'Fluxos de Recebimento'!$F$7:$F$58, 0), MATCH(Curvas!AV$2,'Fluxos de Recebimento'!$I$5:$BH$5, 0))+INDEX('Fluxos de Recebimento'!$I$65:$BH$116, MATCH(Curvas!$AB19, 'Fluxos de Recebimento'!$F$65:$F$116, 0), MATCH(Curvas!AV$2, 'Fluxos de Recebimento'!$I$63:$BH$63, 0)),0)*INDEX($E:$E, MATCH(AV$2, $B:$B, 0))</f>
        <v>0</v>
      </c>
      <c r="AW19" s="193">
        <f>IFERROR(INDEX('Fluxos de Recebimento'!$I$7:$BH$58, MATCH(Curvas!$AB19, 'Fluxos de Recebimento'!$F$7:$F$58, 0), MATCH(Curvas!AW$2,'Fluxos de Recebimento'!$I$5:$BH$5, 0))+INDEX('Fluxos de Recebimento'!$I$65:$BH$116, MATCH(Curvas!$AB19, 'Fluxos de Recebimento'!$F$65:$F$116, 0), MATCH(Curvas!AW$2, 'Fluxos de Recebimento'!$I$63:$BH$63, 0)),0)*INDEX($E:$E, MATCH(AW$2, $B:$B, 0))</f>
        <v>0</v>
      </c>
      <c r="AX19" s="193">
        <f>IFERROR(INDEX('Fluxos de Recebimento'!$I$7:$BH$58, MATCH(Curvas!$AB19, 'Fluxos de Recebimento'!$F$7:$F$58, 0), MATCH(Curvas!AX$2,'Fluxos de Recebimento'!$I$5:$BH$5, 0))+INDEX('Fluxos de Recebimento'!$I$65:$BH$116, MATCH(Curvas!$AB19, 'Fluxos de Recebimento'!$F$65:$F$116, 0), MATCH(Curvas!AX$2, 'Fluxos de Recebimento'!$I$63:$BH$63, 0)),0)*INDEX($E:$E, MATCH(AX$2, $B:$B, 0))</f>
        <v>0</v>
      </c>
      <c r="AY19" s="193">
        <f>IFERROR(INDEX('Fluxos de Recebimento'!$I$7:$BH$58, MATCH(Curvas!$AB19, 'Fluxos de Recebimento'!$F$7:$F$58, 0), MATCH(Curvas!AY$2,'Fluxos de Recebimento'!$I$5:$BH$5, 0))+INDEX('Fluxos de Recebimento'!$I$65:$BH$116, MATCH(Curvas!$AB19, 'Fluxos de Recebimento'!$F$65:$F$116, 0), MATCH(Curvas!AY$2, 'Fluxos de Recebimento'!$I$63:$BH$63, 0)),0)*INDEX($E:$E, MATCH(AY$2, $B:$B, 0))</f>
        <v>0</v>
      </c>
      <c r="AZ19" s="193">
        <f>IFERROR(INDEX('Fluxos de Recebimento'!$I$7:$BH$58, MATCH(Curvas!$AB19, 'Fluxos de Recebimento'!$F$7:$F$58, 0), MATCH(Curvas!AZ$2,'Fluxos de Recebimento'!$I$5:$BH$5, 0))+INDEX('Fluxos de Recebimento'!$I$65:$BH$116, MATCH(Curvas!$AB19, 'Fluxos de Recebimento'!$F$65:$F$116, 0), MATCH(Curvas!AZ$2, 'Fluxos de Recebimento'!$I$63:$BH$63, 0)),0)*INDEX($E:$E, MATCH(AZ$2, $B:$B, 0))</f>
        <v>0</v>
      </c>
      <c r="BA19" s="193">
        <f>IFERROR(INDEX('Fluxos de Recebimento'!$I$7:$BH$58, MATCH(Curvas!$AB19, 'Fluxos de Recebimento'!$F$7:$F$58, 0), MATCH(Curvas!BA$2,'Fluxos de Recebimento'!$I$5:$BH$5, 0))+INDEX('Fluxos de Recebimento'!$I$65:$BH$116, MATCH(Curvas!$AB19, 'Fluxos de Recebimento'!$F$65:$F$116, 0), MATCH(Curvas!BA$2, 'Fluxos de Recebimento'!$I$63:$BH$63, 0)),0)*INDEX($E:$E, MATCH(BA$2, $B:$B, 0))</f>
        <v>0</v>
      </c>
      <c r="BB19" s="193">
        <f>IFERROR(INDEX('Fluxos de Recebimento'!$I$7:$BH$58, MATCH(Curvas!$AB19, 'Fluxos de Recebimento'!$F$7:$F$58, 0), MATCH(Curvas!BB$2,'Fluxos de Recebimento'!$I$5:$BH$5, 0))+INDEX('Fluxos de Recebimento'!$I$65:$BH$116, MATCH(Curvas!$AB19, 'Fluxos de Recebimento'!$F$65:$F$116, 0), MATCH(Curvas!BB$2, 'Fluxos de Recebimento'!$I$63:$BH$63, 0)),0)*INDEX($E:$E, MATCH(BB$2, $B:$B, 0))</f>
        <v>0</v>
      </c>
      <c r="BC19" s="193">
        <f>IFERROR(INDEX('Fluxos de Recebimento'!$I$7:$BH$58, MATCH(Curvas!$AB19, 'Fluxos de Recebimento'!$F$7:$F$58, 0), MATCH(Curvas!BC$2,'Fluxos de Recebimento'!$I$5:$BH$5, 0))+INDEX('Fluxos de Recebimento'!$I$65:$BH$116, MATCH(Curvas!$AB19, 'Fluxos de Recebimento'!$F$65:$F$116, 0), MATCH(Curvas!BC$2, 'Fluxos de Recebimento'!$I$63:$BH$63, 0)),0)*INDEX($E:$E, MATCH(BC$2, $B:$B, 0))</f>
        <v>0</v>
      </c>
      <c r="BD19" s="193">
        <f>IFERROR(INDEX('Fluxos de Recebimento'!$I$7:$BH$58, MATCH(Curvas!$AB19, 'Fluxos de Recebimento'!$F$7:$F$58, 0), MATCH(Curvas!BD$2,'Fluxos de Recebimento'!$I$5:$BH$5, 0))+INDEX('Fluxos de Recebimento'!$I$65:$BH$116, MATCH(Curvas!$AB19, 'Fluxos de Recebimento'!$F$65:$F$116, 0), MATCH(Curvas!BD$2, 'Fluxos de Recebimento'!$I$63:$BH$63, 0)),0)*INDEX($E:$E, MATCH(BD$2, $B:$B, 0))</f>
        <v>0</v>
      </c>
      <c r="BE19" s="193">
        <f>IFERROR(INDEX('Fluxos de Recebimento'!$I$7:$BH$58, MATCH(Curvas!$AB19, 'Fluxos de Recebimento'!$F$7:$F$58, 0), MATCH(Curvas!BE$2,'Fluxos de Recebimento'!$I$5:$BH$5, 0))+INDEX('Fluxos de Recebimento'!$I$65:$BH$116, MATCH(Curvas!$AB19, 'Fluxos de Recebimento'!$F$65:$F$116, 0), MATCH(Curvas!BE$2, 'Fluxos de Recebimento'!$I$63:$BH$63, 0)),0)*INDEX($E:$E, MATCH(BE$2, $B:$B, 0))</f>
        <v>0</v>
      </c>
      <c r="BF19" s="193">
        <f>IFERROR(INDEX('Fluxos de Recebimento'!$I$7:$BH$58, MATCH(Curvas!$AB19, 'Fluxos de Recebimento'!$F$7:$F$58, 0), MATCH(Curvas!BF$2,'Fluxos de Recebimento'!$I$5:$BH$5, 0))+INDEX('Fluxos de Recebimento'!$I$65:$BH$116, MATCH(Curvas!$AB19, 'Fluxos de Recebimento'!$F$65:$F$116, 0), MATCH(Curvas!BF$2, 'Fluxos de Recebimento'!$I$63:$BH$63, 0)),0)*INDEX($E:$E, MATCH(BF$2, $B:$B, 0))</f>
        <v>0</v>
      </c>
      <c r="BG19" s="193">
        <f>IFERROR(INDEX('Fluxos de Recebimento'!$I$7:$BH$58, MATCH(Curvas!$AB19, 'Fluxos de Recebimento'!$F$7:$F$58, 0), MATCH(Curvas!BG$2,'Fluxos de Recebimento'!$I$5:$BH$5, 0))+INDEX('Fluxos de Recebimento'!$I$65:$BH$116, MATCH(Curvas!$AB19, 'Fluxos de Recebimento'!$F$65:$F$116, 0), MATCH(Curvas!BG$2, 'Fluxos de Recebimento'!$I$63:$BH$63, 0)),0)*INDEX($E:$E, MATCH(BG$2, $B:$B, 0))</f>
        <v>0</v>
      </c>
      <c r="BH19" s="193">
        <f>IFERROR(INDEX('Fluxos de Recebimento'!$I$7:$BH$58, MATCH(Curvas!$AB19, 'Fluxos de Recebimento'!$F$7:$F$58, 0), MATCH(Curvas!BH$2,'Fluxos de Recebimento'!$I$5:$BH$5, 0))+INDEX('Fluxos de Recebimento'!$I$65:$BH$116, MATCH(Curvas!$AB19, 'Fluxos de Recebimento'!$F$65:$F$116, 0), MATCH(Curvas!BH$2, 'Fluxos de Recebimento'!$I$63:$BH$63, 0)),0)*INDEX($E:$E, MATCH(BH$2, $B:$B, 0))</f>
        <v>0</v>
      </c>
      <c r="BI19" s="193">
        <f>IFERROR(INDEX('Fluxos de Recebimento'!$I$7:$BH$58, MATCH(Curvas!$AB19, 'Fluxos de Recebimento'!$F$7:$F$58, 0), MATCH(Curvas!BI$2,'Fluxos de Recebimento'!$I$5:$BH$5, 0))+INDEX('Fluxos de Recebimento'!$I$65:$BH$116, MATCH(Curvas!$AB19, 'Fluxos de Recebimento'!$F$65:$F$116, 0), MATCH(Curvas!BI$2, 'Fluxos de Recebimento'!$I$63:$BH$63, 0)),0)*INDEX($E:$E, MATCH(BI$2, $B:$B, 0))</f>
        <v>0</v>
      </c>
      <c r="BJ19" s="193">
        <f>IFERROR(INDEX('Fluxos de Recebimento'!$I$7:$BH$58, MATCH(Curvas!$AB19, 'Fluxos de Recebimento'!$F$7:$F$58, 0), MATCH(Curvas!BJ$2,'Fluxos de Recebimento'!$I$5:$BH$5, 0))+INDEX('Fluxos de Recebimento'!$I$65:$BH$116, MATCH(Curvas!$AB19, 'Fluxos de Recebimento'!$F$65:$F$116, 0), MATCH(Curvas!BJ$2, 'Fluxos de Recebimento'!$I$63:$BH$63, 0)),0)*INDEX($E:$E, MATCH(BJ$2, $B:$B, 0))</f>
        <v>0</v>
      </c>
      <c r="BK19" s="193">
        <f>IFERROR(INDEX('Fluxos de Recebimento'!$I$7:$BH$58, MATCH(Curvas!$AB19, 'Fluxos de Recebimento'!$F$7:$F$58, 0), MATCH(Curvas!BK$2,'Fluxos de Recebimento'!$I$5:$BH$5, 0))+INDEX('Fluxos de Recebimento'!$I$65:$BH$116, MATCH(Curvas!$AB19, 'Fluxos de Recebimento'!$F$65:$F$116, 0), MATCH(Curvas!BK$2, 'Fluxos de Recebimento'!$I$63:$BH$63, 0)),0)*INDEX($E:$E, MATCH(BK$2, $B:$B, 0))</f>
        <v>0</v>
      </c>
      <c r="BL19" s="193">
        <f>IFERROR(INDEX('Fluxos de Recebimento'!$I$7:$BH$58, MATCH(Curvas!$AB19, 'Fluxos de Recebimento'!$F$7:$F$58, 0), MATCH(Curvas!BL$2,'Fluxos de Recebimento'!$I$5:$BH$5, 0))+INDEX('Fluxos de Recebimento'!$I$65:$BH$116, MATCH(Curvas!$AB19, 'Fluxos de Recebimento'!$F$65:$F$116, 0), MATCH(Curvas!BL$2, 'Fluxos de Recebimento'!$I$63:$BH$63, 0)),0)*INDEX($E:$E, MATCH(BL$2, $B:$B, 0))</f>
        <v>0</v>
      </c>
      <c r="BM19" s="193">
        <f>IFERROR(INDEX('Fluxos de Recebimento'!$I$7:$BH$58, MATCH(Curvas!$AB19, 'Fluxos de Recebimento'!$F$7:$F$58, 0), MATCH(Curvas!BM$2,'Fluxos de Recebimento'!$I$5:$BH$5, 0))+INDEX('Fluxos de Recebimento'!$I$65:$BH$116, MATCH(Curvas!$AB19, 'Fluxos de Recebimento'!$F$65:$F$116, 0), MATCH(Curvas!BM$2, 'Fluxos de Recebimento'!$I$63:$BH$63, 0)),0)*INDEX($E:$E, MATCH(BM$2, $B:$B, 0))</f>
        <v>0</v>
      </c>
      <c r="BN19" s="193">
        <f>IFERROR(INDEX('Fluxos de Recebimento'!$I$7:$BH$58, MATCH(Curvas!$AB19, 'Fluxos de Recebimento'!$F$7:$F$58, 0), MATCH(Curvas!BN$2,'Fluxos de Recebimento'!$I$5:$BH$5, 0))+INDEX('Fluxos de Recebimento'!$I$65:$BH$116, MATCH(Curvas!$AB19, 'Fluxos de Recebimento'!$F$65:$F$116, 0), MATCH(Curvas!BN$2, 'Fluxos de Recebimento'!$I$63:$BH$63, 0)),0)*INDEX($E:$E, MATCH(BN$2, $B:$B, 0))</f>
        <v>0</v>
      </c>
      <c r="BO19" s="193">
        <f>IFERROR(INDEX('Fluxos de Recebimento'!$I$7:$BH$58, MATCH(Curvas!$AB19, 'Fluxos de Recebimento'!$F$7:$F$58, 0), MATCH(Curvas!BO$2,'Fluxos de Recebimento'!$I$5:$BH$5, 0))+INDEX('Fluxos de Recebimento'!$I$65:$BH$116, MATCH(Curvas!$AB19, 'Fluxos de Recebimento'!$F$65:$F$116, 0), MATCH(Curvas!BO$2, 'Fluxos de Recebimento'!$I$63:$BH$63, 0)),0)*INDEX($E:$E, MATCH(BO$2, $B:$B, 0))</f>
        <v>0</v>
      </c>
      <c r="BP19" s="193">
        <f>IFERROR(INDEX('Fluxos de Recebimento'!$I$7:$BH$58, MATCH(Curvas!$AB19, 'Fluxos de Recebimento'!$F$7:$F$58, 0), MATCH(Curvas!BP$2,'Fluxos de Recebimento'!$I$5:$BH$5, 0))+INDEX('Fluxos de Recebimento'!$I$65:$BH$116, MATCH(Curvas!$AB19, 'Fluxos de Recebimento'!$F$65:$F$116, 0), MATCH(Curvas!BP$2, 'Fluxos de Recebimento'!$I$63:$BH$63, 0)),0)*INDEX($E:$E, MATCH(BP$2, $B:$B, 0))</f>
        <v>0</v>
      </c>
      <c r="BQ19" s="193">
        <f>IFERROR(INDEX('Fluxos de Recebimento'!$I$7:$BH$58, MATCH(Curvas!$AB19, 'Fluxos de Recebimento'!$F$7:$F$58, 0), MATCH(Curvas!BQ$2,'Fluxos de Recebimento'!$I$5:$BH$5, 0))+INDEX('Fluxos de Recebimento'!$I$65:$BH$116, MATCH(Curvas!$AB19, 'Fluxos de Recebimento'!$F$65:$F$116, 0), MATCH(Curvas!BQ$2, 'Fluxos de Recebimento'!$I$63:$BH$63, 0)),0)*INDEX($E:$E, MATCH(BQ$2, $B:$B, 0))</f>
        <v>0</v>
      </c>
      <c r="BR19" s="193">
        <f>IFERROR(INDEX('Fluxos de Recebimento'!$I$7:$BH$58, MATCH(Curvas!$AB19, 'Fluxos de Recebimento'!$F$7:$F$58, 0), MATCH(Curvas!BR$2,'Fluxos de Recebimento'!$I$5:$BH$5, 0))+INDEX('Fluxos de Recebimento'!$I$65:$BH$116, MATCH(Curvas!$AB19, 'Fluxos de Recebimento'!$F$65:$F$116, 0), MATCH(Curvas!BR$2, 'Fluxos de Recebimento'!$I$63:$BH$63, 0)),0)*INDEX($E:$E, MATCH(BR$2, $B:$B, 0))</f>
        <v>0</v>
      </c>
      <c r="BS19" s="193">
        <f>IFERROR(INDEX('Fluxos de Recebimento'!$I$7:$BH$58, MATCH(Curvas!$AB19, 'Fluxos de Recebimento'!$F$7:$F$58, 0), MATCH(Curvas!BS$2,'Fluxos de Recebimento'!$I$5:$BH$5, 0))+INDEX('Fluxos de Recebimento'!$I$65:$BH$116, MATCH(Curvas!$AB19, 'Fluxos de Recebimento'!$F$65:$F$116, 0), MATCH(Curvas!BS$2, 'Fluxos de Recebimento'!$I$63:$BH$63, 0)),0)*INDEX($E:$E, MATCH(BS$2, $B:$B, 0))</f>
        <v>0</v>
      </c>
      <c r="BT19" s="193">
        <f>IFERROR(INDEX('Fluxos de Recebimento'!$I$7:$BH$58, MATCH(Curvas!$AB19, 'Fluxos de Recebimento'!$F$7:$F$58, 0), MATCH(Curvas!BT$2,'Fluxos de Recebimento'!$I$5:$BH$5, 0))+INDEX('Fluxos de Recebimento'!$I$65:$BH$116, MATCH(Curvas!$AB19, 'Fluxos de Recebimento'!$F$65:$F$116, 0), MATCH(Curvas!BT$2, 'Fluxos de Recebimento'!$I$63:$BH$63, 0)),0)*INDEX($E:$E, MATCH(BT$2, $B:$B, 0))</f>
        <v>0</v>
      </c>
      <c r="BU19" s="193">
        <f>IFERROR(INDEX('Fluxos de Recebimento'!$I$7:$BH$58, MATCH(Curvas!$AB19, 'Fluxos de Recebimento'!$F$7:$F$58, 0), MATCH(Curvas!BU$2,'Fluxos de Recebimento'!$I$5:$BH$5, 0))+INDEX('Fluxos de Recebimento'!$I$65:$BH$116, MATCH(Curvas!$AB19, 'Fluxos de Recebimento'!$F$65:$F$116, 0), MATCH(Curvas!BU$2, 'Fluxos de Recebimento'!$I$63:$BH$63, 0)),0)*INDEX($E:$E, MATCH(BU$2, $B:$B, 0))</f>
        <v>0</v>
      </c>
      <c r="BV19" s="193">
        <f>IFERROR(INDEX('Fluxos de Recebimento'!$I$7:$BH$58, MATCH(Curvas!$AB19, 'Fluxos de Recebimento'!$F$7:$F$58, 0), MATCH(Curvas!BV$2,'Fluxos de Recebimento'!$I$5:$BH$5, 0))+INDEX('Fluxos de Recebimento'!$I$65:$BH$116, MATCH(Curvas!$AB19, 'Fluxos de Recebimento'!$F$65:$F$116, 0), MATCH(Curvas!BV$2, 'Fluxos de Recebimento'!$I$63:$BH$63, 0)),0)*INDEX($E:$E, MATCH(BV$2, $B:$B, 0))</f>
        <v>0</v>
      </c>
      <c r="BW19" s="193">
        <f>IFERROR(INDEX('Fluxos de Recebimento'!$I$7:$BH$58, MATCH(Curvas!$AB19, 'Fluxos de Recebimento'!$F$7:$F$58, 0), MATCH(Curvas!BW$2,'Fluxos de Recebimento'!$I$5:$BH$5, 0))+INDEX('Fluxos de Recebimento'!$I$65:$BH$116, MATCH(Curvas!$AB19, 'Fluxos de Recebimento'!$F$65:$F$116, 0), MATCH(Curvas!BW$2, 'Fluxos de Recebimento'!$I$63:$BH$63, 0)),0)*INDEX($E:$E, MATCH(BW$2, $B:$B, 0))</f>
        <v>0</v>
      </c>
      <c r="BX19" s="193">
        <f>IFERROR(INDEX('Fluxos de Recebimento'!$I$7:$BH$58, MATCH(Curvas!$AB19, 'Fluxos de Recebimento'!$F$7:$F$58, 0), MATCH(Curvas!BX$2,'Fluxos de Recebimento'!$I$5:$BH$5, 0))+INDEX('Fluxos de Recebimento'!$I$65:$BH$116, MATCH(Curvas!$AB19, 'Fluxos de Recebimento'!$F$65:$F$116, 0), MATCH(Curvas!BX$2, 'Fluxos de Recebimento'!$I$63:$BH$63, 0)),0)*INDEX($E:$E, MATCH(BX$2, $B:$B, 0))</f>
        <v>0</v>
      </c>
      <c r="BY19" s="193">
        <f>IFERROR(INDEX('Fluxos de Recebimento'!$I$7:$BH$58, MATCH(Curvas!$AB19, 'Fluxos de Recebimento'!$F$7:$F$58, 0), MATCH(Curvas!BY$2,'Fluxos de Recebimento'!$I$5:$BH$5, 0))+INDEX('Fluxos de Recebimento'!$I$65:$BH$116, MATCH(Curvas!$AB19, 'Fluxos de Recebimento'!$F$65:$F$116, 0), MATCH(Curvas!BY$2, 'Fluxos de Recebimento'!$I$63:$BH$63, 0)),0)*INDEX($E:$E, MATCH(BY$2, $B:$B, 0))</f>
        <v>0</v>
      </c>
      <c r="BZ19" s="193">
        <f>IFERROR(INDEX('Fluxos de Recebimento'!$I$7:$BH$58, MATCH(Curvas!$AB19, 'Fluxos de Recebimento'!$F$7:$F$58, 0), MATCH(Curvas!BZ$2,'Fluxos de Recebimento'!$I$5:$BH$5, 0))+INDEX('Fluxos de Recebimento'!$I$65:$BH$116, MATCH(Curvas!$AB19, 'Fluxos de Recebimento'!$F$65:$F$116, 0), MATCH(Curvas!BZ$2, 'Fluxos de Recebimento'!$I$63:$BH$63, 0)),0)*INDEX($E:$E, MATCH(BZ$2, $B:$B, 0))</f>
        <v>0</v>
      </c>
      <c r="CA19" s="193">
        <f>IFERROR(INDEX('Fluxos de Recebimento'!$I$7:$BH$58, MATCH(Curvas!$AB19, 'Fluxos de Recebimento'!$F$7:$F$58, 0), MATCH(Curvas!CA$2,'Fluxos de Recebimento'!$I$5:$BH$5, 0))+INDEX('Fluxos de Recebimento'!$I$65:$BH$116, MATCH(Curvas!$AB19, 'Fluxos de Recebimento'!$F$65:$F$116, 0), MATCH(Curvas!CA$2, 'Fluxos de Recebimento'!$I$63:$BH$63, 0)),0)*INDEX($E:$E, MATCH(CA$2, $B:$B, 0))</f>
        <v>0</v>
      </c>
      <c r="CB19" s="193">
        <f>IFERROR(INDEX('Fluxos de Recebimento'!$I$7:$BH$58, MATCH(Curvas!$AB19, 'Fluxos de Recebimento'!$F$7:$F$58, 0), MATCH(Curvas!CB$2,'Fluxos de Recebimento'!$I$5:$BH$5, 0))+INDEX('Fluxos de Recebimento'!$I$65:$BH$116, MATCH(Curvas!$AB19, 'Fluxos de Recebimento'!$F$65:$F$116, 0), MATCH(Curvas!CB$2, 'Fluxos de Recebimento'!$I$63:$BH$63, 0)),0)*INDEX($E:$E, MATCH(CB$2, $B:$B, 0))</f>
        <v>0</v>
      </c>
      <c r="CC19" s="193">
        <f>IFERROR(INDEX('Fluxos de Recebimento'!$I$7:$BH$58, MATCH(Curvas!$AB19, 'Fluxos de Recebimento'!$F$7:$F$58, 0), MATCH(Curvas!CC$2,'Fluxos de Recebimento'!$I$5:$BH$5, 0))+INDEX('Fluxos de Recebimento'!$I$65:$BH$116, MATCH(Curvas!$AB19, 'Fluxos de Recebimento'!$F$65:$F$116, 0), MATCH(Curvas!CC$2, 'Fluxos de Recebimento'!$I$63:$BH$63, 0)),0)*INDEX($E:$E, MATCH(CC$2, $B:$B, 0))</f>
        <v>0</v>
      </c>
    </row>
    <row r="20" spans="1:81" x14ac:dyDescent="0.25">
      <c r="A20" s="2"/>
      <c r="B20" s="477">
        <f t="shared" si="16"/>
        <v>44652</v>
      </c>
      <c r="C20" s="52">
        <f t="shared" si="17"/>
        <v>17</v>
      </c>
      <c r="D20" s="2"/>
      <c r="E20" s="187">
        <f t="shared" si="4"/>
        <v>2.298850574712644E-2</v>
      </c>
      <c r="F20" s="48">
        <f t="shared" si="18"/>
        <v>0.39080459770114961</v>
      </c>
      <c r="G20" s="46">
        <f t="shared" ca="1" si="5"/>
        <v>0</v>
      </c>
      <c r="H20" s="48">
        <f t="shared" ca="1" si="19"/>
        <v>0</v>
      </c>
      <c r="I20" s="2"/>
      <c r="J20" s="69">
        <f t="shared" si="6"/>
        <v>16</v>
      </c>
      <c r="K20" s="479">
        <f t="shared" ca="1" si="7"/>
        <v>0</v>
      </c>
      <c r="L20" s="70">
        <f t="shared" ca="1" si="8"/>
        <v>16</v>
      </c>
      <c r="M20" s="2"/>
      <c r="N20" s="69">
        <f t="shared" si="9"/>
        <v>21</v>
      </c>
      <c r="O20" s="479">
        <f t="shared" si="10"/>
        <v>0</v>
      </c>
      <c r="P20" s="70">
        <f t="shared" si="11"/>
        <v>21</v>
      </c>
      <c r="Q20" s="2"/>
      <c r="R20" s="71">
        <f t="shared" si="12"/>
        <v>37</v>
      </c>
      <c r="S20" s="196"/>
      <c r="T20" s="46">
        <v>3.9524732688664507E-2</v>
      </c>
      <c r="U20" s="48">
        <f t="shared" si="20"/>
        <v>0.2882734866426101</v>
      </c>
      <c r="V20" s="2"/>
      <c r="W20" s="56"/>
      <c r="X20" s="48"/>
      <c r="Y20" s="2"/>
      <c r="Z20" s="194">
        <f t="shared" si="13"/>
        <v>4.9377487850836323E-3</v>
      </c>
      <c r="AA20" s="2"/>
      <c r="AB20" s="477">
        <f t="shared" si="14"/>
        <v>44652</v>
      </c>
      <c r="AC20" s="52">
        <f t="shared" si="15"/>
        <v>17</v>
      </c>
      <c r="AD20" s="193">
        <f>IFERROR(INDEX('Fluxos de Recebimento'!$I$7:$BH$58, MATCH(Curvas!$AB20, 'Fluxos de Recebimento'!$F$7:$F$58, 0), MATCH(Curvas!AD$2,'Fluxos de Recebimento'!$I$5:$BH$5, 0))+INDEX('Fluxos de Recebimento'!$I$65:$BH$116, MATCH(Curvas!$AB20, 'Fluxos de Recebimento'!$F$65:$F$116, 0), MATCH(Curvas!AD$2, 'Fluxos de Recebimento'!$I$63:$BH$63, 0)),0)*INDEX($E:$E, MATCH(AD$2, $B:$B, 0))</f>
        <v>1.6420361247947458E-4</v>
      </c>
      <c r="AE20" s="193">
        <f>IFERROR(INDEX('Fluxos de Recebimento'!$I$7:$BH$58, MATCH(Curvas!$AB20, 'Fluxos de Recebimento'!$F$7:$F$58, 0), MATCH(Curvas!AE$2,'Fluxos de Recebimento'!$I$5:$BH$5, 0))+INDEX('Fluxos de Recebimento'!$I$65:$BH$116, MATCH(Curvas!$AB20, 'Fluxos de Recebimento'!$F$65:$F$116, 0), MATCH(Curvas!AE$2, 'Fluxos de Recebimento'!$I$63:$BH$63, 0)),0)*INDEX($E:$E, MATCH(AE$2, $B:$B, 0))</f>
        <v>1.7028522775649216E-4</v>
      </c>
      <c r="AF20" s="193">
        <f>IFERROR(INDEX('Fluxos de Recebimento'!$I$7:$BH$58, MATCH(Curvas!$AB20, 'Fluxos de Recebimento'!$F$7:$F$58, 0), MATCH(Curvas!AF$2,'Fluxos de Recebimento'!$I$5:$BH$5, 0))+INDEX('Fluxos de Recebimento'!$I$65:$BH$116, MATCH(Curvas!$AB20, 'Fluxos de Recebimento'!$F$65:$F$116, 0), MATCH(Curvas!AF$2, 'Fluxos de Recebimento'!$I$63:$BH$63, 0)),0)*INDEX($E:$E, MATCH(AF$2, $B:$B, 0))</f>
        <v>1.7683465959328031E-4</v>
      </c>
      <c r="AG20" s="193">
        <f>IFERROR(INDEX('Fluxos de Recebimento'!$I$7:$BH$58, MATCH(Curvas!$AB20, 'Fluxos de Recebimento'!$F$7:$F$58, 0), MATCH(Curvas!AG$2,'Fluxos de Recebimento'!$I$5:$BH$5, 0))+INDEX('Fluxos de Recebimento'!$I$65:$BH$116, MATCH(Curvas!$AB20, 'Fluxos de Recebimento'!$F$65:$F$116, 0), MATCH(Curvas!AG$2, 'Fluxos de Recebimento'!$I$63:$BH$63, 0)),0)*INDEX($E:$E, MATCH(AG$2, $B:$B, 0))</f>
        <v>1.8390804597701152E-4</v>
      </c>
      <c r="AH20" s="193">
        <f>IFERROR(INDEX('Fluxos de Recebimento'!$I$7:$BH$58, MATCH(Curvas!$AB20, 'Fluxos de Recebimento'!$F$7:$F$58, 0), MATCH(Curvas!AH$2,'Fluxos de Recebimento'!$I$5:$BH$5, 0))+INDEX('Fluxos de Recebimento'!$I$65:$BH$116, MATCH(Curvas!$AB20, 'Fluxos de Recebimento'!$F$65:$F$116, 0), MATCH(Curvas!AH$2, 'Fluxos de Recebimento'!$I$63:$BH$63, 0)),0)*INDEX($E:$E, MATCH(AH$2, $B:$B, 0))</f>
        <v>1.9157088122605367E-4</v>
      </c>
      <c r="AI20" s="193">
        <f>IFERROR(INDEX('Fluxos de Recebimento'!$I$7:$BH$58, MATCH(Curvas!$AB20, 'Fluxos de Recebimento'!$F$7:$F$58, 0), MATCH(Curvas!AI$2,'Fluxos de Recebimento'!$I$5:$BH$5, 0))+INDEX('Fluxos de Recebimento'!$I$65:$BH$116, MATCH(Curvas!$AB20, 'Fluxos de Recebimento'!$F$65:$F$116, 0), MATCH(Curvas!AI$2, 'Fluxos de Recebimento'!$I$63:$BH$63, 0)),0)*INDEX($E:$E, MATCH(AI$2, $B:$B, 0))</f>
        <v>1.9990004997501253E-4</v>
      </c>
      <c r="AJ20" s="193">
        <f>IFERROR(INDEX('Fluxos de Recebimento'!$I$7:$BH$58, MATCH(Curvas!$AB20, 'Fluxos de Recebimento'!$F$7:$F$58, 0), MATCH(Curvas!AJ$2,'Fluxos de Recebimento'!$I$5:$BH$5, 0))+INDEX('Fluxos de Recebimento'!$I$65:$BH$116, MATCH(Curvas!$AB20, 'Fluxos de Recebimento'!$F$65:$F$116, 0), MATCH(Curvas!AJ$2, 'Fluxos de Recebimento'!$I$63:$BH$63, 0)),0)*INDEX($E:$E, MATCH(AJ$2, $B:$B, 0))</f>
        <v>2.0898641588296767E-4</v>
      </c>
      <c r="AK20" s="193">
        <f>IFERROR(INDEX('Fluxos de Recebimento'!$I$7:$BH$58, MATCH(Curvas!$AB20, 'Fluxos de Recebimento'!$F$7:$F$58, 0), MATCH(Curvas!AK$2,'Fluxos de Recebimento'!$I$5:$BH$5, 0))+INDEX('Fluxos de Recebimento'!$I$65:$BH$116, MATCH(Curvas!$AB20, 'Fluxos de Recebimento'!$F$65:$F$116, 0), MATCH(Curvas!AK$2, 'Fluxos de Recebimento'!$I$63:$BH$63, 0)),0)*INDEX($E:$E, MATCH(AK$2, $B:$B, 0))</f>
        <v>2.1893814997263279E-4</v>
      </c>
      <c r="AL20" s="193">
        <f>IFERROR(INDEX('Fluxos de Recebimento'!$I$7:$BH$58, MATCH(Curvas!$AB20, 'Fluxos de Recebimento'!$F$7:$F$58, 0), MATCH(Curvas!AL$2,'Fluxos de Recebimento'!$I$5:$BH$5, 0))+INDEX('Fluxos de Recebimento'!$I$65:$BH$116, MATCH(Curvas!$AB20, 'Fluxos de Recebimento'!$F$65:$F$116, 0), MATCH(Curvas!AL$2, 'Fluxos de Recebimento'!$I$63:$BH$63, 0)),0)*INDEX($E:$E, MATCH(AL$2, $B:$B, 0))</f>
        <v>2.2988505747126441E-4</v>
      </c>
      <c r="AM20" s="193">
        <f>IFERROR(INDEX('Fluxos de Recebimento'!$I$7:$BH$58, MATCH(Curvas!$AB20, 'Fluxos de Recebimento'!$F$7:$F$58, 0), MATCH(Curvas!AM$2,'Fluxos de Recebimento'!$I$5:$BH$5, 0))+INDEX('Fluxos de Recebimento'!$I$65:$BH$116, MATCH(Curvas!$AB20, 'Fluxos de Recebimento'!$F$65:$F$116, 0), MATCH(Curvas!AM$2, 'Fluxos de Recebimento'!$I$63:$BH$63, 0)),0)*INDEX($E:$E, MATCH(AM$2, $B:$B, 0))</f>
        <v>2.4198427102238356E-4</v>
      </c>
      <c r="AN20" s="193">
        <f>IFERROR(INDEX('Fluxos de Recebimento'!$I$7:$BH$58, MATCH(Curvas!$AB20, 'Fluxos de Recebimento'!$F$7:$F$58, 0), MATCH(Curvas!AN$2,'Fluxos de Recebimento'!$I$5:$BH$5, 0))+INDEX('Fluxos de Recebimento'!$I$65:$BH$116, MATCH(Curvas!$AB20, 'Fluxos de Recebimento'!$F$65:$F$116, 0), MATCH(Curvas!AN$2, 'Fluxos de Recebimento'!$I$63:$BH$63, 0)),0)*INDEX($E:$E, MATCH(AN$2, $B:$B, 0))</f>
        <v>2.5542784163473821E-4</v>
      </c>
      <c r="AO20" s="193">
        <f>IFERROR(INDEX('Fluxos de Recebimento'!$I$7:$BH$58, MATCH(Curvas!$AB20, 'Fluxos de Recebimento'!$F$7:$F$58, 0), MATCH(Curvas!AO$2,'Fluxos de Recebimento'!$I$5:$BH$5, 0))+INDEX('Fluxos de Recebimento'!$I$65:$BH$116, MATCH(Curvas!$AB20, 'Fluxos de Recebimento'!$F$65:$F$116, 0), MATCH(Curvas!AO$2, 'Fluxos de Recebimento'!$I$63:$BH$63, 0)),0)*INDEX($E:$E, MATCH(AO$2, $B:$B, 0))</f>
        <v>2.7045300878972284E-4</v>
      </c>
      <c r="AP20" s="193">
        <f>IFERROR(INDEX('Fluxos de Recebimento'!$I$7:$BH$58, MATCH(Curvas!$AB20, 'Fluxos de Recebimento'!$F$7:$F$58, 0), MATCH(Curvas!AP$2,'Fluxos de Recebimento'!$I$5:$BH$5, 0))+INDEX('Fluxos de Recebimento'!$I$65:$BH$116, MATCH(Curvas!$AB20, 'Fluxos de Recebimento'!$F$65:$F$116, 0), MATCH(Curvas!AP$2, 'Fluxos de Recebimento'!$I$63:$BH$63, 0)),0)*INDEX($E:$E, MATCH(AP$2, $B:$B, 0))</f>
        <v>2.8735632183908051E-4</v>
      </c>
      <c r="AQ20" s="193">
        <f>IFERROR(INDEX('Fluxos de Recebimento'!$I$7:$BH$58, MATCH(Curvas!$AB20, 'Fluxos de Recebimento'!$F$7:$F$58, 0), MATCH(Curvas!AQ$2,'Fluxos de Recebimento'!$I$5:$BH$5, 0))+INDEX('Fluxos de Recebimento'!$I$65:$BH$116, MATCH(Curvas!$AB20, 'Fluxos de Recebimento'!$F$65:$F$116, 0), MATCH(Curvas!AQ$2, 'Fluxos de Recebimento'!$I$63:$BH$63, 0)),0)*INDEX($E:$E, MATCH(AQ$2, $B:$B, 0))</f>
        <v>3.0651340996168587E-4</v>
      </c>
      <c r="AR20" s="193">
        <f>IFERROR(INDEX('Fluxos de Recebimento'!$I$7:$BH$58, MATCH(Curvas!$AB20, 'Fluxos de Recebimento'!$F$7:$F$58, 0), MATCH(Curvas!AR$2,'Fluxos de Recebimento'!$I$5:$BH$5, 0))+INDEX('Fluxos de Recebimento'!$I$65:$BH$116, MATCH(Curvas!$AB20, 'Fluxos de Recebimento'!$F$65:$F$116, 0), MATCH(Curvas!AR$2, 'Fluxos de Recebimento'!$I$63:$BH$63, 0)),0)*INDEX($E:$E, MATCH(AR$2, $B:$B, 0))</f>
        <v>3.2840722495894916E-4</v>
      </c>
      <c r="AS20" s="193">
        <f>IFERROR(INDEX('Fluxos de Recebimento'!$I$7:$BH$58, MATCH(Curvas!$AB20, 'Fluxos de Recebimento'!$F$7:$F$58, 0), MATCH(Curvas!AS$2,'Fluxos de Recebimento'!$I$5:$BH$5, 0))+INDEX('Fluxos de Recebimento'!$I$65:$BH$116, MATCH(Curvas!$AB20, 'Fluxos de Recebimento'!$F$65:$F$116, 0), MATCH(Curvas!AS$2, 'Fluxos de Recebimento'!$I$63:$BH$63, 0)),0)*INDEX($E:$E, MATCH(AS$2, $B:$B, 0))</f>
        <v>3.5366931918656062E-4</v>
      </c>
      <c r="AT20" s="193">
        <f>IFERROR(INDEX('Fluxos de Recebimento'!$I$7:$BH$58, MATCH(Curvas!$AB20, 'Fluxos de Recebimento'!$F$7:$F$58, 0), MATCH(Curvas!AT$2,'Fluxos de Recebimento'!$I$5:$BH$5, 0))+INDEX('Fluxos de Recebimento'!$I$65:$BH$116, MATCH(Curvas!$AB20, 'Fluxos de Recebimento'!$F$65:$F$116, 0), MATCH(Curvas!AT$2, 'Fluxos de Recebimento'!$I$63:$BH$63, 0)),0)*INDEX($E:$E, MATCH(AT$2, $B:$B, 0))</f>
        <v>1.149425287356322E-3</v>
      </c>
      <c r="AU20" s="193">
        <f>IFERROR(INDEX('Fluxos de Recebimento'!$I$7:$BH$58, MATCH(Curvas!$AB20, 'Fluxos de Recebimento'!$F$7:$F$58, 0), MATCH(Curvas!AU$2,'Fluxos de Recebimento'!$I$5:$BH$5, 0))+INDEX('Fluxos de Recebimento'!$I$65:$BH$116, MATCH(Curvas!$AB20, 'Fluxos de Recebimento'!$F$65:$F$116, 0), MATCH(Curvas!AU$2, 'Fluxos de Recebimento'!$I$63:$BH$63, 0)),0)*INDEX($E:$E, MATCH(AU$2, $B:$B, 0))</f>
        <v>0</v>
      </c>
      <c r="AV20" s="193">
        <f>IFERROR(INDEX('Fluxos de Recebimento'!$I$7:$BH$58, MATCH(Curvas!$AB20, 'Fluxos de Recebimento'!$F$7:$F$58, 0), MATCH(Curvas!AV$2,'Fluxos de Recebimento'!$I$5:$BH$5, 0))+INDEX('Fluxos de Recebimento'!$I$65:$BH$116, MATCH(Curvas!$AB20, 'Fluxos de Recebimento'!$F$65:$F$116, 0), MATCH(Curvas!AV$2, 'Fluxos de Recebimento'!$I$63:$BH$63, 0)),0)*INDEX($E:$E, MATCH(AV$2, $B:$B, 0))</f>
        <v>0</v>
      </c>
      <c r="AW20" s="193">
        <f>IFERROR(INDEX('Fluxos de Recebimento'!$I$7:$BH$58, MATCH(Curvas!$AB20, 'Fluxos de Recebimento'!$F$7:$F$58, 0), MATCH(Curvas!AW$2,'Fluxos de Recebimento'!$I$5:$BH$5, 0))+INDEX('Fluxos de Recebimento'!$I$65:$BH$116, MATCH(Curvas!$AB20, 'Fluxos de Recebimento'!$F$65:$F$116, 0), MATCH(Curvas!AW$2, 'Fluxos de Recebimento'!$I$63:$BH$63, 0)),0)*INDEX($E:$E, MATCH(AW$2, $B:$B, 0))</f>
        <v>0</v>
      </c>
      <c r="AX20" s="193">
        <f>IFERROR(INDEX('Fluxos de Recebimento'!$I$7:$BH$58, MATCH(Curvas!$AB20, 'Fluxos de Recebimento'!$F$7:$F$58, 0), MATCH(Curvas!AX$2,'Fluxos de Recebimento'!$I$5:$BH$5, 0))+INDEX('Fluxos de Recebimento'!$I$65:$BH$116, MATCH(Curvas!$AB20, 'Fluxos de Recebimento'!$F$65:$F$116, 0), MATCH(Curvas!AX$2, 'Fluxos de Recebimento'!$I$63:$BH$63, 0)),0)*INDEX($E:$E, MATCH(AX$2, $B:$B, 0))</f>
        <v>0</v>
      </c>
      <c r="AY20" s="193">
        <f>IFERROR(INDEX('Fluxos de Recebimento'!$I$7:$BH$58, MATCH(Curvas!$AB20, 'Fluxos de Recebimento'!$F$7:$F$58, 0), MATCH(Curvas!AY$2,'Fluxos de Recebimento'!$I$5:$BH$5, 0))+INDEX('Fluxos de Recebimento'!$I$65:$BH$116, MATCH(Curvas!$AB20, 'Fluxos de Recebimento'!$F$65:$F$116, 0), MATCH(Curvas!AY$2, 'Fluxos de Recebimento'!$I$63:$BH$63, 0)),0)*INDEX($E:$E, MATCH(AY$2, $B:$B, 0))</f>
        <v>0</v>
      </c>
      <c r="AZ20" s="193">
        <f>IFERROR(INDEX('Fluxos de Recebimento'!$I$7:$BH$58, MATCH(Curvas!$AB20, 'Fluxos de Recebimento'!$F$7:$F$58, 0), MATCH(Curvas!AZ$2,'Fluxos de Recebimento'!$I$5:$BH$5, 0))+INDEX('Fluxos de Recebimento'!$I$65:$BH$116, MATCH(Curvas!$AB20, 'Fluxos de Recebimento'!$F$65:$F$116, 0), MATCH(Curvas!AZ$2, 'Fluxos de Recebimento'!$I$63:$BH$63, 0)),0)*INDEX($E:$E, MATCH(AZ$2, $B:$B, 0))</f>
        <v>0</v>
      </c>
      <c r="BA20" s="193">
        <f>IFERROR(INDEX('Fluxos de Recebimento'!$I$7:$BH$58, MATCH(Curvas!$AB20, 'Fluxos de Recebimento'!$F$7:$F$58, 0), MATCH(Curvas!BA$2,'Fluxos de Recebimento'!$I$5:$BH$5, 0))+INDEX('Fluxos de Recebimento'!$I$65:$BH$116, MATCH(Curvas!$AB20, 'Fluxos de Recebimento'!$F$65:$F$116, 0), MATCH(Curvas!BA$2, 'Fluxos de Recebimento'!$I$63:$BH$63, 0)),0)*INDEX($E:$E, MATCH(BA$2, $B:$B, 0))</f>
        <v>0</v>
      </c>
      <c r="BB20" s="193">
        <f>IFERROR(INDEX('Fluxos de Recebimento'!$I$7:$BH$58, MATCH(Curvas!$AB20, 'Fluxos de Recebimento'!$F$7:$F$58, 0), MATCH(Curvas!BB$2,'Fluxos de Recebimento'!$I$5:$BH$5, 0))+INDEX('Fluxos de Recebimento'!$I$65:$BH$116, MATCH(Curvas!$AB20, 'Fluxos de Recebimento'!$F$65:$F$116, 0), MATCH(Curvas!BB$2, 'Fluxos de Recebimento'!$I$63:$BH$63, 0)),0)*INDEX($E:$E, MATCH(BB$2, $B:$B, 0))</f>
        <v>0</v>
      </c>
      <c r="BC20" s="193">
        <f>IFERROR(INDEX('Fluxos de Recebimento'!$I$7:$BH$58, MATCH(Curvas!$AB20, 'Fluxos de Recebimento'!$F$7:$F$58, 0), MATCH(Curvas!BC$2,'Fluxos de Recebimento'!$I$5:$BH$5, 0))+INDEX('Fluxos de Recebimento'!$I$65:$BH$116, MATCH(Curvas!$AB20, 'Fluxos de Recebimento'!$F$65:$F$116, 0), MATCH(Curvas!BC$2, 'Fluxos de Recebimento'!$I$63:$BH$63, 0)),0)*INDEX($E:$E, MATCH(BC$2, $B:$B, 0))</f>
        <v>0</v>
      </c>
      <c r="BD20" s="193">
        <f>IFERROR(INDEX('Fluxos de Recebimento'!$I$7:$BH$58, MATCH(Curvas!$AB20, 'Fluxos de Recebimento'!$F$7:$F$58, 0), MATCH(Curvas!BD$2,'Fluxos de Recebimento'!$I$5:$BH$5, 0))+INDEX('Fluxos de Recebimento'!$I$65:$BH$116, MATCH(Curvas!$AB20, 'Fluxos de Recebimento'!$F$65:$F$116, 0), MATCH(Curvas!BD$2, 'Fluxos de Recebimento'!$I$63:$BH$63, 0)),0)*INDEX($E:$E, MATCH(BD$2, $B:$B, 0))</f>
        <v>0</v>
      </c>
      <c r="BE20" s="193">
        <f>IFERROR(INDEX('Fluxos de Recebimento'!$I$7:$BH$58, MATCH(Curvas!$AB20, 'Fluxos de Recebimento'!$F$7:$F$58, 0), MATCH(Curvas!BE$2,'Fluxos de Recebimento'!$I$5:$BH$5, 0))+INDEX('Fluxos de Recebimento'!$I$65:$BH$116, MATCH(Curvas!$AB20, 'Fluxos de Recebimento'!$F$65:$F$116, 0), MATCH(Curvas!BE$2, 'Fluxos de Recebimento'!$I$63:$BH$63, 0)),0)*INDEX($E:$E, MATCH(BE$2, $B:$B, 0))</f>
        <v>0</v>
      </c>
      <c r="BF20" s="193">
        <f>IFERROR(INDEX('Fluxos de Recebimento'!$I$7:$BH$58, MATCH(Curvas!$AB20, 'Fluxos de Recebimento'!$F$7:$F$58, 0), MATCH(Curvas!BF$2,'Fluxos de Recebimento'!$I$5:$BH$5, 0))+INDEX('Fluxos de Recebimento'!$I$65:$BH$116, MATCH(Curvas!$AB20, 'Fluxos de Recebimento'!$F$65:$F$116, 0), MATCH(Curvas!BF$2, 'Fluxos de Recebimento'!$I$63:$BH$63, 0)),0)*INDEX($E:$E, MATCH(BF$2, $B:$B, 0))</f>
        <v>0</v>
      </c>
      <c r="BG20" s="193">
        <f>IFERROR(INDEX('Fluxos de Recebimento'!$I$7:$BH$58, MATCH(Curvas!$AB20, 'Fluxos de Recebimento'!$F$7:$F$58, 0), MATCH(Curvas!BG$2,'Fluxos de Recebimento'!$I$5:$BH$5, 0))+INDEX('Fluxos de Recebimento'!$I$65:$BH$116, MATCH(Curvas!$AB20, 'Fluxos de Recebimento'!$F$65:$F$116, 0), MATCH(Curvas!BG$2, 'Fluxos de Recebimento'!$I$63:$BH$63, 0)),0)*INDEX($E:$E, MATCH(BG$2, $B:$B, 0))</f>
        <v>0</v>
      </c>
      <c r="BH20" s="193">
        <f>IFERROR(INDEX('Fluxos de Recebimento'!$I$7:$BH$58, MATCH(Curvas!$AB20, 'Fluxos de Recebimento'!$F$7:$F$58, 0), MATCH(Curvas!BH$2,'Fluxos de Recebimento'!$I$5:$BH$5, 0))+INDEX('Fluxos de Recebimento'!$I$65:$BH$116, MATCH(Curvas!$AB20, 'Fluxos de Recebimento'!$F$65:$F$116, 0), MATCH(Curvas!BH$2, 'Fluxos de Recebimento'!$I$63:$BH$63, 0)),0)*INDEX($E:$E, MATCH(BH$2, $B:$B, 0))</f>
        <v>0</v>
      </c>
      <c r="BI20" s="193">
        <f>IFERROR(INDEX('Fluxos de Recebimento'!$I$7:$BH$58, MATCH(Curvas!$AB20, 'Fluxos de Recebimento'!$F$7:$F$58, 0), MATCH(Curvas!BI$2,'Fluxos de Recebimento'!$I$5:$BH$5, 0))+INDEX('Fluxos de Recebimento'!$I$65:$BH$116, MATCH(Curvas!$AB20, 'Fluxos de Recebimento'!$F$65:$F$116, 0), MATCH(Curvas!BI$2, 'Fluxos de Recebimento'!$I$63:$BH$63, 0)),0)*INDEX($E:$E, MATCH(BI$2, $B:$B, 0))</f>
        <v>0</v>
      </c>
      <c r="BJ20" s="193">
        <f>IFERROR(INDEX('Fluxos de Recebimento'!$I$7:$BH$58, MATCH(Curvas!$AB20, 'Fluxos de Recebimento'!$F$7:$F$58, 0), MATCH(Curvas!BJ$2,'Fluxos de Recebimento'!$I$5:$BH$5, 0))+INDEX('Fluxos de Recebimento'!$I$65:$BH$116, MATCH(Curvas!$AB20, 'Fluxos de Recebimento'!$F$65:$F$116, 0), MATCH(Curvas!BJ$2, 'Fluxos de Recebimento'!$I$63:$BH$63, 0)),0)*INDEX($E:$E, MATCH(BJ$2, $B:$B, 0))</f>
        <v>0</v>
      </c>
      <c r="BK20" s="193">
        <f>IFERROR(INDEX('Fluxos de Recebimento'!$I$7:$BH$58, MATCH(Curvas!$AB20, 'Fluxos de Recebimento'!$F$7:$F$58, 0), MATCH(Curvas!BK$2,'Fluxos de Recebimento'!$I$5:$BH$5, 0))+INDEX('Fluxos de Recebimento'!$I$65:$BH$116, MATCH(Curvas!$AB20, 'Fluxos de Recebimento'!$F$65:$F$116, 0), MATCH(Curvas!BK$2, 'Fluxos de Recebimento'!$I$63:$BH$63, 0)),0)*INDEX($E:$E, MATCH(BK$2, $B:$B, 0))</f>
        <v>0</v>
      </c>
      <c r="BL20" s="193">
        <f>IFERROR(INDEX('Fluxos de Recebimento'!$I$7:$BH$58, MATCH(Curvas!$AB20, 'Fluxos de Recebimento'!$F$7:$F$58, 0), MATCH(Curvas!BL$2,'Fluxos de Recebimento'!$I$5:$BH$5, 0))+INDEX('Fluxos de Recebimento'!$I$65:$BH$116, MATCH(Curvas!$AB20, 'Fluxos de Recebimento'!$F$65:$F$116, 0), MATCH(Curvas!BL$2, 'Fluxos de Recebimento'!$I$63:$BH$63, 0)),0)*INDEX($E:$E, MATCH(BL$2, $B:$B, 0))</f>
        <v>0</v>
      </c>
      <c r="BM20" s="193">
        <f>IFERROR(INDEX('Fluxos de Recebimento'!$I$7:$BH$58, MATCH(Curvas!$AB20, 'Fluxos de Recebimento'!$F$7:$F$58, 0), MATCH(Curvas!BM$2,'Fluxos de Recebimento'!$I$5:$BH$5, 0))+INDEX('Fluxos de Recebimento'!$I$65:$BH$116, MATCH(Curvas!$AB20, 'Fluxos de Recebimento'!$F$65:$F$116, 0), MATCH(Curvas!BM$2, 'Fluxos de Recebimento'!$I$63:$BH$63, 0)),0)*INDEX($E:$E, MATCH(BM$2, $B:$B, 0))</f>
        <v>0</v>
      </c>
      <c r="BN20" s="193">
        <f>IFERROR(INDEX('Fluxos de Recebimento'!$I$7:$BH$58, MATCH(Curvas!$AB20, 'Fluxos de Recebimento'!$F$7:$F$58, 0), MATCH(Curvas!BN$2,'Fluxos de Recebimento'!$I$5:$BH$5, 0))+INDEX('Fluxos de Recebimento'!$I$65:$BH$116, MATCH(Curvas!$AB20, 'Fluxos de Recebimento'!$F$65:$F$116, 0), MATCH(Curvas!BN$2, 'Fluxos de Recebimento'!$I$63:$BH$63, 0)),0)*INDEX($E:$E, MATCH(BN$2, $B:$B, 0))</f>
        <v>0</v>
      </c>
      <c r="BO20" s="193">
        <f>IFERROR(INDEX('Fluxos de Recebimento'!$I$7:$BH$58, MATCH(Curvas!$AB20, 'Fluxos de Recebimento'!$F$7:$F$58, 0), MATCH(Curvas!BO$2,'Fluxos de Recebimento'!$I$5:$BH$5, 0))+INDEX('Fluxos de Recebimento'!$I$65:$BH$116, MATCH(Curvas!$AB20, 'Fluxos de Recebimento'!$F$65:$F$116, 0), MATCH(Curvas!BO$2, 'Fluxos de Recebimento'!$I$63:$BH$63, 0)),0)*INDEX($E:$E, MATCH(BO$2, $B:$B, 0))</f>
        <v>0</v>
      </c>
      <c r="BP20" s="193">
        <f>IFERROR(INDEX('Fluxos de Recebimento'!$I$7:$BH$58, MATCH(Curvas!$AB20, 'Fluxos de Recebimento'!$F$7:$F$58, 0), MATCH(Curvas!BP$2,'Fluxos de Recebimento'!$I$5:$BH$5, 0))+INDEX('Fluxos de Recebimento'!$I$65:$BH$116, MATCH(Curvas!$AB20, 'Fluxos de Recebimento'!$F$65:$F$116, 0), MATCH(Curvas!BP$2, 'Fluxos de Recebimento'!$I$63:$BH$63, 0)),0)*INDEX($E:$E, MATCH(BP$2, $B:$B, 0))</f>
        <v>0</v>
      </c>
      <c r="BQ20" s="193">
        <f>IFERROR(INDEX('Fluxos de Recebimento'!$I$7:$BH$58, MATCH(Curvas!$AB20, 'Fluxos de Recebimento'!$F$7:$F$58, 0), MATCH(Curvas!BQ$2,'Fluxos de Recebimento'!$I$5:$BH$5, 0))+INDEX('Fluxos de Recebimento'!$I$65:$BH$116, MATCH(Curvas!$AB20, 'Fluxos de Recebimento'!$F$65:$F$116, 0), MATCH(Curvas!BQ$2, 'Fluxos de Recebimento'!$I$63:$BH$63, 0)),0)*INDEX($E:$E, MATCH(BQ$2, $B:$B, 0))</f>
        <v>0</v>
      </c>
      <c r="BR20" s="193">
        <f>IFERROR(INDEX('Fluxos de Recebimento'!$I$7:$BH$58, MATCH(Curvas!$AB20, 'Fluxos de Recebimento'!$F$7:$F$58, 0), MATCH(Curvas!BR$2,'Fluxos de Recebimento'!$I$5:$BH$5, 0))+INDEX('Fluxos de Recebimento'!$I$65:$BH$116, MATCH(Curvas!$AB20, 'Fluxos de Recebimento'!$F$65:$F$116, 0), MATCH(Curvas!BR$2, 'Fluxos de Recebimento'!$I$63:$BH$63, 0)),0)*INDEX($E:$E, MATCH(BR$2, $B:$B, 0))</f>
        <v>0</v>
      </c>
      <c r="BS20" s="193">
        <f>IFERROR(INDEX('Fluxos de Recebimento'!$I$7:$BH$58, MATCH(Curvas!$AB20, 'Fluxos de Recebimento'!$F$7:$F$58, 0), MATCH(Curvas!BS$2,'Fluxos de Recebimento'!$I$5:$BH$5, 0))+INDEX('Fluxos de Recebimento'!$I$65:$BH$116, MATCH(Curvas!$AB20, 'Fluxos de Recebimento'!$F$65:$F$116, 0), MATCH(Curvas!BS$2, 'Fluxos de Recebimento'!$I$63:$BH$63, 0)),0)*INDEX($E:$E, MATCH(BS$2, $B:$B, 0))</f>
        <v>0</v>
      </c>
      <c r="BT20" s="193">
        <f>IFERROR(INDEX('Fluxos de Recebimento'!$I$7:$BH$58, MATCH(Curvas!$AB20, 'Fluxos de Recebimento'!$F$7:$F$58, 0), MATCH(Curvas!BT$2,'Fluxos de Recebimento'!$I$5:$BH$5, 0))+INDEX('Fluxos de Recebimento'!$I$65:$BH$116, MATCH(Curvas!$AB20, 'Fluxos de Recebimento'!$F$65:$F$116, 0), MATCH(Curvas!BT$2, 'Fluxos de Recebimento'!$I$63:$BH$63, 0)),0)*INDEX($E:$E, MATCH(BT$2, $B:$B, 0))</f>
        <v>0</v>
      </c>
      <c r="BU20" s="193">
        <f>IFERROR(INDEX('Fluxos de Recebimento'!$I$7:$BH$58, MATCH(Curvas!$AB20, 'Fluxos de Recebimento'!$F$7:$F$58, 0), MATCH(Curvas!BU$2,'Fluxos de Recebimento'!$I$5:$BH$5, 0))+INDEX('Fluxos de Recebimento'!$I$65:$BH$116, MATCH(Curvas!$AB20, 'Fluxos de Recebimento'!$F$65:$F$116, 0), MATCH(Curvas!BU$2, 'Fluxos de Recebimento'!$I$63:$BH$63, 0)),0)*INDEX($E:$E, MATCH(BU$2, $B:$B, 0))</f>
        <v>0</v>
      </c>
      <c r="BV20" s="193">
        <f>IFERROR(INDEX('Fluxos de Recebimento'!$I$7:$BH$58, MATCH(Curvas!$AB20, 'Fluxos de Recebimento'!$F$7:$F$58, 0), MATCH(Curvas!BV$2,'Fluxos de Recebimento'!$I$5:$BH$5, 0))+INDEX('Fluxos de Recebimento'!$I$65:$BH$116, MATCH(Curvas!$AB20, 'Fluxos de Recebimento'!$F$65:$F$116, 0), MATCH(Curvas!BV$2, 'Fluxos de Recebimento'!$I$63:$BH$63, 0)),0)*INDEX($E:$E, MATCH(BV$2, $B:$B, 0))</f>
        <v>0</v>
      </c>
      <c r="BW20" s="193">
        <f>IFERROR(INDEX('Fluxos de Recebimento'!$I$7:$BH$58, MATCH(Curvas!$AB20, 'Fluxos de Recebimento'!$F$7:$F$58, 0), MATCH(Curvas!BW$2,'Fluxos de Recebimento'!$I$5:$BH$5, 0))+INDEX('Fluxos de Recebimento'!$I$65:$BH$116, MATCH(Curvas!$AB20, 'Fluxos de Recebimento'!$F$65:$F$116, 0), MATCH(Curvas!BW$2, 'Fluxos de Recebimento'!$I$63:$BH$63, 0)),0)*INDEX($E:$E, MATCH(BW$2, $B:$B, 0))</f>
        <v>0</v>
      </c>
      <c r="BX20" s="193">
        <f>IFERROR(INDEX('Fluxos de Recebimento'!$I$7:$BH$58, MATCH(Curvas!$AB20, 'Fluxos de Recebimento'!$F$7:$F$58, 0), MATCH(Curvas!BX$2,'Fluxos de Recebimento'!$I$5:$BH$5, 0))+INDEX('Fluxos de Recebimento'!$I$65:$BH$116, MATCH(Curvas!$AB20, 'Fluxos de Recebimento'!$F$65:$F$116, 0), MATCH(Curvas!BX$2, 'Fluxos de Recebimento'!$I$63:$BH$63, 0)),0)*INDEX($E:$E, MATCH(BX$2, $B:$B, 0))</f>
        <v>0</v>
      </c>
      <c r="BY20" s="193">
        <f>IFERROR(INDEX('Fluxos de Recebimento'!$I$7:$BH$58, MATCH(Curvas!$AB20, 'Fluxos de Recebimento'!$F$7:$F$58, 0), MATCH(Curvas!BY$2,'Fluxos de Recebimento'!$I$5:$BH$5, 0))+INDEX('Fluxos de Recebimento'!$I$65:$BH$116, MATCH(Curvas!$AB20, 'Fluxos de Recebimento'!$F$65:$F$116, 0), MATCH(Curvas!BY$2, 'Fluxos de Recebimento'!$I$63:$BH$63, 0)),0)*INDEX($E:$E, MATCH(BY$2, $B:$B, 0))</f>
        <v>0</v>
      </c>
      <c r="BZ20" s="193">
        <f>IFERROR(INDEX('Fluxos de Recebimento'!$I$7:$BH$58, MATCH(Curvas!$AB20, 'Fluxos de Recebimento'!$F$7:$F$58, 0), MATCH(Curvas!BZ$2,'Fluxos de Recebimento'!$I$5:$BH$5, 0))+INDEX('Fluxos de Recebimento'!$I$65:$BH$116, MATCH(Curvas!$AB20, 'Fluxos de Recebimento'!$F$65:$F$116, 0), MATCH(Curvas!BZ$2, 'Fluxos de Recebimento'!$I$63:$BH$63, 0)),0)*INDEX($E:$E, MATCH(BZ$2, $B:$B, 0))</f>
        <v>0</v>
      </c>
      <c r="CA20" s="193">
        <f>IFERROR(INDEX('Fluxos de Recebimento'!$I$7:$BH$58, MATCH(Curvas!$AB20, 'Fluxos de Recebimento'!$F$7:$F$58, 0), MATCH(Curvas!CA$2,'Fluxos de Recebimento'!$I$5:$BH$5, 0))+INDEX('Fluxos de Recebimento'!$I$65:$BH$116, MATCH(Curvas!$AB20, 'Fluxos de Recebimento'!$F$65:$F$116, 0), MATCH(Curvas!CA$2, 'Fluxos de Recebimento'!$I$63:$BH$63, 0)),0)*INDEX($E:$E, MATCH(CA$2, $B:$B, 0))</f>
        <v>0</v>
      </c>
      <c r="CB20" s="193">
        <f>IFERROR(INDEX('Fluxos de Recebimento'!$I$7:$BH$58, MATCH(Curvas!$AB20, 'Fluxos de Recebimento'!$F$7:$F$58, 0), MATCH(Curvas!CB$2,'Fluxos de Recebimento'!$I$5:$BH$5, 0))+INDEX('Fluxos de Recebimento'!$I$65:$BH$116, MATCH(Curvas!$AB20, 'Fluxos de Recebimento'!$F$65:$F$116, 0), MATCH(Curvas!CB$2, 'Fluxos de Recebimento'!$I$63:$BH$63, 0)),0)*INDEX($E:$E, MATCH(CB$2, $B:$B, 0))</f>
        <v>0</v>
      </c>
      <c r="CC20" s="193">
        <f>IFERROR(INDEX('Fluxos de Recebimento'!$I$7:$BH$58, MATCH(Curvas!$AB20, 'Fluxos de Recebimento'!$F$7:$F$58, 0), MATCH(Curvas!CC$2,'Fluxos de Recebimento'!$I$5:$BH$5, 0))+INDEX('Fluxos de Recebimento'!$I$65:$BH$116, MATCH(Curvas!$AB20, 'Fluxos de Recebimento'!$F$65:$F$116, 0), MATCH(Curvas!CC$2, 'Fluxos de Recebimento'!$I$63:$BH$63, 0)),0)*INDEX($E:$E, MATCH(CC$2, $B:$B, 0))</f>
        <v>0</v>
      </c>
    </row>
    <row r="21" spans="1:81" x14ac:dyDescent="0.25">
      <c r="A21" s="2"/>
      <c r="B21" s="477">
        <f t="shared" si="16"/>
        <v>44682</v>
      </c>
      <c r="C21" s="52">
        <f t="shared" si="17"/>
        <v>18</v>
      </c>
      <c r="D21" s="2"/>
      <c r="E21" s="187">
        <f t="shared" si="4"/>
        <v>2.298850574712644E-2</v>
      </c>
      <c r="F21" s="48">
        <f t="shared" si="18"/>
        <v>0.41379310344827608</v>
      </c>
      <c r="G21" s="46">
        <f t="shared" ca="1" si="5"/>
        <v>0</v>
      </c>
      <c r="H21" s="48">
        <f t="shared" ca="1" si="19"/>
        <v>0</v>
      </c>
      <c r="I21" s="2"/>
      <c r="J21" s="69">
        <f t="shared" si="6"/>
        <v>16</v>
      </c>
      <c r="K21" s="479">
        <f t="shared" ca="1" si="7"/>
        <v>0</v>
      </c>
      <c r="L21" s="70">
        <f t="shared" ca="1" si="8"/>
        <v>16</v>
      </c>
      <c r="M21" s="2"/>
      <c r="N21" s="69">
        <f t="shared" si="9"/>
        <v>21</v>
      </c>
      <c r="O21" s="479">
        <f t="shared" si="10"/>
        <v>0</v>
      </c>
      <c r="P21" s="70">
        <f t="shared" si="11"/>
        <v>21</v>
      </c>
      <c r="Q21" s="2"/>
      <c r="R21" s="71">
        <f t="shared" si="12"/>
        <v>37</v>
      </c>
      <c r="S21" s="196"/>
      <c r="T21" s="46">
        <v>4.7020939629537337E-2</v>
      </c>
      <c r="U21" s="48">
        <f t="shared" si="20"/>
        <v>0.33529442627214745</v>
      </c>
      <c r="V21" s="2"/>
      <c r="W21" s="56"/>
      <c r="X21" s="48"/>
      <c r="Y21" s="2"/>
      <c r="Z21" s="194">
        <f t="shared" si="13"/>
        <v>5.320890547535739E-3</v>
      </c>
      <c r="AA21" s="2"/>
      <c r="AB21" s="477">
        <f t="shared" si="14"/>
        <v>44682</v>
      </c>
      <c r="AC21" s="52">
        <f t="shared" si="15"/>
        <v>18</v>
      </c>
      <c r="AD21" s="193">
        <f>IFERROR(INDEX('Fluxos de Recebimento'!$I$7:$BH$58, MATCH(Curvas!$AB21, 'Fluxos de Recebimento'!$F$7:$F$58, 0), MATCH(Curvas!AD$2,'Fluxos de Recebimento'!$I$5:$BH$5, 0))+INDEX('Fluxos de Recebimento'!$I$65:$BH$116, MATCH(Curvas!$AB21, 'Fluxos de Recebimento'!$F$65:$F$116, 0), MATCH(Curvas!AD$2, 'Fluxos de Recebimento'!$I$63:$BH$63, 0)),0)*INDEX($E:$E, MATCH(AD$2, $B:$B, 0))</f>
        <v>1.6420361247947458E-4</v>
      </c>
      <c r="AE21" s="193">
        <f>IFERROR(INDEX('Fluxos de Recebimento'!$I$7:$BH$58, MATCH(Curvas!$AB21, 'Fluxos de Recebimento'!$F$7:$F$58, 0), MATCH(Curvas!AE$2,'Fluxos de Recebimento'!$I$5:$BH$5, 0))+INDEX('Fluxos de Recebimento'!$I$65:$BH$116, MATCH(Curvas!$AB21, 'Fluxos de Recebimento'!$F$65:$F$116, 0), MATCH(Curvas!AE$2, 'Fluxos de Recebimento'!$I$63:$BH$63, 0)),0)*INDEX($E:$E, MATCH(AE$2, $B:$B, 0))</f>
        <v>1.7028522775649216E-4</v>
      </c>
      <c r="AF21" s="193">
        <f>IFERROR(INDEX('Fluxos de Recebimento'!$I$7:$BH$58, MATCH(Curvas!$AB21, 'Fluxos de Recebimento'!$F$7:$F$58, 0), MATCH(Curvas!AF$2,'Fluxos de Recebimento'!$I$5:$BH$5, 0))+INDEX('Fluxos de Recebimento'!$I$65:$BH$116, MATCH(Curvas!$AB21, 'Fluxos de Recebimento'!$F$65:$F$116, 0), MATCH(Curvas!AF$2, 'Fluxos de Recebimento'!$I$63:$BH$63, 0)),0)*INDEX($E:$E, MATCH(AF$2, $B:$B, 0))</f>
        <v>1.7683465959328031E-4</v>
      </c>
      <c r="AG21" s="193">
        <f>IFERROR(INDEX('Fluxos de Recebimento'!$I$7:$BH$58, MATCH(Curvas!$AB21, 'Fluxos de Recebimento'!$F$7:$F$58, 0), MATCH(Curvas!AG$2,'Fluxos de Recebimento'!$I$5:$BH$5, 0))+INDEX('Fluxos de Recebimento'!$I$65:$BH$116, MATCH(Curvas!$AB21, 'Fluxos de Recebimento'!$F$65:$F$116, 0), MATCH(Curvas!AG$2, 'Fluxos de Recebimento'!$I$63:$BH$63, 0)),0)*INDEX($E:$E, MATCH(AG$2, $B:$B, 0))</f>
        <v>1.8390804597701152E-4</v>
      </c>
      <c r="AH21" s="193">
        <f>IFERROR(INDEX('Fluxos de Recebimento'!$I$7:$BH$58, MATCH(Curvas!$AB21, 'Fluxos de Recebimento'!$F$7:$F$58, 0), MATCH(Curvas!AH$2,'Fluxos de Recebimento'!$I$5:$BH$5, 0))+INDEX('Fluxos de Recebimento'!$I$65:$BH$116, MATCH(Curvas!$AB21, 'Fluxos de Recebimento'!$F$65:$F$116, 0), MATCH(Curvas!AH$2, 'Fluxos de Recebimento'!$I$63:$BH$63, 0)),0)*INDEX($E:$E, MATCH(AH$2, $B:$B, 0))</f>
        <v>1.9157088122605367E-4</v>
      </c>
      <c r="AI21" s="193">
        <f>IFERROR(INDEX('Fluxos de Recebimento'!$I$7:$BH$58, MATCH(Curvas!$AB21, 'Fluxos de Recebimento'!$F$7:$F$58, 0), MATCH(Curvas!AI$2,'Fluxos de Recebimento'!$I$5:$BH$5, 0))+INDEX('Fluxos de Recebimento'!$I$65:$BH$116, MATCH(Curvas!$AB21, 'Fluxos de Recebimento'!$F$65:$F$116, 0), MATCH(Curvas!AI$2, 'Fluxos de Recebimento'!$I$63:$BH$63, 0)),0)*INDEX($E:$E, MATCH(AI$2, $B:$B, 0))</f>
        <v>1.9990004997501253E-4</v>
      </c>
      <c r="AJ21" s="193">
        <f>IFERROR(INDEX('Fluxos de Recebimento'!$I$7:$BH$58, MATCH(Curvas!$AB21, 'Fluxos de Recebimento'!$F$7:$F$58, 0), MATCH(Curvas!AJ$2,'Fluxos de Recebimento'!$I$5:$BH$5, 0))+INDEX('Fluxos de Recebimento'!$I$65:$BH$116, MATCH(Curvas!$AB21, 'Fluxos de Recebimento'!$F$65:$F$116, 0), MATCH(Curvas!AJ$2, 'Fluxos de Recebimento'!$I$63:$BH$63, 0)),0)*INDEX($E:$E, MATCH(AJ$2, $B:$B, 0))</f>
        <v>2.0898641588296767E-4</v>
      </c>
      <c r="AK21" s="193">
        <f>IFERROR(INDEX('Fluxos de Recebimento'!$I$7:$BH$58, MATCH(Curvas!$AB21, 'Fluxos de Recebimento'!$F$7:$F$58, 0), MATCH(Curvas!AK$2,'Fluxos de Recebimento'!$I$5:$BH$5, 0))+INDEX('Fluxos de Recebimento'!$I$65:$BH$116, MATCH(Curvas!$AB21, 'Fluxos de Recebimento'!$F$65:$F$116, 0), MATCH(Curvas!AK$2, 'Fluxos de Recebimento'!$I$63:$BH$63, 0)),0)*INDEX($E:$E, MATCH(AK$2, $B:$B, 0))</f>
        <v>2.1893814997263279E-4</v>
      </c>
      <c r="AL21" s="193">
        <f>IFERROR(INDEX('Fluxos de Recebimento'!$I$7:$BH$58, MATCH(Curvas!$AB21, 'Fluxos de Recebimento'!$F$7:$F$58, 0), MATCH(Curvas!AL$2,'Fluxos de Recebimento'!$I$5:$BH$5, 0))+INDEX('Fluxos de Recebimento'!$I$65:$BH$116, MATCH(Curvas!$AB21, 'Fluxos de Recebimento'!$F$65:$F$116, 0), MATCH(Curvas!AL$2, 'Fluxos de Recebimento'!$I$63:$BH$63, 0)),0)*INDEX($E:$E, MATCH(AL$2, $B:$B, 0))</f>
        <v>2.2988505747126441E-4</v>
      </c>
      <c r="AM21" s="193">
        <f>IFERROR(INDEX('Fluxos de Recebimento'!$I$7:$BH$58, MATCH(Curvas!$AB21, 'Fluxos de Recebimento'!$F$7:$F$58, 0), MATCH(Curvas!AM$2,'Fluxos de Recebimento'!$I$5:$BH$5, 0))+INDEX('Fluxos de Recebimento'!$I$65:$BH$116, MATCH(Curvas!$AB21, 'Fluxos de Recebimento'!$F$65:$F$116, 0), MATCH(Curvas!AM$2, 'Fluxos de Recebimento'!$I$63:$BH$63, 0)),0)*INDEX($E:$E, MATCH(AM$2, $B:$B, 0))</f>
        <v>2.4198427102238356E-4</v>
      </c>
      <c r="AN21" s="193">
        <f>IFERROR(INDEX('Fluxos de Recebimento'!$I$7:$BH$58, MATCH(Curvas!$AB21, 'Fluxos de Recebimento'!$F$7:$F$58, 0), MATCH(Curvas!AN$2,'Fluxos de Recebimento'!$I$5:$BH$5, 0))+INDEX('Fluxos de Recebimento'!$I$65:$BH$116, MATCH(Curvas!$AB21, 'Fluxos de Recebimento'!$F$65:$F$116, 0), MATCH(Curvas!AN$2, 'Fluxos de Recebimento'!$I$63:$BH$63, 0)),0)*INDEX($E:$E, MATCH(AN$2, $B:$B, 0))</f>
        <v>2.5542784163473821E-4</v>
      </c>
      <c r="AO21" s="193">
        <f>IFERROR(INDEX('Fluxos de Recebimento'!$I$7:$BH$58, MATCH(Curvas!$AB21, 'Fluxos de Recebimento'!$F$7:$F$58, 0), MATCH(Curvas!AO$2,'Fluxos de Recebimento'!$I$5:$BH$5, 0))+INDEX('Fluxos de Recebimento'!$I$65:$BH$116, MATCH(Curvas!$AB21, 'Fluxos de Recebimento'!$F$65:$F$116, 0), MATCH(Curvas!AO$2, 'Fluxos de Recebimento'!$I$63:$BH$63, 0)),0)*INDEX($E:$E, MATCH(AO$2, $B:$B, 0))</f>
        <v>2.7045300878972284E-4</v>
      </c>
      <c r="AP21" s="193">
        <f>IFERROR(INDEX('Fluxos de Recebimento'!$I$7:$BH$58, MATCH(Curvas!$AB21, 'Fluxos de Recebimento'!$F$7:$F$58, 0), MATCH(Curvas!AP$2,'Fluxos de Recebimento'!$I$5:$BH$5, 0))+INDEX('Fluxos de Recebimento'!$I$65:$BH$116, MATCH(Curvas!$AB21, 'Fluxos de Recebimento'!$F$65:$F$116, 0), MATCH(Curvas!AP$2, 'Fluxos de Recebimento'!$I$63:$BH$63, 0)),0)*INDEX($E:$E, MATCH(AP$2, $B:$B, 0))</f>
        <v>2.8735632183908051E-4</v>
      </c>
      <c r="AQ21" s="193">
        <f>IFERROR(INDEX('Fluxos de Recebimento'!$I$7:$BH$58, MATCH(Curvas!$AB21, 'Fluxos de Recebimento'!$F$7:$F$58, 0), MATCH(Curvas!AQ$2,'Fluxos de Recebimento'!$I$5:$BH$5, 0))+INDEX('Fluxos de Recebimento'!$I$65:$BH$116, MATCH(Curvas!$AB21, 'Fluxos de Recebimento'!$F$65:$F$116, 0), MATCH(Curvas!AQ$2, 'Fluxos de Recebimento'!$I$63:$BH$63, 0)),0)*INDEX($E:$E, MATCH(AQ$2, $B:$B, 0))</f>
        <v>3.0651340996168587E-4</v>
      </c>
      <c r="AR21" s="193">
        <f>IFERROR(INDEX('Fluxos de Recebimento'!$I$7:$BH$58, MATCH(Curvas!$AB21, 'Fluxos de Recebimento'!$F$7:$F$58, 0), MATCH(Curvas!AR$2,'Fluxos de Recebimento'!$I$5:$BH$5, 0))+INDEX('Fluxos de Recebimento'!$I$65:$BH$116, MATCH(Curvas!$AB21, 'Fluxos de Recebimento'!$F$65:$F$116, 0), MATCH(Curvas!AR$2, 'Fluxos de Recebimento'!$I$63:$BH$63, 0)),0)*INDEX($E:$E, MATCH(AR$2, $B:$B, 0))</f>
        <v>3.2840722495894916E-4</v>
      </c>
      <c r="AS21" s="193">
        <f>IFERROR(INDEX('Fluxos de Recebimento'!$I$7:$BH$58, MATCH(Curvas!$AB21, 'Fluxos de Recebimento'!$F$7:$F$58, 0), MATCH(Curvas!AS$2,'Fluxos de Recebimento'!$I$5:$BH$5, 0))+INDEX('Fluxos de Recebimento'!$I$65:$BH$116, MATCH(Curvas!$AB21, 'Fluxos de Recebimento'!$F$65:$F$116, 0), MATCH(Curvas!AS$2, 'Fluxos de Recebimento'!$I$63:$BH$63, 0)),0)*INDEX($E:$E, MATCH(AS$2, $B:$B, 0))</f>
        <v>3.5366931918656062E-4</v>
      </c>
      <c r="AT21" s="193">
        <f>IFERROR(INDEX('Fluxos de Recebimento'!$I$7:$BH$58, MATCH(Curvas!$AB21, 'Fluxos de Recebimento'!$F$7:$F$58, 0), MATCH(Curvas!AT$2,'Fluxos de Recebimento'!$I$5:$BH$5, 0))+INDEX('Fluxos de Recebimento'!$I$65:$BH$116, MATCH(Curvas!$AB21, 'Fluxos de Recebimento'!$F$65:$F$116, 0), MATCH(Curvas!AT$2, 'Fluxos de Recebimento'!$I$63:$BH$63, 0)),0)*INDEX($E:$E, MATCH(AT$2, $B:$B, 0))</f>
        <v>3.8314176245210735E-4</v>
      </c>
      <c r="AU21" s="193">
        <f>IFERROR(INDEX('Fluxos de Recebimento'!$I$7:$BH$58, MATCH(Curvas!$AB21, 'Fluxos de Recebimento'!$F$7:$F$58, 0), MATCH(Curvas!AU$2,'Fluxos de Recebimento'!$I$5:$BH$5, 0))+INDEX('Fluxos de Recebimento'!$I$65:$BH$116, MATCH(Curvas!$AB21, 'Fluxos de Recebimento'!$F$65:$F$116, 0), MATCH(Curvas!AU$2, 'Fluxos de Recebimento'!$I$63:$BH$63, 0)),0)*INDEX($E:$E, MATCH(AU$2, $B:$B, 0))</f>
        <v>1.149425287356322E-3</v>
      </c>
      <c r="AV21" s="193">
        <f>IFERROR(INDEX('Fluxos de Recebimento'!$I$7:$BH$58, MATCH(Curvas!$AB21, 'Fluxos de Recebimento'!$F$7:$F$58, 0), MATCH(Curvas!AV$2,'Fluxos de Recebimento'!$I$5:$BH$5, 0))+INDEX('Fluxos de Recebimento'!$I$65:$BH$116, MATCH(Curvas!$AB21, 'Fluxos de Recebimento'!$F$65:$F$116, 0), MATCH(Curvas!AV$2, 'Fluxos de Recebimento'!$I$63:$BH$63, 0)),0)*INDEX($E:$E, MATCH(AV$2, $B:$B, 0))</f>
        <v>0</v>
      </c>
      <c r="AW21" s="193">
        <f>IFERROR(INDEX('Fluxos de Recebimento'!$I$7:$BH$58, MATCH(Curvas!$AB21, 'Fluxos de Recebimento'!$F$7:$F$58, 0), MATCH(Curvas!AW$2,'Fluxos de Recebimento'!$I$5:$BH$5, 0))+INDEX('Fluxos de Recebimento'!$I$65:$BH$116, MATCH(Curvas!$AB21, 'Fluxos de Recebimento'!$F$65:$F$116, 0), MATCH(Curvas!AW$2, 'Fluxos de Recebimento'!$I$63:$BH$63, 0)),0)*INDEX($E:$E, MATCH(AW$2, $B:$B, 0))</f>
        <v>0</v>
      </c>
      <c r="AX21" s="193">
        <f>IFERROR(INDEX('Fluxos de Recebimento'!$I$7:$BH$58, MATCH(Curvas!$AB21, 'Fluxos de Recebimento'!$F$7:$F$58, 0), MATCH(Curvas!AX$2,'Fluxos de Recebimento'!$I$5:$BH$5, 0))+INDEX('Fluxos de Recebimento'!$I$65:$BH$116, MATCH(Curvas!$AB21, 'Fluxos de Recebimento'!$F$65:$F$116, 0), MATCH(Curvas!AX$2, 'Fluxos de Recebimento'!$I$63:$BH$63, 0)),0)*INDEX($E:$E, MATCH(AX$2, $B:$B, 0))</f>
        <v>0</v>
      </c>
      <c r="AY21" s="193">
        <f>IFERROR(INDEX('Fluxos de Recebimento'!$I$7:$BH$58, MATCH(Curvas!$AB21, 'Fluxos de Recebimento'!$F$7:$F$58, 0), MATCH(Curvas!AY$2,'Fluxos de Recebimento'!$I$5:$BH$5, 0))+INDEX('Fluxos de Recebimento'!$I$65:$BH$116, MATCH(Curvas!$AB21, 'Fluxos de Recebimento'!$F$65:$F$116, 0), MATCH(Curvas!AY$2, 'Fluxos de Recebimento'!$I$63:$BH$63, 0)),0)*INDEX($E:$E, MATCH(AY$2, $B:$B, 0))</f>
        <v>0</v>
      </c>
      <c r="AZ21" s="193">
        <f>IFERROR(INDEX('Fluxos de Recebimento'!$I$7:$BH$58, MATCH(Curvas!$AB21, 'Fluxos de Recebimento'!$F$7:$F$58, 0), MATCH(Curvas!AZ$2,'Fluxos de Recebimento'!$I$5:$BH$5, 0))+INDEX('Fluxos de Recebimento'!$I$65:$BH$116, MATCH(Curvas!$AB21, 'Fluxos de Recebimento'!$F$65:$F$116, 0), MATCH(Curvas!AZ$2, 'Fluxos de Recebimento'!$I$63:$BH$63, 0)),0)*INDEX($E:$E, MATCH(AZ$2, $B:$B, 0))</f>
        <v>0</v>
      </c>
      <c r="BA21" s="193">
        <f>IFERROR(INDEX('Fluxos de Recebimento'!$I$7:$BH$58, MATCH(Curvas!$AB21, 'Fluxos de Recebimento'!$F$7:$F$58, 0), MATCH(Curvas!BA$2,'Fluxos de Recebimento'!$I$5:$BH$5, 0))+INDEX('Fluxos de Recebimento'!$I$65:$BH$116, MATCH(Curvas!$AB21, 'Fluxos de Recebimento'!$F$65:$F$116, 0), MATCH(Curvas!BA$2, 'Fluxos de Recebimento'!$I$63:$BH$63, 0)),0)*INDEX($E:$E, MATCH(BA$2, $B:$B, 0))</f>
        <v>0</v>
      </c>
      <c r="BB21" s="193">
        <f>IFERROR(INDEX('Fluxos de Recebimento'!$I$7:$BH$58, MATCH(Curvas!$AB21, 'Fluxos de Recebimento'!$F$7:$F$58, 0), MATCH(Curvas!BB$2,'Fluxos de Recebimento'!$I$5:$BH$5, 0))+INDEX('Fluxos de Recebimento'!$I$65:$BH$116, MATCH(Curvas!$AB21, 'Fluxos de Recebimento'!$F$65:$F$116, 0), MATCH(Curvas!BB$2, 'Fluxos de Recebimento'!$I$63:$BH$63, 0)),0)*INDEX($E:$E, MATCH(BB$2, $B:$B, 0))</f>
        <v>0</v>
      </c>
      <c r="BC21" s="193">
        <f>IFERROR(INDEX('Fluxos de Recebimento'!$I$7:$BH$58, MATCH(Curvas!$AB21, 'Fluxos de Recebimento'!$F$7:$F$58, 0), MATCH(Curvas!BC$2,'Fluxos de Recebimento'!$I$5:$BH$5, 0))+INDEX('Fluxos de Recebimento'!$I$65:$BH$116, MATCH(Curvas!$AB21, 'Fluxos de Recebimento'!$F$65:$F$116, 0), MATCH(Curvas!BC$2, 'Fluxos de Recebimento'!$I$63:$BH$63, 0)),0)*INDEX($E:$E, MATCH(BC$2, $B:$B, 0))</f>
        <v>0</v>
      </c>
      <c r="BD21" s="193">
        <f>IFERROR(INDEX('Fluxos de Recebimento'!$I$7:$BH$58, MATCH(Curvas!$AB21, 'Fluxos de Recebimento'!$F$7:$F$58, 0), MATCH(Curvas!BD$2,'Fluxos de Recebimento'!$I$5:$BH$5, 0))+INDEX('Fluxos de Recebimento'!$I$65:$BH$116, MATCH(Curvas!$AB21, 'Fluxos de Recebimento'!$F$65:$F$116, 0), MATCH(Curvas!BD$2, 'Fluxos de Recebimento'!$I$63:$BH$63, 0)),0)*INDEX($E:$E, MATCH(BD$2, $B:$B, 0))</f>
        <v>0</v>
      </c>
      <c r="BE21" s="193">
        <f>IFERROR(INDEX('Fluxos de Recebimento'!$I$7:$BH$58, MATCH(Curvas!$AB21, 'Fluxos de Recebimento'!$F$7:$F$58, 0), MATCH(Curvas!BE$2,'Fluxos de Recebimento'!$I$5:$BH$5, 0))+INDEX('Fluxos de Recebimento'!$I$65:$BH$116, MATCH(Curvas!$AB21, 'Fluxos de Recebimento'!$F$65:$F$116, 0), MATCH(Curvas!BE$2, 'Fluxos de Recebimento'!$I$63:$BH$63, 0)),0)*INDEX($E:$E, MATCH(BE$2, $B:$B, 0))</f>
        <v>0</v>
      </c>
      <c r="BF21" s="193">
        <f>IFERROR(INDEX('Fluxos de Recebimento'!$I$7:$BH$58, MATCH(Curvas!$AB21, 'Fluxos de Recebimento'!$F$7:$F$58, 0), MATCH(Curvas!BF$2,'Fluxos de Recebimento'!$I$5:$BH$5, 0))+INDEX('Fluxos de Recebimento'!$I$65:$BH$116, MATCH(Curvas!$AB21, 'Fluxos de Recebimento'!$F$65:$F$116, 0), MATCH(Curvas!BF$2, 'Fluxos de Recebimento'!$I$63:$BH$63, 0)),0)*INDEX($E:$E, MATCH(BF$2, $B:$B, 0))</f>
        <v>0</v>
      </c>
      <c r="BG21" s="193">
        <f>IFERROR(INDEX('Fluxos de Recebimento'!$I$7:$BH$58, MATCH(Curvas!$AB21, 'Fluxos de Recebimento'!$F$7:$F$58, 0), MATCH(Curvas!BG$2,'Fluxos de Recebimento'!$I$5:$BH$5, 0))+INDEX('Fluxos de Recebimento'!$I$65:$BH$116, MATCH(Curvas!$AB21, 'Fluxos de Recebimento'!$F$65:$F$116, 0), MATCH(Curvas!BG$2, 'Fluxos de Recebimento'!$I$63:$BH$63, 0)),0)*INDEX($E:$E, MATCH(BG$2, $B:$B, 0))</f>
        <v>0</v>
      </c>
      <c r="BH21" s="193">
        <f>IFERROR(INDEX('Fluxos de Recebimento'!$I$7:$BH$58, MATCH(Curvas!$AB21, 'Fluxos de Recebimento'!$F$7:$F$58, 0), MATCH(Curvas!BH$2,'Fluxos de Recebimento'!$I$5:$BH$5, 0))+INDEX('Fluxos de Recebimento'!$I$65:$BH$116, MATCH(Curvas!$AB21, 'Fluxos de Recebimento'!$F$65:$F$116, 0), MATCH(Curvas!BH$2, 'Fluxos de Recebimento'!$I$63:$BH$63, 0)),0)*INDEX($E:$E, MATCH(BH$2, $B:$B, 0))</f>
        <v>0</v>
      </c>
      <c r="BI21" s="193">
        <f>IFERROR(INDEX('Fluxos de Recebimento'!$I$7:$BH$58, MATCH(Curvas!$AB21, 'Fluxos de Recebimento'!$F$7:$F$58, 0), MATCH(Curvas!BI$2,'Fluxos de Recebimento'!$I$5:$BH$5, 0))+INDEX('Fluxos de Recebimento'!$I$65:$BH$116, MATCH(Curvas!$AB21, 'Fluxos de Recebimento'!$F$65:$F$116, 0), MATCH(Curvas!BI$2, 'Fluxos de Recebimento'!$I$63:$BH$63, 0)),0)*INDEX($E:$E, MATCH(BI$2, $B:$B, 0))</f>
        <v>0</v>
      </c>
      <c r="BJ21" s="193">
        <f>IFERROR(INDEX('Fluxos de Recebimento'!$I$7:$BH$58, MATCH(Curvas!$AB21, 'Fluxos de Recebimento'!$F$7:$F$58, 0), MATCH(Curvas!BJ$2,'Fluxos de Recebimento'!$I$5:$BH$5, 0))+INDEX('Fluxos de Recebimento'!$I$65:$BH$116, MATCH(Curvas!$AB21, 'Fluxos de Recebimento'!$F$65:$F$116, 0), MATCH(Curvas!BJ$2, 'Fluxos de Recebimento'!$I$63:$BH$63, 0)),0)*INDEX($E:$E, MATCH(BJ$2, $B:$B, 0))</f>
        <v>0</v>
      </c>
      <c r="BK21" s="193">
        <f>IFERROR(INDEX('Fluxos de Recebimento'!$I$7:$BH$58, MATCH(Curvas!$AB21, 'Fluxos de Recebimento'!$F$7:$F$58, 0), MATCH(Curvas!BK$2,'Fluxos de Recebimento'!$I$5:$BH$5, 0))+INDEX('Fluxos de Recebimento'!$I$65:$BH$116, MATCH(Curvas!$AB21, 'Fluxos de Recebimento'!$F$65:$F$116, 0), MATCH(Curvas!BK$2, 'Fluxos de Recebimento'!$I$63:$BH$63, 0)),0)*INDEX($E:$E, MATCH(BK$2, $B:$B, 0))</f>
        <v>0</v>
      </c>
      <c r="BL21" s="193">
        <f>IFERROR(INDEX('Fluxos de Recebimento'!$I$7:$BH$58, MATCH(Curvas!$AB21, 'Fluxos de Recebimento'!$F$7:$F$58, 0), MATCH(Curvas!BL$2,'Fluxos de Recebimento'!$I$5:$BH$5, 0))+INDEX('Fluxos de Recebimento'!$I$65:$BH$116, MATCH(Curvas!$AB21, 'Fluxos de Recebimento'!$F$65:$F$116, 0), MATCH(Curvas!BL$2, 'Fluxos de Recebimento'!$I$63:$BH$63, 0)),0)*INDEX($E:$E, MATCH(BL$2, $B:$B, 0))</f>
        <v>0</v>
      </c>
      <c r="BM21" s="193">
        <f>IFERROR(INDEX('Fluxos de Recebimento'!$I$7:$BH$58, MATCH(Curvas!$AB21, 'Fluxos de Recebimento'!$F$7:$F$58, 0), MATCH(Curvas!BM$2,'Fluxos de Recebimento'!$I$5:$BH$5, 0))+INDEX('Fluxos de Recebimento'!$I$65:$BH$116, MATCH(Curvas!$AB21, 'Fluxos de Recebimento'!$F$65:$F$116, 0), MATCH(Curvas!BM$2, 'Fluxos de Recebimento'!$I$63:$BH$63, 0)),0)*INDEX($E:$E, MATCH(BM$2, $B:$B, 0))</f>
        <v>0</v>
      </c>
      <c r="BN21" s="193">
        <f>IFERROR(INDEX('Fluxos de Recebimento'!$I$7:$BH$58, MATCH(Curvas!$AB21, 'Fluxos de Recebimento'!$F$7:$F$58, 0), MATCH(Curvas!BN$2,'Fluxos de Recebimento'!$I$5:$BH$5, 0))+INDEX('Fluxos de Recebimento'!$I$65:$BH$116, MATCH(Curvas!$AB21, 'Fluxos de Recebimento'!$F$65:$F$116, 0), MATCH(Curvas!BN$2, 'Fluxos de Recebimento'!$I$63:$BH$63, 0)),0)*INDEX($E:$E, MATCH(BN$2, $B:$B, 0))</f>
        <v>0</v>
      </c>
      <c r="BO21" s="193">
        <f>IFERROR(INDEX('Fluxos de Recebimento'!$I$7:$BH$58, MATCH(Curvas!$AB21, 'Fluxos de Recebimento'!$F$7:$F$58, 0), MATCH(Curvas!BO$2,'Fluxos de Recebimento'!$I$5:$BH$5, 0))+INDEX('Fluxos de Recebimento'!$I$65:$BH$116, MATCH(Curvas!$AB21, 'Fluxos de Recebimento'!$F$65:$F$116, 0), MATCH(Curvas!BO$2, 'Fluxos de Recebimento'!$I$63:$BH$63, 0)),0)*INDEX($E:$E, MATCH(BO$2, $B:$B, 0))</f>
        <v>0</v>
      </c>
      <c r="BP21" s="193">
        <f>IFERROR(INDEX('Fluxos de Recebimento'!$I$7:$BH$58, MATCH(Curvas!$AB21, 'Fluxos de Recebimento'!$F$7:$F$58, 0), MATCH(Curvas!BP$2,'Fluxos de Recebimento'!$I$5:$BH$5, 0))+INDEX('Fluxos de Recebimento'!$I$65:$BH$116, MATCH(Curvas!$AB21, 'Fluxos de Recebimento'!$F$65:$F$116, 0), MATCH(Curvas!BP$2, 'Fluxos de Recebimento'!$I$63:$BH$63, 0)),0)*INDEX($E:$E, MATCH(BP$2, $B:$B, 0))</f>
        <v>0</v>
      </c>
      <c r="BQ21" s="193">
        <f>IFERROR(INDEX('Fluxos de Recebimento'!$I$7:$BH$58, MATCH(Curvas!$AB21, 'Fluxos de Recebimento'!$F$7:$F$58, 0), MATCH(Curvas!BQ$2,'Fluxos de Recebimento'!$I$5:$BH$5, 0))+INDEX('Fluxos de Recebimento'!$I$65:$BH$116, MATCH(Curvas!$AB21, 'Fluxos de Recebimento'!$F$65:$F$116, 0), MATCH(Curvas!BQ$2, 'Fluxos de Recebimento'!$I$63:$BH$63, 0)),0)*INDEX($E:$E, MATCH(BQ$2, $B:$B, 0))</f>
        <v>0</v>
      </c>
      <c r="BR21" s="193">
        <f>IFERROR(INDEX('Fluxos de Recebimento'!$I$7:$BH$58, MATCH(Curvas!$AB21, 'Fluxos de Recebimento'!$F$7:$F$58, 0), MATCH(Curvas!BR$2,'Fluxos de Recebimento'!$I$5:$BH$5, 0))+INDEX('Fluxos de Recebimento'!$I$65:$BH$116, MATCH(Curvas!$AB21, 'Fluxos de Recebimento'!$F$65:$F$116, 0), MATCH(Curvas!BR$2, 'Fluxos de Recebimento'!$I$63:$BH$63, 0)),0)*INDEX($E:$E, MATCH(BR$2, $B:$B, 0))</f>
        <v>0</v>
      </c>
      <c r="BS21" s="193">
        <f>IFERROR(INDEX('Fluxos de Recebimento'!$I$7:$BH$58, MATCH(Curvas!$AB21, 'Fluxos de Recebimento'!$F$7:$F$58, 0), MATCH(Curvas!BS$2,'Fluxos de Recebimento'!$I$5:$BH$5, 0))+INDEX('Fluxos de Recebimento'!$I$65:$BH$116, MATCH(Curvas!$AB21, 'Fluxos de Recebimento'!$F$65:$F$116, 0), MATCH(Curvas!BS$2, 'Fluxos de Recebimento'!$I$63:$BH$63, 0)),0)*INDEX($E:$E, MATCH(BS$2, $B:$B, 0))</f>
        <v>0</v>
      </c>
      <c r="BT21" s="193">
        <f>IFERROR(INDEX('Fluxos de Recebimento'!$I$7:$BH$58, MATCH(Curvas!$AB21, 'Fluxos de Recebimento'!$F$7:$F$58, 0), MATCH(Curvas!BT$2,'Fluxos de Recebimento'!$I$5:$BH$5, 0))+INDEX('Fluxos de Recebimento'!$I$65:$BH$116, MATCH(Curvas!$AB21, 'Fluxos de Recebimento'!$F$65:$F$116, 0), MATCH(Curvas!BT$2, 'Fluxos de Recebimento'!$I$63:$BH$63, 0)),0)*INDEX($E:$E, MATCH(BT$2, $B:$B, 0))</f>
        <v>0</v>
      </c>
      <c r="BU21" s="193">
        <f>IFERROR(INDEX('Fluxos de Recebimento'!$I$7:$BH$58, MATCH(Curvas!$AB21, 'Fluxos de Recebimento'!$F$7:$F$58, 0), MATCH(Curvas!BU$2,'Fluxos de Recebimento'!$I$5:$BH$5, 0))+INDEX('Fluxos de Recebimento'!$I$65:$BH$116, MATCH(Curvas!$AB21, 'Fluxos de Recebimento'!$F$65:$F$116, 0), MATCH(Curvas!BU$2, 'Fluxos de Recebimento'!$I$63:$BH$63, 0)),0)*INDEX($E:$E, MATCH(BU$2, $B:$B, 0))</f>
        <v>0</v>
      </c>
      <c r="BV21" s="193">
        <f>IFERROR(INDEX('Fluxos de Recebimento'!$I$7:$BH$58, MATCH(Curvas!$AB21, 'Fluxos de Recebimento'!$F$7:$F$58, 0), MATCH(Curvas!BV$2,'Fluxos de Recebimento'!$I$5:$BH$5, 0))+INDEX('Fluxos de Recebimento'!$I$65:$BH$116, MATCH(Curvas!$AB21, 'Fluxos de Recebimento'!$F$65:$F$116, 0), MATCH(Curvas!BV$2, 'Fluxos de Recebimento'!$I$63:$BH$63, 0)),0)*INDEX($E:$E, MATCH(BV$2, $B:$B, 0))</f>
        <v>0</v>
      </c>
      <c r="BW21" s="193">
        <f>IFERROR(INDEX('Fluxos de Recebimento'!$I$7:$BH$58, MATCH(Curvas!$AB21, 'Fluxos de Recebimento'!$F$7:$F$58, 0), MATCH(Curvas!BW$2,'Fluxos de Recebimento'!$I$5:$BH$5, 0))+INDEX('Fluxos de Recebimento'!$I$65:$BH$116, MATCH(Curvas!$AB21, 'Fluxos de Recebimento'!$F$65:$F$116, 0), MATCH(Curvas!BW$2, 'Fluxos de Recebimento'!$I$63:$BH$63, 0)),0)*INDEX($E:$E, MATCH(BW$2, $B:$B, 0))</f>
        <v>0</v>
      </c>
      <c r="BX21" s="193">
        <f>IFERROR(INDEX('Fluxos de Recebimento'!$I$7:$BH$58, MATCH(Curvas!$AB21, 'Fluxos de Recebimento'!$F$7:$F$58, 0), MATCH(Curvas!BX$2,'Fluxos de Recebimento'!$I$5:$BH$5, 0))+INDEX('Fluxos de Recebimento'!$I$65:$BH$116, MATCH(Curvas!$AB21, 'Fluxos de Recebimento'!$F$65:$F$116, 0), MATCH(Curvas!BX$2, 'Fluxos de Recebimento'!$I$63:$BH$63, 0)),0)*INDEX($E:$E, MATCH(BX$2, $B:$B, 0))</f>
        <v>0</v>
      </c>
      <c r="BY21" s="193">
        <f>IFERROR(INDEX('Fluxos de Recebimento'!$I$7:$BH$58, MATCH(Curvas!$AB21, 'Fluxos de Recebimento'!$F$7:$F$58, 0), MATCH(Curvas!BY$2,'Fluxos de Recebimento'!$I$5:$BH$5, 0))+INDEX('Fluxos de Recebimento'!$I$65:$BH$116, MATCH(Curvas!$AB21, 'Fluxos de Recebimento'!$F$65:$F$116, 0), MATCH(Curvas!BY$2, 'Fluxos de Recebimento'!$I$63:$BH$63, 0)),0)*INDEX($E:$E, MATCH(BY$2, $B:$B, 0))</f>
        <v>0</v>
      </c>
      <c r="BZ21" s="193">
        <f>IFERROR(INDEX('Fluxos de Recebimento'!$I$7:$BH$58, MATCH(Curvas!$AB21, 'Fluxos de Recebimento'!$F$7:$F$58, 0), MATCH(Curvas!BZ$2,'Fluxos de Recebimento'!$I$5:$BH$5, 0))+INDEX('Fluxos de Recebimento'!$I$65:$BH$116, MATCH(Curvas!$AB21, 'Fluxos de Recebimento'!$F$65:$F$116, 0), MATCH(Curvas!BZ$2, 'Fluxos de Recebimento'!$I$63:$BH$63, 0)),0)*INDEX($E:$E, MATCH(BZ$2, $B:$B, 0))</f>
        <v>0</v>
      </c>
      <c r="CA21" s="193">
        <f>IFERROR(INDEX('Fluxos de Recebimento'!$I$7:$BH$58, MATCH(Curvas!$AB21, 'Fluxos de Recebimento'!$F$7:$F$58, 0), MATCH(Curvas!CA$2,'Fluxos de Recebimento'!$I$5:$BH$5, 0))+INDEX('Fluxos de Recebimento'!$I$65:$BH$116, MATCH(Curvas!$AB21, 'Fluxos de Recebimento'!$F$65:$F$116, 0), MATCH(Curvas!CA$2, 'Fluxos de Recebimento'!$I$63:$BH$63, 0)),0)*INDEX($E:$E, MATCH(CA$2, $B:$B, 0))</f>
        <v>0</v>
      </c>
      <c r="CB21" s="193">
        <f>IFERROR(INDEX('Fluxos de Recebimento'!$I$7:$BH$58, MATCH(Curvas!$AB21, 'Fluxos de Recebimento'!$F$7:$F$58, 0), MATCH(Curvas!CB$2,'Fluxos de Recebimento'!$I$5:$BH$5, 0))+INDEX('Fluxos de Recebimento'!$I$65:$BH$116, MATCH(Curvas!$AB21, 'Fluxos de Recebimento'!$F$65:$F$116, 0), MATCH(Curvas!CB$2, 'Fluxos de Recebimento'!$I$63:$BH$63, 0)),0)*INDEX($E:$E, MATCH(CB$2, $B:$B, 0))</f>
        <v>0</v>
      </c>
      <c r="CC21" s="193">
        <f>IFERROR(INDEX('Fluxos de Recebimento'!$I$7:$BH$58, MATCH(Curvas!$AB21, 'Fluxos de Recebimento'!$F$7:$F$58, 0), MATCH(Curvas!CC$2,'Fluxos de Recebimento'!$I$5:$BH$5, 0))+INDEX('Fluxos de Recebimento'!$I$65:$BH$116, MATCH(Curvas!$AB21, 'Fluxos de Recebimento'!$F$65:$F$116, 0), MATCH(Curvas!CC$2, 'Fluxos de Recebimento'!$I$63:$BH$63, 0)),0)*INDEX($E:$E, MATCH(CC$2, $B:$B, 0))</f>
        <v>0</v>
      </c>
    </row>
    <row r="22" spans="1:81" x14ac:dyDescent="0.25">
      <c r="A22" s="2"/>
      <c r="B22" s="477">
        <f t="shared" si="16"/>
        <v>44713</v>
      </c>
      <c r="C22" s="52">
        <f t="shared" si="17"/>
        <v>19</v>
      </c>
      <c r="D22" s="2"/>
      <c r="E22" s="187">
        <f t="shared" si="4"/>
        <v>2.298850574712644E-2</v>
      </c>
      <c r="F22" s="48">
        <f t="shared" si="18"/>
        <v>0.43678160919540254</v>
      </c>
      <c r="G22" s="46">
        <f t="shared" ca="1" si="5"/>
        <v>0</v>
      </c>
      <c r="H22" s="48">
        <f t="shared" ca="1" si="19"/>
        <v>0</v>
      </c>
      <c r="I22" s="2"/>
      <c r="J22" s="69">
        <f t="shared" si="6"/>
        <v>16</v>
      </c>
      <c r="K22" s="479">
        <f t="shared" ca="1" si="7"/>
        <v>0</v>
      </c>
      <c r="L22" s="70">
        <f t="shared" ca="1" si="8"/>
        <v>16</v>
      </c>
      <c r="M22" s="2"/>
      <c r="N22" s="69">
        <f t="shared" si="9"/>
        <v>21</v>
      </c>
      <c r="O22" s="479">
        <f t="shared" si="10"/>
        <v>0</v>
      </c>
      <c r="P22" s="70">
        <f t="shared" si="11"/>
        <v>21</v>
      </c>
      <c r="Q22" s="2"/>
      <c r="R22" s="71">
        <f t="shared" si="12"/>
        <v>37</v>
      </c>
      <c r="S22" s="196"/>
      <c r="T22" s="46">
        <v>4.82281216827724E-2</v>
      </c>
      <c r="U22" s="48">
        <f t="shared" si="20"/>
        <v>0.38352254795491986</v>
      </c>
      <c r="V22" s="2"/>
      <c r="W22" s="56"/>
      <c r="X22" s="48"/>
      <c r="Y22" s="2"/>
      <c r="Z22" s="194">
        <f t="shared" si="13"/>
        <v>5.7388633793016746E-3</v>
      </c>
      <c r="AA22" s="2"/>
      <c r="AB22" s="477">
        <f t="shared" si="14"/>
        <v>44713</v>
      </c>
      <c r="AC22" s="52">
        <f t="shared" si="15"/>
        <v>19</v>
      </c>
      <c r="AD22" s="193">
        <f>IFERROR(INDEX('Fluxos de Recebimento'!$I$7:$BH$58, MATCH(Curvas!$AB22, 'Fluxos de Recebimento'!$F$7:$F$58, 0), MATCH(Curvas!AD$2,'Fluxos de Recebimento'!$I$5:$BH$5, 0))+INDEX('Fluxos de Recebimento'!$I$65:$BH$116, MATCH(Curvas!$AB22, 'Fluxos de Recebimento'!$F$65:$F$116, 0), MATCH(Curvas!AD$2, 'Fluxos de Recebimento'!$I$63:$BH$63, 0)),0)*INDEX($E:$E, MATCH(AD$2, $B:$B, 0))</f>
        <v>1.6420361247947458E-4</v>
      </c>
      <c r="AE22" s="193">
        <f>IFERROR(INDEX('Fluxos de Recebimento'!$I$7:$BH$58, MATCH(Curvas!$AB22, 'Fluxos de Recebimento'!$F$7:$F$58, 0), MATCH(Curvas!AE$2,'Fluxos de Recebimento'!$I$5:$BH$5, 0))+INDEX('Fluxos de Recebimento'!$I$65:$BH$116, MATCH(Curvas!$AB22, 'Fluxos de Recebimento'!$F$65:$F$116, 0), MATCH(Curvas!AE$2, 'Fluxos de Recebimento'!$I$63:$BH$63, 0)),0)*INDEX($E:$E, MATCH(AE$2, $B:$B, 0))</f>
        <v>1.7028522775649216E-4</v>
      </c>
      <c r="AF22" s="193">
        <f>IFERROR(INDEX('Fluxos de Recebimento'!$I$7:$BH$58, MATCH(Curvas!$AB22, 'Fluxos de Recebimento'!$F$7:$F$58, 0), MATCH(Curvas!AF$2,'Fluxos de Recebimento'!$I$5:$BH$5, 0))+INDEX('Fluxos de Recebimento'!$I$65:$BH$116, MATCH(Curvas!$AB22, 'Fluxos de Recebimento'!$F$65:$F$116, 0), MATCH(Curvas!AF$2, 'Fluxos de Recebimento'!$I$63:$BH$63, 0)),0)*INDEX($E:$E, MATCH(AF$2, $B:$B, 0))</f>
        <v>1.7683465959328031E-4</v>
      </c>
      <c r="AG22" s="193">
        <f>IFERROR(INDEX('Fluxos de Recebimento'!$I$7:$BH$58, MATCH(Curvas!$AB22, 'Fluxos de Recebimento'!$F$7:$F$58, 0), MATCH(Curvas!AG$2,'Fluxos de Recebimento'!$I$5:$BH$5, 0))+INDEX('Fluxos de Recebimento'!$I$65:$BH$116, MATCH(Curvas!$AB22, 'Fluxos de Recebimento'!$F$65:$F$116, 0), MATCH(Curvas!AG$2, 'Fluxos de Recebimento'!$I$63:$BH$63, 0)),0)*INDEX($E:$E, MATCH(AG$2, $B:$B, 0))</f>
        <v>1.8390804597701152E-4</v>
      </c>
      <c r="AH22" s="193">
        <f>IFERROR(INDEX('Fluxos de Recebimento'!$I$7:$BH$58, MATCH(Curvas!$AB22, 'Fluxos de Recebimento'!$F$7:$F$58, 0), MATCH(Curvas!AH$2,'Fluxos de Recebimento'!$I$5:$BH$5, 0))+INDEX('Fluxos de Recebimento'!$I$65:$BH$116, MATCH(Curvas!$AB22, 'Fluxos de Recebimento'!$F$65:$F$116, 0), MATCH(Curvas!AH$2, 'Fluxos de Recebimento'!$I$63:$BH$63, 0)),0)*INDEX($E:$E, MATCH(AH$2, $B:$B, 0))</f>
        <v>1.9157088122605367E-4</v>
      </c>
      <c r="AI22" s="193">
        <f>IFERROR(INDEX('Fluxos de Recebimento'!$I$7:$BH$58, MATCH(Curvas!$AB22, 'Fluxos de Recebimento'!$F$7:$F$58, 0), MATCH(Curvas!AI$2,'Fluxos de Recebimento'!$I$5:$BH$5, 0))+INDEX('Fluxos de Recebimento'!$I$65:$BH$116, MATCH(Curvas!$AB22, 'Fluxos de Recebimento'!$F$65:$F$116, 0), MATCH(Curvas!AI$2, 'Fluxos de Recebimento'!$I$63:$BH$63, 0)),0)*INDEX($E:$E, MATCH(AI$2, $B:$B, 0))</f>
        <v>1.9990004997501253E-4</v>
      </c>
      <c r="AJ22" s="193">
        <f>IFERROR(INDEX('Fluxos de Recebimento'!$I$7:$BH$58, MATCH(Curvas!$AB22, 'Fluxos de Recebimento'!$F$7:$F$58, 0), MATCH(Curvas!AJ$2,'Fluxos de Recebimento'!$I$5:$BH$5, 0))+INDEX('Fluxos de Recebimento'!$I$65:$BH$116, MATCH(Curvas!$AB22, 'Fluxos de Recebimento'!$F$65:$F$116, 0), MATCH(Curvas!AJ$2, 'Fluxos de Recebimento'!$I$63:$BH$63, 0)),0)*INDEX($E:$E, MATCH(AJ$2, $B:$B, 0))</f>
        <v>2.0898641588296767E-4</v>
      </c>
      <c r="AK22" s="193">
        <f>IFERROR(INDEX('Fluxos de Recebimento'!$I$7:$BH$58, MATCH(Curvas!$AB22, 'Fluxos de Recebimento'!$F$7:$F$58, 0), MATCH(Curvas!AK$2,'Fluxos de Recebimento'!$I$5:$BH$5, 0))+INDEX('Fluxos de Recebimento'!$I$65:$BH$116, MATCH(Curvas!$AB22, 'Fluxos de Recebimento'!$F$65:$F$116, 0), MATCH(Curvas!AK$2, 'Fluxos de Recebimento'!$I$63:$BH$63, 0)),0)*INDEX($E:$E, MATCH(AK$2, $B:$B, 0))</f>
        <v>2.1893814997263279E-4</v>
      </c>
      <c r="AL22" s="193">
        <f>IFERROR(INDEX('Fluxos de Recebimento'!$I$7:$BH$58, MATCH(Curvas!$AB22, 'Fluxos de Recebimento'!$F$7:$F$58, 0), MATCH(Curvas!AL$2,'Fluxos de Recebimento'!$I$5:$BH$5, 0))+INDEX('Fluxos de Recebimento'!$I$65:$BH$116, MATCH(Curvas!$AB22, 'Fluxos de Recebimento'!$F$65:$F$116, 0), MATCH(Curvas!AL$2, 'Fluxos de Recebimento'!$I$63:$BH$63, 0)),0)*INDEX($E:$E, MATCH(AL$2, $B:$B, 0))</f>
        <v>2.2988505747126441E-4</v>
      </c>
      <c r="AM22" s="193">
        <f>IFERROR(INDEX('Fluxos de Recebimento'!$I$7:$BH$58, MATCH(Curvas!$AB22, 'Fluxos de Recebimento'!$F$7:$F$58, 0), MATCH(Curvas!AM$2,'Fluxos de Recebimento'!$I$5:$BH$5, 0))+INDEX('Fluxos de Recebimento'!$I$65:$BH$116, MATCH(Curvas!$AB22, 'Fluxos de Recebimento'!$F$65:$F$116, 0), MATCH(Curvas!AM$2, 'Fluxos de Recebimento'!$I$63:$BH$63, 0)),0)*INDEX($E:$E, MATCH(AM$2, $B:$B, 0))</f>
        <v>2.4198427102238356E-4</v>
      </c>
      <c r="AN22" s="193">
        <f>IFERROR(INDEX('Fluxos de Recebimento'!$I$7:$BH$58, MATCH(Curvas!$AB22, 'Fluxos de Recebimento'!$F$7:$F$58, 0), MATCH(Curvas!AN$2,'Fluxos de Recebimento'!$I$5:$BH$5, 0))+INDEX('Fluxos de Recebimento'!$I$65:$BH$116, MATCH(Curvas!$AB22, 'Fluxos de Recebimento'!$F$65:$F$116, 0), MATCH(Curvas!AN$2, 'Fluxos de Recebimento'!$I$63:$BH$63, 0)),0)*INDEX($E:$E, MATCH(AN$2, $B:$B, 0))</f>
        <v>2.5542784163473821E-4</v>
      </c>
      <c r="AO22" s="193">
        <f>IFERROR(INDEX('Fluxos de Recebimento'!$I$7:$BH$58, MATCH(Curvas!$AB22, 'Fluxos de Recebimento'!$F$7:$F$58, 0), MATCH(Curvas!AO$2,'Fluxos de Recebimento'!$I$5:$BH$5, 0))+INDEX('Fluxos de Recebimento'!$I$65:$BH$116, MATCH(Curvas!$AB22, 'Fluxos de Recebimento'!$F$65:$F$116, 0), MATCH(Curvas!AO$2, 'Fluxos de Recebimento'!$I$63:$BH$63, 0)),0)*INDEX($E:$E, MATCH(AO$2, $B:$B, 0))</f>
        <v>2.7045300878972284E-4</v>
      </c>
      <c r="AP22" s="193">
        <f>IFERROR(INDEX('Fluxos de Recebimento'!$I$7:$BH$58, MATCH(Curvas!$AB22, 'Fluxos de Recebimento'!$F$7:$F$58, 0), MATCH(Curvas!AP$2,'Fluxos de Recebimento'!$I$5:$BH$5, 0))+INDEX('Fluxos de Recebimento'!$I$65:$BH$116, MATCH(Curvas!$AB22, 'Fluxos de Recebimento'!$F$65:$F$116, 0), MATCH(Curvas!AP$2, 'Fluxos de Recebimento'!$I$63:$BH$63, 0)),0)*INDEX($E:$E, MATCH(AP$2, $B:$B, 0))</f>
        <v>2.8735632183908051E-4</v>
      </c>
      <c r="AQ22" s="193">
        <f>IFERROR(INDEX('Fluxos de Recebimento'!$I$7:$BH$58, MATCH(Curvas!$AB22, 'Fluxos de Recebimento'!$F$7:$F$58, 0), MATCH(Curvas!AQ$2,'Fluxos de Recebimento'!$I$5:$BH$5, 0))+INDEX('Fluxos de Recebimento'!$I$65:$BH$116, MATCH(Curvas!$AB22, 'Fluxos de Recebimento'!$F$65:$F$116, 0), MATCH(Curvas!AQ$2, 'Fluxos de Recebimento'!$I$63:$BH$63, 0)),0)*INDEX($E:$E, MATCH(AQ$2, $B:$B, 0))</f>
        <v>3.0651340996168587E-4</v>
      </c>
      <c r="AR22" s="193">
        <f>IFERROR(INDEX('Fluxos de Recebimento'!$I$7:$BH$58, MATCH(Curvas!$AB22, 'Fluxos de Recebimento'!$F$7:$F$58, 0), MATCH(Curvas!AR$2,'Fluxos de Recebimento'!$I$5:$BH$5, 0))+INDEX('Fluxos de Recebimento'!$I$65:$BH$116, MATCH(Curvas!$AB22, 'Fluxos de Recebimento'!$F$65:$F$116, 0), MATCH(Curvas!AR$2, 'Fluxos de Recebimento'!$I$63:$BH$63, 0)),0)*INDEX($E:$E, MATCH(AR$2, $B:$B, 0))</f>
        <v>3.2840722495894916E-4</v>
      </c>
      <c r="AS22" s="193">
        <f>IFERROR(INDEX('Fluxos de Recebimento'!$I$7:$BH$58, MATCH(Curvas!$AB22, 'Fluxos de Recebimento'!$F$7:$F$58, 0), MATCH(Curvas!AS$2,'Fluxos de Recebimento'!$I$5:$BH$5, 0))+INDEX('Fluxos de Recebimento'!$I$65:$BH$116, MATCH(Curvas!$AB22, 'Fluxos de Recebimento'!$F$65:$F$116, 0), MATCH(Curvas!AS$2, 'Fluxos de Recebimento'!$I$63:$BH$63, 0)),0)*INDEX($E:$E, MATCH(AS$2, $B:$B, 0))</f>
        <v>3.5366931918656062E-4</v>
      </c>
      <c r="AT22" s="193">
        <f>IFERROR(INDEX('Fluxos de Recebimento'!$I$7:$BH$58, MATCH(Curvas!$AB22, 'Fluxos de Recebimento'!$F$7:$F$58, 0), MATCH(Curvas!AT$2,'Fluxos de Recebimento'!$I$5:$BH$5, 0))+INDEX('Fluxos de Recebimento'!$I$65:$BH$116, MATCH(Curvas!$AB22, 'Fluxos de Recebimento'!$F$65:$F$116, 0), MATCH(Curvas!AT$2, 'Fluxos de Recebimento'!$I$63:$BH$63, 0)),0)*INDEX($E:$E, MATCH(AT$2, $B:$B, 0))</f>
        <v>3.8314176245210735E-4</v>
      </c>
      <c r="AU22" s="193">
        <f>IFERROR(INDEX('Fluxos de Recebimento'!$I$7:$BH$58, MATCH(Curvas!$AB22, 'Fluxos de Recebimento'!$F$7:$F$58, 0), MATCH(Curvas!AU$2,'Fluxos de Recebimento'!$I$5:$BH$5, 0))+INDEX('Fluxos de Recebimento'!$I$65:$BH$116, MATCH(Curvas!$AB22, 'Fluxos de Recebimento'!$F$65:$F$116, 0), MATCH(Curvas!AU$2, 'Fluxos de Recebimento'!$I$63:$BH$63, 0)),0)*INDEX($E:$E, MATCH(AU$2, $B:$B, 0))</f>
        <v>4.1797283176593533E-4</v>
      </c>
      <c r="AV22" s="193">
        <f>IFERROR(INDEX('Fluxos de Recebimento'!$I$7:$BH$58, MATCH(Curvas!$AB22, 'Fluxos de Recebimento'!$F$7:$F$58, 0), MATCH(Curvas!AV$2,'Fluxos de Recebimento'!$I$5:$BH$5, 0))+INDEX('Fluxos de Recebimento'!$I$65:$BH$116, MATCH(Curvas!$AB22, 'Fluxos de Recebimento'!$F$65:$F$116, 0), MATCH(Curvas!AV$2, 'Fluxos de Recebimento'!$I$63:$BH$63, 0)),0)*INDEX($E:$E, MATCH(AV$2, $B:$B, 0))</f>
        <v>1.149425287356322E-3</v>
      </c>
      <c r="AW22" s="193">
        <f>IFERROR(INDEX('Fluxos de Recebimento'!$I$7:$BH$58, MATCH(Curvas!$AB22, 'Fluxos de Recebimento'!$F$7:$F$58, 0), MATCH(Curvas!AW$2,'Fluxos de Recebimento'!$I$5:$BH$5, 0))+INDEX('Fluxos de Recebimento'!$I$65:$BH$116, MATCH(Curvas!$AB22, 'Fluxos de Recebimento'!$F$65:$F$116, 0), MATCH(Curvas!AW$2, 'Fluxos de Recebimento'!$I$63:$BH$63, 0)),0)*INDEX($E:$E, MATCH(AW$2, $B:$B, 0))</f>
        <v>0</v>
      </c>
      <c r="AX22" s="193">
        <f>IFERROR(INDEX('Fluxos de Recebimento'!$I$7:$BH$58, MATCH(Curvas!$AB22, 'Fluxos de Recebimento'!$F$7:$F$58, 0), MATCH(Curvas!AX$2,'Fluxos de Recebimento'!$I$5:$BH$5, 0))+INDEX('Fluxos de Recebimento'!$I$65:$BH$116, MATCH(Curvas!$AB22, 'Fluxos de Recebimento'!$F$65:$F$116, 0), MATCH(Curvas!AX$2, 'Fluxos de Recebimento'!$I$63:$BH$63, 0)),0)*INDEX($E:$E, MATCH(AX$2, $B:$B, 0))</f>
        <v>0</v>
      </c>
      <c r="AY22" s="193">
        <f>IFERROR(INDEX('Fluxos de Recebimento'!$I$7:$BH$58, MATCH(Curvas!$AB22, 'Fluxos de Recebimento'!$F$7:$F$58, 0), MATCH(Curvas!AY$2,'Fluxos de Recebimento'!$I$5:$BH$5, 0))+INDEX('Fluxos de Recebimento'!$I$65:$BH$116, MATCH(Curvas!$AB22, 'Fluxos de Recebimento'!$F$65:$F$116, 0), MATCH(Curvas!AY$2, 'Fluxos de Recebimento'!$I$63:$BH$63, 0)),0)*INDEX($E:$E, MATCH(AY$2, $B:$B, 0))</f>
        <v>0</v>
      </c>
      <c r="AZ22" s="193">
        <f>IFERROR(INDEX('Fluxos de Recebimento'!$I$7:$BH$58, MATCH(Curvas!$AB22, 'Fluxos de Recebimento'!$F$7:$F$58, 0), MATCH(Curvas!AZ$2,'Fluxos de Recebimento'!$I$5:$BH$5, 0))+INDEX('Fluxos de Recebimento'!$I$65:$BH$116, MATCH(Curvas!$AB22, 'Fluxos de Recebimento'!$F$65:$F$116, 0), MATCH(Curvas!AZ$2, 'Fluxos de Recebimento'!$I$63:$BH$63, 0)),0)*INDEX($E:$E, MATCH(AZ$2, $B:$B, 0))</f>
        <v>0</v>
      </c>
      <c r="BA22" s="193">
        <f>IFERROR(INDEX('Fluxos de Recebimento'!$I$7:$BH$58, MATCH(Curvas!$AB22, 'Fluxos de Recebimento'!$F$7:$F$58, 0), MATCH(Curvas!BA$2,'Fluxos de Recebimento'!$I$5:$BH$5, 0))+INDEX('Fluxos de Recebimento'!$I$65:$BH$116, MATCH(Curvas!$AB22, 'Fluxos de Recebimento'!$F$65:$F$116, 0), MATCH(Curvas!BA$2, 'Fluxos de Recebimento'!$I$63:$BH$63, 0)),0)*INDEX($E:$E, MATCH(BA$2, $B:$B, 0))</f>
        <v>0</v>
      </c>
      <c r="BB22" s="193">
        <f>IFERROR(INDEX('Fluxos de Recebimento'!$I$7:$BH$58, MATCH(Curvas!$AB22, 'Fluxos de Recebimento'!$F$7:$F$58, 0), MATCH(Curvas!BB$2,'Fluxos de Recebimento'!$I$5:$BH$5, 0))+INDEX('Fluxos de Recebimento'!$I$65:$BH$116, MATCH(Curvas!$AB22, 'Fluxos de Recebimento'!$F$65:$F$116, 0), MATCH(Curvas!BB$2, 'Fluxos de Recebimento'!$I$63:$BH$63, 0)),0)*INDEX($E:$E, MATCH(BB$2, $B:$B, 0))</f>
        <v>0</v>
      </c>
      <c r="BC22" s="193">
        <f>IFERROR(INDEX('Fluxos de Recebimento'!$I$7:$BH$58, MATCH(Curvas!$AB22, 'Fluxos de Recebimento'!$F$7:$F$58, 0), MATCH(Curvas!BC$2,'Fluxos de Recebimento'!$I$5:$BH$5, 0))+INDEX('Fluxos de Recebimento'!$I$65:$BH$116, MATCH(Curvas!$AB22, 'Fluxos de Recebimento'!$F$65:$F$116, 0), MATCH(Curvas!BC$2, 'Fluxos de Recebimento'!$I$63:$BH$63, 0)),0)*INDEX($E:$E, MATCH(BC$2, $B:$B, 0))</f>
        <v>0</v>
      </c>
      <c r="BD22" s="193">
        <f>IFERROR(INDEX('Fluxos de Recebimento'!$I$7:$BH$58, MATCH(Curvas!$AB22, 'Fluxos de Recebimento'!$F$7:$F$58, 0), MATCH(Curvas!BD$2,'Fluxos de Recebimento'!$I$5:$BH$5, 0))+INDEX('Fluxos de Recebimento'!$I$65:$BH$116, MATCH(Curvas!$AB22, 'Fluxos de Recebimento'!$F$65:$F$116, 0), MATCH(Curvas!BD$2, 'Fluxos de Recebimento'!$I$63:$BH$63, 0)),0)*INDEX($E:$E, MATCH(BD$2, $B:$B, 0))</f>
        <v>0</v>
      </c>
      <c r="BE22" s="193">
        <f>IFERROR(INDEX('Fluxos de Recebimento'!$I$7:$BH$58, MATCH(Curvas!$AB22, 'Fluxos de Recebimento'!$F$7:$F$58, 0), MATCH(Curvas!BE$2,'Fluxos de Recebimento'!$I$5:$BH$5, 0))+INDEX('Fluxos de Recebimento'!$I$65:$BH$116, MATCH(Curvas!$AB22, 'Fluxos de Recebimento'!$F$65:$F$116, 0), MATCH(Curvas!BE$2, 'Fluxos de Recebimento'!$I$63:$BH$63, 0)),0)*INDEX($E:$E, MATCH(BE$2, $B:$B, 0))</f>
        <v>0</v>
      </c>
      <c r="BF22" s="193">
        <f>IFERROR(INDEX('Fluxos de Recebimento'!$I$7:$BH$58, MATCH(Curvas!$AB22, 'Fluxos de Recebimento'!$F$7:$F$58, 0), MATCH(Curvas!BF$2,'Fluxos de Recebimento'!$I$5:$BH$5, 0))+INDEX('Fluxos de Recebimento'!$I$65:$BH$116, MATCH(Curvas!$AB22, 'Fluxos de Recebimento'!$F$65:$F$116, 0), MATCH(Curvas!BF$2, 'Fluxos de Recebimento'!$I$63:$BH$63, 0)),0)*INDEX($E:$E, MATCH(BF$2, $B:$B, 0))</f>
        <v>0</v>
      </c>
      <c r="BG22" s="193">
        <f>IFERROR(INDEX('Fluxos de Recebimento'!$I$7:$BH$58, MATCH(Curvas!$AB22, 'Fluxos de Recebimento'!$F$7:$F$58, 0), MATCH(Curvas!BG$2,'Fluxos de Recebimento'!$I$5:$BH$5, 0))+INDEX('Fluxos de Recebimento'!$I$65:$BH$116, MATCH(Curvas!$AB22, 'Fluxos de Recebimento'!$F$65:$F$116, 0), MATCH(Curvas!BG$2, 'Fluxos de Recebimento'!$I$63:$BH$63, 0)),0)*INDEX($E:$E, MATCH(BG$2, $B:$B, 0))</f>
        <v>0</v>
      </c>
      <c r="BH22" s="193">
        <f>IFERROR(INDEX('Fluxos de Recebimento'!$I$7:$BH$58, MATCH(Curvas!$AB22, 'Fluxos de Recebimento'!$F$7:$F$58, 0), MATCH(Curvas!BH$2,'Fluxos de Recebimento'!$I$5:$BH$5, 0))+INDEX('Fluxos de Recebimento'!$I$65:$BH$116, MATCH(Curvas!$AB22, 'Fluxos de Recebimento'!$F$65:$F$116, 0), MATCH(Curvas!BH$2, 'Fluxos de Recebimento'!$I$63:$BH$63, 0)),0)*INDEX($E:$E, MATCH(BH$2, $B:$B, 0))</f>
        <v>0</v>
      </c>
      <c r="BI22" s="193">
        <f>IFERROR(INDEX('Fluxos de Recebimento'!$I$7:$BH$58, MATCH(Curvas!$AB22, 'Fluxos de Recebimento'!$F$7:$F$58, 0), MATCH(Curvas!BI$2,'Fluxos de Recebimento'!$I$5:$BH$5, 0))+INDEX('Fluxos de Recebimento'!$I$65:$BH$116, MATCH(Curvas!$AB22, 'Fluxos de Recebimento'!$F$65:$F$116, 0), MATCH(Curvas!BI$2, 'Fluxos de Recebimento'!$I$63:$BH$63, 0)),0)*INDEX($E:$E, MATCH(BI$2, $B:$B, 0))</f>
        <v>0</v>
      </c>
      <c r="BJ22" s="193">
        <f>IFERROR(INDEX('Fluxos de Recebimento'!$I$7:$BH$58, MATCH(Curvas!$AB22, 'Fluxos de Recebimento'!$F$7:$F$58, 0), MATCH(Curvas!BJ$2,'Fluxos de Recebimento'!$I$5:$BH$5, 0))+INDEX('Fluxos de Recebimento'!$I$65:$BH$116, MATCH(Curvas!$AB22, 'Fluxos de Recebimento'!$F$65:$F$116, 0), MATCH(Curvas!BJ$2, 'Fluxos de Recebimento'!$I$63:$BH$63, 0)),0)*INDEX($E:$E, MATCH(BJ$2, $B:$B, 0))</f>
        <v>0</v>
      </c>
      <c r="BK22" s="193">
        <f>IFERROR(INDEX('Fluxos de Recebimento'!$I$7:$BH$58, MATCH(Curvas!$AB22, 'Fluxos de Recebimento'!$F$7:$F$58, 0), MATCH(Curvas!BK$2,'Fluxos de Recebimento'!$I$5:$BH$5, 0))+INDEX('Fluxos de Recebimento'!$I$65:$BH$116, MATCH(Curvas!$AB22, 'Fluxos de Recebimento'!$F$65:$F$116, 0), MATCH(Curvas!BK$2, 'Fluxos de Recebimento'!$I$63:$BH$63, 0)),0)*INDEX($E:$E, MATCH(BK$2, $B:$B, 0))</f>
        <v>0</v>
      </c>
      <c r="BL22" s="193">
        <f>IFERROR(INDEX('Fluxos de Recebimento'!$I$7:$BH$58, MATCH(Curvas!$AB22, 'Fluxos de Recebimento'!$F$7:$F$58, 0), MATCH(Curvas!BL$2,'Fluxos de Recebimento'!$I$5:$BH$5, 0))+INDEX('Fluxos de Recebimento'!$I$65:$BH$116, MATCH(Curvas!$AB22, 'Fluxos de Recebimento'!$F$65:$F$116, 0), MATCH(Curvas!BL$2, 'Fluxos de Recebimento'!$I$63:$BH$63, 0)),0)*INDEX($E:$E, MATCH(BL$2, $B:$B, 0))</f>
        <v>0</v>
      </c>
      <c r="BM22" s="193">
        <f>IFERROR(INDEX('Fluxos de Recebimento'!$I$7:$BH$58, MATCH(Curvas!$AB22, 'Fluxos de Recebimento'!$F$7:$F$58, 0), MATCH(Curvas!BM$2,'Fluxos de Recebimento'!$I$5:$BH$5, 0))+INDEX('Fluxos de Recebimento'!$I$65:$BH$116, MATCH(Curvas!$AB22, 'Fluxos de Recebimento'!$F$65:$F$116, 0), MATCH(Curvas!BM$2, 'Fluxos de Recebimento'!$I$63:$BH$63, 0)),0)*INDEX($E:$E, MATCH(BM$2, $B:$B, 0))</f>
        <v>0</v>
      </c>
      <c r="BN22" s="193">
        <f>IFERROR(INDEX('Fluxos de Recebimento'!$I$7:$BH$58, MATCH(Curvas!$AB22, 'Fluxos de Recebimento'!$F$7:$F$58, 0), MATCH(Curvas!BN$2,'Fluxos de Recebimento'!$I$5:$BH$5, 0))+INDEX('Fluxos de Recebimento'!$I$65:$BH$116, MATCH(Curvas!$AB22, 'Fluxos de Recebimento'!$F$65:$F$116, 0), MATCH(Curvas!BN$2, 'Fluxos de Recebimento'!$I$63:$BH$63, 0)),0)*INDEX($E:$E, MATCH(BN$2, $B:$B, 0))</f>
        <v>0</v>
      </c>
      <c r="BO22" s="193">
        <f>IFERROR(INDEX('Fluxos de Recebimento'!$I$7:$BH$58, MATCH(Curvas!$AB22, 'Fluxos de Recebimento'!$F$7:$F$58, 0), MATCH(Curvas!BO$2,'Fluxos de Recebimento'!$I$5:$BH$5, 0))+INDEX('Fluxos de Recebimento'!$I$65:$BH$116, MATCH(Curvas!$AB22, 'Fluxos de Recebimento'!$F$65:$F$116, 0), MATCH(Curvas!BO$2, 'Fluxos de Recebimento'!$I$63:$BH$63, 0)),0)*INDEX($E:$E, MATCH(BO$2, $B:$B, 0))</f>
        <v>0</v>
      </c>
      <c r="BP22" s="193">
        <f>IFERROR(INDEX('Fluxos de Recebimento'!$I$7:$BH$58, MATCH(Curvas!$AB22, 'Fluxos de Recebimento'!$F$7:$F$58, 0), MATCH(Curvas!BP$2,'Fluxos de Recebimento'!$I$5:$BH$5, 0))+INDEX('Fluxos de Recebimento'!$I$65:$BH$116, MATCH(Curvas!$AB22, 'Fluxos de Recebimento'!$F$65:$F$116, 0), MATCH(Curvas!BP$2, 'Fluxos de Recebimento'!$I$63:$BH$63, 0)),0)*INDEX($E:$E, MATCH(BP$2, $B:$B, 0))</f>
        <v>0</v>
      </c>
      <c r="BQ22" s="193">
        <f>IFERROR(INDEX('Fluxos de Recebimento'!$I$7:$BH$58, MATCH(Curvas!$AB22, 'Fluxos de Recebimento'!$F$7:$F$58, 0), MATCH(Curvas!BQ$2,'Fluxos de Recebimento'!$I$5:$BH$5, 0))+INDEX('Fluxos de Recebimento'!$I$65:$BH$116, MATCH(Curvas!$AB22, 'Fluxos de Recebimento'!$F$65:$F$116, 0), MATCH(Curvas!BQ$2, 'Fluxos de Recebimento'!$I$63:$BH$63, 0)),0)*INDEX($E:$E, MATCH(BQ$2, $B:$B, 0))</f>
        <v>0</v>
      </c>
      <c r="BR22" s="193">
        <f>IFERROR(INDEX('Fluxos de Recebimento'!$I$7:$BH$58, MATCH(Curvas!$AB22, 'Fluxos de Recebimento'!$F$7:$F$58, 0), MATCH(Curvas!BR$2,'Fluxos de Recebimento'!$I$5:$BH$5, 0))+INDEX('Fluxos de Recebimento'!$I$65:$BH$116, MATCH(Curvas!$AB22, 'Fluxos de Recebimento'!$F$65:$F$116, 0), MATCH(Curvas!BR$2, 'Fluxos de Recebimento'!$I$63:$BH$63, 0)),0)*INDEX($E:$E, MATCH(BR$2, $B:$B, 0))</f>
        <v>0</v>
      </c>
      <c r="BS22" s="193">
        <f>IFERROR(INDEX('Fluxos de Recebimento'!$I$7:$BH$58, MATCH(Curvas!$AB22, 'Fluxos de Recebimento'!$F$7:$F$58, 0), MATCH(Curvas!BS$2,'Fluxos de Recebimento'!$I$5:$BH$5, 0))+INDEX('Fluxos de Recebimento'!$I$65:$BH$116, MATCH(Curvas!$AB22, 'Fluxos de Recebimento'!$F$65:$F$116, 0), MATCH(Curvas!BS$2, 'Fluxos de Recebimento'!$I$63:$BH$63, 0)),0)*INDEX($E:$E, MATCH(BS$2, $B:$B, 0))</f>
        <v>0</v>
      </c>
      <c r="BT22" s="193">
        <f>IFERROR(INDEX('Fluxos de Recebimento'!$I$7:$BH$58, MATCH(Curvas!$AB22, 'Fluxos de Recebimento'!$F$7:$F$58, 0), MATCH(Curvas!BT$2,'Fluxos de Recebimento'!$I$5:$BH$5, 0))+INDEX('Fluxos de Recebimento'!$I$65:$BH$116, MATCH(Curvas!$AB22, 'Fluxos de Recebimento'!$F$65:$F$116, 0), MATCH(Curvas!BT$2, 'Fluxos de Recebimento'!$I$63:$BH$63, 0)),0)*INDEX($E:$E, MATCH(BT$2, $B:$B, 0))</f>
        <v>0</v>
      </c>
      <c r="BU22" s="193">
        <f>IFERROR(INDEX('Fluxos de Recebimento'!$I$7:$BH$58, MATCH(Curvas!$AB22, 'Fluxos de Recebimento'!$F$7:$F$58, 0), MATCH(Curvas!BU$2,'Fluxos de Recebimento'!$I$5:$BH$5, 0))+INDEX('Fluxos de Recebimento'!$I$65:$BH$116, MATCH(Curvas!$AB22, 'Fluxos de Recebimento'!$F$65:$F$116, 0), MATCH(Curvas!BU$2, 'Fluxos de Recebimento'!$I$63:$BH$63, 0)),0)*INDEX($E:$E, MATCH(BU$2, $B:$B, 0))</f>
        <v>0</v>
      </c>
      <c r="BV22" s="193">
        <f>IFERROR(INDEX('Fluxos de Recebimento'!$I$7:$BH$58, MATCH(Curvas!$AB22, 'Fluxos de Recebimento'!$F$7:$F$58, 0), MATCH(Curvas!BV$2,'Fluxos de Recebimento'!$I$5:$BH$5, 0))+INDEX('Fluxos de Recebimento'!$I$65:$BH$116, MATCH(Curvas!$AB22, 'Fluxos de Recebimento'!$F$65:$F$116, 0), MATCH(Curvas!BV$2, 'Fluxos de Recebimento'!$I$63:$BH$63, 0)),0)*INDEX($E:$E, MATCH(BV$2, $B:$B, 0))</f>
        <v>0</v>
      </c>
      <c r="BW22" s="193">
        <f>IFERROR(INDEX('Fluxos de Recebimento'!$I$7:$BH$58, MATCH(Curvas!$AB22, 'Fluxos de Recebimento'!$F$7:$F$58, 0), MATCH(Curvas!BW$2,'Fluxos de Recebimento'!$I$5:$BH$5, 0))+INDEX('Fluxos de Recebimento'!$I$65:$BH$116, MATCH(Curvas!$AB22, 'Fluxos de Recebimento'!$F$65:$F$116, 0), MATCH(Curvas!BW$2, 'Fluxos de Recebimento'!$I$63:$BH$63, 0)),0)*INDEX($E:$E, MATCH(BW$2, $B:$B, 0))</f>
        <v>0</v>
      </c>
      <c r="BX22" s="193">
        <f>IFERROR(INDEX('Fluxos de Recebimento'!$I$7:$BH$58, MATCH(Curvas!$AB22, 'Fluxos de Recebimento'!$F$7:$F$58, 0), MATCH(Curvas!BX$2,'Fluxos de Recebimento'!$I$5:$BH$5, 0))+INDEX('Fluxos de Recebimento'!$I$65:$BH$116, MATCH(Curvas!$AB22, 'Fluxos de Recebimento'!$F$65:$F$116, 0), MATCH(Curvas!BX$2, 'Fluxos de Recebimento'!$I$63:$BH$63, 0)),0)*INDEX($E:$E, MATCH(BX$2, $B:$B, 0))</f>
        <v>0</v>
      </c>
      <c r="BY22" s="193">
        <f>IFERROR(INDEX('Fluxos de Recebimento'!$I$7:$BH$58, MATCH(Curvas!$AB22, 'Fluxos de Recebimento'!$F$7:$F$58, 0), MATCH(Curvas!BY$2,'Fluxos de Recebimento'!$I$5:$BH$5, 0))+INDEX('Fluxos de Recebimento'!$I$65:$BH$116, MATCH(Curvas!$AB22, 'Fluxos de Recebimento'!$F$65:$F$116, 0), MATCH(Curvas!BY$2, 'Fluxos de Recebimento'!$I$63:$BH$63, 0)),0)*INDEX($E:$E, MATCH(BY$2, $B:$B, 0))</f>
        <v>0</v>
      </c>
      <c r="BZ22" s="193">
        <f>IFERROR(INDEX('Fluxos de Recebimento'!$I$7:$BH$58, MATCH(Curvas!$AB22, 'Fluxos de Recebimento'!$F$7:$F$58, 0), MATCH(Curvas!BZ$2,'Fluxos de Recebimento'!$I$5:$BH$5, 0))+INDEX('Fluxos de Recebimento'!$I$65:$BH$116, MATCH(Curvas!$AB22, 'Fluxos de Recebimento'!$F$65:$F$116, 0), MATCH(Curvas!BZ$2, 'Fluxos de Recebimento'!$I$63:$BH$63, 0)),0)*INDEX($E:$E, MATCH(BZ$2, $B:$B, 0))</f>
        <v>0</v>
      </c>
      <c r="CA22" s="193">
        <f>IFERROR(INDEX('Fluxos de Recebimento'!$I$7:$BH$58, MATCH(Curvas!$AB22, 'Fluxos de Recebimento'!$F$7:$F$58, 0), MATCH(Curvas!CA$2,'Fluxos de Recebimento'!$I$5:$BH$5, 0))+INDEX('Fluxos de Recebimento'!$I$65:$BH$116, MATCH(Curvas!$AB22, 'Fluxos de Recebimento'!$F$65:$F$116, 0), MATCH(Curvas!CA$2, 'Fluxos de Recebimento'!$I$63:$BH$63, 0)),0)*INDEX($E:$E, MATCH(CA$2, $B:$B, 0))</f>
        <v>0</v>
      </c>
      <c r="CB22" s="193">
        <f>IFERROR(INDEX('Fluxos de Recebimento'!$I$7:$BH$58, MATCH(Curvas!$AB22, 'Fluxos de Recebimento'!$F$7:$F$58, 0), MATCH(Curvas!CB$2,'Fluxos de Recebimento'!$I$5:$BH$5, 0))+INDEX('Fluxos de Recebimento'!$I$65:$BH$116, MATCH(Curvas!$AB22, 'Fluxos de Recebimento'!$F$65:$F$116, 0), MATCH(Curvas!CB$2, 'Fluxos de Recebimento'!$I$63:$BH$63, 0)),0)*INDEX($E:$E, MATCH(CB$2, $B:$B, 0))</f>
        <v>0</v>
      </c>
      <c r="CC22" s="193">
        <f>IFERROR(INDEX('Fluxos de Recebimento'!$I$7:$BH$58, MATCH(Curvas!$AB22, 'Fluxos de Recebimento'!$F$7:$F$58, 0), MATCH(Curvas!CC$2,'Fluxos de Recebimento'!$I$5:$BH$5, 0))+INDEX('Fluxos de Recebimento'!$I$65:$BH$116, MATCH(Curvas!$AB22, 'Fluxos de Recebimento'!$F$65:$F$116, 0), MATCH(Curvas!CC$2, 'Fluxos de Recebimento'!$I$63:$BH$63, 0)),0)*INDEX($E:$E, MATCH(CC$2, $B:$B, 0))</f>
        <v>0</v>
      </c>
    </row>
    <row r="23" spans="1:81" x14ac:dyDescent="0.25">
      <c r="A23" s="2"/>
      <c r="B23" s="477">
        <f t="shared" si="16"/>
        <v>44743</v>
      </c>
      <c r="C23" s="52">
        <f t="shared" si="17"/>
        <v>20</v>
      </c>
      <c r="D23" s="2"/>
      <c r="E23" s="187">
        <f t="shared" si="4"/>
        <v>2.298850574712644E-2</v>
      </c>
      <c r="F23" s="48">
        <f t="shared" si="18"/>
        <v>0.45977011494252901</v>
      </c>
      <c r="G23" s="46">
        <f t="shared" ca="1" si="5"/>
        <v>0</v>
      </c>
      <c r="H23" s="48">
        <f t="shared" ca="1" si="19"/>
        <v>0</v>
      </c>
      <c r="I23" s="2"/>
      <c r="J23" s="69">
        <f t="shared" si="6"/>
        <v>16</v>
      </c>
      <c r="K23" s="479">
        <f t="shared" ca="1" si="7"/>
        <v>0</v>
      </c>
      <c r="L23" s="70">
        <f t="shared" ca="1" si="8"/>
        <v>16</v>
      </c>
      <c r="M23" s="2"/>
      <c r="N23" s="69">
        <f t="shared" si="9"/>
        <v>21</v>
      </c>
      <c r="O23" s="479">
        <f t="shared" si="10"/>
        <v>0</v>
      </c>
      <c r="P23" s="70">
        <f t="shared" si="11"/>
        <v>21</v>
      </c>
      <c r="Q23" s="2"/>
      <c r="R23" s="71">
        <f t="shared" si="12"/>
        <v>37</v>
      </c>
      <c r="S23" s="196"/>
      <c r="T23" s="46">
        <v>4.2637334239185053E-2</v>
      </c>
      <c r="U23" s="48">
        <f t="shared" si="20"/>
        <v>0.42615988219410489</v>
      </c>
      <c r="V23" s="2"/>
      <c r="W23" s="56"/>
      <c r="X23" s="48"/>
      <c r="Y23" s="2"/>
      <c r="Z23" s="194">
        <f t="shared" si="13"/>
        <v>6.1986334942442031E-3</v>
      </c>
      <c r="AA23" s="2"/>
      <c r="AB23" s="477">
        <f t="shared" si="14"/>
        <v>44743</v>
      </c>
      <c r="AC23" s="52">
        <f t="shared" si="15"/>
        <v>20</v>
      </c>
      <c r="AD23" s="193">
        <f>IFERROR(INDEX('Fluxos de Recebimento'!$I$7:$BH$58, MATCH(Curvas!$AB23, 'Fluxos de Recebimento'!$F$7:$F$58, 0), MATCH(Curvas!AD$2,'Fluxos de Recebimento'!$I$5:$BH$5, 0))+INDEX('Fluxos de Recebimento'!$I$65:$BH$116, MATCH(Curvas!$AB23, 'Fluxos de Recebimento'!$F$65:$F$116, 0), MATCH(Curvas!AD$2, 'Fluxos de Recebimento'!$I$63:$BH$63, 0)),0)*INDEX($E:$E, MATCH(AD$2, $B:$B, 0))</f>
        <v>1.6420361247947458E-4</v>
      </c>
      <c r="AE23" s="193">
        <f>IFERROR(INDEX('Fluxos de Recebimento'!$I$7:$BH$58, MATCH(Curvas!$AB23, 'Fluxos de Recebimento'!$F$7:$F$58, 0), MATCH(Curvas!AE$2,'Fluxos de Recebimento'!$I$5:$BH$5, 0))+INDEX('Fluxos de Recebimento'!$I$65:$BH$116, MATCH(Curvas!$AB23, 'Fluxos de Recebimento'!$F$65:$F$116, 0), MATCH(Curvas!AE$2, 'Fluxos de Recebimento'!$I$63:$BH$63, 0)),0)*INDEX($E:$E, MATCH(AE$2, $B:$B, 0))</f>
        <v>1.7028522775649216E-4</v>
      </c>
      <c r="AF23" s="193">
        <f>IFERROR(INDEX('Fluxos de Recebimento'!$I$7:$BH$58, MATCH(Curvas!$AB23, 'Fluxos de Recebimento'!$F$7:$F$58, 0), MATCH(Curvas!AF$2,'Fluxos de Recebimento'!$I$5:$BH$5, 0))+INDEX('Fluxos de Recebimento'!$I$65:$BH$116, MATCH(Curvas!$AB23, 'Fluxos de Recebimento'!$F$65:$F$116, 0), MATCH(Curvas!AF$2, 'Fluxos de Recebimento'!$I$63:$BH$63, 0)),0)*INDEX($E:$E, MATCH(AF$2, $B:$B, 0))</f>
        <v>1.7683465959328031E-4</v>
      </c>
      <c r="AG23" s="193">
        <f>IFERROR(INDEX('Fluxos de Recebimento'!$I$7:$BH$58, MATCH(Curvas!$AB23, 'Fluxos de Recebimento'!$F$7:$F$58, 0), MATCH(Curvas!AG$2,'Fluxos de Recebimento'!$I$5:$BH$5, 0))+INDEX('Fluxos de Recebimento'!$I$65:$BH$116, MATCH(Curvas!$AB23, 'Fluxos de Recebimento'!$F$65:$F$116, 0), MATCH(Curvas!AG$2, 'Fluxos de Recebimento'!$I$63:$BH$63, 0)),0)*INDEX($E:$E, MATCH(AG$2, $B:$B, 0))</f>
        <v>1.8390804597701152E-4</v>
      </c>
      <c r="AH23" s="193">
        <f>IFERROR(INDEX('Fluxos de Recebimento'!$I$7:$BH$58, MATCH(Curvas!$AB23, 'Fluxos de Recebimento'!$F$7:$F$58, 0), MATCH(Curvas!AH$2,'Fluxos de Recebimento'!$I$5:$BH$5, 0))+INDEX('Fluxos de Recebimento'!$I$65:$BH$116, MATCH(Curvas!$AB23, 'Fluxos de Recebimento'!$F$65:$F$116, 0), MATCH(Curvas!AH$2, 'Fluxos de Recebimento'!$I$63:$BH$63, 0)),0)*INDEX($E:$E, MATCH(AH$2, $B:$B, 0))</f>
        <v>1.9157088122605367E-4</v>
      </c>
      <c r="AI23" s="193">
        <f>IFERROR(INDEX('Fluxos de Recebimento'!$I$7:$BH$58, MATCH(Curvas!$AB23, 'Fluxos de Recebimento'!$F$7:$F$58, 0), MATCH(Curvas!AI$2,'Fluxos de Recebimento'!$I$5:$BH$5, 0))+INDEX('Fluxos de Recebimento'!$I$65:$BH$116, MATCH(Curvas!$AB23, 'Fluxos de Recebimento'!$F$65:$F$116, 0), MATCH(Curvas!AI$2, 'Fluxos de Recebimento'!$I$63:$BH$63, 0)),0)*INDEX($E:$E, MATCH(AI$2, $B:$B, 0))</f>
        <v>1.9990004997501253E-4</v>
      </c>
      <c r="AJ23" s="193">
        <f>IFERROR(INDEX('Fluxos de Recebimento'!$I$7:$BH$58, MATCH(Curvas!$AB23, 'Fluxos de Recebimento'!$F$7:$F$58, 0), MATCH(Curvas!AJ$2,'Fluxos de Recebimento'!$I$5:$BH$5, 0))+INDEX('Fluxos de Recebimento'!$I$65:$BH$116, MATCH(Curvas!$AB23, 'Fluxos de Recebimento'!$F$65:$F$116, 0), MATCH(Curvas!AJ$2, 'Fluxos de Recebimento'!$I$63:$BH$63, 0)),0)*INDEX($E:$E, MATCH(AJ$2, $B:$B, 0))</f>
        <v>2.0898641588296767E-4</v>
      </c>
      <c r="AK23" s="193">
        <f>IFERROR(INDEX('Fluxos de Recebimento'!$I$7:$BH$58, MATCH(Curvas!$AB23, 'Fluxos de Recebimento'!$F$7:$F$58, 0), MATCH(Curvas!AK$2,'Fluxos de Recebimento'!$I$5:$BH$5, 0))+INDEX('Fluxos de Recebimento'!$I$65:$BH$116, MATCH(Curvas!$AB23, 'Fluxos de Recebimento'!$F$65:$F$116, 0), MATCH(Curvas!AK$2, 'Fluxos de Recebimento'!$I$63:$BH$63, 0)),0)*INDEX($E:$E, MATCH(AK$2, $B:$B, 0))</f>
        <v>2.1893814997263279E-4</v>
      </c>
      <c r="AL23" s="193">
        <f>IFERROR(INDEX('Fluxos de Recebimento'!$I$7:$BH$58, MATCH(Curvas!$AB23, 'Fluxos de Recebimento'!$F$7:$F$58, 0), MATCH(Curvas!AL$2,'Fluxos de Recebimento'!$I$5:$BH$5, 0))+INDEX('Fluxos de Recebimento'!$I$65:$BH$116, MATCH(Curvas!$AB23, 'Fluxos de Recebimento'!$F$65:$F$116, 0), MATCH(Curvas!AL$2, 'Fluxos de Recebimento'!$I$63:$BH$63, 0)),0)*INDEX($E:$E, MATCH(AL$2, $B:$B, 0))</f>
        <v>2.2988505747126441E-4</v>
      </c>
      <c r="AM23" s="193">
        <f>IFERROR(INDEX('Fluxos de Recebimento'!$I$7:$BH$58, MATCH(Curvas!$AB23, 'Fluxos de Recebimento'!$F$7:$F$58, 0), MATCH(Curvas!AM$2,'Fluxos de Recebimento'!$I$5:$BH$5, 0))+INDEX('Fluxos de Recebimento'!$I$65:$BH$116, MATCH(Curvas!$AB23, 'Fluxos de Recebimento'!$F$65:$F$116, 0), MATCH(Curvas!AM$2, 'Fluxos de Recebimento'!$I$63:$BH$63, 0)),0)*INDEX($E:$E, MATCH(AM$2, $B:$B, 0))</f>
        <v>2.4198427102238356E-4</v>
      </c>
      <c r="AN23" s="193">
        <f>IFERROR(INDEX('Fluxos de Recebimento'!$I$7:$BH$58, MATCH(Curvas!$AB23, 'Fluxos de Recebimento'!$F$7:$F$58, 0), MATCH(Curvas!AN$2,'Fluxos de Recebimento'!$I$5:$BH$5, 0))+INDEX('Fluxos de Recebimento'!$I$65:$BH$116, MATCH(Curvas!$AB23, 'Fluxos de Recebimento'!$F$65:$F$116, 0), MATCH(Curvas!AN$2, 'Fluxos de Recebimento'!$I$63:$BH$63, 0)),0)*INDEX($E:$E, MATCH(AN$2, $B:$B, 0))</f>
        <v>2.5542784163473821E-4</v>
      </c>
      <c r="AO23" s="193">
        <f>IFERROR(INDEX('Fluxos de Recebimento'!$I$7:$BH$58, MATCH(Curvas!$AB23, 'Fluxos de Recebimento'!$F$7:$F$58, 0), MATCH(Curvas!AO$2,'Fluxos de Recebimento'!$I$5:$BH$5, 0))+INDEX('Fluxos de Recebimento'!$I$65:$BH$116, MATCH(Curvas!$AB23, 'Fluxos de Recebimento'!$F$65:$F$116, 0), MATCH(Curvas!AO$2, 'Fluxos de Recebimento'!$I$63:$BH$63, 0)),0)*INDEX($E:$E, MATCH(AO$2, $B:$B, 0))</f>
        <v>2.7045300878972284E-4</v>
      </c>
      <c r="AP23" s="193">
        <f>IFERROR(INDEX('Fluxos de Recebimento'!$I$7:$BH$58, MATCH(Curvas!$AB23, 'Fluxos de Recebimento'!$F$7:$F$58, 0), MATCH(Curvas!AP$2,'Fluxos de Recebimento'!$I$5:$BH$5, 0))+INDEX('Fluxos de Recebimento'!$I$65:$BH$116, MATCH(Curvas!$AB23, 'Fluxos de Recebimento'!$F$65:$F$116, 0), MATCH(Curvas!AP$2, 'Fluxos de Recebimento'!$I$63:$BH$63, 0)),0)*INDEX($E:$E, MATCH(AP$2, $B:$B, 0))</f>
        <v>2.8735632183908051E-4</v>
      </c>
      <c r="AQ23" s="193">
        <f>IFERROR(INDEX('Fluxos de Recebimento'!$I$7:$BH$58, MATCH(Curvas!$AB23, 'Fluxos de Recebimento'!$F$7:$F$58, 0), MATCH(Curvas!AQ$2,'Fluxos de Recebimento'!$I$5:$BH$5, 0))+INDEX('Fluxos de Recebimento'!$I$65:$BH$116, MATCH(Curvas!$AB23, 'Fluxos de Recebimento'!$F$65:$F$116, 0), MATCH(Curvas!AQ$2, 'Fluxos de Recebimento'!$I$63:$BH$63, 0)),0)*INDEX($E:$E, MATCH(AQ$2, $B:$B, 0))</f>
        <v>3.0651340996168587E-4</v>
      </c>
      <c r="AR23" s="193">
        <f>IFERROR(INDEX('Fluxos de Recebimento'!$I$7:$BH$58, MATCH(Curvas!$AB23, 'Fluxos de Recebimento'!$F$7:$F$58, 0), MATCH(Curvas!AR$2,'Fluxos de Recebimento'!$I$5:$BH$5, 0))+INDEX('Fluxos de Recebimento'!$I$65:$BH$116, MATCH(Curvas!$AB23, 'Fluxos de Recebimento'!$F$65:$F$116, 0), MATCH(Curvas!AR$2, 'Fluxos de Recebimento'!$I$63:$BH$63, 0)),0)*INDEX($E:$E, MATCH(AR$2, $B:$B, 0))</f>
        <v>3.2840722495894916E-4</v>
      </c>
      <c r="AS23" s="193">
        <f>IFERROR(INDEX('Fluxos de Recebimento'!$I$7:$BH$58, MATCH(Curvas!$AB23, 'Fluxos de Recebimento'!$F$7:$F$58, 0), MATCH(Curvas!AS$2,'Fluxos de Recebimento'!$I$5:$BH$5, 0))+INDEX('Fluxos de Recebimento'!$I$65:$BH$116, MATCH(Curvas!$AB23, 'Fluxos de Recebimento'!$F$65:$F$116, 0), MATCH(Curvas!AS$2, 'Fluxos de Recebimento'!$I$63:$BH$63, 0)),0)*INDEX($E:$E, MATCH(AS$2, $B:$B, 0))</f>
        <v>3.5366931918656062E-4</v>
      </c>
      <c r="AT23" s="193">
        <f>IFERROR(INDEX('Fluxos de Recebimento'!$I$7:$BH$58, MATCH(Curvas!$AB23, 'Fluxos de Recebimento'!$F$7:$F$58, 0), MATCH(Curvas!AT$2,'Fluxos de Recebimento'!$I$5:$BH$5, 0))+INDEX('Fluxos de Recebimento'!$I$65:$BH$116, MATCH(Curvas!$AB23, 'Fluxos de Recebimento'!$F$65:$F$116, 0), MATCH(Curvas!AT$2, 'Fluxos de Recebimento'!$I$63:$BH$63, 0)),0)*INDEX($E:$E, MATCH(AT$2, $B:$B, 0))</f>
        <v>3.8314176245210735E-4</v>
      </c>
      <c r="AU23" s="193">
        <f>IFERROR(INDEX('Fluxos de Recebimento'!$I$7:$BH$58, MATCH(Curvas!$AB23, 'Fluxos de Recebimento'!$F$7:$F$58, 0), MATCH(Curvas!AU$2,'Fluxos de Recebimento'!$I$5:$BH$5, 0))+INDEX('Fluxos de Recebimento'!$I$65:$BH$116, MATCH(Curvas!$AB23, 'Fluxos de Recebimento'!$F$65:$F$116, 0), MATCH(Curvas!AU$2, 'Fluxos de Recebimento'!$I$63:$BH$63, 0)),0)*INDEX($E:$E, MATCH(AU$2, $B:$B, 0))</f>
        <v>4.1797283176593533E-4</v>
      </c>
      <c r="AV23" s="193">
        <f>IFERROR(INDEX('Fluxos de Recebimento'!$I$7:$BH$58, MATCH(Curvas!$AB23, 'Fluxos de Recebimento'!$F$7:$F$58, 0), MATCH(Curvas!AV$2,'Fluxos de Recebimento'!$I$5:$BH$5, 0))+INDEX('Fluxos de Recebimento'!$I$65:$BH$116, MATCH(Curvas!$AB23, 'Fluxos de Recebimento'!$F$65:$F$116, 0), MATCH(Curvas!AV$2, 'Fluxos de Recebimento'!$I$63:$BH$63, 0)),0)*INDEX($E:$E, MATCH(AV$2, $B:$B, 0))</f>
        <v>4.5977011494252883E-4</v>
      </c>
      <c r="AW23" s="193">
        <f>IFERROR(INDEX('Fluxos de Recebimento'!$I$7:$BH$58, MATCH(Curvas!$AB23, 'Fluxos de Recebimento'!$F$7:$F$58, 0), MATCH(Curvas!AW$2,'Fluxos de Recebimento'!$I$5:$BH$5, 0))+INDEX('Fluxos de Recebimento'!$I$65:$BH$116, MATCH(Curvas!$AB23, 'Fluxos de Recebimento'!$F$65:$F$116, 0), MATCH(Curvas!AW$2, 'Fluxos de Recebimento'!$I$63:$BH$63, 0)),0)*INDEX($E:$E, MATCH(AW$2, $B:$B, 0))</f>
        <v>1.149425287356322E-3</v>
      </c>
      <c r="AX23" s="193">
        <f>IFERROR(INDEX('Fluxos de Recebimento'!$I$7:$BH$58, MATCH(Curvas!$AB23, 'Fluxos de Recebimento'!$F$7:$F$58, 0), MATCH(Curvas!AX$2,'Fluxos de Recebimento'!$I$5:$BH$5, 0))+INDEX('Fluxos de Recebimento'!$I$65:$BH$116, MATCH(Curvas!$AB23, 'Fluxos de Recebimento'!$F$65:$F$116, 0), MATCH(Curvas!AX$2, 'Fluxos de Recebimento'!$I$63:$BH$63, 0)),0)*INDEX($E:$E, MATCH(AX$2, $B:$B, 0))</f>
        <v>0</v>
      </c>
      <c r="AY23" s="193">
        <f>IFERROR(INDEX('Fluxos de Recebimento'!$I$7:$BH$58, MATCH(Curvas!$AB23, 'Fluxos de Recebimento'!$F$7:$F$58, 0), MATCH(Curvas!AY$2,'Fluxos de Recebimento'!$I$5:$BH$5, 0))+INDEX('Fluxos de Recebimento'!$I$65:$BH$116, MATCH(Curvas!$AB23, 'Fluxos de Recebimento'!$F$65:$F$116, 0), MATCH(Curvas!AY$2, 'Fluxos de Recebimento'!$I$63:$BH$63, 0)),0)*INDEX($E:$E, MATCH(AY$2, $B:$B, 0))</f>
        <v>0</v>
      </c>
      <c r="AZ23" s="193">
        <f>IFERROR(INDEX('Fluxos de Recebimento'!$I$7:$BH$58, MATCH(Curvas!$AB23, 'Fluxos de Recebimento'!$F$7:$F$58, 0), MATCH(Curvas!AZ$2,'Fluxos de Recebimento'!$I$5:$BH$5, 0))+INDEX('Fluxos de Recebimento'!$I$65:$BH$116, MATCH(Curvas!$AB23, 'Fluxos de Recebimento'!$F$65:$F$116, 0), MATCH(Curvas!AZ$2, 'Fluxos de Recebimento'!$I$63:$BH$63, 0)),0)*INDEX($E:$E, MATCH(AZ$2, $B:$B, 0))</f>
        <v>0</v>
      </c>
      <c r="BA23" s="193">
        <f>IFERROR(INDEX('Fluxos de Recebimento'!$I$7:$BH$58, MATCH(Curvas!$AB23, 'Fluxos de Recebimento'!$F$7:$F$58, 0), MATCH(Curvas!BA$2,'Fluxos de Recebimento'!$I$5:$BH$5, 0))+INDEX('Fluxos de Recebimento'!$I$65:$BH$116, MATCH(Curvas!$AB23, 'Fluxos de Recebimento'!$F$65:$F$116, 0), MATCH(Curvas!BA$2, 'Fluxos de Recebimento'!$I$63:$BH$63, 0)),0)*INDEX($E:$E, MATCH(BA$2, $B:$B, 0))</f>
        <v>0</v>
      </c>
      <c r="BB23" s="193">
        <f>IFERROR(INDEX('Fluxos de Recebimento'!$I$7:$BH$58, MATCH(Curvas!$AB23, 'Fluxos de Recebimento'!$F$7:$F$58, 0), MATCH(Curvas!BB$2,'Fluxos de Recebimento'!$I$5:$BH$5, 0))+INDEX('Fluxos de Recebimento'!$I$65:$BH$116, MATCH(Curvas!$AB23, 'Fluxos de Recebimento'!$F$65:$F$116, 0), MATCH(Curvas!BB$2, 'Fluxos de Recebimento'!$I$63:$BH$63, 0)),0)*INDEX($E:$E, MATCH(BB$2, $B:$B, 0))</f>
        <v>0</v>
      </c>
      <c r="BC23" s="193">
        <f>IFERROR(INDEX('Fluxos de Recebimento'!$I$7:$BH$58, MATCH(Curvas!$AB23, 'Fluxos de Recebimento'!$F$7:$F$58, 0), MATCH(Curvas!BC$2,'Fluxos de Recebimento'!$I$5:$BH$5, 0))+INDEX('Fluxos de Recebimento'!$I$65:$BH$116, MATCH(Curvas!$AB23, 'Fluxos de Recebimento'!$F$65:$F$116, 0), MATCH(Curvas!BC$2, 'Fluxos de Recebimento'!$I$63:$BH$63, 0)),0)*INDEX($E:$E, MATCH(BC$2, $B:$B, 0))</f>
        <v>0</v>
      </c>
      <c r="BD23" s="193">
        <f>IFERROR(INDEX('Fluxos de Recebimento'!$I$7:$BH$58, MATCH(Curvas!$AB23, 'Fluxos de Recebimento'!$F$7:$F$58, 0), MATCH(Curvas!BD$2,'Fluxos de Recebimento'!$I$5:$BH$5, 0))+INDEX('Fluxos de Recebimento'!$I$65:$BH$116, MATCH(Curvas!$AB23, 'Fluxos de Recebimento'!$F$65:$F$116, 0), MATCH(Curvas!BD$2, 'Fluxos de Recebimento'!$I$63:$BH$63, 0)),0)*INDEX($E:$E, MATCH(BD$2, $B:$B, 0))</f>
        <v>0</v>
      </c>
      <c r="BE23" s="193">
        <f>IFERROR(INDEX('Fluxos de Recebimento'!$I$7:$BH$58, MATCH(Curvas!$AB23, 'Fluxos de Recebimento'!$F$7:$F$58, 0), MATCH(Curvas!BE$2,'Fluxos de Recebimento'!$I$5:$BH$5, 0))+INDEX('Fluxos de Recebimento'!$I$65:$BH$116, MATCH(Curvas!$AB23, 'Fluxos de Recebimento'!$F$65:$F$116, 0), MATCH(Curvas!BE$2, 'Fluxos de Recebimento'!$I$63:$BH$63, 0)),0)*INDEX($E:$E, MATCH(BE$2, $B:$B, 0))</f>
        <v>0</v>
      </c>
      <c r="BF23" s="193">
        <f>IFERROR(INDEX('Fluxos de Recebimento'!$I$7:$BH$58, MATCH(Curvas!$AB23, 'Fluxos de Recebimento'!$F$7:$F$58, 0), MATCH(Curvas!BF$2,'Fluxos de Recebimento'!$I$5:$BH$5, 0))+INDEX('Fluxos de Recebimento'!$I$65:$BH$116, MATCH(Curvas!$AB23, 'Fluxos de Recebimento'!$F$65:$F$116, 0), MATCH(Curvas!BF$2, 'Fluxos de Recebimento'!$I$63:$BH$63, 0)),0)*INDEX($E:$E, MATCH(BF$2, $B:$B, 0))</f>
        <v>0</v>
      </c>
      <c r="BG23" s="193">
        <f>IFERROR(INDEX('Fluxos de Recebimento'!$I$7:$BH$58, MATCH(Curvas!$AB23, 'Fluxos de Recebimento'!$F$7:$F$58, 0), MATCH(Curvas!BG$2,'Fluxos de Recebimento'!$I$5:$BH$5, 0))+INDEX('Fluxos de Recebimento'!$I$65:$BH$116, MATCH(Curvas!$AB23, 'Fluxos de Recebimento'!$F$65:$F$116, 0), MATCH(Curvas!BG$2, 'Fluxos de Recebimento'!$I$63:$BH$63, 0)),0)*INDEX($E:$E, MATCH(BG$2, $B:$B, 0))</f>
        <v>0</v>
      </c>
      <c r="BH23" s="193">
        <f>IFERROR(INDEX('Fluxos de Recebimento'!$I$7:$BH$58, MATCH(Curvas!$AB23, 'Fluxos de Recebimento'!$F$7:$F$58, 0), MATCH(Curvas!BH$2,'Fluxos de Recebimento'!$I$5:$BH$5, 0))+INDEX('Fluxos de Recebimento'!$I$65:$BH$116, MATCH(Curvas!$AB23, 'Fluxos de Recebimento'!$F$65:$F$116, 0), MATCH(Curvas!BH$2, 'Fluxos de Recebimento'!$I$63:$BH$63, 0)),0)*INDEX($E:$E, MATCH(BH$2, $B:$B, 0))</f>
        <v>0</v>
      </c>
      <c r="BI23" s="193">
        <f>IFERROR(INDEX('Fluxos de Recebimento'!$I$7:$BH$58, MATCH(Curvas!$AB23, 'Fluxos de Recebimento'!$F$7:$F$58, 0), MATCH(Curvas!BI$2,'Fluxos de Recebimento'!$I$5:$BH$5, 0))+INDEX('Fluxos de Recebimento'!$I$65:$BH$116, MATCH(Curvas!$AB23, 'Fluxos de Recebimento'!$F$65:$F$116, 0), MATCH(Curvas!BI$2, 'Fluxos de Recebimento'!$I$63:$BH$63, 0)),0)*INDEX($E:$E, MATCH(BI$2, $B:$B, 0))</f>
        <v>0</v>
      </c>
      <c r="BJ23" s="193">
        <f>IFERROR(INDEX('Fluxos de Recebimento'!$I$7:$BH$58, MATCH(Curvas!$AB23, 'Fluxos de Recebimento'!$F$7:$F$58, 0), MATCH(Curvas!BJ$2,'Fluxos de Recebimento'!$I$5:$BH$5, 0))+INDEX('Fluxos de Recebimento'!$I$65:$BH$116, MATCH(Curvas!$AB23, 'Fluxos de Recebimento'!$F$65:$F$116, 0), MATCH(Curvas!BJ$2, 'Fluxos de Recebimento'!$I$63:$BH$63, 0)),0)*INDEX($E:$E, MATCH(BJ$2, $B:$B, 0))</f>
        <v>0</v>
      </c>
      <c r="BK23" s="193">
        <f>IFERROR(INDEX('Fluxos de Recebimento'!$I$7:$BH$58, MATCH(Curvas!$AB23, 'Fluxos de Recebimento'!$F$7:$F$58, 0), MATCH(Curvas!BK$2,'Fluxos de Recebimento'!$I$5:$BH$5, 0))+INDEX('Fluxos de Recebimento'!$I$65:$BH$116, MATCH(Curvas!$AB23, 'Fluxos de Recebimento'!$F$65:$F$116, 0), MATCH(Curvas!BK$2, 'Fluxos de Recebimento'!$I$63:$BH$63, 0)),0)*INDEX($E:$E, MATCH(BK$2, $B:$B, 0))</f>
        <v>0</v>
      </c>
      <c r="BL23" s="193">
        <f>IFERROR(INDEX('Fluxos de Recebimento'!$I$7:$BH$58, MATCH(Curvas!$AB23, 'Fluxos de Recebimento'!$F$7:$F$58, 0), MATCH(Curvas!BL$2,'Fluxos de Recebimento'!$I$5:$BH$5, 0))+INDEX('Fluxos de Recebimento'!$I$65:$BH$116, MATCH(Curvas!$AB23, 'Fluxos de Recebimento'!$F$65:$F$116, 0), MATCH(Curvas!BL$2, 'Fluxos de Recebimento'!$I$63:$BH$63, 0)),0)*INDEX($E:$E, MATCH(BL$2, $B:$B, 0))</f>
        <v>0</v>
      </c>
      <c r="BM23" s="193">
        <f>IFERROR(INDEX('Fluxos de Recebimento'!$I$7:$BH$58, MATCH(Curvas!$AB23, 'Fluxos de Recebimento'!$F$7:$F$58, 0), MATCH(Curvas!BM$2,'Fluxos de Recebimento'!$I$5:$BH$5, 0))+INDEX('Fluxos de Recebimento'!$I$65:$BH$116, MATCH(Curvas!$AB23, 'Fluxos de Recebimento'!$F$65:$F$116, 0), MATCH(Curvas!BM$2, 'Fluxos de Recebimento'!$I$63:$BH$63, 0)),0)*INDEX($E:$E, MATCH(BM$2, $B:$B, 0))</f>
        <v>0</v>
      </c>
      <c r="BN23" s="193">
        <f>IFERROR(INDEX('Fluxos de Recebimento'!$I$7:$BH$58, MATCH(Curvas!$AB23, 'Fluxos de Recebimento'!$F$7:$F$58, 0), MATCH(Curvas!BN$2,'Fluxos de Recebimento'!$I$5:$BH$5, 0))+INDEX('Fluxos de Recebimento'!$I$65:$BH$116, MATCH(Curvas!$AB23, 'Fluxos de Recebimento'!$F$65:$F$116, 0), MATCH(Curvas!BN$2, 'Fluxos de Recebimento'!$I$63:$BH$63, 0)),0)*INDEX($E:$E, MATCH(BN$2, $B:$B, 0))</f>
        <v>0</v>
      </c>
      <c r="BO23" s="193">
        <f>IFERROR(INDEX('Fluxos de Recebimento'!$I$7:$BH$58, MATCH(Curvas!$AB23, 'Fluxos de Recebimento'!$F$7:$F$58, 0), MATCH(Curvas!BO$2,'Fluxos de Recebimento'!$I$5:$BH$5, 0))+INDEX('Fluxos de Recebimento'!$I$65:$BH$116, MATCH(Curvas!$AB23, 'Fluxos de Recebimento'!$F$65:$F$116, 0), MATCH(Curvas!BO$2, 'Fluxos de Recebimento'!$I$63:$BH$63, 0)),0)*INDEX($E:$E, MATCH(BO$2, $B:$B, 0))</f>
        <v>0</v>
      </c>
      <c r="BP23" s="193">
        <f>IFERROR(INDEX('Fluxos de Recebimento'!$I$7:$BH$58, MATCH(Curvas!$AB23, 'Fluxos de Recebimento'!$F$7:$F$58, 0), MATCH(Curvas!BP$2,'Fluxos de Recebimento'!$I$5:$BH$5, 0))+INDEX('Fluxos de Recebimento'!$I$65:$BH$116, MATCH(Curvas!$AB23, 'Fluxos de Recebimento'!$F$65:$F$116, 0), MATCH(Curvas!BP$2, 'Fluxos de Recebimento'!$I$63:$BH$63, 0)),0)*INDEX($E:$E, MATCH(BP$2, $B:$B, 0))</f>
        <v>0</v>
      </c>
      <c r="BQ23" s="193">
        <f>IFERROR(INDEX('Fluxos de Recebimento'!$I$7:$BH$58, MATCH(Curvas!$AB23, 'Fluxos de Recebimento'!$F$7:$F$58, 0), MATCH(Curvas!BQ$2,'Fluxos de Recebimento'!$I$5:$BH$5, 0))+INDEX('Fluxos de Recebimento'!$I$65:$BH$116, MATCH(Curvas!$AB23, 'Fluxos de Recebimento'!$F$65:$F$116, 0), MATCH(Curvas!BQ$2, 'Fluxos de Recebimento'!$I$63:$BH$63, 0)),0)*INDEX($E:$E, MATCH(BQ$2, $B:$B, 0))</f>
        <v>0</v>
      </c>
      <c r="BR23" s="193">
        <f>IFERROR(INDEX('Fluxos de Recebimento'!$I$7:$BH$58, MATCH(Curvas!$AB23, 'Fluxos de Recebimento'!$F$7:$F$58, 0), MATCH(Curvas!BR$2,'Fluxos de Recebimento'!$I$5:$BH$5, 0))+INDEX('Fluxos de Recebimento'!$I$65:$BH$116, MATCH(Curvas!$AB23, 'Fluxos de Recebimento'!$F$65:$F$116, 0), MATCH(Curvas!BR$2, 'Fluxos de Recebimento'!$I$63:$BH$63, 0)),0)*INDEX($E:$E, MATCH(BR$2, $B:$B, 0))</f>
        <v>0</v>
      </c>
      <c r="BS23" s="193">
        <f>IFERROR(INDEX('Fluxos de Recebimento'!$I$7:$BH$58, MATCH(Curvas!$AB23, 'Fluxos de Recebimento'!$F$7:$F$58, 0), MATCH(Curvas!BS$2,'Fluxos de Recebimento'!$I$5:$BH$5, 0))+INDEX('Fluxos de Recebimento'!$I$65:$BH$116, MATCH(Curvas!$AB23, 'Fluxos de Recebimento'!$F$65:$F$116, 0), MATCH(Curvas!BS$2, 'Fluxos de Recebimento'!$I$63:$BH$63, 0)),0)*INDEX($E:$E, MATCH(BS$2, $B:$B, 0))</f>
        <v>0</v>
      </c>
      <c r="BT23" s="193">
        <f>IFERROR(INDEX('Fluxos de Recebimento'!$I$7:$BH$58, MATCH(Curvas!$AB23, 'Fluxos de Recebimento'!$F$7:$F$58, 0), MATCH(Curvas!BT$2,'Fluxos de Recebimento'!$I$5:$BH$5, 0))+INDEX('Fluxos de Recebimento'!$I$65:$BH$116, MATCH(Curvas!$AB23, 'Fluxos de Recebimento'!$F$65:$F$116, 0), MATCH(Curvas!BT$2, 'Fluxos de Recebimento'!$I$63:$BH$63, 0)),0)*INDEX($E:$E, MATCH(BT$2, $B:$B, 0))</f>
        <v>0</v>
      </c>
      <c r="BU23" s="193">
        <f>IFERROR(INDEX('Fluxos de Recebimento'!$I$7:$BH$58, MATCH(Curvas!$AB23, 'Fluxos de Recebimento'!$F$7:$F$58, 0), MATCH(Curvas!BU$2,'Fluxos de Recebimento'!$I$5:$BH$5, 0))+INDEX('Fluxos de Recebimento'!$I$65:$BH$116, MATCH(Curvas!$AB23, 'Fluxos de Recebimento'!$F$65:$F$116, 0), MATCH(Curvas!BU$2, 'Fluxos de Recebimento'!$I$63:$BH$63, 0)),0)*INDEX($E:$E, MATCH(BU$2, $B:$B, 0))</f>
        <v>0</v>
      </c>
      <c r="BV23" s="193">
        <f>IFERROR(INDEX('Fluxos de Recebimento'!$I$7:$BH$58, MATCH(Curvas!$AB23, 'Fluxos de Recebimento'!$F$7:$F$58, 0), MATCH(Curvas!BV$2,'Fluxos de Recebimento'!$I$5:$BH$5, 0))+INDEX('Fluxos de Recebimento'!$I$65:$BH$116, MATCH(Curvas!$AB23, 'Fluxos de Recebimento'!$F$65:$F$116, 0), MATCH(Curvas!BV$2, 'Fluxos de Recebimento'!$I$63:$BH$63, 0)),0)*INDEX($E:$E, MATCH(BV$2, $B:$B, 0))</f>
        <v>0</v>
      </c>
      <c r="BW23" s="193">
        <f>IFERROR(INDEX('Fluxos de Recebimento'!$I$7:$BH$58, MATCH(Curvas!$AB23, 'Fluxos de Recebimento'!$F$7:$F$58, 0), MATCH(Curvas!BW$2,'Fluxos de Recebimento'!$I$5:$BH$5, 0))+INDEX('Fluxos de Recebimento'!$I$65:$BH$116, MATCH(Curvas!$AB23, 'Fluxos de Recebimento'!$F$65:$F$116, 0), MATCH(Curvas!BW$2, 'Fluxos de Recebimento'!$I$63:$BH$63, 0)),0)*INDEX($E:$E, MATCH(BW$2, $B:$B, 0))</f>
        <v>0</v>
      </c>
      <c r="BX23" s="193">
        <f>IFERROR(INDEX('Fluxos de Recebimento'!$I$7:$BH$58, MATCH(Curvas!$AB23, 'Fluxos de Recebimento'!$F$7:$F$58, 0), MATCH(Curvas!BX$2,'Fluxos de Recebimento'!$I$5:$BH$5, 0))+INDEX('Fluxos de Recebimento'!$I$65:$BH$116, MATCH(Curvas!$AB23, 'Fluxos de Recebimento'!$F$65:$F$116, 0), MATCH(Curvas!BX$2, 'Fluxos de Recebimento'!$I$63:$BH$63, 0)),0)*INDEX($E:$E, MATCH(BX$2, $B:$B, 0))</f>
        <v>0</v>
      </c>
      <c r="BY23" s="193">
        <f>IFERROR(INDEX('Fluxos de Recebimento'!$I$7:$BH$58, MATCH(Curvas!$AB23, 'Fluxos de Recebimento'!$F$7:$F$58, 0), MATCH(Curvas!BY$2,'Fluxos de Recebimento'!$I$5:$BH$5, 0))+INDEX('Fluxos de Recebimento'!$I$65:$BH$116, MATCH(Curvas!$AB23, 'Fluxos de Recebimento'!$F$65:$F$116, 0), MATCH(Curvas!BY$2, 'Fluxos de Recebimento'!$I$63:$BH$63, 0)),0)*INDEX($E:$E, MATCH(BY$2, $B:$B, 0))</f>
        <v>0</v>
      </c>
      <c r="BZ23" s="193">
        <f>IFERROR(INDEX('Fluxos de Recebimento'!$I$7:$BH$58, MATCH(Curvas!$AB23, 'Fluxos de Recebimento'!$F$7:$F$58, 0), MATCH(Curvas!BZ$2,'Fluxos de Recebimento'!$I$5:$BH$5, 0))+INDEX('Fluxos de Recebimento'!$I$65:$BH$116, MATCH(Curvas!$AB23, 'Fluxos de Recebimento'!$F$65:$F$116, 0), MATCH(Curvas!BZ$2, 'Fluxos de Recebimento'!$I$63:$BH$63, 0)),0)*INDEX($E:$E, MATCH(BZ$2, $B:$B, 0))</f>
        <v>0</v>
      </c>
      <c r="CA23" s="193">
        <f>IFERROR(INDEX('Fluxos de Recebimento'!$I$7:$BH$58, MATCH(Curvas!$AB23, 'Fluxos de Recebimento'!$F$7:$F$58, 0), MATCH(Curvas!CA$2,'Fluxos de Recebimento'!$I$5:$BH$5, 0))+INDEX('Fluxos de Recebimento'!$I$65:$BH$116, MATCH(Curvas!$AB23, 'Fluxos de Recebimento'!$F$65:$F$116, 0), MATCH(Curvas!CA$2, 'Fluxos de Recebimento'!$I$63:$BH$63, 0)),0)*INDEX($E:$E, MATCH(CA$2, $B:$B, 0))</f>
        <v>0</v>
      </c>
      <c r="CB23" s="193">
        <f>IFERROR(INDEX('Fluxos de Recebimento'!$I$7:$BH$58, MATCH(Curvas!$AB23, 'Fluxos de Recebimento'!$F$7:$F$58, 0), MATCH(Curvas!CB$2,'Fluxos de Recebimento'!$I$5:$BH$5, 0))+INDEX('Fluxos de Recebimento'!$I$65:$BH$116, MATCH(Curvas!$AB23, 'Fluxos de Recebimento'!$F$65:$F$116, 0), MATCH(Curvas!CB$2, 'Fluxos de Recebimento'!$I$63:$BH$63, 0)),0)*INDEX($E:$E, MATCH(CB$2, $B:$B, 0))</f>
        <v>0</v>
      </c>
      <c r="CC23" s="193">
        <f>IFERROR(INDEX('Fluxos de Recebimento'!$I$7:$BH$58, MATCH(Curvas!$AB23, 'Fluxos de Recebimento'!$F$7:$F$58, 0), MATCH(Curvas!CC$2,'Fluxos de Recebimento'!$I$5:$BH$5, 0))+INDEX('Fluxos de Recebimento'!$I$65:$BH$116, MATCH(Curvas!$AB23, 'Fluxos de Recebimento'!$F$65:$F$116, 0), MATCH(Curvas!CC$2, 'Fluxos de Recebimento'!$I$63:$BH$63, 0)),0)*INDEX($E:$E, MATCH(CC$2, $B:$B, 0))</f>
        <v>0</v>
      </c>
    </row>
    <row r="24" spans="1:81" x14ac:dyDescent="0.25">
      <c r="A24" s="2"/>
      <c r="B24" s="477">
        <f t="shared" si="16"/>
        <v>44774</v>
      </c>
      <c r="C24" s="52">
        <f t="shared" si="17"/>
        <v>21</v>
      </c>
      <c r="D24" s="2"/>
      <c r="E24" s="187">
        <f t="shared" si="4"/>
        <v>2.298850574712644E-2</v>
      </c>
      <c r="F24" s="48">
        <f t="shared" si="18"/>
        <v>0.48275862068965547</v>
      </c>
      <c r="G24" s="46">
        <f t="shared" ca="1" si="5"/>
        <v>0</v>
      </c>
      <c r="H24" s="48">
        <f t="shared" ca="1" si="19"/>
        <v>0</v>
      </c>
      <c r="I24" s="2"/>
      <c r="J24" s="69">
        <f t="shared" si="6"/>
        <v>16</v>
      </c>
      <c r="K24" s="479">
        <f t="shared" ca="1" si="7"/>
        <v>0</v>
      </c>
      <c r="L24" s="70">
        <f t="shared" ca="1" si="8"/>
        <v>16</v>
      </c>
      <c r="M24" s="2"/>
      <c r="N24" s="69">
        <f t="shared" si="9"/>
        <v>21</v>
      </c>
      <c r="O24" s="479">
        <f t="shared" si="10"/>
        <v>0</v>
      </c>
      <c r="P24" s="70">
        <f t="shared" si="11"/>
        <v>21</v>
      </c>
      <c r="Q24" s="2"/>
      <c r="R24" s="71">
        <f t="shared" si="12"/>
        <v>37</v>
      </c>
      <c r="S24" s="196"/>
      <c r="T24" s="46">
        <v>4.8824055568856869E-2</v>
      </c>
      <c r="U24" s="48">
        <f t="shared" si="20"/>
        <v>0.47498393776296177</v>
      </c>
      <c r="V24" s="2"/>
      <c r="W24" s="56"/>
      <c r="X24" s="48"/>
      <c r="Y24" s="2"/>
      <c r="Z24" s="194">
        <f t="shared" si="13"/>
        <v>6.7094891775136799E-3</v>
      </c>
      <c r="AA24" s="2"/>
      <c r="AB24" s="477">
        <f t="shared" si="14"/>
        <v>44774</v>
      </c>
      <c r="AC24" s="52">
        <f t="shared" si="15"/>
        <v>21</v>
      </c>
      <c r="AD24" s="193">
        <f>IFERROR(INDEX('Fluxos de Recebimento'!$I$7:$BH$58, MATCH(Curvas!$AB24, 'Fluxos de Recebimento'!$F$7:$F$58, 0), MATCH(Curvas!AD$2,'Fluxos de Recebimento'!$I$5:$BH$5, 0))+INDEX('Fluxos de Recebimento'!$I$65:$BH$116, MATCH(Curvas!$AB24, 'Fluxos de Recebimento'!$F$65:$F$116, 0), MATCH(Curvas!AD$2, 'Fluxos de Recebimento'!$I$63:$BH$63, 0)),0)*INDEX($E:$E, MATCH(AD$2, $B:$B, 0))</f>
        <v>1.6420361247947458E-4</v>
      </c>
      <c r="AE24" s="193">
        <f>IFERROR(INDEX('Fluxos de Recebimento'!$I$7:$BH$58, MATCH(Curvas!$AB24, 'Fluxos de Recebimento'!$F$7:$F$58, 0), MATCH(Curvas!AE$2,'Fluxos de Recebimento'!$I$5:$BH$5, 0))+INDEX('Fluxos de Recebimento'!$I$65:$BH$116, MATCH(Curvas!$AB24, 'Fluxos de Recebimento'!$F$65:$F$116, 0), MATCH(Curvas!AE$2, 'Fluxos de Recebimento'!$I$63:$BH$63, 0)),0)*INDEX($E:$E, MATCH(AE$2, $B:$B, 0))</f>
        <v>1.7028522775649216E-4</v>
      </c>
      <c r="AF24" s="193">
        <f>IFERROR(INDEX('Fluxos de Recebimento'!$I$7:$BH$58, MATCH(Curvas!$AB24, 'Fluxos de Recebimento'!$F$7:$F$58, 0), MATCH(Curvas!AF$2,'Fluxos de Recebimento'!$I$5:$BH$5, 0))+INDEX('Fluxos de Recebimento'!$I$65:$BH$116, MATCH(Curvas!$AB24, 'Fluxos de Recebimento'!$F$65:$F$116, 0), MATCH(Curvas!AF$2, 'Fluxos de Recebimento'!$I$63:$BH$63, 0)),0)*INDEX($E:$E, MATCH(AF$2, $B:$B, 0))</f>
        <v>1.7683465959328031E-4</v>
      </c>
      <c r="AG24" s="193">
        <f>IFERROR(INDEX('Fluxos de Recebimento'!$I$7:$BH$58, MATCH(Curvas!$AB24, 'Fluxos de Recebimento'!$F$7:$F$58, 0), MATCH(Curvas!AG$2,'Fluxos de Recebimento'!$I$5:$BH$5, 0))+INDEX('Fluxos de Recebimento'!$I$65:$BH$116, MATCH(Curvas!$AB24, 'Fluxos de Recebimento'!$F$65:$F$116, 0), MATCH(Curvas!AG$2, 'Fluxos de Recebimento'!$I$63:$BH$63, 0)),0)*INDEX($E:$E, MATCH(AG$2, $B:$B, 0))</f>
        <v>1.8390804597701152E-4</v>
      </c>
      <c r="AH24" s="193">
        <f>IFERROR(INDEX('Fluxos de Recebimento'!$I$7:$BH$58, MATCH(Curvas!$AB24, 'Fluxos de Recebimento'!$F$7:$F$58, 0), MATCH(Curvas!AH$2,'Fluxos de Recebimento'!$I$5:$BH$5, 0))+INDEX('Fluxos de Recebimento'!$I$65:$BH$116, MATCH(Curvas!$AB24, 'Fluxos de Recebimento'!$F$65:$F$116, 0), MATCH(Curvas!AH$2, 'Fluxos de Recebimento'!$I$63:$BH$63, 0)),0)*INDEX($E:$E, MATCH(AH$2, $B:$B, 0))</f>
        <v>1.9157088122605367E-4</v>
      </c>
      <c r="AI24" s="193">
        <f>IFERROR(INDEX('Fluxos de Recebimento'!$I$7:$BH$58, MATCH(Curvas!$AB24, 'Fluxos de Recebimento'!$F$7:$F$58, 0), MATCH(Curvas!AI$2,'Fluxos de Recebimento'!$I$5:$BH$5, 0))+INDEX('Fluxos de Recebimento'!$I$65:$BH$116, MATCH(Curvas!$AB24, 'Fluxos de Recebimento'!$F$65:$F$116, 0), MATCH(Curvas!AI$2, 'Fluxos de Recebimento'!$I$63:$BH$63, 0)),0)*INDEX($E:$E, MATCH(AI$2, $B:$B, 0))</f>
        <v>1.9990004997501253E-4</v>
      </c>
      <c r="AJ24" s="193">
        <f>IFERROR(INDEX('Fluxos de Recebimento'!$I$7:$BH$58, MATCH(Curvas!$AB24, 'Fluxos de Recebimento'!$F$7:$F$58, 0), MATCH(Curvas!AJ$2,'Fluxos de Recebimento'!$I$5:$BH$5, 0))+INDEX('Fluxos de Recebimento'!$I$65:$BH$116, MATCH(Curvas!$AB24, 'Fluxos de Recebimento'!$F$65:$F$116, 0), MATCH(Curvas!AJ$2, 'Fluxos de Recebimento'!$I$63:$BH$63, 0)),0)*INDEX($E:$E, MATCH(AJ$2, $B:$B, 0))</f>
        <v>2.0898641588296767E-4</v>
      </c>
      <c r="AK24" s="193">
        <f>IFERROR(INDEX('Fluxos de Recebimento'!$I$7:$BH$58, MATCH(Curvas!$AB24, 'Fluxos de Recebimento'!$F$7:$F$58, 0), MATCH(Curvas!AK$2,'Fluxos de Recebimento'!$I$5:$BH$5, 0))+INDEX('Fluxos de Recebimento'!$I$65:$BH$116, MATCH(Curvas!$AB24, 'Fluxos de Recebimento'!$F$65:$F$116, 0), MATCH(Curvas!AK$2, 'Fluxos de Recebimento'!$I$63:$BH$63, 0)),0)*INDEX($E:$E, MATCH(AK$2, $B:$B, 0))</f>
        <v>2.1893814997263279E-4</v>
      </c>
      <c r="AL24" s="193">
        <f>IFERROR(INDEX('Fluxos de Recebimento'!$I$7:$BH$58, MATCH(Curvas!$AB24, 'Fluxos de Recebimento'!$F$7:$F$58, 0), MATCH(Curvas!AL$2,'Fluxos de Recebimento'!$I$5:$BH$5, 0))+INDEX('Fluxos de Recebimento'!$I$65:$BH$116, MATCH(Curvas!$AB24, 'Fluxos de Recebimento'!$F$65:$F$116, 0), MATCH(Curvas!AL$2, 'Fluxos de Recebimento'!$I$63:$BH$63, 0)),0)*INDEX($E:$E, MATCH(AL$2, $B:$B, 0))</f>
        <v>2.2988505747126441E-4</v>
      </c>
      <c r="AM24" s="193">
        <f>IFERROR(INDEX('Fluxos de Recebimento'!$I$7:$BH$58, MATCH(Curvas!$AB24, 'Fluxos de Recebimento'!$F$7:$F$58, 0), MATCH(Curvas!AM$2,'Fluxos de Recebimento'!$I$5:$BH$5, 0))+INDEX('Fluxos de Recebimento'!$I$65:$BH$116, MATCH(Curvas!$AB24, 'Fluxos de Recebimento'!$F$65:$F$116, 0), MATCH(Curvas!AM$2, 'Fluxos de Recebimento'!$I$63:$BH$63, 0)),0)*INDEX($E:$E, MATCH(AM$2, $B:$B, 0))</f>
        <v>2.4198427102238356E-4</v>
      </c>
      <c r="AN24" s="193">
        <f>IFERROR(INDEX('Fluxos de Recebimento'!$I$7:$BH$58, MATCH(Curvas!$AB24, 'Fluxos de Recebimento'!$F$7:$F$58, 0), MATCH(Curvas!AN$2,'Fluxos de Recebimento'!$I$5:$BH$5, 0))+INDEX('Fluxos de Recebimento'!$I$65:$BH$116, MATCH(Curvas!$AB24, 'Fluxos de Recebimento'!$F$65:$F$116, 0), MATCH(Curvas!AN$2, 'Fluxos de Recebimento'!$I$63:$BH$63, 0)),0)*INDEX($E:$E, MATCH(AN$2, $B:$B, 0))</f>
        <v>2.5542784163473821E-4</v>
      </c>
      <c r="AO24" s="193">
        <f>IFERROR(INDEX('Fluxos de Recebimento'!$I$7:$BH$58, MATCH(Curvas!$AB24, 'Fluxos de Recebimento'!$F$7:$F$58, 0), MATCH(Curvas!AO$2,'Fluxos de Recebimento'!$I$5:$BH$5, 0))+INDEX('Fluxos de Recebimento'!$I$65:$BH$116, MATCH(Curvas!$AB24, 'Fluxos de Recebimento'!$F$65:$F$116, 0), MATCH(Curvas!AO$2, 'Fluxos de Recebimento'!$I$63:$BH$63, 0)),0)*INDEX($E:$E, MATCH(AO$2, $B:$B, 0))</f>
        <v>2.7045300878972284E-4</v>
      </c>
      <c r="AP24" s="193">
        <f>IFERROR(INDEX('Fluxos de Recebimento'!$I$7:$BH$58, MATCH(Curvas!$AB24, 'Fluxos de Recebimento'!$F$7:$F$58, 0), MATCH(Curvas!AP$2,'Fluxos de Recebimento'!$I$5:$BH$5, 0))+INDEX('Fluxos de Recebimento'!$I$65:$BH$116, MATCH(Curvas!$AB24, 'Fluxos de Recebimento'!$F$65:$F$116, 0), MATCH(Curvas!AP$2, 'Fluxos de Recebimento'!$I$63:$BH$63, 0)),0)*INDEX($E:$E, MATCH(AP$2, $B:$B, 0))</f>
        <v>2.8735632183908051E-4</v>
      </c>
      <c r="AQ24" s="193">
        <f>IFERROR(INDEX('Fluxos de Recebimento'!$I$7:$BH$58, MATCH(Curvas!$AB24, 'Fluxos de Recebimento'!$F$7:$F$58, 0), MATCH(Curvas!AQ$2,'Fluxos de Recebimento'!$I$5:$BH$5, 0))+INDEX('Fluxos de Recebimento'!$I$65:$BH$116, MATCH(Curvas!$AB24, 'Fluxos de Recebimento'!$F$65:$F$116, 0), MATCH(Curvas!AQ$2, 'Fluxos de Recebimento'!$I$63:$BH$63, 0)),0)*INDEX($E:$E, MATCH(AQ$2, $B:$B, 0))</f>
        <v>3.0651340996168587E-4</v>
      </c>
      <c r="AR24" s="193">
        <f>IFERROR(INDEX('Fluxos de Recebimento'!$I$7:$BH$58, MATCH(Curvas!$AB24, 'Fluxos de Recebimento'!$F$7:$F$58, 0), MATCH(Curvas!AR$2,'Fluxos de Recebimento'!$I$5:$BH$5, 0))+INDEX('Fluxos de Recebimento'!$I$65:$BH$116, MATCH(Curvas!$AB24, 'Fluxos de Recebimento'!$F$65:$F$116, 0), MATCH(Curvas!AR$2, 'Fluxos de Recebimento'!$I$63:$BH$63, 0)),0)*INDEX($E:$E, MATCH(AR$2, $B:$B, 0))</f>
        <v>3.2840722495894916E-4</v>
      </c>
      <c r="AS24" s="193">
        <f>IFERROR(INDEX('Fluxos de Recebimento'!$I$7:$BH$58, MATCH(Curvas!$AB24, 'Fluxos de Recebimento'!$F$7:$F$58, 0), MATCH(Curvas!AS$2,'Fluxos de Recebimento'!$I$5:$BH$5, 0))+INDEX('Fluxos de Recebimento'!$I$65:$BH$116, MATCH(Curvas!$AB24, 'Fluxos de Recebimento'!$F$65:$F$116, 0), MATCH(Curvas!AS$2, 'Fluxos de Recebimento'!$I$63:$BH$63, 0)),0)*INDEX($E:$E, MATCH(AS$2, $B:$B, 0))</f>
        <v>3.5366931918656062E-4</v>
      </c>
      <c r="AT24" s="193">
        <f>IFERROR(INDEX('Fluxos de Recebimento'!$I$7:$BH$58, MATCH(Curvas!$AB24, 'Fluxos de Recebimento'!$F$7:$F$58, 0), MATCH(Curvas!AT$2,'Fluxos de Recebimento'!$I$5:$BH$5, 0))+INDEX('Fluxos de Recebimento'!$I$65:$BH$116, MATCH(Curvas!$AB24, 'Fluxos de Recebimento'!$F$65:$F$116, 0), MATCH(Curvas!AT$2, 'Fluxos de Recebimento'!$I$63:$BH$63, 0)),0)*INDEX($E:$E, MATCH(AT$2, $B:$B, 0))</f>
        <v>3.8314176245210735E-4</v>
      </c>
      <c r="AU24" s="193">
        <f>IFERROR(INDEX('Fluxos de Recebimento'!$I$7:$BH$58, MATCH(Curvas!$AB24, 'Fluxos de Recebimento'!$F$7:$F$58, 0), MATCH(Curvas!AU$2,'Fluxos de Recebimento'!$I$5:$BH$5, 0))+INDEX('Fluxos de Recebimento'!$I$65:$BH$116, MATCH(Curvas!$AB24, 'Fluxos de Recebimento'!$F$65:$F$116, 0), MATCH(Curvas!AU$2, 'Fluxos de Recebimento'!$I$63:$BH$63, 0)),0)*INDEX($E:$E, MATCH(AU$2, $B:$B, 0))</f>
        <v>4.1797283176593533E-4</v>
      </c>
      <c r="AV24" s="193">
        <f>IFERROR(INDEX('Fluxos de Recebimento'!$I$7:$BH$58, MATCH(Curvas!$AB24, 'Fluxos de Recebimento'!$F$7:$F$58, 0), MATCH(Curvas!AV$2,'Fluxos de Recebimento'!$I$5:$BH$5, 0))+INDEX('Fluxos de Recebimento'!$I$65:$BH$116, MATCH(Curvas!$AB24, 'Fluxos de Recebimento'!$F$65:$F$116, 0), MATCH(Curvas!AV$2, 'Fluxos de Recebimento'!$I$63:$BH$63, 0)),0)*INDEX($E:$E, MATCH(AV$2, $B:$B, 0))</f>
        <v>4.5977011494252883E-4</v>
      </c>
      <c r="AW24" s="193">
        <f>IFERROR(INDEX('Fluxos de Recebimento'!$I$7:$BH$58, MATCH(Curvas!$AB24, 'Fluxos de Recebimento'!$F$7:$F$58, 0), MATCH(Curvas!AW$2,'Fluxos de Recebimento'!$I$5:$BH$5, 0))+INDEX('Fluxos de Recebimento'!$I$65:$BH$116, MATCH(Curvas!$AB24, 'Fluxos de Recebimento'!$F$65:$F$116, 0), MATCH(Curvas!AW$2, 'Fluxos de Recebimento'!$I$63:$BH$63, 0)),0)*INDEX($E:$E, MATCH(AW$2, $B:$B, 0))</f>
        <v>5.1085568326947643E-4</v>
      </c>
      <c r="AX24" s="193">
        <f>IFERROR(INDEX('Fluxos de Recebimento'!$I$7:$BH$58, MATCH(Curvas!$AB24, 'Fluxos de Recebimento'!$F$7:$F$58, 0), MATCH(Curvas!AX$2,'Fluxos de Recebimento'!$I$5:$BH$5, 0))+INDEX('Fluxos de Recebimento'!$I$65:$BH$116, MATCH(Curvas!$AB24, 'Fluxos de Recebimento'!$F$65:$F$116, 0), MATCH(Curvas!AX$2, 'Fluxos de Recebimento'!$I$63:$BH$63, 0)),0)*INDEX($E:$E, MATCH(AX$2, $B:$B, 0))</f>
        <v>1.149425287356322E-3</v>
      </c>
      <c r="AY24" s="193">
        <f>IFERROR(INDEX('Fluxos de Recebimento'!$I$7:$BH$58, MATCH(Curvas!$AB24, 'Fluxos de Recebimento'!$F$7:$F$58, 0), MATCH(Curvas!AY$2,'Fluxos de Recebimento'!$I$5:$BH$5, 0))+INDEX('Fluxos de Recebimento'!$I$65:$BH$116, MATCH(Curvas!$AB24, 'Fluxos de Recebimento'!$F$65:$F$116, 0), MATCH(Curvas!AY$2, 'Fluxos de Recebimento'!$I$63:$BH$63, 0)),0)*INDEX($E:$E, MATCH(AY$2, $B:$B, 0))</f>
        <v>0</v>
      </c>
      <c r="AZ24" s="193">
        <f>IFERROR(INDEX('Fluxos de Recebimento'!$I$7:$BH$58, MATCH(Curvas!$AB24, 'Fluxos de Recebimento'!$F$7:$F$58, 0), MATCH(Curvas!AZ$2,'Fluxos de Recebimento'!$I$5:$BH$5, 0))+INDEX('Fluxos de Recebimento'!$I$65:$BH$116, MATCH(Curvas!$AB24, 'Fluxos de Recebimento'!$F$65:$F$116, 0), MATCH(Curvas!AZ$2, 'Fluxos de Recebimento'!$I$63:$BH$63, 0)),0)*INDEX($E:$E, MATCH(AZ$2, $B:$B, 0))</f>
        <v>0</v>
      </c>
      <c r="BA24" s="193">
        <f>IFERROR(INDEX('Fluxos de Recebimento'!$I$7:$BH$58, MATCH(Curvas!$AB24, 'Fluxos de Recebimento'!$F$7:$F$58, 0), MATCH(Curvas!BA$2,'Fluxos de Recebimento'!$I$5:$BH$5, 0))+INDEX('Fluxos de Recebimento'!$I$65:$BH$116, MATCH(Curvas!$AB24, 'Fluxos de Recebimento'!$F$65:$F$116, 0), MATCH(Curvas!BA$2, 'Fluxos de Recebimento'!$I$63:$BH$63, 0)),0)*INDEX($E:$E, MATCH(BA$2, $B:$B, 0))</f>
        <v>0</v>
      </c>
      <c r="BB24" s="193">
        <f>IFERROR(INDEX('Fluxos de Recebimento'!$I$7:$BH$58, MATCH(Curvas!$AB24, 'Fluxos de Recebimento'!$F$7:$F$58, 0), MATCH(Curvas!BB$2,'Fluxos de Recebimento'!$I$5:$BH$5, 0))+INDEX('Fluxos de Recebimento'!$I$65:$BH$116, MATCH(Curvas!$AB24, 'Fluxos de Recebimento'!$F$65:$F$116, 0), MATCH(Curvas!BB$2, 'Fluxos de Recebimento'!$I$63:$BH$63, 0)),0)*INDEX($E:$E, MATCH(BB$2, $B:$B, 0))</f>
        <v>0</v>
      </c>
      <c r="BC24" s="193">
        <f>IFERROR(INDEX('Fluxos de Recebimento'!$I$7:$BH$58, MATCH(Curvas!$AB24, 'Fluxos de Recebimento'!$F$7:$F$58, 0), MATCH(Curvas!BC$2,'Fluxos de Recebimento'!$I$5:$BH$5, 0))+INDEX('Fluxos de Recebimento'!$I$65:$BH$116, MATCH(Curvas!$AB24, 'Fluxos de Recebimento'!$F$65:$F$116, 0), MATCH(Curvas!BC$2, 'Fluxos de Recebimento'!$I$63:$BH$63, 0)),0)*INDEX($E:$E, MATCH(BC$2, $B:$B, 0))</f>
        <v>0</v>
      </c>
      <c r="BD24" s="193">
        <f>IFERROR(INDEX('Fluxos de Recebimento'!$I$7:$BH$58, MATCH(Curvas!$AB24, 'Fluxos de Recebimento'!$F$7:$F$58, 0), MATCH(Curvas!BD$2,'Fluxos de Recebimento'!$I$5:$BH$5, 0))+INDEX('Fluxos de Recebimento'!$I$65:$BH$116, MATCH(Curvas!$AB24, 'Fluxos de Recebimento'!$F$65:$F$116, 0), MATCH(Curvas!BD$2, 'Fluxos de Recebimento'!$I$63:$BH$63, 0)),0)*INDEX($E:$E, MATCH(BD$2, $B:$B, 0))</f>
        <v>0</v>
      </c>
      <c r="BE24" s="193">
        <f>IFERROR(INDEX('Fluxos de Recebimento'!$I$7:$BH$58, MATCH(Curvas!$AB24, 'Fluxos de Recebimento'!$F$7:$F$58, 0), MATCH(Curvas!BE$2,'Fluxos de Recebimento'!$I$5:$BH$5, 0))+INDEX('Fluxos de Recebimento'!$I$65:$BH$116, MATCH(Curvas!$AB24, 'Fluxos de Recebimento'!$F$65:$F$116, 0), MATCH(Curvas!BE$2, 'Fluxos de Recebimento'!$I$63:$BH$63, 0)),0)*INDEX($E:$E, MATCH(BE$2, $B:$B, 0))</f>
        <v>0</v>
      </c>
      <c r="BF24" s="193">
        <f>IFERROR(INDEX('Fluxos de Recebimento'!$I$7:$BH$58, MATCH(Curvas!$AB24, 'Fluxos de Recebimento'!$F$7:$F$58, 0), MATCH(Curvas!BF$2,'Fluxos de Recebimento'!$I$5:$BH$5, 0))+INDEX('Fluxos de Recebimento'!$I$65:$BH$116, MATCH(Curvas!$AB24, 'Fluxos de Recebimento'!$F$65:$F$116, 0), MATCH(Curvas!BF$2, 'Fluxos de Recebimento'!$I$63:$BH$63, 0)),0)*INDEX($E:$E, MATCH(BF$2, $B:$B, 0))</f>
        <v>0</v>
      </c>
      <c r="BG24" s="193">
        <f>IFERROR(INDEX('Fluxos de Recebimento'!$I$7:$BH$58, MATCH(Curvas!$AB24, 'Fluxos de Recebimento'!$F$7:$F$58, 0), MATCH(Curvas!BG$2,'Fluxos de Recebimento'!$I$5:$BH$5, 0))+INDEX('Fluxos de Recebimento'!$I$65:$BH$116, MATCH(Curvas!$AB24, 'Fluxos de Recebimento'!$F$65:$F$116, 0), MATCH(Curvas!BG$2, 'Fluxos de Recebimento'!$I$63:$BH$63, 0)),0)*INDEX($E:$E, MATCH(BG$2, $B:$B, 0))</f>
        <v>0</v>
      </c>
      <c r="BH24" s="193">
        <f>IFERROR(INDEX('Fluxos de Recebimento'!$I$7:$BH$58, MATCH(Curvas!$AB24, 'Fluxos de Recebimento'!$F$7:$F$58, 0), MATCH(Curvas!BH$2,'Fluxos de Recebimento'!$I$5:$BH$5, 0))+INDEX('Fluxos de Recebimento'!$I$65:$BH$116, MATCH(Curvas!$AB24, 'Fluxos de Recebimento'!$F$65:$F$116, 0), MATCH(Curvas!BH$2, 'Fluxos de Recebimento'!$I$63:$BH$63, 0)),0)*INDEX($E:$E, MATCH(BH$2, $B:$B, 0))</f>
        <v>0</v>
      </c>
      <c r="BI24" s="193">
        <f>IFERROR(INDEX('Fluxos de Recebimento'!$I$7:$BH$58, MATCH(Curvas!$AB24, 'Fluxos de Recebimento'!$F$7:$F$58, 0), MATCH(Curvas!BI$2,'Fluxos de Recebimento'!$I$5:$BH$5, 0))+INDEX('Fluxos de Recebimento'!$I$65:$BH$116, MATCH(Curvas!$AB24, 'Fluxos de Recebimento'!$F$65:$F$116, 0), MATCH(Curvas!BI$2, 'Fluxos de Recebimento'!$I$63:$BH$63, 0)),0)*INDEX($E:$E, MATCH(BI$2, $B:$B, 0))</f>
        <v>0</v>
      </c>
      <c r="BJ24" s="193">
        <f>IFERROR(INDEX('Fluxos de Recebimento'!$I$7:$BH$58, MATCH(Curvas!$AB24, 'Fluxos de Recebimento'!$F$7:$F$58, 0), MATCH(Curvas!BJ$2,'Fluxos de Recebimento'!$I$5:$BH$5, 0))+INDEX('Fluxos de Recebimento'!$I$65:$BH$116, MATCH(Curvas!$AB24, 'Fluxos de Recebimento'!$F$65:$F$116, 0), MATCH(Curvas!BJ$2, 'Fluxos de Recebimento'!$I$63:$BH$63, 0)),0)*INDEX($E:$E, MATCH(BJ$2, $B:$B, 0))</f>
        <v>0</v>
      </c>
      <c r="BK24" s="193">
        <f>IFERROR(INDEX('Fluxos de Recebimento'!$I$7:$BH$58, MATCH(Curvas!$AB24, 'Fluxos de Recebimento'!$F$7:$F$58, 0), MATCH(Curvas!BK$2,'Fluxos de Recebimento'!$I$5:$BH$5, 0))+INDEX('Fluxos de Recebimento'!$I$65:$BH$116, MATCH(Curvas!$AB24, 'Fluxos de Recebimento'!$F$65:$F$116, 0), MATCH(Curvas!BK$2, 'Fluxos de Recebimento'!$I$63:$BH$63, 0)),0)*INDEX($E:$E, MATCH(BK$2, $B:$B, 0))</f>
        <v>0</v>
      </c>
      <c r="BL24" s="193">
        <f>IFERROR(INDEX('Fluxos de Recebimento'!$I$7:$BH$58, MATCH(Curvas!$AB24, 'Fluxos de Recebimento'!$F$7:$F$58, 0), MATCH(Curvas!BL$2,'Fluxos de Recebimento'!$I$5:$BH$5, 0))+INDEX('Fluxos de Recebimento'!$I$65:$BH$116, MATCH(Curvas!$AB24, 'Fluxos de Recebimento'!$F$65:$F$116, 0), MATCH(Curvas!BL$2, 'Fluxos de Recebimento'!$I$63:$BH$63, 0)),0)*INDEX($E:$E, MATCH(BL$2, $B:$B, 0))</f>
        <v>0</v>
      </c>
      <c r="BM24" s="193">
        <f>IFERROR(INDEX('Fluxos de Recebimento'!$I$7:$BH$58, MATCH(Curvas!$AB24, 'Fluxos de Recebimento'!$F$7:$F$58, 0), MATCH(Curvas!BM$2,'Fluxos de Recebimento'!$I$5:$BH$5, 0))+INDEX('Fluxos de Recebimento'!$I$65:$BH$116, MATCH(Curvas!$AB24, 'Fluxos de Recebimento'!$F$65:$F$116, 0), MATCH(Curvas!BM$2, 'Fluxos de Recebimento'!$I$63:$BH$63, 0)),0)*INDEX($E:$E, MATCH(BM$2, $B:$B, 0))</f>
        <v>0</v>
      </c>
      <c r="BN24" s="193">
        <f>IFERROR(INDEX('Fluxos de Recebimento'!$I$7:$BH$58, MATCH(Curvas!$AB24, 'Fluxos de Recebimento'!$F$7:$F$58, 0), MATCH(Curvas!BN$2,'Fluxos de Recebimento'!$I$5:$BH$5, 0))+INDEX('Fluxos de Recebimento'!$I$65:$BH$116, MATCH(Curvas!$AB24, 'Fluxos de Recebimento'!$F$65:$F$116, 0), MATCH(Curvas!BN$2, 'Fluxos de Recebimento'!$I$63:$BH$63, 0)),0)*INDEX($E:$E, MATCH(BN$2, $B:$B, 0))</f>
        <v>0</v>
      </c>
      <c r="BO24" s="193">
        <f>IFERROR(INDEX('Fluxos de Recebimento'!$I$7:$BH$58, MATCH(Curvas!$AB24, 'Fluxos de Recebimento'!$F$7:$F$58, 0), MATCH(Curvas!BO$2,'Fluxos de Recebimento'!$I$5:$BH$5, 0))+INDEX('Fluxos de Recebimento'!$I$65:$BH$116, MATCH(Curvas!$AB24, 'Fluxos de Recebimento'!$F$65:$F$116, 0), MATCH(Curvas!BO$2, 'Fluxos de Recebimento'!$I$63:$BH$63, 0)),0)*INDEX($E:$E, MATCH(BO$2, $B:$B, 0))</f>
        <v>0</v>
      </c>
      <c r="BP24" s="193">
        <f>IFERROR(INDEX('Fluxos de Recebimento'!$I$7:$BH$58, MATCH(Curvas!$AB24, 'Fluxos de Recebimento'!$F$7:$F$58, 0), MATCH(Curvas!BP$2,'Fluxos de Recebimento'!$I$5:$BH$5, 0))+INDEX('Fluxos de Recebimento'!$I$65:$BH$116, MATCH(Curvas!$AB24, 'Fluxos de Recebimento'!$F$65:$F$116, 0), MATCH(Curvas!BP$2, 'Fluxos de Recebimento'!$I$63:$BH$63, 0)),0)*INDEX($E:$E, MATCH(BP$2, $B:$B, 0))</f>
        <v>0</v>
      </c>
      <c r="BQ24" s="193">
        <f>IFERROR(INDEX('Fluxos de Recebimento'!$I$7:$BH$58, MATCH(Curvas!$AB24, 'Fluxos de Recebimento'!$F$7:$F$58, 0), MATCH(Curvas!BQ$2,'Fluxos de Recebimento'!$I$5:$BH$5, 0))+INDEX('Fluxos de Recebimento'!$I$65:$BH$116, MATCH(Curvas!$AB24, 'Fluxos de Recebimento'!$F$65:$F$116, 0), MATCH(Curvas!BQ$2, 'Fluxos de Recebimento'!$I$63:$BH$63, 0)),0)*INDEX($E:$E, MATCH(BQ$2, $B:$B, 0))</f>
        <v>0</v>
      </c>
      <c r="BR24" s="193">
        <f>IFERROR(INDEX('Fluxos de Recebimento'!$I$7:$BH$58, MATCH(Curvas!$AB24, 'Fluxos de Recebimento'!$F$7:$F$58, 0), MATCH(Curvas!BR$2,'Fluxos de Recebimento'!$I$5:$BH$5, 0))+INDEX('Fluxos de Recebimento'!$I$65:$BH$116, MATCH(Curvas!$AB24, 'Fluxos de Recebimento'!$F$65:$F$116, 0), MATCH(Curvas!BR$2, 'Fluxos de Recebimento'!$I$63:$BH$63, 0)),0)*INDEX($E:$E, MATCH(BR$2, $B:$B, 0))</f>
        <v>0</v>
      </c>
      <c r="BS24" s="193">
        <f>IFERROR(INDEX('Fluxos de Recebimento'!$I$7:$BH$58, MATCH(Curvas!$AB24, 'Fluxos de Recebimento'!$F$7:$F$58, 0), MATCH(Curvas!BS$2,'Fluxos de Recebimento'!$I$5:$BH$5, 0))+INDEX('Fluxos de Recebimento'!$I$65:$BH$116, MATCH(Curvas!$AB24, 'Fluxos de Recebimento'!$F$65:$F$116, 0), MATCH(Curvas!BS$2, 'Fluxos de Recebimento'!$I$63:$BH$63, 0)),0)*INDEX($E:$E, MATCH(BS$2, $B:$B, 0))</f>
        <v>0</v>
      </c>
      <c r="BT24" s="193">
        <f>IFERROR(INDEX('Fluxos de Recebimento'!$I$7:$BH$58, MATCH(Curvas!$AB24, 'Fluxos de Recebimento'!$F$7:$F$58, 0), MATCH(Curvas!BT$2,'Fluxos de Recebimento'!$I$5:$BH$5, 0))+INDEX('Fluxos de Recebimento'!$I$65:$BH$116, MATCH(Curvas!$AB24, 'Fluxos de Recebimento'!$F$65:$F$116, 0), MATCH(Curvas!BT$2, 'Fluxos de Recebimento'!$I$63:$BH$63, 0)),0)*INDEX($E:$E, MATCH(BT$2, $B:$B, 0))</f>
        <v>0</v>
      </c>
      <c r="BU24" s="193">
        <f>IFERROR(INDEX('Fluxos de Recebimento'!$I$7:$BH$58, MATCH(Curvas!$AB24, 'Fluxos de Recebimento'!$F$7:$F$58, 0), MATCH(Curvas!BU$2,'Fluxos de Recebimento'!$I$5:$BH$5, 0))+INDEX('Fluxos de Recebimento'!$I$65:$BH$116, MATCH(Curvas!$AB24, 'Fluxos de Recebimento'!$F$65:$F$116, 0), MATCH(Curvas!BU$2, 'Fluxos de Recebimento'!$I$63:$BH$63, 0)),0)*INDEX($E:$E, MATCH(BU$2, $B:$B, 0))</f>
        <v>0</v>
      </c>
      <c r="BV24" s="193">
        <f>IFERROR(INDEX('Fluxos de Recebimento'!$I$7:$BH$58, MATCH(Curvas!$AB24, 'Fluxos de Recebimento'!$F$7:$F$58, 0), MATCH(Curvas!BV$2,'Fluxos de Recebimento'!$I$5:$BH$5, 0))+INDEX('Fluxos de Recebimento'!$I$65:$BH$116, MATCH(Curvas!$AB24, 'Fluxos de Recebimento'!$F$65:$F$116, 0), MATCH(Curvas!BV$2, 'Fluxos de Recebimento'!$I$63:$BH$63, 0)),0)*INDEX($E:$E, MATCH(BV$2, $B:$B, 0))</f>
        <v>0</v>
      </c>
      <c r="BW24" s="193">
        <f>IFERROR(INDEX('Fluxos de Recebimento'!$I$7:$BH$58, MATCH(Curvas!$AB24, 'Fluxos de Recebimento'!$F$7:$F$58, 0), MATCH(Curvas!BW$2,'Fluxos de Recebimento'!$I$5:$BH$5, 0))+INDEX('Fluxos de Recebimento'!$I$65:$BH$116, MATCH(Curvas!$AB24, 'Fluxos de Recebimento'!$F$65:$F$116, 0), MATCH(Curvas!BW$2, 'Fluxos de Recebimento'!$I$63:$BH$63, 0)),0)*INDEX($E:$E, MATCH(BW$2, $B:$B, 0))</f>
        <v>0</v>
      </c>
      <c r="BX24" s="193">
        <f>IFERROR(INDEX('Fluxos de Recebimento'!$I$7:$BH$58, MATCH(Curvas!$AB24, 'Fluxos de Recebimento'!$F$7:$F$58, 0), MATCH(Curvas!BX$2,'Fluxos de Recebimento'!$I$5:$BH$5, 0))+INDEX('Fluxos de Recebimento'!$I$65:$BH$116, MATCH(Curvas!$AB24, 'Fluxos de Recebimento'!$F$65:$F$116, 0), MATCH(Curvas!BX$2, 'Fluxos de Recebimento'!$I$63:$BH$63, 0)),0)*INDEX($E:$E, MATCH(BX$2, $B:$B, 0))</f>
        <v>0</v>
      </c>
      <c r="BY24" s="193">
        <f>IFERROR(INDEX('Fluxos de Recebimento'!$I$7:$BH$58, MATCH(Curvas!$AB24, 'Fluxos de Recebimento'!$F$7:$F$58, 0), MATCH(Curvas!BY$2,'Fluxos de Recebimento'!$I$5:$BH$5, 0))+INDEX('Fluxos de Recebimento'!$I$65:$BH$116, MATCH(Curvas!$AB24, 'Fluxos de Recebimento'!$F$65:$F$116, 0), MATCH(Curvas!BY$2, 'Fluxos de Recebimento'!$I$63:$BH$63, 0)),0)*INDEX($E:$E, MATCH(BY$2, $B:$B, 0))</f>
        <v>0</v>
      </c>
      <c r="BZ24" s="193">
        <f>IFERROR(INDEX('Fluxos de Recebimento'!$I$7:$BH$58, MATCH(Curvas!$AB24, 'Fluxos de Recebimento'!$F$7:$F$58, 0), MATCH(Curvas!BZ$2,'Fluxos de Recebimento'!$I$5:$BH$5, 0))+INDEX('Fluxos de Recebimento'!$I$65:$BH$116, MATCH(Curvas!$AB24, 'Fluxos de Recebimento'!$F$65:$F$116, 0), MATCH(Curvas!BZ$2, 'Fluxos de Recebimento'!$I$63:$BH$63, 0)),0)*INDEX($E:$E, MATCH(BZ$2, $B:$B, 0))</f>
        <v>0</v>
      </c>
      <c r="CA24" s="193">
        <f>IFERROR(INDEX('Fluxos de Recebimento'!$I$7:$BH$58, MATCH(Curvas!$AB24, 'Fluxos de Recebimento'!$F$7:$F$58, 0), MATCH(Curvas!CA$2,'Fluxos de Recebimento'!$I$5:$BH$5, 0))+INDEX('Fluxos de Recebimento'!$I$65:$BH$116, MATCH(Curvas!$AB24, 'Fluxos de Recebimento'!$F$65:$F$116, 0), MATCH(Curvas!CA$2, 'Fluxos de Recebimento'!$I$63:$BH$63, 0)),0)*INDEX($E:$E, MATCH(CA$2, $B:$B, 0))</f>
        <v>0</v>
      </c>
      <c r="CB24" s="193">
        <f>IFERROR(INDEX('Fluxos de Recebimento'!$I$7:$BH$58, MATCH(Curvas!$AB24, 'Fluxos de Recebimento'!$F$7:$F$58, 0), MATCH(Curvas!CB$2,'Fluxos de Recebimento'!$I$5:$BH$5, 0))+INDEX('Fluxos de Recebimento'!$I$65:$BH$116, MATCH(Curvas!$AB24, 'Fluxos de Recebimento'!$F$65:$F$116, 0), MATCH(Curvas!CB$2, 'Fluxos de Recebimento'!$I$63:$BH$63, 0)),0)*INDEX($E:$E, MATCH(CB$2, $B:$B, 0))</f>
        <v>0</v>
      </c>
      <c r="CC24" s="193">
        <f>IFERROR(INDEX('Fluxos de Recebimento'!$I$7:$BH$58, MATCH(Curvas!$AB24, 'Fluxos de Recebimento'!$F$7:$F$58, 0), MATCH(Curvas!CC$2,'Fluxos de Recebimento'!$I$5:$BH$5, 0))+INDEX('Fluxos de Recebimento'!$I$65:$BH$116, MATCH(Curvas!$AB24, 'Fluxos de Recebimento'!$F$65:$F$116, 0), MATCH(Curvas!CC$2, 'Fluxos de Recebimento'!$I$63:$BH$63, 0)),0)*INDEX($E:$E, MATCH(CC$2, $B:$B, 0))</f>
        <v>0</v>
      </c>
    </row>
    <row r="25" spans="1:81" x14ac:dyDescent="0.25">
      <c r="A25" s="2"/>
      <c r="B25" s="477">
        <f t="shared" si="16"/>
        <v>44805</v>
      </c>
      <c r="C25" s="52">
        <f t="shared" si="17"/>
        <v>22</v>
      </c>
      <c r="D25" s="2"/>
      <c r="E25" s="187">
        <f t="shared" si="4"/>
        <v>2.298850574712644E-2</v>
      </c>
      <c r="F25" s="48">
        <f t="shared" si="18"/>
        <v>0.50574712643678188</v>
      </c>
      <c r="G25" s="46">
        <f t="shared" ca="1" si="5"/>
        <v>0</v>
      </c>
      <c r="H25" s="48">
        <f t="shared" ca="1" si="19"/>
        <v>0</v>
      </c>
      <c r="I25" s="2"/>
      <c r="J25" s="69">
        <f t="shared" si="6"/>
        <v>16</v>
      </c>
      <c r="K25" s="479">
        <f t="shared" ca="1" si="7"/>
        <v>0</v>
      </c>
      <c r="L25" s="70">
        <f t="shared" ca="1" si="8"/>
        <v>16</v>
      </c>
      <c r="M25" s="2"/>
      <c r="N25" s="69">
        <f t="shared" si="9"/>
        <v>21</v>
      </c>
      <c r="O25" s="479">
        <f t="shared" si="10"/>
        <v>0</v>
      </c>
      <c r="P25" s="70">
        <f t="shared" si="11"/>
        <v>21</v>
      </c>
      <c r="Q25" s="2"/>
      <c r="R25" s="71">
        <f t="shared" si="12"/>
        <v>37</v>
      </c>
      <c r="S25" s="196"/>
      <c r="T25" s="46">
        <v>5.0896034774145803E-2</v>
      </c>
      <c r="U25" s="48">
        <f t="shared" si="20"/>
        <v>0.52587997253710761</v>
      </c>
      <c r="V25" s="2"/>
      <c r="W25" s="56"/>
      <c r="X25" s="48"/>
      <c r="Y25" s="2"/>
      <c r="Z25" s="194">
        <f t="shared" si="13"/>
        <v>7.2842018211918408E-3</v>
      </c>
      <c r="AA25" s="2"/>
      <c r="AB25" s="477">
        <f t="shared" si="14"/>
        <v>44805</v>
      </c>
      <c r="AC25" s="52">
        <f t="shared" si="15"/>
        <v>22</v>
      </c>
      <c r="AD25" s="193">
        <f>IFERROR(INDEX('Fluxos de Recebimento'!$I$7:$BH$58, MATCH(Curvas!$AB25, 'Fluxos de Recebimento'!$F$7:$F$58, 0), MATCH(Curvas!AD$2,'Fluxos de Recebimento'!$I$5:$BH$5, 0))+INDEX('Fluxos de Recebimento'!$I$65:$BH$116, MATCH(Curvas!$AB25, 'Fluxos de Recebimento'!$F$65:$F$116, 0), MATCH(Curvas!AD$2, 'Fluxos de Recebimento'!$I$63:$BH$63, 0)),0)*INDEX($E:$E, MATCH(AD$2, $B:$B, 0))</f>
        <v>1.6420361247947458E-4</v>
      </c>
      <c r="AE25" s="193">
        <f>IFERROR(INDEX('Fluxos de Recebimento'!$I$7:$BH$58, MATCH(Curvas!$AB25, 'Fluxos de Recebimento'!$F$7:$F$58, 0), MATCH(Curvas!AE$2,'Fluxos de Recebimento'!$I$5:$BH$5, 0))+INDEX('Fluxos de Recebimento'!$I$65:$BH$116, MATCH(Curvas!$AB25, 'Fluxos de Recebimento'!$F$65:$F$116, 0), MATCH(Curvas!AE$2, 'Fluxos de Recebimento'!$I$63:$BH$63, 0)),0)*INDEX($E:$E, MATCH(AE$2, $B:$B, 0))</f>
        <v>1.7028522775649216E-4</v>
      </c>
      <c r="AF25" s="193">
        <f>IFERROR(INDEX('Fluxos de Recebimento'!$I$7:$BH$58, MATCH(Curvas!$AB25, 'Fluxos de Recebimento'!$F$7:$F$58, 0), MATCH(Curvas!AF$2,'Fluxos de Recebimento'!$I$5:$BH$5, 0))+INDEX('Fluxos de Recebimento'!$I$65:$BH$116, MATCH(Curvas!$AB25, 'Fluxos de Recebimento'!$F$65:$F$116, 0), MATCH(Curvas!AF$2, 'Fluxos de Recebimento'!$I$63:$BH$63, 0)),0)*INDEX($E:$E, MATCH(AF$2, $B:$B, 0))</f>
        <v>1.7683465959328031E-4</v>
      </c>
      <c r="AG25" s="193">
        <f>IFERROR(INDEX('Fluxos de Recebimento'!$I$7:$BH$58, MATCH(Curvas!$AB25, 'Fluxos de Recebimento'!$F$7:$F$58, 0), MATCH(Curvas!AG$2,'Fluxos de Recebimento'!$I$5:$BH$5, 0))+INDEX('Fluxos de Recebimento'!$I$65:$BH$116, MATCH(Curvas!$AB25, 'Fluxos de Recebimento'!$F$65:$F$116, 0), MATCH(Curvas!AG$2, 'Fluxos de Recebimento'!$I$63:$BH$63, 0)),0)*INDEX($E:$E, MATCH(AG$2, $B:$B, 0))</f>
        <v>1.8390804597701152E-4</v>
      </c>
      <c r="AH25" s="193">
        <f>IFERROR(INDEX('Fluxos de Recebimento'!$I$7:$BH$58, MATCH(Curvas!$AB25, 'Fluxos de Recebimento'!$F$7:$F$58, 0), MATCH(Curvas!AH$2,'Fluxos de Recebimento'!$I$5:$BH$5, 0))+INDEX('Fluxos de Recebimento'!$I$65:$BH$116, MATCH(Curvas!$AB25, 'Fluxos de Recebimento'!$F$65:$F$116, 0), MATCH(Curvas!AH$2, 'Fluxos de Recebimento'!$I$63:$BH$63, 0)),0)*INDEX($E:$E, MATCH(AH$2, $B:$B, 0))</f>
        <v>1.9157088122605367E-4</v>
      </c>
      <c r="AI25" s="193">
        <f>IFERROR(INDEX('Fluxos de Recebimento'!$I$7:$BH$58, MATCH(Curvas!$AB25, 'Fluxos de Recebimento'!$F$7:$F$58, 0), MATCH(Curvas!AI$2,'Fluxos de Recebimento'!$I$5:$BH$5, 0))+INDEX('Fluxos de Recebimento'!$I$65:$BH$116, MATCH(Curvas!$AB25, 'Fluxos de Recebimento'!$F$65:$F$116, 0), MATCH(Curvas!AI$2, 'Fluxos de Recebimento'!$I$63:$BH$63, 0)),0)*INDEX($E:$E, MATCH(AI$2, $B:$B, 0))</f>
        <v>1.9990004997501253E-4</v>
      </c>
      <c r="AJ25" s="193">
        <f>IFERROR(INDEX('Fluxos de Recebimento'!$I$7:$BH$58, MATCH(Curvas!$AB25, 'Fluxos de Recebimento'!$F$7:$F$58, 0), MATCH(Curvas!AJ$2,'Fluxos de Recebimento'!$I$5:$BH$5, 0))+INDEX('Fluxos de Recebimento'!$I$65:$BH$116, MATCH(Curvas!$AB25, 'Fluxos de Recebimento'!$F$65:$F$116, 0), MATCH(Curvas!AJ$2, 'Fluxos de Recebimento'!$I$63:$BH$63, 0)),0)*INDEX($E:$E, MATCH(AJ$2, $B:$B, 0))</f>
        <v>2.0898641588296767E-4</v>
      </c>
      <c r="AK25" s="193">
        <f>IFERROR(INDEX('Fluxos de Recebimento'!$I$7:$BH$58, MATCH(Curvas!$AB25, 'Fluxos de Recebimento'!$F$7:$F$58, 0), MATCH(Curvas!AK$2,'Fluxos de Recebimento'!$I$5:$BH$5, 0))+INDEX('Fluxos de Recebimento'!$I$65:$BH$116, MATCH(Curvas!$AB25, 'Fluxos de Recebimento'!$F$65:$F$116, 0), MATCH(Curvas!AK$2, 'Fluxos de Recebimento'!$I$63:$BH$63, 0)),0)*INDEX($E:$E, MATCH(AK$2, $B:$B, 0))</f>
        <v>2.1893814997263279E-4</v>
      </c>
      <c r="AL25" s="193">
        <f>IFERROR(INDEX('Fluxos de Recebimento'!$I$7:$BH$58, MATCH(Curvas!$AB25, 'Fluxos de Recebimento'!$F$7:$F$58, 0), MATCH(Curvas!AL$2,'Fluxos de Recebimento'!$I$5:$BH$5, 0))+INDEX('Fluxos de Recebimento'!$I$65:$BH$116, MATCH(Curvas!$AB25, 'Fluxos de Recebimento'!$F$65:$F$116, 0), MATCH(Curvas!AL$2, 'Fluxos de Recebimento'!$I$63:$BH$63, 0)),0)*INDEX($E:$E, MATCH(AL$2, $B:$B, 0))</f>
        <v>2.2988505747126441E-4</v>
      </c>
      <c r="AM25" s="193">
        <f>IFERROR(INDEX('Fluxos de Recebimento'!$I$7:$BH$58, MATCH(Curvas!$AB25, 'Fluxos de Recebimento'!$F$7:$F$58, 0), MATCH(Curvas!AM$2,'Fluxos de Recebimento'!$I$5:$BH$5, 0))+INDEX('Fluxos de Recebimento'!$I$65:$BH$116, MATCH(Curvas!$AB25, 'Fluxos de Recebimento'!$F$65:$F$116, 0), MATCH(Curvas!AM$2, 'Fluxos de Recebimento'!$I$63:$BH$63, 0)),0)*INDEX($E:$E, MATCH(AM$2, $B:$B, 0))</f>
        <v>2.4198427102238356E-4</v>
      </c>
      <c r="AN25" s="193">
        <f>IFERROR(INDEX('Fluxos de Recebimento'!$I$7:$BH$58, MATCH(Curvas!$AB25, 'Fluxos de Recebimento'!$F$7:$F$58, 0), MATCH(Curvas!AN$2,'Fluxos de Recebimento'!$I$5:$BH$5, 0))+INDEX('Fluxos de Recebimento'!$I$65:$BH$116, MATCH(Curvas!$AB25, 'Fluxos de Recebimento'!$F$65:$F$116, 0), MATCH(Curvas!AN$2, 'Fluxos de Recebimento'!$I$63:$BH$63, 0)),0)*INDEX($E:$E, MATCH(AN$2, $B:$B, 0))</f>
        <v>2.5542784163473821E-4</v>
      </c>
      <c r="AO25" s="193">
        <f>IFERROR(INDEX('Fluxos de Recebimento'!$I$7:$BH$58, MATCH(Curvas!$AB25, 'Fluxos de Recebimento'!$F$7:$F$58, 0), MATCH(Curvas!AO$2,'Fluxos de Recebimento'!$I$5:$BH$5, 0))+INDEX('Fluxos de Recebimento'!$I$65:$BH$116, MATCH(Curvas!$AB25, 'Fluxos de Recebimento'!$F$65:$F$116, 0), MATCH(Curvas!AO$2, 'Fluxos de Recebimento'!$I$63:$BH$63, 0)),0)*INDEX($E:$E, MATCH(AO$2, $B:$B, 0))</f>
        <v>2.7045300878972284E-4</v>
      </c>
      <c r="AP25" s="193">
        <f>IFERROR(INDEX('Fluxos de Recebimento'!$I$7:$BH$58, MATCH(Curvas!$AB25, 'Fluxos de Recebimento'!$F$7:$F$58, 0), MATCH(Curvas!AP$2,'Fluxos de Recebimento'!$I$5:$BH$5, 0))+INDEX('Fluxos de Recebimento'!$I$65:$BH$116, MATCH(Curvas!$AB25, 'Fluxos de Recebimento'!$F$65:$F$116, 0), MATCH(Curvas!AP$2, 'Fluxos de Recebimento'!$I$63:$BH$63, 0)),0)*INDEX($E:$E, MATCH(AP$2, $B:$B, 0))</f>
        <v>2.8735632183908051E-4</v>
      </c>
      <c r="AQ25" s="193">
        <f>IFERROR(INDEX('Fluxos de Recebimento'!$I$7:$BH$58, MATCH(Curvas!$AB25, 'Fluxos de Recebimento'!$F$7:$F$58, 0), MATCH(Curvas!AQ$2,'Fluxos de Recebimento'!$I$5:$BH$5, 0))+INDEX('Fluxos de Recebimento'!$I$65:$BH$116, MATCH(Curvas!$AB25, 'Fluxos de Recebimento'!$F$65:$F$116, 0), MATCH(Curvas!AQ$2, 'Fluxos de Recebimento'!$I$63:$BH$63, 0)),0)*INDEX($E:$E, MATCH(AQ$2, $B:$B, 0))</f>
        <v>3.0651340996168587E-4</v>
      </c>
      <c r="AR25" s="193">
        <f>IFERROR(INDEX('Fluxos de Recebimento'!$I$7:$BH$58, MATCH(Curvas!$AB25, 'Fluxos de Recebimento'!$F$7:$F$58, 0), MATCH(Curvas!AR$2,'Fluxos de Recebimento'!$I$5:$BH$5, 0))+INDEX('Fluxos de Recebimento'!$I$65:$BH$116, MATCH(Curvas!$AB25, 'Fluxos de Recebimento'!$F$65:$F$116, 0), MATCH(Curvas!AR$2, 'Fluxos de Recebimento'!$I$63:$BH$63, 0)),0)*INDEX($E:$E, MATCH(AR$2, $B:$B, 0))</f>
        <v>3.2840722495894916E-4</v>
      </c>
      <c r="AS25" s="193">
        <f>IFERROR(INDEX('Fluxos de Recebimento'!$I$7:$BH$58, MATCH(Curvas!$AB25, 'Fluxos de Recebimento'!$F$7:$F$58, 0), MATCH(Curvas!AS$2,'Fluxos de Recebimento'!$I$5:$BH$5, 0))+INDEX('Fluxos de Recebimento'!$I$65:$BH$116, MATCH(Curvas!$AB25, 'Fluxos de Recebimento'!$F$65:$F$116, 0), MATCH(Curvas!AS$2, 'Fluxos de Recebimento'!$I$63:$BH$63, 0)),0)*INDEX($E:$E, MATCH(AS$2, $B:$B, 0))</f>
        <v>3.5366931918656062E-4</v>
      </c>
      <c r="AT25" s="193">
        <f>IFERROR(INDEX('Fluxos de Recebimento'!$I$7:$BH$58, MATCH(Curvas!$AB25, 'Fluxos de Recebimento'!$F$7:$F$58, 0), MATCH(Curvas!AT$2,'Fluxos de Recebimento'!$I$5:$BH$5, 0))+INDEX('Fluxos de Recebimento'!$I$65:$BH$116, MATCH(Curvas!$AB25, 'Fluxos de Recebimento'!$F$65:$F$116, 0), MATCH(Curvas!AT$2, 'Fluxos de Recebimento'!$I$63:$BH$63, 0)),0)*INDEX($E:$E, MATCH(AT$2, $B:$B, 0))</f>
        <v>3.8314176245210735E-4</v>
      </c>
      <c r="AU25" s="193">
        <f>IFERROR(INDEX('Fluxos de Recebimento'!$I$7:$BH$58, MATCH(Curvas!$AB25, 'Fluxos de Recebimento'!$F$7:$F$58, 0), MATCH(Curvas!AU$2,'Fluxos de Recebimento'!$I$5:$BH$5, 0))+INDEX('Fluxos de Recebimento'!$I$65:$BH$116, MATCH(Curvas!$AB25, 'Fluxos de Recebimento'!$F$65:$F$116, 0), MATCH(Curvas!AU$2, 'Fluxos de Recebimento'!$I$63:$BH$63, 0)),0)*INDEX($E:$E, MATCH(AU$2, $B:$B, 0))</f>
        <v>4.1797283176593533E-4</v>
      </c>
      <c r="AV25" s="193">
        <f>IFERROR(INDEX('Fluxos de Recebimento'!$I$7:$BH$58, MATCH(Curvas!$AB25, 'Fluxos de Recebimento'!$F$7:$F$58, 0), MATCH(Curvas!AV$2,'Fluxos de Recebimento'!$I$5:$BH$5, 0))+INDEX('Fluxos de Recebimento'!$I$65:$BH$116, MATCH(Curvas!$AB25, 'Fluxos de Recebimento'!$F$65:$F$116, 0), MATCH(Curvas!AV$2, 'Fluxos de Recebimento'!$I$63:$BH$63, 0)),0)*INDEX($E:$E, MATCH(AV$2, $B:$B, 0))</f>
        <v>4.5977011494252883E-4</v>
      </c>
      <c r="AW25" s="193">
        <f>IFERROR(INDEX('Fluxos de Recebimento'!$I$7:$BH$58, MATCH(Curvas!$AB25, 'Fluxos de Recebimento'!$F$7:$F$58, 0), MATCH(Curvas!AW$2,'Fluxos de Recebimento'!$I$5:$BH$5, 0))+INDEX('Fluxos de Recebimento'!$I$65:$BH$116, MATCH(Curvas!$AB25, 'Fluxos de Recebimento'!$F$65:$F$116, 0), MATCH(Curvas!AW$2, 'Fluxos de Recebimento'!$I$63:$BH$63, 0)),0)*INDEX($E:$E, MATCH(AW$2, $B:$B, 0))</f>
        <v>5.1085568326947643E-4</v>
      </c>
      <c r="AX25" s="193">
        <f>IFERROR(INDEX('Fluxos de Recebimento'!$I$7:$BH$58, MATCH(Curvas!$AB25, 'Fluxos de Recebimento'!$F$7:$F$58, 0), MATCH(Curvas!AX$2,'Fluxos de Recebimento'!$I$5:$BH$5, 0))+INDEX('Fluxos de Recebimento'!$I$65:$BH$116, MATCH(Curvas!$AB25, 'Fluxos de Recebimento'!$F$65:$F$116, 0), MATCH(Curvas!AX$2, 'Fluxos de Recebimento'!$I$63:$BH$63, 0)),0)*INDEX($E:$E, MATCH(AX$2, $B:$B, 0))</f>
        <v>5.7471264367816102E-4</v>
      </c>
      <c r="AY25" s="193">
        <f>IFERROR(INDEX('Fluxos de Recebimento'!$I$7:$BH$58, MATCH(Curvas!$AB25, 'Fluxos de Recebimento'!$F$7:$F$58, 0), MATCH(Curvas!AY$2,'Fluxos de Recebimento'!$I$5:$BH$5, 0))+INDEX('Fluxos de Recebimento'!$I$65:$BH$116, MATCH(Curvas!$AB25, 'Fluxos de Recebimento'!$F$65:$F$116, 0), MATCH(Curvas!AY$2, 'Fluxos de Recebimento'!$I$63:$BH$63, 0)),0)*INDEX($E:$E, MATCH(AY$2, $B:$B, 0))</f>
        <v>1.149425287356322E-3</v>
      </c>
      <c r="AZ25" s="193">
        <f>IFERROR(INDEX('Fluxos de Recebimento'!$I$7:$BH$58, MATCH(Curvas!$AB25, 'Fluxos de Recebimento'!$F$7:$F$58, 0), MATCH(Curvas!AZ$2,'Fluxos de Recebimento'!$I$5:$BH$5, 0))+INDEX('Fluxos de Recebimento'!$I$65:$BH$116, MATCH(Curvas!$AB25, 'Fluxos de Recebimento'!$F$65:$F$116, 0), MATCH(Curvas!AZ$2, 'Fluxos de Recebimento'!$I$63:$BH$63, 0)),0)*INDEX($E:$E, MATCH(AZ$2, $B:$B, 0))</f>
        <v>0</v>
      </c>
      <c r="BA25" s="193">
        <f>IFERROR(INDEX('Fluxos de Recebimento'!$I$7:$BH$58, MATCH(Curvas!$AB25, 'Fluxos de Recebimento'!$F$7:$F$58, 0), MATCH(Curvas!BA$2,'Fluxos de Recebimento'!$I$5:$BH$5, 0))+INDEX('Fluxos de Recebimento'!$I$65:$BH$116, MATCH(Curvas!$AB25, 'Fluxos de Recebimento'!$F$65:$F$116, 0), MATCH(Curvas!BA$2, 'Fluxos de Recebimento'!$I$63:$BH$63, 0)),0)*INDEX($E:$E, MATCH(BA$2, $B:$B, 0))</f>
        <v>0</v>
      </c>
      <c r="BB25" s="193">
        <f>IFERROR(INDEX('Fluxos de Recebimento'!$I$7:$BH$58, MATCH(Curvas!$AB25, 'Fluxos de Recebimento'!$F$7:$F$58, 0), MATCH(Curvas!BB$2,'Fluxos de Recebimento'!$I$5:$BH$5, 0))+INDEX('Fluxos de Recebimento'!$I$65:$BH$116, MATCH(Curvas!$AB25, 'Fluxos de Recebimento'!$F$65:$F$116, 0), MATCH(Curvas!BB$2, 'Fluxos de Recebimento'!$I$63:$BH$63, 0)),0)*INDEX($E:$E, MATCH(BB$2, $B:$B, 0))</f>
        <v>0</v>
      </c>
      <c r="BC25" s="193">
        <f>IFERROR(INDEX('Fluxos de Recebimento'!$I$7:$BH$58, MATCH(Curvas!$AB25, 'Fluxos de Recebimento'!$F$7:$F$58, 0), MATCH(Curvas!BC$2,'Fluxos de Recebimento'!$I$5:$BH$5, 0))+INDEX('Fluxos de Recebimento'!$I$65:$BH$116, MATCH(Curvas!$AB25, 'Fluxos de Recebimento'!$F$65:$F$116, 0), MATCH(Curvas!BC$2, 'Fluxos de Recebimento'!$I$63:$BH$63, 0)),0)*INDEX($E:$E, MATCH(BC$2, $B:$B, 0))</f>
        <v>0</v>
      </c>
      <c r="BD25" s="193">
        <f>IFERROR(INDEX('Fluxos de Recebimento'!$I$7:$BH$58, MATCH(Curvas!$AB25, 'Fluxos de Recebimento'!$F$7:$F$58, 0), MATCH(Curvas!BD$2,'Fluxos de Recebimento'!$I$5:$BH$5, 0))+INDEX('Fluxos de Recebimento'!$I$65:$BH$116, MATCH(Curvas!$AB25, 'Fluxos de Recebimento'!$F$65:$F$116, 0), MATCH(Curvas!BD$2, 'Fluxos de Recebimento'!$I$63:$BH$63, 0)),0)*INDEX($E:$E, MATCH(BD$2, $B:$B, 0))</f>
        <v>0</v>
      </c>
      <c r="BE25" s="193">
        <f>IFERROR(INDEX('Fluxos de Recebimento'!$I$7:$BH$58, MATCH(Curvas!$AB25, 'Fluxos de Recebimento'!$F$7:$F$58, 0), MATCH(Curvas!BE$2,'Fluxos de Recebimento'!$I$5:$BH$5, 0))+INDEX('Fluxos de Recebimento'!$I$65:$BH$116, MATCH(Curvas!$AB25, 'Fluxos de Recebimento'!$F$65:$F$116, 0), MATCH(Curvas!BE$2, 'Fluxos de Recebimento'!$I$63:$BH$63, 0)),0)*INDEX($E:$E, MATCH(BE$2, $B:$B, 0))</f>
        <v>0</v>
      </c>
      <c r="BF25" s="193">
        <f>IFERROR(INDEX('Fluxos de Recebimento'!$I$7:$BH$58, MATCH(Curvas!$AB25, 'Fluxos de Recebimento'!$F$7:$F$58, 0), MATCH(Curvas!BF$2,'Fluxos de Recebimento'!$I$5:$BH$5, 0))+INDEX('Fluxos de Recebimento'!$I$65:$BH$116, MATCH(Curvas!$AB25, 'Fluxos de Recebimento'!$F$65:$F$116, 0), MATCH(Curvas!BF$2, 'Fluxos de Recebimento'!$I$63:$BH$63, 0)),0)*INDEX($E:$E, MATCH(BF$2, $B:$B, 0))</f>
        <v>0</v>
      </c>
      <c r="BG25" s="193">
        <f>IFERROR(INDEX('Fluxos de Recebimento'!$I$7:$BH$58, MATCH(Curvas!$AB25, 'Fluxos de Recebimento'!$F$7:$F$58, 0), MATCH(Curvas!BG$2,'Fluxos de Recebimento'!$I$5:$BH$5, 0))+INDEX('Fluxos de Recebimento'!$I$65:$BH$116, MATCH(Curvas!$AB25, 'Fluxos de Recebimento'!$F$65:$F$116, 0), MATCH(Curvas!BG$2, 'Fluxos de Recebimento'!$I$63:$BH$63, 0)),0)*INDEX($E:$E, MATCH(BG$2, $B:$B, 0))</f>
        <v>0</v>
      </c>
      <c r="BH25" s="193">
        <f>IFERROR(INDEX('Fluxos de Recebimento'!$I$7:$BH$58, MATCH(Curvas!$AB25, 'Fluxos de Recebimento'!$F$7:$F$58, 0), MATCH(Curvas!BH$2,'Fluxos de Recebimento'!$I$5:$BH$5, 0))+INDEX('Fluxos de Recebimento'!$I$65:$BH$116, MATCH(Curvas!$AB25, 'Fluxos de Recebimento'!$F$65:$F$116, 0), MATCH(Curvas!BH$2, 'Fluxos de Recebimento'!$I$63:$BH$63, 0)),0)*INDEX($E:$E, MATCH(BH$2, $B:$B, 0))</f>
        <v>0</v>
      </c>
      <c r="BI25" s="193">
        <f>IFERROR(INDEX('Fluxos de Recebimento'!$I$7:$BH$58, MATCH(Curvas!$AB25, 'Fluxos de Recebimento'!$F$7:$F$58, 0), MATCH(Curvas!BI$2,'Fluxos de Recebimento'!$I$5:$BH$5, 0))+INDEX('Fluxos de Recebimento'!$I$65:$BH$116, MATCH(Curvas!$AB25, 'Fluxos de Recebimento'!$F$65:$F$116, 0), MATCH(Curvas!BI$2, 'Fluxos de Recebimento'!$I$63:$BH$63, 0)),0)*INDEX($E:$E, MATCH(BI$2, $B:$B, 0))</f>
        <v>0</v>
      </c>
      <c r="BJ25" s="193">
        <f>IFERROR(INDEX('Fluxos de Recebimento'!$I$7:$BH$58, MATCH(Curvas!$AB25, 'Fluxos de Recebimento'!$F$7:$F$58, 0), MATCH(Curvas!BJ$2,'Fluxos de Recebimento'!$I$5:$BH$5, 0))+INDEX('Fluxos de Recebimento'!$I$65:$BH$116, MATCH(Curvas!$AB25, 'Fluxos de Recebimento'!$F$65:$F$116, 0), MATCH(Curvas!BJ$2, 'Fluxos de Recebimento'!$I$63:$BH$63, 0)),0)*INDEX($E:$E, MATCH(BJ$2, $B:$B, 0))</f>
        <v>0</v>
      </c>
      <c r="BK25" s="193">
        <f>IFERROR(INDEX('Fluxos de Recebimento'!$I$7:$BH$58, MATCH(Curvas!$AB25, 'Fluxos de Recebimento'!$F$7:$F$58, 0), MATCH(Curvas!BK$2,'Fluxos de Recebimento'!$I$5:$BH$5, 0))+INDEX('Fluxos de Recebimento'!$I$65:$BH$116, MATCH(Curvas!$AB25, 'Fluxos de Recebimento'!$F$65:$F$116, 0), MATCH(Curvas!BK$2, 'Fluxos de Recebimento'!$I$63:$BH$63, 0)),0)*INDEX($E:$E, MATCH(BK$2, $B:$B, 0))</f>
        <v>0</v>
      </c>
      <c r="BL25" s="193">
        <f>IFERROR(INDEX('Fluxos de Recebimento'!$I$7:$BH$58, MATCH(Curvas!$AB25, 'Fluxos de Recebimento'!$F$7:$F$58, 0), MATCH(Curvas!BL$2,'Fluxos de Recebimento'!$I$5:$BH$5, 0))+INDEX('Fluxos de Recebimento'!$I$65:$BH$116, MATCH(Curvas!$AB25, 'Fluxos de Recebimento'!$F$65:$F$116, 0), MATCH(Curvas!BL$2, 'Fluxos de Recebimento'!$I$63:$BH$63, 0)),0)*INDEX($E:$E, MATCH(BL$2, $B:$B, 0))</f>
        <v>0</v>
      </c>
      <c r="BM25" s="193">
        <f>IFERROR(INDEX('Fluxos de Recebimento'!$I$7:$BH$58, MATCH(Curvas!$AB25, 'Fluxos de Recebimento'!$F$7:$F$58, 0), MATCH(Curvas!BM$2,'Fluxos de Recebimento'!$I$5:$BH$5, 0))+INDEX('Fluxos de Recebimento'!$I$65:$BH$116, MATCH(Curvas!$AB25, 'Fluxos de Recebimento'!$F$65:$F$116, 0), MATCH(Curvas!BM$2, 'Fluxos de Recebimento'!$I$63:$BH$63, 0)),0)*INDEX($E:$E, MATCH(BM$2, $B:$B, 0))</f>
        <v>0</v>
      </c>
      <c r="BN25" s="193">
        <f>IFERROR(INDEX('Fluxos de Recebimento'!$I$7:$BH$58, MATCH(Curvas!$AB25, 'Fluxos de Recebimento'!$F$7:$F$58, 0), MATCH(Curvas!BN$2,'Fluxos de Recebimento'!$I$5:$BH$5, 0))+INDEX('Fluxos de Recebimento'!$I$65:$BH$116, MATCH(Curvas!$AB25, 'Fluxos de Recebimento'!$F$65:$F$116, 0), MATCH(Curvas!BN$2, 'Fluxos de Recebimento'!$I$63:$BH$63, 0)),0)*INDEX($E:$E, MATCH(BN$2, $B:$B, 0))</f>
        <v>0</v>
      </c>
      <c r="BO25" s="193">
        <f>IFERROR(INDEX('Fluxos de Recebimento'!$I$7:$BH$58, MATCH(Curvas!$AB25, 'Fluxos de Recebimento'!$F$7:$F$58, 0), MATCH(Curvas!BO$2,'Fluxos de Recebimento'!$I$5:$BH$5, 0))+INDEX('Fluxos de Recebimento'!$I$65:$BH$116, MATCH(Curvas!$AB25, 'Fluxos de Recebimento'!$F$65:$F$116, 0), MATCH(Curvas!BO$2, 'Fluxos de Recebimento'!$I$63:$BH$63, 0)),0)*INDEX($E:$E, MATCH(BO$2, $B:$B, 0))</f>
        <v>0</v>
      </c>
      <c r="BP25" s="193">
        <f>IFERROR(INDEX('Fluxos de Recebimento'!$I$7:$BH$58, MATCH(Curvas!$AB25, 'Fluxos de Recebimento'!$F$7:$F$58, 0), MATCH(Curvas!BP$2,'Fluxos de Recebimento'!$I$5:$BH$5, 0))+INDEX('Fluxos de Recebimento'!$I$65:$BH$116, MATCH(Curvas!$AB25, 'Fluxos de Recebimento'!$F$65:$F$116, 0), MATCH(Curvas!BP$2, 'Fluxos de Recebimento'!$I$63:$BH$63, 0)),0)*INDEX($E:$E, MATCH(BP$2, $B:$B, 0))</f>
        <v>0</v>
      </c>
      <c r="BQ25" s="193">
        <f>IFERROR(INDEX('Fluxos de Recebimento'!$I$7:$BH$58, MATCH(Curvas!$AB25, 'Fluxos de Recebimento'!$F$7:$F$58, 0), MATCH(Curvas!BQ$2,'Fluxos de Recebimento'!$I$5:$BH$5, 0))+INDEX('Fluxos de Recebimento'!$I$65:$BH$116, MATCH(Curvas!$AB25, 'Fluxos de Recebimento'!$F$65:$F$116, 0), MATCH(Curvas!BQ$2, 'Fluxos de Recebimento'!$I$63:$BH$63, 0)),0)*INDEX($E:$E, MATCH(BQ$2, $B:$B, 0))</f>
        <v>0</v>
      </c>
      <c r="BR25" s="193">
        <f>IFERROR(INDEX('Fluxos de Recebimento'!$I$7:$BH$58, MATCH(Curvas!$AB25, 'Fluxos de Recebimento'!$F$7:$F$58, 0), MATCH(Curvas!BR$2,'Fluxos de Recebimento'!$I$5:$BH$5, 0))+INDEX('Fluxos de Recebimento'!$I$65:$BH$116, MATCH(Curvas!$AB25, 'Fluxos de Recebimento'!$F$65:$F$116, 0), MATCH(Curvas!BR$2, 'Fluxos de Recebimento'!$I$63:$BH$63, 0)),0)*INDEX($E:$E, MATCH(BR$2, $B:$B, 0))</f>
        <v>0</v>
      </c>
      <c r="BS25" s="193">
        <f>IFERROR(INDEX('Fluxos de Recebimento'!$I$7:$BH$58, MATCH(Curvas!$AB25, 'Fluxos de Recebimento'!$F$7:$F$58, 0), MATCH(Curvas!BS$2,'Fluxos de Recebimento'!$I$5:$BH$5, 0))+INDEX('Fluxos de Recebimento'!$I$65:$BH$116, MATCH(Curvas!$AB25, 'Fluxos de Recebimento'!$F$65:$F$116, 0), MATCH(Curvas!BS$2, 'Fluxos de Recebimento'!$I$63:$BH$63, 0)),0)*INDEX($E:$E, MATCH(BS$2, $B:$B, 0))</f>
        <v>0</v>
      </c>
      <c r="BT25" s="193">
        <f>IFERROR(INDEX('Fluxos de Recebimento'!$I$7:$BH$58, MATCH(Curvas!$AB25, 'Fluxos de Recebimento'!$F$7:$F$58, 0), MATCH(Curvas!BT$2,'Fluxos de Recebimento'!$I$5:$BH$5, 0))+INDEX('Fluxos de Recebimento'!$I$65:$BH$116, MATCH(Curvas!$AB25, 'Fluxos de Recebimento'!$F$65:$F$116, 0), MATCH(Curvas!BT$2, 'Fluxos de Recebimento'!$I$63:$BH$63, 0)),0)*INDEX($E:$E, MATCH(BT$2, $B:$B, 0))</f>
        <v>0</v>
      </c>
      <c r="BU25" s="193">
        <f>IFERROR(INDEX('Fluxos de Recebimento'!$I$7:$BH$58, MATCH(Curvas!$AB25, 'Fluxos de Recebimento'!$F$7:$F$58, 0), MATCH(Curvas!BU$2,'Fluxos de Recebimento'!$I$5:$BH$5, 0))+INDEX('Fluxos de Recebimento'!$I$65:$BH$116, MATCH(Curvas!$AB25, 'Fluxos de Recebimento'!$F$65:$F$116, 0), MATCH(Curvas!BU$2, 'Fluxos de Recebimento'!$I$63:$BH$63, 0)),0)*INDEX($E:$E, MATCH(BU$2, $B:$B, 0))</f>
        <v>0</v>
      </c>
      <c r="BV25" s="193">
        <f>IFERROR(INDEX('Fluxos de Recebimento'!$I$7:$BH$58, MATCH(Curvas!$AB25, 'Fluxos de Recebimento'!$F$7:$F$58, 0), MATCH(Curvas!BV$2,'Fluxos de Recebimento'!$I$5:$BH$5, 0))+INDEX('Fluxos de Recebimento'!$I$65:$BH$116, MATCH(Curvas!$AB25, 'Fluxos de Recebimento'!$F$65:$F$116, 0), MATCH(Curvas!BV$2, 'Fluxos de Recebimento'!$I$63:$BH$63, 0)),0)*INDEX($E:$E, MATCH(BV$2, $B:$B, 0))</f>
        <v>0</v>
      </c>
      <c r="BW25" s="193">
        <f>IFERROR(INDEX('Fluxos de Recebimento'!$I$7:$BH$58, MATCH(Curvas!$AB25, 'Fluxos de Recebimento'!$F$7:$F$58, 0), MATCH(Curvas!BW$2,'Fluxos de Recebimento'!$I$5:$BH$5, 0))+INDEX('Fluxos de Recebimento'!$I$65:$BH$116, MATCH(Curvas!$AB25, 'Fluxos de Recebimento'!$F$65:$F$116, 0), MATCH(Curvas!BW$2, 'Fluxos de Recebimento'!$I$63:$BH$63, 0)),0)*INDEX($E:$E, MATCH(BW$2, $B:$B, 0))</f>
        <v>0</v>
      </c>
      <c r="BX25" s="193">
        <f>IFERROR(INDEX('Fluxos de Recebimento'!$I$7:$BH$58, MATCH(Curvas!$AB25, 'Fluxos de Recebimento'!$F$7:$F$58, 0), MATCH(Curvas!BX$2,'Fluxos de Recebimento'!$I$5:$BH$5, 0))+INDEX('Fluxos de Recebimento'!$I$65:$BH$116, MATCH(Curvas!$AB25, 'Fluxos de Recebimento'!$F$65:$F$116, 0), MATCH(Curvas!BX$2, 'Fluxos de Recebimento'!$I$63:$BH$63, 0)),0)*INDEX($E:$E, MATCH(BX$2, $B:$B, 0))</f>
        <v>0</v>
      </c>
      <c r="BY25" s="193">
        <f>IFERROR(INDEX('Fluxos de Recebimento'!$I$7:$BH$58, MATCH(Curvas!$AB25, 'Fluxos de Recebimento'!$F$7:$F$58, 0), MATCH(Curvas!BY$2,'Fluxos de Recebimento'!$I$5:$BH$5, 0))+INDEX('Fluxos de Recebimento'!$I$65:$BH$116, MATCH(Curvas!$AB25, 'Fluxos de Recebimento'!$F$65:$F$116, 0), MATCH(Curvas!BY$2, 'Fluxos de Recebimento'!$I$63:$BH$63, 0)),0)*INDEX($E:$E, MATCH(BY$2, $B:$B, 0))</f>
        <v>0</v>
      </c>
      <c r="BZ25" s="193">
        <f>IFERROR(INDEX('Fluxos de Recebimento'!$I$7:$BH$58, MATCH(Curvas!$AB25, 'Fluxos de Recebimento'!$F$7:$F$58, 0), MATCH(Curvas!BZ$2,'Fluxos de Recebimento'!$I$5:$BH$5, 0))+INDEX('Fluxos de Recebimento'!$I$65:$BH$116, MATCH(Curvas!$AB25, 'Fluxos de Recebimento'!$F$65:$F$116, 0), MATCH(Curvas!BZ$2, 'Fluxos de Recebimento'!$I$63:$BH$63, 0)),0)*INDEX($E:$E, MATCH(BZ$2, $B:$B, 0))</f>
        <v>0</v>
      </c>
      <c r="CA25" s="193">
        <f>IFERROR(INDEX('Fluxos de Recebimento'!$I$7:$BH$58, MATCH(Curvas!$AB25, 'Fluxos de Recebimento'!$F$7:$F$58, 0), MATCH(Curvas!CA$2,'Fluxos de Recebimento'!$I$5:$BH$5, 0))+INDEX('Fluxos de Recebimento'!$I$65:$BH$116, MATCH(Curvas!$AB25, 'Fluxos de Recebimento'!$F$65:$F$116, 0), MATCH(Curvas!CA$2, 'Fluxos de Recebimento'!$I$63:$BH$63, 0)),0)*INDEX($E:$E, MATCH(CA$2, $B:$B, 0))</f>
        <v>0</v>
      </c>
      <c r="CB25" s="193">
        <f>IFERROR(INDEX('Fluxos de Recebimento'!$I$7:$BH$58, MATCH(Curvas!$AB25, 'Fluxos de Recebimento'!$F$7:$F$58, 0), MATCH(Curvas!CB$2,'Fluxos de Recebimento'!$I$5:$BH$5, 0))+INDEX('Fluxos de Recebimento'!$I$65:$BH$116, MATCH(Curvas!$AB25, 'Fluxos de Recebimento'!$F$65:$F$116, 0), MATCH(Curvas!CB$2, 'Fluxos de Recebimento'!$I$63:$BH$63, 0)),0)*INDEX($E:$E, MATCH(CB$2, $B:$B, 0))</f>
        <v>0</v>
      </c>
      <c r="CC25" s="193">
        <f>IFERROR(INDEX('Fluxos de Recebimento'!$I$7:$BH$58, MATCH(Curvas!$AB25, 'Fluxos de Recebimento'!$F$7:$F$58, 0), MATCH(Curvas!CC$2,'Fluxos de Recebimento'!$I$5:$BH$5, 0))+INDEX('Fluxos de Recebimento'!$I$65:$BH$116, MATCH(Curvas!$AB25, 'Fluxos de Recebimento'!$F$65:$F$116, 0), MATCH(Curvas!CC$2, 'Fluxos de Recebimento'!$I$63:$BH$63, 0)),0)*INDEX($E:$E, MATCH(CC$2, $B:$B, 0))</f>
        <v>0</v>
      </c>
    </row>
    <row r="26" spans="1:81" x14ac:dyDescent="0.25">
      <c r="A26" s="2"/>
      <c r="B26" s="477">
        <f t="shared" si="16"/>
        <v>44835</v>
      </c>
      <c r="C26" s="52">
        <f t="shared" si="17"/>
        <v>23</v>
      </c>
      <c r="D26" s="2"/>
      <c r="E26" s="187">
        <f t="shared" si="4"/>
        <v>2.298850574712644E-2</v>
      </c>
      <c r="F26" s="48">
        <f t="shared" si="18"/>
        <v>0.52873563218390829</v>
      </c>
      <c r="G26" s="46">
        <f t="shared" ca="1" si="5"/>
        <v>0</v>
      </c>
      <c r="H26" s="48">
        <f t="shared" ca="1" si="19"/>
        <v>0</v>
      </c>
      <c r="I26" s="2"/>
      <c r="J26" s="69">
        <f t="shared" si="6"/>
        <v>16</v>
      </c>
      <c r="K26" s="479">
        <f t="shared" ca="1" si="7"/>
        <v>0</v>
      </c>
      <c r="L26" s="70">
        <f t="shared" ca="1" si="8"/>
        <v>16</v>
      </c>
      <c r="M26" s="2"/>
      <c r="N26" s="69">
        <f t="shared" si="9"/>
        <v>21</v>
      </c>
      <c r="O26" s="479">
        <f t="shared" si="10"/>
        <v>0</v>
      </c>
      <c r="P26" s="70">
        <f t="shared" si="11"/>
        <v>21</v>
      </c>
      <c r="Q26" s="2"/>
      <c r="R26" s="71">
        <f t="shared" si="12"/>
        <v>37</v>
      </c>
      <c r="S26" s="196"/>
      <c r="T26" s="46">
        <v>4.4886595787182237E-2</v>
      </c>
      <c r="U26" s="48">
        <f t="shared" si="20"/>
        <v>0.57076656832428985</v>
      </c>
      <c r="V26" s="2"/>
      <c r="W26" s="56"/>
      <c r="X26" s="48"/>
      <c r="Y26" s="2"/>
      <c r="Z26" s="194">
        <f t="shared" si="13"/>
        <v>7.9410162711097392E-3</v>
      </c>
      <c r="AA26" s="2"/>
      <c r="AB26" s="477">
        <f t="shared" si="14"/>
        <v>44835</v>
      </c>
      <c r="AC26" s="52">
        <f t="shared" si="15"/>
        <v>23</v>
      </c>
      <c r="AD26" s="193">
        <f>IFERROR(INDEX('Fluxos de Recebimento'!$I$7:$BH$58, MATCH(Curvas!$AB26, 'Fluxos de Recebimento'!$F$7:$F$58, 0), MATCH(Curvas!AD$2,'Fluxos de Recebimento'!$I$5:$BH$5, 0))+INDEX('Fluxos de Recebimento'!$I$65:$BH$116, MATCH(Curvas!$AB26, 'Fluxos de Recebimento'!$F$65:$F$116, 0), MATCH(Curvas!AD$2, 'Fluxos de Recebimento'!$I$63:$BH$63, 0)),0)*INDEX($E:$E, MATCH(AD$2, $B:$B, 0))</f>
        <v>1.6420361247947458E-4</v>
      </c>
      <c r="AE26" s="193">
        <f>IFERROR(INDEX('Fluxos de Recebimento'!$I$7:$BH$58, MATCH(Curvas!$AB26, 'Fluxos de Recebimento'!$F$7:$F$58, 0), MATCH(Curvas!AE$2,'Fluxos de Recebimento'!$I$5:$BH$5, 0))+INDEX('Fluxos de Recebimento'!$I$65:$BH$116, MATCH(Curvas!$AB26, 'Fluxos de Recebimento'!$F$65:$F$116, 0), MATCH(Curvas!AE$2, 'Fluxos de Recebimento'!$I$63:$BH$63, 0)),0)*INDEX($E:$E, MATCH(AE$2, $B:$B, 0))</f>
        <v>1.7028522775649216E-4</v>
      </c>
      <c r="AF26" s="193">
        <f>IFERROR(INDEX('Fluxos de Recebimento'!$I$7:$BH$58, MATCH(Curvas!$AB26, 'Fluxos de Recebimento'!$F$7:$F$58, 0), MATCH(Curvas!AF$2,'Fluxos de Recebimento'!$I$5:$BH$5, 0))+INDEX('Fluxos de Recebimento'!$I$65:$BH$116, MATCH(Curvas!$AB26, 'Fluxos de Recebimento'!$F$65:$F$116, 0), MATCH(Curvas!AF$2, 'Fluxos de Recebimento'!$I$63:$BH$63, 0)),0)*INDEX($E:$E, MATCH(AF$2, $B:$B, 0))</f>
        <v>1.7683465959328031E-4</v>
      </c>
      <c r="AG26" s="193">
        <f>IFERROR(INDEX('Fluxos de Recebimento'!$I$7:$BH$58, MATCH(Curvas!$AB26, 'Fluxos de Recebimento'!$F$7:$F$58, 0), MATCH(Curvas!AG$2,'Fluxos de Recebimento'!$I$5:$BH$5, 0))+INDEX('Fluxos de Recebimento'!$I$65:$BH$116, MATCH(Curvas!$AB26, 'Fluxos de Recebimento'!$F$65:$F$116, 0), MATCH(Curvas!AG$2, 'Fluxos de Recebimento'!$I$63:$BH$63, 0)),0)*INDEX($E:$E, MATCH(AG$2, $B:$B, 0))</f>
        <v>1.8390804597701152E-4</v>
      </c>
      <c r="AH26" s="193">
        <f>IFERROR(INDEX('Fluxos de Recebimento'!$I$7:$BH$58, MATCH(Curvas!$AB26, 'Fluxos de Recebimento'!$F$7:$F$58, 0), MATCH(Curvas!AH$2,'Fluxos de Recebimento'!$I$5:$BH$5, 0))+INDEX('Fluxos de Recebimento'!$I$65:$BH$116, MATCH(Curvas!$AB26, 'Fluxos de Recebimento'!$F$65:$F$116, 0), MATCH(Curvas!AH$2, 'Fluxos de Recebimento'!$I$63:$BH$63, 0)),0)*INDEX($E:$E, MATCH(AH$2, $B:$B, 0))</f>
        <v>1.9157088122605367E-4</v>
      </c>
      <c r="AI26" s="193">
        <f>IFERROR(INDEX('Fluxos de Recebimento'!$I$7:$BH$58, MATCH(Curvas!$AB26, 'Fluxos de Recebimento'!$F$7:$F$58, 0), MATCH(Curvas!AI$2,'Fluxos de Recebimento'!$I$5:$BH$5, 0))+INDEX('Fluxos de Recebimento'!$I$65:$BH$116, MATCH(Curvas!$AB26, 'Fluxos de Recebimento'!$F$65:$F$116, 0), MATCH(Curvas!AI$2, 'Fluxos de Recebimento'!$I$63:$BH$63, 0)),0)*INDEX($E:$E, MATCH(AI$2, $B:$B, 0))</f>
        <v>1.9990004997501253E-4</v>
      </c>
      <c r="AJ26" s="193">
        <f>IFERROR(INDEX('Fluxos de Recebimento'!$I$7:$BH$58, MATCH(Curvas!$AB26, 'Fluxos de Recebimento'!$F$7:$F$58, 0), MATCH(Curvas!AJ$2,'Fluxos de Recebimento'!$I$5:$BH$5, 0))+INDEX('Fluxos de Recebimento'!$I$65:$BH$116, MATCH(Curvas!$AB26, 'Fluxos de Recebimento'!$F$65:$F$116, 0), MATCH(Curvas!AJ$2, 'Fluxos de Recebimento'!$I$63:$BH$63, 0)),0)*INDEX($E:$E, MATCH(AJ$2, $B:$B, 0))</f>
        <v>2.0898641588296767E-4</v>
      </c>
      <c r="AK26" s="193">
        <f>IFERROR(INDEX('Fluxos de Recebimento'!$I$7:$BH$58, MATCH(Curvas!$AB26, 'Fluxos de Recebimento'!$F$7:$F$58, 0), MATCH(Curvas!AK$2,'Fluxos de Recebimento'!$I$5:$BH$5, 0))+INDEX('Fluxos de Recebimento'!$I$65:$BH$116, MATCH(Curvas!$AB26, 'Fluxos de Recebimento'!$F$65:$F$116, 0), MATCH(Curvas!AK$2, 'Fluxos de Recebimento'!$I$63:$BH$63, 0)),0)*INDEX($E:$E, MATCH(AK$2, $B:$B, 0))</f>
        <v>2.1893814997263279E-4</v>
      </c>
      <c r="AL26" s="193">
        <f>IFERROR(INDEX('Fluxos de Recebimento'!$I$7:$BH$58, MATCH(Curvas!$AB26, 'Fluxos de Recebimento'!$F$7:$F$58, 0), MATCH(Curvas!AL$2,'Fluxos de Recebimento'!$I$5:$BH$5, 0))+INDEX('Fluxos de Recebimento'!$I$65:$BH$116, MATCH(Curvas!$AB26, 'Fluxos de Recebimento'!$F$65:$F$116, 0), MATCH(Curvas!AL$2, 'Fluxos de Recebimento'!$I$63:$BH$63, 0)),0)*INDEX($E:$E, MATCH(AL$2, $B:$B, 0))</f>
        <v>2.2988505747126441E-4</v>
      </c>
      <c r="AM26" s="193">
        <f>IFERROR(INDEX('Fluxos de Recebimento'!$I$7:$BH$58, MATCH(Curvas!$AB26, 'Fluxos de Recebimento'!$F$7:$F$58, 0), MATCH(Curvas!AM$2,'Fluxos de Recebimento'!$I$5:$BH$5, 0))+INDEX('Fluxos de Recebimento'!$I$65:$BH$116, MATCH(Curvas!$AB26, 'Fluxos de Recebimento'!$F$65:$F$116, 0), MATCH(Curvas!AM$2, 'Fluxos de Recebimento'!$I$63:$BH$63, 0)),0)*INDEX($E:$E, MATCH(AM$2, $B:$B, 0))</f>
        <v>2.4198427102238356E-4</v>
      </c>
      <c r="AN26" s="193">
        <f>IFERROR(INDEX('Fluxos de Recebimento'!$I$7:$BH$58, MATCH(Curvas!$AB26, 'Fluxos de Recebimento'!$F$7:$F$58, 0), MATCH(Curvas!AN$2,'Fluxos de Recebimento'!$I$5:$BH$5, 0))+INDEX('Fluxos de Recebimento'!$I$65:$BH$116, MATCH(Curvas!$AB26, 'Fluxos de Recebimento'!$F$65:$F$116, 0), MATCH(Curvas!AN$2, 'Fluxos de Recebimento'!$I$63:$BH$63, 0)),0)*INDEX($E:$E, MATCH(AN$2, $B:$B, 0))</f>
        <v>2.5542784163473821E-4</v>
      </c>
      <c r="AO26" s="193">
        <f>IFERROR(INDEX('Fluxos de Recebimento'!$I$7:$BH$58, MATCH(Curvas!$AB26, 'Fluxos de Recebimento'!$F$7:$F$58, 0), MATCH(Curvas!AO$2,'Fluxos de Recebimento'!$I$5:$BH$5, 0))+INDEX('Fluxos de Recebimento'!$I$65:$BH$116, MATCH(Curvas!$AB26, 'Fluxos de Recebimento'!$F$65:$F$116, 0), MATCH(Curvas!AO$2, 'Fluxos de Recebimento'!$I$63:$BH$63, 0)),0)*INDEX($E:$E, MATCH(AO$2, $B:$B, 0))</f>
        <v>2.7045300878972284E-4</v>
      </c>
      <c r="AP26" s="193">
        <f>IFERROR(INDEX('Fluxos de Recebimento'!$I$7:$BH$58, MATCH(Curvas!$AB26, 'Fluxos de Recebimento'!$F$7:$F$58, 0), MATCH(Curvas!AP$2,'Fluxos de Recebimento'!$I$5:$BH$5, 0))+INDEX('Fluxos de Recebimento'!$I$65:$BH$116, MATCH(Curvas!$AB26, 'Fluxos de Recebimento'!$F$65:$F$116, 0), MATCH(Curvas!AP$2, 'Fluxos de Recebimento'!$I$63:$BH$63, 0)),0)*INDEX($E:$E, MATCH(AP$2, $B:$B, 0))</f>
        <v>2.8735632183908051E-4</v>
      </c>
      <c r="AQ26" s="193">
        <f>IFERROR(INDEX('Fluxos de Recebimento'!$I$7:$BH$58, MATCH(Curvas!$AB26, 'Fluxos de Recebimento'!$F$7:$F$58, 0), MATCH(Curvas!AQ$2,'Fluxos de Recebimento'!$I$5:$BH$5, 0))+INDEX('Fluxos de Recebimento'!$I$65:$BH$116, MATCH(Curvas!$AB26, 'Fluxos de Recebimento'!$F$65:$F$116, 0), MATCH(Curvas!AQ$2, 'Fluxos de Recebimento'!$I$63:$BH$63, 0)),0)*INDEX($E:$E, MATCH(AQ$2, $B:$B, 0))</f>
        <v>3.0651340996168587E-4</v>
      </c>
      <c r="AR26" s="193">
        <f>IFERROR(INDEX('Fluxos de Recebimento'!$I$7:$BH$58, MATCH(Curvas!$AB26, 'Fluxos de Recebimento'!$F$7:$F$58, 0), MATCH(Curvas!AR$2,'Fluxos de Recebimento'!$I$5:$BH$5, 0))+INDEX('Fluxos de Recebimento'!$I$65:$BH$116, MATCH(Curvas!$AB26, 'Fluxos de Recebimento'!$F$65:$F$116, 0), MATCH(Curvas!AR$2, 'Fluxos de Recebimento'!$I$63:$BH$63, 0)),0)*INDEX($E:$E, MATCH(AR$2, $B:$B, 0))</f>
        <v>3.2840722495894916E-4</v>
      </c>
      <c r="AS26" s="193">
        <f>IFERROR(INDEX('Fluxos de Recebimento'!$I$7:$BH$58, MATCH(Curvas!$AB26, 'Fluxos de Recebimento'!$F$7:$F$58, 0), MATCH(Curvas!AS$2,'Fluxos de Recebimento'!$I$5:$BH$5, 0))+INDEX('Fluxos de Recebimento'!$I$65:$BH$116, MATCH(Curvas!$AB26, 'Fluxos de Recebimento'!$F$65:$F$116, 0), MATCH(Curvas!AS$2, 'Fluxos de Recebimento'!$I$63:$BH$63, 0)),0)*INDEX($E:$E, MATCH(AS$2, $B:$B, 0))</f>
        <v>3.5366931918656062E-4</v>
      </c>
      <c r="AT26" s="193">
        <f>IFERROR(INDEX('Fluxos de Recebimento'!$I$7:$BH$58, MATCH(Curvas!$AB26, 'Fluxos de Recebimento'!$F$7:$F$58, 0), MATCH(Curvas!AT$2,'Fluxos de Recebimento'!$I$5:$BH$5, 0))+INDEX('Fluxos de Recebimento'!$I$65:$BH$116, MATCH(Curvas!$AB26, 'Fluxos de Recebimento'!$F$65:$F$116, 0), MATCH(Curvas!AT$2, 'Fluxos de Recebimento'!$I$63:$BH$63, 0)),0)*INDEX($E:$E, MATCH(AT$2, $B:$B, 0))</f>
        <v>3.8314176245210735E-4</v>
      </c>
      <c r="AU26" s="193">
        <f>IFERROR(INDEX('Fluxos de Recebimento'!$I$7:$BH$58, MATCH(Curvas!$AB26, 'Fluxos de Recebimento'!$F$7:$F$58, 0), MATCH(Curvas!AU$2,'Fluxos de Recebimento'!$I$5:$BH$5, 0))+INDEX('Fluxos de Recebimento'!$I$65:$BH$116, MATCH(Curvas!$AB26, 'Fluxos de Recebimento'!$F$65:$F$116, 0), MATCH(Curvas!AU$2, 'Fluxos de Recebimento'!$I$63:$BH$63, 0)),0)*INDEX($E:$E, MATCH(AU$2, $B:$B, 0))</f>
        <v>4.1797283176593533E-4</v>
      </c>
      <c r="AV26" s="193">
        <f>IFERROR(INDEX('Fluxos de Recebimento'!$I$7:$BH$58, MATCH(Curvas!$AB26, 'Fluxos de Recebimento'!$F$7:$F$58, 0), MATCH(Curvas!AV$2,'Fluxos de Recebimento'!$I$5:$BH$5, 0))+INDEX('Fluxos de Recebimento'!$I$65:$BH$116, MATCH(Curvas!$AB26, 'Fluxos de Recebimento'!$F$65:$F$116, 0), MATCH(Curvas!AV$2, 'Fluxos de Recebimento'!$I$63:$BH$63, 0)),0)*INDEX($E:$E, MATCH(AV$2, $B:$B, 0))</f>
        <v>4.5977011494252883E-4</v>
      </c>
      <c r="AW26" s="193">
        <f>IFERROR(INDEX('Fluxos de Recebimento'!$I$7:$BH$58, MATCH(Curvas!$AB26, 'Fluxos de Recebimento'!$F$7:$F$58, 0), MATCH(Curvas!AW$2,'Fluxos de Recebimento'!$I$5:$BH$5, 0))+INDEX('Fluxos de Recebimento'!$I$65:$BH$116, MATCH(Curvas!$AB26, 'Fluxos de Recebimento'!$F$65:$F$116, 0), MATCH(Curvas!AW$2, 'Fluxos de Recebimento'!$I$63:$BH$63, 0)),0)*INDEX($E:$E, MATCH(AW$2, $B:$B, 0))</f>
        <v>5.1085568326947643E-4</v>
      </c>
      <c r="AX26" s="193">
        <f>IFERROR(INDEX('Fluxos de Recebimento'!$I$7:$BH$58, MATCH(Curvas!$AB26, 'Fluxos de Recebimento'!$F$7:$F$58, 0), MATCH(Curvas!AX$2,'Fluxos de Recebimento'!$I$5:$BH$5, 0))+INDEX('Fluxos de Recebimento'!$I$65:$BH$116, MATCH(Curvas!$AB26, 'Fluxos de Recebimento'!$F$65:$F$116, 0), MATCH(Curvas!AX$2, 'Fluxos de Recebimento'!$I$63:$BH$63, 0)),0)*INDEX($E:$E, MATCH(AX$2, $B:$B, 0))</f>
        <v>5.7471264367816102E-4</v>
      </c>
      <c r="AY26" s="193">
        <f>IFERROR(INDEX('Fluxos de Recebimento'!$I$7:$BH$58, MATCH(Curvas!$AB26, 'Fluxos de Recebimento'!$F$7:$F$58, 0), MATCH(Curvas!AY$2,'Fluxos de Recebimento'!$I$5:$BH$5, 0))+INDEX('Fluxos de Recebimento'!$I$65:$BH$116, MATCH(Curvas!$AB26, 'Fluxos de Recebimento'!$F$65:$F$116, 0), MATCH(Curvas!AY$2, 'Fluxos de Recebimento'!$I$63:$BH$63, 0)),0)*INDEX($E:$E, MATCH(AY$2, $B:$B, 0))</f>
        <v>6.5681444991789832E-4</v>
      </c>
      <c r="AZ26" s="193">
        <f>IFERROR(INDEX('Fluxos de Recebimento'!$I$7:$BH$58, MATCH(Curvas!$AB26, 'Fluxos de Recebimento'!$F$7:$F$58, 0), MATCH(Curvas!AZ$2,'Fluxos de Recebimento'!$I$5:$BH$5, 0))+INDEX('Fluxos de Recebimento'!$I$65:$BH$116, MATCH(Curvas!$AB26, 'Fluxos de Recebimento'!$F$65:$F$116, 0), MATCH(Curvas!AZ$2, 'Fluxos de Recebimento'!$I$63:$BH$63, 0)),0)*INDEX($E:$E, MATCH(AZ$2, $B:$B, 0))</f>
        <v>1.149425287356322E-3</v>
      </c>
      <c r="BA26" s="193">
        <f>IFERROR(INDEX('Fluxos de Recebimento'!$I$7:$BH$58, MATCH(Curvas!$AB26, 'Fluxos de Recebimento'!$F$7:$F$58, 0), MATCH(Curvas!BA$2,'Fluxos de Recebimento'!$I$5:$BH$5, 0))+INDEX('Fluxos de Recebimento'!$I$65:$BH$116, MATCH(Curvas!$AB26, 'Fluxos de Recebimento'!$F$65:$F$116, 0), MATCH(Curvas!BA$2, 'Fluxos de Recebimento'!$I$63:$BH$63, 0)),0)*INDEX($E:$E, MATCH(BA$2, $B:$B, 0))</f>
        <v>0</v>
      </c>
      <c r="BB26" s="193">
        <f>IFERROR(INDEX('Fluxos de Recebimento'!$I$7:$BH$58, MATCH(Curvas!$AB26, 'Fluxos de Recebimento'!$F$7:$F$58, 0), MATCH(Curvas!BB$2,'Fluxos de Recebimento'!$I$5:$BH$5, 0))+INDEX('Fluxos de Recebimento'!$I$65:$BH$116, MATCH(Curvas!$AB26, 'Fluxos de Recebimento'!$F$65:$F$116, 0), MATCH(Curvas!BB$2, 'Fluxos de Recebimento'!$I$63:$BH$63, 0)),0)*INDEX($E:$E, MATCH(BB$2, $B:$B, 0))</f>
        <v>0</v>
      </c>
      <c r="BC26" s="193">
        <f>IFERROR(INDEX('Fluxos de Recebimento'!$I$7:$BH$58, MATCH(Curvas!$AB26, 'Fluxos de Recebimento'!$F$7:$F$58, 0), MATCH(Curvas!BC$2,'Fluxos de Recebimento'!$I$5:$BH$5, 0))+INDEX('Fluxos de Recebimento'!$I$65:$BH$116, MATCH(Curvas!$AB26, 'Fluxos de Recebimento'!$F$65:$F$116, 0), MATCH(Curvas!BC$2, 'Fluxos de Recebimento'!$I$63:$BH$63, 0)),0)*INDEX($E:$E, MATCH(BC$2, $B:$B, 0))</f>
        <v>0</v>
      </c>
      <c r="BD26" s="193">
        <f>IFERROR(INDEX('Fluxos de Recebimento'!$I$7:$BH$58, MATCH(Curvas!$AB26, 'Fluxos de Recebimento'!$F$7:$F$58, 0), MATCH(Curvas!BD$2,'Fluxos de Recebimento'!$I$5:$BH$5, 0))+INDEX('Fluxos de Recebimento'!$I$65:$BH$116, MATCH(Curvas!$AB26, 'Fluxos de Recebimento'!$F$65:$F$116, 0), MATCH(Curvas!BD$2, 'Fluxos de Recebimento'!$I$63:$BH$63, 0)),0)*INDEX($E:$E, MATCH(BD$2, $B:$B, 0))</f>
        <v>0</v>
      </c>
      <c r="BE26" s="193">
        <f>IFERROR(INDEX('Fluxos de Recebimento'!$I$7:$BH$58, MATCH(Curvas!$AB26, 'Fluxos de Recebimento'!$F$7:$F$58, 0), MATCH(Curvas!BE$2,'Fluxos de Recebimento'!$I$5:$BH$5, 0))+INDEX('Fluxos de Recebimento'!$I$65:$BH$116, MATCH(Curvas!$AB26, 'Fluxos de Recebimento'!$F$65:$F$116, 0), MATCH(Curvas!BE$2, 'Fluxos de Recebimento'!$I$63:$BH$63, 0)),0)*INDEX($E:$E, MATCH(BE$2, $B:$B, 0))</f>
        <v>0</v>
      </c>
      <c r="BF26" s="193">
        <f>IFERROR(INDEX('Fluxos de Recebimento'!$I$7:$BH$58, MATCH(Curvas!$AB26, 'Fluxos de Recebimento'!$F$7:$F$58, 0), MATCH(Curvas!BF$2,'Fluxos de Recebimento'!$I$5:$BH$5, 0))+INDEX('Fluxos de Recebimento'!$I$65:$BH$116, MATCH(Curvas!$AB26, 'Fluxos de Recebimento'!$F$65:$F$116, 0), MATCH(Curvas!BF$2, 'Fluxos de Recebimento'!$I$63:$BH$63, 0)),0)*INDEX($E:$E, MATCH(BF$2, $B:$B, 0))</f>
        <v>0</v>
      </c>
      <c r="BG26" s="193">
        <f>IFERROR(INDEX('Fluxos de Recebimento'!$I$7:$BH$58, MATCH(Curvas!$AB26, 'Fluxos de Recebimento'!$F$7:$F$58, 0), MATCH(Curvas!BG$2,'Fluxos de Recebimento'!$I$5:$BH$5, 0))+INDEX('Fluxos de Recebimento'!$I$65:$BH$116, MATCH(Curvas!$AB26, 'Fluxos de Recebimento'!$F$65:$F$116, 0), MATCH(Curvas!BG$2, 'Fluxos de Recebimento'!$I$63:$BH$63, 0)),0)*INDEX($E:$E, MATCH(BG$2, $B:$B, 0))</f>
        <v>0</v>
      </c>
      <c r="BH26" s="193">
        <f>IFERROR(INDEX('Fluxos de Recebimento'!$I$7:$BH$58, MATCH(Curvas!$AB26, 'Fluxos de Recebimento'!$F$7:$F$58, 0), MATCH(Curvas!BH$2,'Fluxos de Recebimento'!$I$5:$BH$5, 0))+INDEX('Fluxos de Recebimento'!$I$65:$BH$116, MATCH(Curvas!$AB26, 'Fluxos de Recebimento'!$F$65:$F$116, 0), MATCH(Curvas!BH$2, 'Fluxos de Recebimento'!$I$63:$BH$63, 0)),0)*INDEX($E:$E, MATCH(BH$2, $B:$B, 0))</f>
        <v>0</v>
      </c>
      <c r="BI26" s="193">
        <f>IFERROR(INDEX('Fluxos de Recebimento'!$I$7:$BH$58, MATCH(Curvas!$AB26, 'Fluxos de Recebimento'!$F$7:$F$58, 0), MATCH(Curvas!BI$2,'Fluxos de Recebimento'!$I$5:$BH$5, 0))+INDEX('Fluxos de Recebimento'!$I$65:$BH$116, MATCH(Curvas!$AB26, 'Fluxos de Recebimento'!$F$65:$F$116, 0), MATCH(Curvas!BI$2, 'Fluxos de Recebimento'!$I$63:$BH$63, 0)),0)*INDEX($E:$E, MATCH(BI$2, $B:$B, 0))</f>
        <v>0</v>
      </c>
      <c r="BJ26" s="193">
        <f>IFERROR(INDEX('Fluxos de Recebimento'!$I$7:$BH$58, MATCH(Curvas!$AB26, 'Fluxos de Recebimento'!$F$7:$F$58, 0), MATCH(Curvas!BJ$2,'Fluxos de Recebimento'!$I$5:$BH$5, 0))+INDEX('Fluxos de Recebimento'!$I$65:$BH$116, MATCH(Curvas!$AB26, 'Fluxos de Recebimento'!$F$65:$F$116, 0), MATCH(Curvas!BJ$2, 'Fluxos de Recebimento'!$I$63:$BH$63, 0)),0)*INDEX($E:$E, MATCH(BJ$2, $B:$B, 0))</f>
        <v>0</v>
      </c>
      <c r="BK26" s="193">
        <f>IFERROR(INDEX('Fluxos de Recebimento'!$I$7:$BH$58, MATCH(Curvas!$AB26, 'Fluxos de Recebimento'!$F$7:$F$58, 0), MATCH(Curvas!BK$2,'Fluxos de Recebimento'!$I$5:$BH$5, 0))+INDEX('Fluxos de Recebimento'!$I$65:$BH$116, MATCH(Curvas!$AB26, 'Fluxos de Recebimento'!$F$65:$F$116, 0), MATCH(Curvas!BK$2, 'Fluxos de Recebimento'!$I$63:$BH$63, 0)),0)*INDEX($E:$E, MATCH(BK$2, $B:$B, 0))</f>
        <v>0</v>
      </c>
      <c r="BL26" s="193">
        <f>IFERROR(INDEX('Fluxos de Recebimento'!$I$7:$BH$58, MATCH(Curvas!$AB26, 'Fluxos de Recebimento'!$F$7:$F$58, 0), MATCH(Curvas!BL$2,'Fluxos de Recebimento'!$I$5:$BH$5, 0))+INDEX('Fluxos de Recebimento'!$I$65:$BH$116, MATCH(Curvas!$AB26, 'Fluxos de Recebimento'!$F$65:$F$116, 0), MATCH(Curvas!BL$2, 'Fluxos de Recebimento'!$I$63:$BH$63, 0)),0)*INDEX($E:$E, MATCH(BL$2, $B:$B, 0))</f>
        <v>0</v>
      </c>
      <c r="BM26" s="193">
        <f>IFERROR(INDEX('Fluxos de Recebimento'!$I$7:$BH$58, MATCH(Curvas!$AB26, 'Fluxos de Recebimento'!$F$7:$F$58, 0), MATCH(Curvas!BM$2,'Fluxos de Recebimento'!$I$5:$BH$5, 0))+INDEX('Fluxos de Recebimento'!$I$65:$BH$116, MATCH(Curvas!$AB26, 'Fluxos de Recebimento'!$F$65:$F$116, 0), MATCH(Curvas!BM$2, 'Fluxos de Recebimento'!$I$63:$BH$63, 0)),0)*INDEX($E:$E, MATCH(BM$2, $B:$B, 0))</f>
        <v>0</v>
      </c>
      <c r="BN26" s="193">
        <f>IFERROR(INDEX('Fluxos de Recebimento'!$I$7:$BH$58, MATCH(Curvas!$AB26, 'Fluxos de Recebimento'!$F$7:$F$58, 0), MATCH(Curvas!BN$2,'Fluxos de Recebimento'!$I$5:$BH$5, 0))+INDEX('Fluxos de Recebimento'!$I$65:$BH$116, MATCH(Curvas!$AB26, 'Fluxos de Recebimento'!$F$65:$F$116, 0), MATCH(Curvas!BN$2, 'Fluxos de Recebimento'!$I$63:$BH$63, 0)),0)*INDEX($E:$E, MATCH(BN$2, $B:$B, 0))</f>
        <v>0</v>
      </c>
      <c r="BO26" s="193">
        <f>IFERROR(INDEX('Fluxos de Recebimento'!$I$7:$BH$58, MATCH(Curvas!$AB26, 'Fluxos de Recebimento'!$F$7:$F$58, 0), MATCH(Curvas!BO$2,'Fluxos de Recebimento'!$I$5:$BH$5, 0))+INDEX('Fluxos de Recebimento'!$I$65:$BH$116, MATCH(Curvas!$AB26, 'Fluxos de Recebimento'!$F$65:$F$116, 0), MATCH(Curvas!BO$2, 'Fluxos de Recebimento'!$I$63:$BH$63, 0)),0)*INDEX($E:$E, MATCH(BO$2, $B:$B, 0))</f>
        <v>0</v>
      </c>
      <c r="BP26" s="193">
        <f>IFERROR(INDEX('Fluxos de Recebimento'!$I$7:$BH$58, MATCH(Curvas!$AB26, 'Fluxos de Recebimento'!$F$7:$F$58, 0), MATCH(Curvas!BP$2,'Fluxos de Recebimento'!$I$5:$BH$5, 0))+INDEX('Fluxos de Recebimento'!$I$65:$BH$116, MATCH(Curvas!$AB26, 'Fluxos de Recebimento'!$F$65:$F$116, 0), MATCH(Curvas!BP$2, 'Fluxos de Recebimento'!$I$63:$BH$63, 0)),0)*INDEX($E:$E, MATCH(BP$2, $B:$B, 0))</f>
        <v>0</v>
      </c>
      <c r="BQ26" s="193">
        <f>IFERROR(INDEX('Fluxos de Recebimento'!$I$7:$BH$58, MATCH(Curvas!$AB26, 'Fluxos de Recebimento'!$F$7:$F$58, 0), MATCH(Curvas!BQ$2,'Fluxos de Recebimento'!$I$5:$BH$5, 0))+INDEX('Fluxos de Recebimento'!$I$65:$BH$116, MATCH(Curvas!$AB26, 'Fluxos de Recebimento'!$F$65:$F$116, 0), MATCH(Curvas!BQ$2, 'Fluxos de Recebimento'!$I$63:$BH$63, 0)),0)*INDEX($E:$E, MATCH(BQ$2, $B:$B, 0))</f>
        <v>0</v>
      </c>
      <c r="BR26" s="193">
        <f>IFERROR(INDEX('Fluxos de Recebimento'!$I$7:$BH$58, MATCH(Curvas!$AB26, 'Fluxos de Recebimento'!$F$7:$F$58, 0), MATCH(Curvas!BR$2,'Fluxos de Recebimento'!$I$5:$BH$5, 0))+INDEX('Fluxos de Recebimento'!$I$65:$BH$116, MATCH(Curvas!$AB26, 'Fluxos de Recebimento'!$F$65:$F$116, 0), MATCH(Curvas!BR$2, 'Fluxos de Recebimento'!$I$63:$BH$63, 0)),0)*INDEX($E:$E, MATCH(BR$2, $B:$B, 0))</f>
        <v>0</v>
      </c>
      <c r="BS26" s="193">
        <f>IFERROR(INDEX('Fluxos de Recebimento'!$I$7:$BH$58, MATCH(Curvas!$AB26, 'Fluxos de Recebimento'!$F$7:$F$58, 0), MATCH(Curvas!BS$2,'Fluxos de Recebimento'!$I$5:$BH$5, 0))+INDEX('Fluxos de Recebimento'!$I$65:$BH$116, MATCH(Curvas!$AB26, 'Fluxos de Recebimento'!$F$65:$F$116, 0), MATCH(Curvas!BS$2, 'Fluxos de Recebimento'!$I$63:$BH$63, 0)),0)*INDEX($E:$E, MATCH(BS$2, $B:$B, 0))</f>
        <v>0</v>
      </c>
      <c r="BT26" s="193">
        <f>IFERROR(INDEX('Fluxos de Recebimento'!$I$7:$BH$58, MATCH(Curvas!$AB26, 'Fluxos de Recebimento'!$F$7:$F$58, 0), MATCH(Curvas!BT$2,'Fluxos de Recebimento'!$I$5:$BH$5, 0))+INDEX('Fluxos de Recebimento'!$I$65:$BH$116, MATCH(Curvas!$AB26, 'Fluxos de Recebimento'!$F$65:$F$116, 0), MATCH(Curvas!BT$2, 'Fluxos de Recebimento'!$I$63:$BH$63, 0)),0)*INDEX($E:$E, MATCH(BT$2, $B:$B, 0))</f>
        <v>0</v>
      </c>
      <c r="BU26" s="193">
        <f>IFERROR(INDEX('Fluxos de Recebimento'!$I$7:$BH$58, MATCH(Curvas!$AB26, 'Fluxos de Recebimento'!$F$7:$F$58, 0), MATCH(Curvas!BU$2,'Fluxos de Recebimento'!$I$5:$BH$5, 0))+INDEX('Fluxos de Recebimento'!$I$65:$BH$116, MATCH(Curvas!$AB26, 'Fluxos de Recebimento'!$F$65:$F$116, 0), MATCH(Curvas!BU$2, 'Fluxos de Recebimento'!$I$63:$BH$63, 0)),0)*INDEX($E:$E, MATCH(BU$2, $B:$B, 0))</f>
        <v>0</v>
      </c>
      <c r="BV26" s="193">
        <f>IFERROR(INDEX('Fluxos de Recebimento'!$I$7:$BH$58, MATCH(Curvas!$AB26, 'Fluxos de Recebimento'!$F$7:$F$58, 0), MATCH(Curvas!BV$2,'Fluxos de Recebimento'!$I$5:$BH$5, 0))+INDEX('Fluxos de Recebimento'!$I$65:$BH$116, MATCH(Curvas!$AB26, 'Fluxos de Recebimento'!$F$65:$F$116, 0), MATCH(Curvas!BV$2, 'Fluxos de Recebimento'!$I$63:$BH$63, 0)),0)*INDEX($E:$E, MATCH(BV$2, $B:$B, 0))</f>
        <v>0</v>
      </c>
      <c r="BW26" s="193">
        <f>IFERROR(INDEX('Fluxos de Recebimento'!$I$7:$BH$58, MATCH(Curvas!$AB26, 'Fluxos de Recebimento'!$F$7:$F$58, 0), MATCH(Curvas!BW$2,'Fluxos de Recebimento'!$I$5:$BH$5, 0))+INDEX('Fluxos de Recebimento'!$I$65:$BH$116, MATCH(Curvas!$AB26, 'Fluxos de Recebimento'!$F$65:$F$116, 0), MATCH(Curvas!BW$2, 'Fluxos de Recebimento'!$I$63:$BH$63, 0)),0)*INDEX($E:$E, MATCH(BW$2, $B:$B, 0))</f>
        <v>0</v>
      </c>
      <c r="BX26" s="193">
        <f>IFERROR(INDEX('Fluxos de Recebimento'!$I$7:$BH$58, MATCH(Curvas!$AB26, 'Fluxos de Recebimento'!$F$7:$F$58, 0), MATCH(Curvas!BX$2,'Fluxos de Recebimento'!$I$5:$BH$5, 0))+INDEX('Fluxos de Recebimento'!$I$65:$BH$116, MATCH(Curvas!$AB26, 'Fluxos de Recebimento'!$F$65:$F$116, 0), MATCH(Curvas!BX$2, 'Fluxos de Recebimento'!$I$63:$BH$63, 0)),0)*INDEX($E:$E, MATCH(BX$2, $B:$B, 0))</f>
        <v>0</v>
      </c>
      <c r="BY26" s="193">
        <f>IFERROR(INDEX('Fluxos de Recebimento'!$I$7:$BH$58, MATCH(Curvas!$AB26, 'Fluxos de Recebimento'!$F$7:$F$58, 0), MATCH(Curvas!BY$2,'Fluxos de Recebimento'!$I$5:$BH$5, 0))+INDEX('Fluxos de Recebimento'!$I$65:$BH$116, MATCH(Curvas!$AB26, 'Fluxos de Recebimento'!$F$65:$F$116, 0), MATCH(Curvas!BY$2, 'Fluxos de Recebimento'!$I$63:$BH$63, 0)),0)*INDEX($E:$E, MATCH(BY$2, $B:$B, 0))</f>
        <v>0</v>
      </c>
      <c r="BZ26" s="193">
        <f>IFERROR(INDEX('Fluxos de Recebimento'!$I$7:$BH$58, MATCH(Curvas!$AB26, 'Fluxos de Recebimento'!$F$7:$F$58, 0), MATCH(Curvas!BZ$2,'Fluxos de Recebimento'!$I$5:$BH$5, 0))+INDEX('Fluxos de Recebimento'!$I$65:$BH$116, MATCH(Curvas!$AB26, 'Fluxos de Recebimento'!$F$65:$F$116, 0), MATCH(Curvas!BZ$2, 'Fluxos de Recebimento'!$I$63:$BH$63, 0)),0)*INDEX($E:$E, MATCH(BZ$2, $B:$B, 0))</f>
        <v>0</v>
      </c>
      <c r="CA26" s="193">
        <f>IFERROR(INDEX('Fluxos de Recebimento'!$I$7:$BH$58, MATCH(Curvas!$AB26, 'Fluxos de Recebimento'!$F$7:$F$58, 0), MATCH(Curvas!CA$2,'Fluxos de Recebimento'!$I$5:$BH$5, 0))+INDEX('Fluxos de Recebimento'!$I$65:$BH$116, MATCH(Curvas!$AB26, 'Fluxos de Recebimento'!$F$65:$F$116, 0), MATCH(Curvas!CA$2, 'Fluxos de Recebimento'!$I$63:$BH$63, 0)),0)*INDEX($E:$E, MATCH(CA$2, $B:$B, 0))</f>
        <v>0</v>
      </c>
      <c r="CB26" s="193">
        <f>IFERROR(INDEX('Fluxos de Recebimento'!$I$7:$BH$58, MATCH(Curvas!$AB26, 'Fluxos de Recebimento'!$F$7:$F$58, 0), MATCH(Curvas!CB$2,'Fluxos de Recebimento'!$I$5:$BH$5, 0))+INDEX('Fluxos de Recebimento'!$I$65:$BH$116, MATCH(Curvas!$AB26, 'Fluxos de Recebimento'!$F$65:$F$116, 0), MATCH(Curvas!CB$2, 'Fluxos de Recebimento'!$I$63:$BH$63, 0)),0)*INDEX($E:$E, MATCH(CB$2, $B:$B, 0))</f>
        <v>0</v>
      </c>
      <c r="CC26" s="193">
        <f>IFERROR(INDEX('Fluxos de Recebimento'!$I$7:$BH$58, MATCH(Curvas!$AB26, 'Fluxos de Recebimento'!$F$7:$F$58, 0), MATCH(Curvas!CC$2,'Fluxos de Recebimento'!$I$5:$BH$5, 0))+INDEX('Fluxos de Recebimento'!$I$65:$BH$116, MATCH(Curvas!$AB26, 'Fluxos de Recebimento'!$F$65:$F$116, 0), MATCH(Curvas!CC$2, 'Fluxos de Recebimento'!$I$63:$BH$63, 0)),0)*INDEX($E:$E, MATCH(CC$2, $B:$B, 0))</f>
        <v>0</v>
      </c>
    </row>
    <row r="27" spans="1:81" x14ac:dyDescent="0.25">
      <c r="A27" s="2"/>
      <c r="B27" s="477">
        <f t="shared" si="16"/>
        <v>44866</v>
      </c>
      <c r="C27" s="52">
        <f t="shared" si="17"/>
        <v>24</v>
      </c>
      <c r="D27" s="2"/>
      <c r="E27" s="187">
        <f t="shared" si="4"/>
        <v>2.298850574712644E-2</v>
      </c>
      <c r="F27" s="48">
        <f t="shared" si="18"/>
        <v>0.5517241379310347</v>
      </c>
      <c r="G27" s="46">
        <f t="shared" ca="1" si="5"/>
        <v>0</v>
      </c>
      <c r="H27" s="48">
        <f t="shared" ca="1" si="19"/>
        <v>0</v>
      </c>
      <c r="I27" s="2"/>
      <c r="J27" s="69">
        <f t="shared" si="6"/>
        <v>16</v>
      </c>
      <c r="K27" s="479">
        <f t="shared" ca="1" si="7"/>
        <v>0</v>
      </c>
      <c r="L27" s="70">
        <f t="shared" ca="1" si="8"/>
        <v>16</v>
      </c>
      <c r="M27" s="2"/>
      <c r="N27" s="69">
        <f t="shared" si="9"/>
        <v>21</v>
      </c>
      <c r="O27" s="479">
        <f t="shared" si="10"/>
        <v>0</v>
      </c>
      <c r="P27" s="70">
        <f t="shared" si="11"/>
        <v>21</v>
      </c>
      <c r="Q27" s="2"/>
      <c r="R27" s="71">
        <f t="shared" si="12"/>
        <v>37</v>
      </c>
      <c r="S27" s="196"/>
      <c r="T27" s="46">
        <v>4.4269701347351351E-2</v>
      </c>
      <c r="U27" s="48">
        <f t="shared" si="20"/>
        <v>0.61503626967164116</v>
      </c>
      <c r="V27" s="2"/>
      <c r="W27" s="56"/>
      <c r="X27" s="48"/>
      <c r="Y27" s="2"/>
      <c r="Z27" s="194">
        <f t="shared" si="13"/>
        <v>8.7072997960139543E-3</v>
      </c>
      <c r="AA27" s="2"/>
      <c r="AB27" s="477">
        <f t="shared" si="14"/>
        <v>44866</v>
      </c>
      <c r="AC27" s="52">
        <f t="shared" si="15"/>
        <v>24</v>
      </c>
      <c r="AD27" s="193">
        <f>IFERROR(INDEX('Fluxos de Recebimento'!$I$7:$BH$58, MATCH(Curvas!$AB27, 'Fluxos de Recebimento'!$F$7:$F$58, 0), MATCH(Curvas!AD$2,'Fluxos de Recebimento'!$I$5:$BH$5, 0))+INDEX('Fluxos de Recebimento'!$I$65:$BH$116, MATCH(Curvas!$AB27, 'Fluxos de Recebimento'!$F$65:$F$116, 0), MATCH(Curvas!AD$2, 'Fluxos de Recebimento'!$I$63:$BH$63, 0)),0)*INDEX($E:$E, MATCH(AD$2, $B:$B, 0))</f>
        <v>1.6420361247947458E-4</v>
      </c>
      <c r="AE27" s="193">
        <f>IFERROR(INDEX('Fluxos de Recebimento'!$I$7:$BH$58, MATCH(Curvas!$AB27, 'Fluxos de Recebimento'!$F$7:$F$58, 0), MATCH(Curvas!AE$2,'Fluxos de Recebimento'!$I$5:$BH$5, 0))+INDEX('Fluxos de Recebimento'!$I$65:$BH$116, MATCH(Curvas!$AB27, 'Fluxos de Recebimento'!$F$65:$F$116, 0), MATCH(Curvas!AE$2, 'Fluxos de Recebimento'!$I$63:$BH$63, 0)),0)*INDEX($E:$E, MATCH(AE$2, $B:$B, 0))</f>
        <v>1.7028522775649216E-4</v>
      </c>
      <c r="AF27" s="193">
        <f>IFERROR(INDEX('Fluxos de Recebimento'!$I$7:$BH$58, MATCH(Curvas!$AB27, 'Fluxos de Recebimento'!$F$7:$F$58, 0), MATCH(Curvas!AF$2,'Fluxos de Recebimento'!$I$5:$BH$5, 0))+INDEX('Fluxos de Recebimento'!$I$65:$BH$116, MATCH(Curvas!$AB27, 'Fluxos de Recebimento'!$F$65:$F$116, 0), MATCH(Curvas!AF$2, 'Fluxos de Recebimento'!$I$63:$BH$63, 0)),0)*INDEX($E:$E, MATCH(AF$2, $B:$B, 0))</f>
        <v>1.7683465959328031E-4</v>
      </c>
      <c r="AG27" s="193">
        <f>IFERROR(INDEX('Fluxos de Recebimento'!$I$7:$BH$58, MATCH(Curvas!$AB27, 'Fluxos de Recebimento'!$F$7:$F$58, 0), MATCH(Curvas!AG$2,'Fluxos de Recebimento'!$I$5:$BH$5, 0))+INDEX('Fluxos de Recebimento'!$I$65:$BH$116, MATCH(Curvas!$AB27, 'Fluxos de Recebimento'!$F$65:$F$116, 0), MATCH(Curvas!AG$2, 'Fluxos de Recebimento'!$I$63:$BH$63, 0)),0)*INDEX($E:$E, MATCH(AG$2, $B:$B, 0))</f>
        <v>1.8390804597701152E-4</v>
      </c>
      <c r="AH27" s="193">
        <f>IFERROR(INDEX('Fluxos de Recebimento'!$I$7:$BH$58, MATCH(Curvas!$AB27, 'Fluxos de Recebimento'!$F$7:$F$58, 0), MATCH(Curvas!AH$2,'Fluxos de Recebimento'!$I$5:$BH$5, 0))+INDEX('Fluxos de Recebimento'!$I$65:$BH$116, MATCH(Curvas!$AB27, 'Fluxos de Recebimento'!$F$65:$F$116, 0), MATCH(Curvas!AH$2, 'Fluxos de Recebimento'!$I$63:$BH$63, 0)),0)*INDEX($E:$E, MATCH(AH$2, $B:$B, 0))</f>
        <v>1.9157088122605367E-4</v>
      </c>
      <c r="AI27" s="193">
        <f>IFERROR(INDEX('Fluxos de Recebimento'!$I$7:$BH$58, MATCH(Curvas!$AB27, 'Fluxos de Recebimento'!$F$7:$F$58, 0), MATCH(Curvas!AI$2,'Fluxos de Recebimento'!$I$5:$BH$5, 0))+INDEX('Fluxos de Recebimento'!$I$65:$BH$116, MATCH(Curvas!$AB27, 'Fluxos de Recebimento'!$F$65:$F$116, 0), MATCH(Curvas!AI$2, 'Fluxos de Recebimento'!$I$63:$BH$63, 0)),0)*INDEX($E:$E, MATCH(AI$2, $B:$B, 0))</f>
        <v>1.9990004997501253E-4</v>
      </c>
      <c r="AJ27" s="193">
        <f>IFERROR(INDEX('Fluxos de Recebimento'!$I$7:$BH$58, MATCH(Curvas!$AB27, 'Fluxos de Recebimento'!$F$7:$F$58, 0), MATCH(Curvas!AJ$2,'Fluxos de Recebimento'!$I$5:$BH$5, 0))+INDEX('Fluxos de Recebimento'!$I$65:$BH$116, MATCH(Curvas!$AB27, 'Fluxos de Recebimento'!$F$65:$F$116, 0), MATCH(Curvas!AJ$2, 'Fluxos de Recebimento'!$I$63:$BH$63, 0)),0)*INDEX($E:$E, MATCH(AJ$2, $B:$B, 0))</f>
        <v>2.0898641588296767E-4</v>
      </c>
      <c r="AK27" s="193">
        <f>IFERROR(INDEX('Fluxos de Recebimento'!$I$7:$BH$58, MATCH(Curvas!$AB27, 'Fluxos de Recebimento'!$F$7:$F$58, 0), MATCH(Curvas!AK$2,'Fluxos de Recebimento'!$I$5:$BH$5, 0))+INDEX('Fluxos de Recebimento'!$I$65:$BH$116, MATCH(Curvas!$AB27, 'Fluxos de Recebimento'!$F$65:$F$116, 0), MATCH(Curvas!AK$2, 'Fluxos de Recebimento'!$I$63:$BH$63, 0)),0)*INDEX($E:$E, MATCH(AK$2, $B:$B, 0))</f>
        <v>2.1893814997263279E-4</v>
      </c>
      <c r="AL27" s="193">
        <f>IFERROR(INDEX('Fluxos de Recebimento'!$I$7:$BH$58, MATCH(Curvas!$AB27, 'Fluxos de Recebimento'!$F$7:$F$58, 0), MATCH(Curvas!AL$2,'Fluxos de Recebimento'!$I$5:$BH$5, 0))+INDEX('Fluxos de Recebimento'!$I$65:$BH$116, MATCH(Curvas!$AB27, 'Fluxos de Recebimento'!$F$65:$F$116, 0), MATCH(Curvas!AL$2, 'Fluxos de Recebimento'!$I$63:$BH$63, 0)),0)*INDEX($E:$E, MATCH(AL$2, $B:$B, 0))</f>
        <v>2.2988505747126441E-4</v>
      </c>
      <c r="AM27" s="193">
        <f>IFERROR(INDEX('Fluxos de Recebimento'!$I$7:$BH$58, MATCH(Curvas!$AB27, 'Fluxos de Recebimento'!$F$7:$F$58, 0), MATCH(Curvas!AM$2,'Fluxos de Recebimento'!$I$5:$BH$5, 0))+INDEX('Fluxos de Recebimento'!$I$65:$BH$116, MATCH(Curvas!$AB27, 'Fluxos de Recebimento'!$F$65:$F$116, 0), MATCH(Curvas!AM$2, 'Fluxos de Recebimento'!$I$63:$BH$63, 0)),0)*INDEX($E:$E, MATCH(AM$2, $B:$B, 0))</f>
        <v>2.4198427102238356E-4</v>
      </c>
      <c r="AN27" s="193">
        <f>IFERROR(INDEX('Fluxos de Recebimento'!$I$7:$BH$58, MATCH(Curvas!$AB27, 'Fluxos de Recebimento'!$F$7:$F$58, 0), MATCH(Curvas!AN$2,'Fluxos de Recebimento'!$I$5:$BH$5, 0))+INDEX('Fluxos de Recebimento'!$I$65:$BH$116, MATCH(Curvas!$AB27, 'Fluxos de Recebimento'!$F$65:$F$116, 0), MATCH(Curvas!AN$2, 'Fluxos de Recebimento'!$I$63:$BH$63, 0)),0)*INDEX($E:$E, MATCH(AN$2, $B:$B, 0))</f>
        <v>2.5542784163473821E-4</v>
      </c>
      <c r="AO27" s="193">
        <f>IFERROR(INDEX('Fluxos de Recebimento'!$I$7:$BH$58, MATCH(Curvas!$AB27, 'Fluxos de Recebimento'!$F$7:$F$58, 0), MATCH(Curvas!AO$2,'Fluxos de Recebimento'!$I$5:$BH$5, 0))+INDEX('Fluxos de Recebimento'!$I$65:$BH$116, MATCH(Curvas!$AB27, 'Fluxos de Recebimento'!$F$65:$F$116, 0), MATCH(Curvas!AO$2, 'Fluxos de Recebimento'!$I$63:$BH$63, 0)),0)*INDEX($E:$E, MATCH(AO$2, $B:$B, 0))</f>
        <v>2.7045300878972284E-4</v>
      </c>
      <c r="AP27" s="193">
        <f>IFERROR(INDEX('Fluxos de Recebimento'!$I$7:$BH$58, MATCH(Curvas!$AB27, 'Fluxos de Recebimento'!$F$7:$F$58, 0), MATCH(Curvas!AP$2,'Fluxos de Recebimento'!$I$5:$BH$5, 0))+INDEX('Fluxos de Recebimento'!$I$65:$BH$116, MATCH(Curvas!$AB27, 'Fluxos de Recebimento'!$F$65:$F$116, 0), MATCH(Curvas!AP$2, 'Fluxos de Recebimento'!$I$63:$BH$63, 0)),0)*INDEX($E:$E, MATCH(AP$2, $B:$B, 0))</f>
        <v>2.8735632183908051E-4</v>
      </c>
      <c r="AQ27" s="193">
        <f>IFERROR(INDEX('Fluxos de Recebimento'!$I$7:$BH$58, MATCH(Curvas!$AB27, 'Fluxos de Recebimento'!$F$7:$F$58, 0), MATCH(Curvas!AQ$2,'Fluxos de Recebimento'!$I$5:$BH$5, 0))+INDEX('Fluxos de Recebimento'!$I$65:$BH$116, MATCH(Curvas!$AB27, 'Fluxos de Recebimento'!$F$65:$F$116, 0), MATCH(Curvas!AQ$2, 'Fluxos de Recebimento'!$I$63:$BH$63, 0)),0)*INDEX($E:$E, MATCH(AQ$2, $B:$B, 0))</f>
        <v>3.0651340996168587E-4</v>
      </c>
      <c r="AR27" s="193">
        <f>IFERROR(INDEX('Fluxos de Recebimento'!$I$7:$BH$58, MATCH(Curvas!$AB27, 'Fluxos de Recebimento'!$F$7:$F$58, 0), MATCH(Curvas!AR$2,'Fluxos de Recebimento'!$I$5:$BH$5, 0))+INDEX('Fluxos de Recebimento'!$I$65:$BH$116, MATCH(Curvas!$AB27, 'Fluxos de Recebimento'!$F$65:$F$116, 0), MATCH(Curvas!AR$2, 'Fluxos de Recebimento'!$I$63:$BH$63, 0)),0)*INDEX($E:$E, MATCH(AR$2, $B:$B, 0))</f>
        <v>3.2840722495894916E-4</v>
      </c>
      <c r="AS27" s="193">
        <f>IFERROR(INDEX('Fluxos de Recebimento'!$I$7:$BH$58, MATCH(Curvas!$AB27, 'Fluxos de Recebimento'!$F$7:$F$58, 0), MATCH(Curvas!AS$2,'Fluxos de Recebimento'!$I$5:$BH$5, 0))+INDEX('Fluxos de Recebimento'!$I$65:$BH$116, MATCH(Curvas!$AB27, 'Fluxos de Recebimento'!$F$65:$F$116, 0), MATCH(Curvas!AS$2, 'Fluxos de Recebimento'!$I$63:$BH$63, 0)),0)*INDEX($E:$E, MATCH(AS$2, $B:$B, 0))</f>
        <v>3.5366931918656062E-4</v>
      </c>
      <c r="AT27" s="193">
        <f>IFERROR(INDEX('Fluxos de Recebimento'!$I$7:$BH$58, MATCH(Curvas!$AB27, 'Fluxos de Recebimento'!$F$7:$F$58, 0), MATCH(Curvas!AT$2,'Fluxos de Recebimento'!$I$5:$BH$5, 0))+INDEX('Fluxos de Recebimento'!$I$65:$BH$116, MATCH(Curvas!$AB27, 'Fluxos de Recebimento'!$F$65:$F$116, 0), MATCH(Curvas!AT$2, 'Fluxos de Recebimento'!$I$63:$BH$63, 0)),0)*INDEX($E:$E, MATCH(AT$2, $B:$B, 0))</f>
        <v>3.8314176245210735E-4</v>
      </c>
      <c r="AU27" s="193">
        <f>IFERROR(INDEX('Fluxos de Recebimento'!$I$7:$BH$58, MATCH(Curvas!$AB27, 'Fluxos de Recebimento'!$F$7:$F$58, 0), MATCH(Curvas!AU$2,'Fluxos de Recebimento'!$I$5:$BH$5, 0))+INDEX('Fluxos de Recebimento'!$I$65:$BH$116, MATCH(Curvas!$AB27, 'Fluxos de Recebimento'!$F$65:$F$116, 0), MATCH(Curvas!AU$2, 'Fluxos de Recebimento'!$I$63:$BH$63, 0)),0)*INDEX($E:$E, MATCH(AU$2, $B:$B, 0))</f>
        <v>4.1797283176593533E-4</v>
      </c>
      <c r="AV27" s="193">
        <f>IFERROR(INDEX('Fluxos de Recebimento'!$I$7:$BH$58, MATCH(Curvas!$AB27, 'Fluxos de Recebimento'!$F$7:$F$58, 0), MATCH(Curvas!AV$2,'Fluxos de Recebimento'!$I$5:$BH$5, 0))+INDEX('Fluxos de Recebimento'!$I$65:$BH$116, MATCH(Curvas!$AB27, 'Fluxos de Recebimento'!$F$65:$F$116, 0), MATCH(Curvas!AV$2, 'Fluxos de Recebimento'!$I$63:$BH$63, 0)),0)*INDEX($E:$E, MATCH(AV$2, $B:$B, 0))</f>
        <v>4.5977011494252883E-4</v>
      </c>
      <c r="AW27" s="193">
        <f>IFERROR(INDEX('Fluxos de Recebimento'!$I$7:$BH$58, MATCH(Curvas!$AB27, 'Fluxos de Recebimento'!$F$7:$F$58, 0), MATCH(Curvas!AW$2,'Fluxos de Recebimento'!$I$5:$BH$5, 0))+INDEX('Fluxos de Recebimento'!$I$65:$BH$116, MATCH(Curvas!$AB27, 'Fluxos de Recebimento'!$F$65:$F$116, 0), MATCH(Curvas!AW$2, 'Fluxos de Recebimento'!$I$63:$BH$63, 0)),0)*INDEX($E:$E, MATCH(AW$2, $B:$B, 0))</f>
        <v>5.1085568326947643E-4</v>
      </c>
      <c r="AX27" s="193">
        <f>IFERROR(INDEX('Fluxos de Recebimento'!$I$7:$BH$58, MATCH(Curvas!$AB27, 'Fluxos de Recebimento'!$F$7:$F$58, 0), MATCH(Curvas!AX$2,'Fluxos de Recebimento'!$I$5:$BH$5, 0))+INDEX('Fluxos de Recebimento'!$I$65:$BH$116, MATCH(Curvas!$AB27, 'Fluxos de Recebimento'!$F$65:$F$116, 0), MATCH(Curvas!AX$2, 'Fluxos de Recebimento'!$I$63:$BH$63, 0)),0)*INDEX($E:$E, MATCH(AX$2, $B:$B, 0))</f>
        <v>5.7471264367816102E-4</v>
      </c>
      <c r="AY27" s="193">
        <f>IFERROR(INDEX('Fluxos de Recebimento'!$I$7:$BH$58, MATCH(Curvas!$AB27, 'Fluxos de Recebimento'!$F$7:$F$58, 0), MATCH(Curvas!AY$2,'Fluxos de Recebimento'!$I$5:$BH$5, 0))+INDEX('Fluxos de Recebimento'!$I$65:$BH$116, MATCH(Curvas!$AB27, 'Fluxos de Recebimento'!$F$65:$F$116, 0), MATCH(Curvas!AY$2, 'Fluxos de Recebimento'!$I$63:$BH$63, 0)),0)*INDEX($E:$E, MATCH(AY$2, $B:$B, 0))</f>
        <v>6.5681444991789832E-4</v>
      </c>
      <c r="AZ27" s="193">
        <f>IFERROR(INDEX('Fluxos de Recebimento'!$I$7:$BH$58, MATCH(Curvas!$AB27, 'Fluxos de Recebimento'!$F$7:$F$58, 0), MATCH(Curvas!AZ$2,'Fluxos de Recebimento'!$I$5:$BH$5, 0))+INDEX('Fluxos de Recebimento'!$I$65:$BH$116, MATCH(Curvas!$AB27, 'Fluxos de Recebimento'!$F$65:$F$116, 0), MATCH(Curvas!AZ$2, 'Fluxos de Recebimento'!$I$63:$BH$63, 0)),0)*INDEX($E:$E, MATCH(AZ$2, $B:$B, 0))</f>
        <v>7.6628352490421469E-4</v>
      </c>
      <c r="BA27" s="193">
        <f>IFERROR(INDEX('Fluxos de Recebimento'!$I$7:$BH$58, MATCH(Curvas!$AB27, 'Fluxos de Recebimento'!$F$7:$F$58, 0), MATCH(Curvas!BA$2,'Fluxos de Recebimento'!$I$5:$BH$5, 0))+INDEX('Fluxos de Recebimento'!$I$65:$BH$116, MATCH(Curvas!$AB27, 'Fluxos de Recebimento'!$F$65:$F$116, 0), MATCH(Curvas!BA$2, 'Fluxos de Recebimento'!$I$63:$BH$63, 0)),0)*INDEX($E:$E, MATCH(BA$2, $B:$B, 0))</f>
        <v>1.149425287356322E-3</v>
      </c>
      <c r="BB27" s="193">
        <f>IFERROR(INDEX('Fluxos de Recebimento'!$I$7:$BH$58, MATCH(Curvas!$AB27, 'Fluxos de Recebimento'!$F$7:$F$58, 0), MATCH(Curvas!BB$2,'Fluxos de Recebimento'!$I$5:$BH$5, 0))+INDEX('Fluxos de Recebimento'!$I$65:$BH$116, MATCH(Curvas!$AB27, 'Fluxos de Recebimento'!$F$65:$F$116, 0), MATCH(Curvas!BB$2, 'Fluxos de Recebimento'!$I$63:$BH$63, 0)),0)*INDEX($E:$E, MATCH(BB$2, $B:$B, 0))</f>
        <v>0</v>
      </c>
      <c r="BC27" s="193">
        <f>IFERROR(INDEX('Fluxos de Recebimento'!$I$7:$BH$58, MATCH(Curvas!$AB27, 'Fluxos de Recebimento'!$F$7:$F$58, 0), MATCH(Curvas!BC$2,'Fluxos de Recebimento'!$I$5:$BH$5, 0))+INDEX('Fluxos de Recebimento'!$I$65:$BH$116, MATCH(Curvas!$AB27, 'Fluxos de Recebimento'!$F$65:$F$116, 0), MATCH(Curvas!BC$2, 'Fluxos de Recebimento'!$I$63:$BH$63, 0)),0)*INDEX($E:$E, MATCH(BC$2, $B:$B, 0))</f>
        <v>0</v>
      </c>
      <c r="BD27" s="193">
        <f>IFERROR(INDEX('Fluxos de Recebimento'!$I$7:$BH$58, MATCH(Curvas!$AB27, 'Fluxos de Recebimento'!$F$7:$F$58, 0), MATCH(Curvas!BD$2,'Fluxos de Recebimento'!$I$5:$BH$5, 0))+INDEX('Fluxos de Recebimento'!$I$65:$BH$116, MATCH(Curvas!$AB27, 'Fluxos de Recebimento'!$F$65:$F$116, 0), MATCH(Curvas!BD$2, 'Fluxos de Recebimento'!$I$63:$BH$63, 0)),0)*INDEX($E:$E, MATCH(BD$2, $B:$B, 0))</f>
        <v>0</v>
      </c>
      <c r="BE27" s="193">
        <f>IFERROR(INDEX('Fluxos de Recebimento'!$I$7:$BH$58, MATCH(Curvas!$AB27, 'Fluxos de Recebimento'!$F$7:$F$58, 0), MATCH(Curvas!BE$2,'Fluxos de Recebimento'!$I$5:$BH$5, 0))+INDEX('Fluxos de Recebimento'!$I$65:$BH$116, MATCH(Curvas!$AB27, 'Fluxos de Recebimento'!$F$65:$F$116, 0), MATCH(Curvas!BE$2, 'Fluxos de Recebimento'!$I$63:$BH$63, 0)),0)*INDEX($E:$E, MATCH(BE$2, $B:$B, 0))</f>
        <v>0</v>
      </c>
      <c r="BF27" s="193">
        <f>IFERROR(INDEX('Fluxos de Recebimento'!$I$7:$BH$58, MATCH(Curvas!$AB27, 'Fluxos de Recebimento'!$F$7:$F$58, 0), MATCH(Curvas!BF$2,'Fluxos de Recebimento'!$I$5:$BH$5, 0))+INDEX('Fluxos de Recebimento'!$I$65:$BH$116, MATCH(Curvas!$AB27, 'Fluxos de Recebimento'!$F$65:$F$116, 0), MATCH(Curvas!BF$2, 'Fluxos de Recebimento'!$I$63:$BH$63, 0)),0)*INDEX($E:$E, MATCH(BF$2, $B:$B, 0))</f>
        <v>0</v>
      </c>
      <c r="BG27" s="193">
        <f>IFERROR(INDEX('Fluxos de Recebimento'!$I$7:$BH$58, MATCH(Curvas!$AB27, 'Fluxos de Recebimento'!$F$7:$F$58, 0), MATCH(Curvas!BG$2,'Fluxos de Recebimento'!$I$5:$BH$5, 0))+INDEX('Fluxos de Recebimento'!$I$65:$BH$116, MATCH(Curvas!$AB27, 'Fluxos de Recebimento'!$F$65:$F$116, 0), MATCH(Curvas!BG$2, 'Fluxos de Recebimento'!$I$63:$BH$63, 0)),0)*INDEX($E:$E, MATCH(BG$2, $B:$B, 0))</f>
        <v>0</v>
      </c>
      <c r="BH27" s="193">
        <f>IFERROR(INDEX('Fluxos de Recebimento'!$I$7:$BH$58, MATCH(Curvas!$AB27, 'Fluxos de Recebimento'!$F$7:$F$58, 0), MATCH(Curvas!BH$2,'Fluxos de Recebimento'!$I$5:$BH$5, 0))+INDEX('Fluxos de Recebimento'!$I$65:$BH$116, MATCH(Curvas!$AB27, 'Fluxos de Recebimento'!$F$65:$F$116, 0), MATCH(Curvas!BH$2, 'Fluxos de Recebimento'!$I$63:$BH$63, 0)),0)*INDEX($E:$E, MATCH(BH$2, $B:$B, 0))</f>
        <v>0</v>
      </c>
      <c r="BI27" s="193">
        <f>IFERROR(INDEX('Fluxos de Recebimento'!$I$7:$BH$58, MATCH(Curvas!$AB27, 'Fluxos de Recebimento'!$F$7:$F$58, 0), MATCH(Curvas!BI$2,'Fluxos de Recebimento'!$I$5:$BH$5, 0))+INDEX('Fluxos de Recebimento'!$I$65:$BH$116, MATCH(Curvas!$AB27, 'Fluxos de Recebimento'!$F$65:$F$116, 0), MATCH(Curvas!BI$2, 'Fluxos de Recebimento'!$I$63:$BH$63, 0)),0)*INDEX($E:$E, MATCH(BI$2, $B:$B, 0))</f>
        <v>0</v>
      </c>
      <c r="BJ27" s="193">
        <f>IFERROR(INDEX('Fluxos de Recebimento'!$I$7:$BH$58, MATCH(Curvas!$AB27, 'Fluxos de Recebimento'!$F$7:$F$58, 0), MATCH(Curvas!BJ$2,'Fluxos de Recebimento'!$I$5:$BH$5, 0))+INDEX('Fluxos de Recebimento'!$I$65:$BH$116, MATCH(Curvas!$AB27, 'Fluxos de Recebimento'!$F$65:$F$116, 0), MATCH(Curvas!BJ$2, 'Fluxos de Recebimento'!$I$63:$BH$63, 0)),0)*INDEX($E:$E, MATCH(BJ$2, $B:$B, 0))</f>
        <v>0</v>
      </c>
      <c r="BK27" s="193">
        <f>IFERROR(INDEX('Fluxos de Recebimento'!$I$7:$BH$58, MATCH(Curvas!$AB27, 'Fluxos de Recebimento'!$F$7:$F$58, 0), MATCH(Curvas!BK$2,'Fluxos de Recebimento'!$I$5:$BH$5, 0))+INDEX('Fluxos de Recebimento'!$I$65:$BH$116, MATCH(Curvas!$AB27, 'Fluxos de Recebimento'!$F$65:$F$116, 0), MATCH(Curvas!BK$2, 'Fluxos de Recebimento'!$I$63:$BH$63, 0)),0)*INDEX($E:$E, MATCH(BK$2, $B:$B, 0))</f>
        <v>0</v>
      </c>
      <c r="BL27" s="193">
        <f>IFERROR(INDEX('Fluxos de Recebimento'!$I$7:$BH$58, MATCH(Curvas!$AB27, 'Fluxos de Recebimento'!$F$7:$F$58, 0), MATCH(Curvas!BL$2,'Fluxos de Recebimento'!$I$5:$BH$5, 0))+INDEX('Fluxos de Recebimento'!$I$65:$BH$116, MATCH(Curvas!$AB27, 'Fluxos de Recebimento'!$F$65:$F$116, 0), MATCH(Curvas!BL$2, 'Fluxos de Recebimento'!$I$63:$BH$63, 0)),0)*INDEX($E:$E, MATCH(BL$2, $B:$B, 0))</f>
        <v>0</v>
      </c>
      <c r="BM27" s="193">
        <f>IFERROR(INDEX('Fluxos de Recebimento'!$I$7:$BH$58, MATCH(Curvas!$AB27, 'Fluxos de Recebimento'!$F$7:$F$58, 0), MATCH(Curvas!BM$2,'Fluxos de Recebimento'!$I$5:$BH$5, 0))+INDEX('Fluxos de Recebimento'!$I$65:$BH$116, MATCH(Curvas!$AB27, 'Fluxos de Recebimento'!$F$65:$F$116, 0), MATCH(Curvas!BM$2, 'Fluxos de Recebimento'!$I$63:$BH$63, 0)),0)*INDEX($E:$E, MATCH(BM$2, $B:$B, 0))</f>
        <v>0</v>
      </c>
      <c r="BN27" s="193">
        <f>IFERROR(INDEX('Fluxos de Recebimento'!$I$7:$BH$58, MATCH(Curvas!$AB27, 'Fluxos de Recebimento'!$F$7:$F$58, 0), MATCH(Curvas!BN$2,'Fluxos de Recebimento'!$I$5:$BH$5, 0))+INDEX('Fluxos de Recebimento'!$I$65:$BH$116, MATCH(Curvas!$AB27, 'Fluxos de Recebimento'!$F$65:$F$116, 0), MATCH(Curvas!BN$2, 'Fluxos de Recebimento'!$I$63:$BH$63, 0)),0)*INDEX($E:$E, MATCH(BN$2, $B:$B, 0))</f>
        <v>0</v>
      </c>
      <c r="BO27" s="193">
        <f>IFERROR(INDEX('Fluxos de Recebimento'!$I$7:$BH$58, MATCH(Curvas!$AB27, 'Fluxos de Recebimento'!$F$7:$F$58, 0), MATCH(Curvas!BO$2,'Fluxos de Recebimento'!$I$5:$BH$5, 0))+INDEX('Fluxos de Recebimento'!$I$65:$BH$116, MATCH(Curvas!$AB27, 'Fluxos de Recebimento'!$F$65:$F$116, 0), MATCH(Curvas!BO$2, 'Fluxos de Recebimento'!$I$63:$BH$63, 0)),0)*INDEX($E:$E, MATCH(BO$2, $B:$B, 0))</f>
        <v>0</v>
      </c>
      <c r="BP27" s="193">
        <f>IFERROR(INDEX('Fluxos de Recebimento'!$I$7:$BH$58, MATCH(Curvas!$AB27, 'Fluxos de Recebimento'!$F$7:$F$58, 0), MATCH(Curvas!BP$2,'Fluxos de Recebimento'!$I$5:$BH$5, 0))+INDEX('Fluxos de Recebimento'!$I$65:$BH$116, MATCH(Curvas!$AB27, 'Fluxos de Recebimento'!$F$65:$F$116, 0), MATCH(Curvas!BP$2, 'Fluxos de Recebimento'!$I$63:$BH$63, 0)),0)*INDEX($E:$E, MATCH(BP$2, $B:$B, 0))</f>
        <v>0</v>
      </c>
      <c r="BQ27" s="193">
        <f>IFERROR(INDEX('Fluxos de Recebimento'!$I$7:$BH$58, MATCH(Curvas!$AB27, 'Fluxos de Recebimento'!$F$7:$F$58, 0), MATCH(Curvas!BQ$2,'Fluxos de Recebimento'!$I$5:$BH$5, 0))+INDEX('Fluxos de Recebimento'!$I$65:$BH$116, MATCH(Curvas!$AB27, 'Fluxos de Recebimento'!$F$65:$F$116, 0), MATCH(Curvas!BQ$2, 'Fluxos de Recebimento'!$I$63:$BH$63, 0)),0)*INDEX($E:$E, MATCH(BQ$2, $B:$B, 0))</f>
        <v>0</v>
      </c>
      <c r="BR27" s="193">
        <f>IFERROR(INDEX('Fluxos de Recebimento'!$I$7:$BH$58, MATCH(Curvas!$AB27, 'Fluxos de Recebimento'!$F$7:$F$58, 0), MATCH(Curvas!BR$2,'Fluxos de Recebimento'!$I$5:$BH$5, 0))+INDEX('Fluxos de Recebimento'!$I$65:$BH$116, MATCH(Curvas!$AB27, 'Fluxos de Recebimento'!$F$65:$F$116, 0), MATCH(Curvas!BR$2, 'Fluxos de Recebimento'!$I$63:$BH$63, 0)),0)*INDEX($E:$E, MATCH(BR$2, $B:$B, 0))</f>
        <v>0</v>
      </c>
      <c r="BS27" s="193">
        <f>IFERROR(INDEX('Fluxos de Recebimento'!$I$7:$BH$58, MATCH(Curvas!$AB27, 'Fluxos de Recebimento'!$F$7:$F$58, 0), MATCH(Curvas!BS$2,'Fluxos de Recebimento'!$I$5:$BH$5, 0))+INDEX('Fluxos de Recebimento'!$I$65:$BH$116, MATCH(Curvas!$AB27, 'Fluxos de Recebimento'!$F$65:$F$116, 0), MATCH(Curvas!BS$2, 'Fluxos de Recebimento'!$I$63:$BH$63, 0)),0)*INDEX($E:$E, MATCH(BS$2, $B:$B, 0))</f>
        <v>0</v>
      </c>
      <c r="BT27" s="193">
        <f>IFERROR(INDEX('Fluxos de Recebimento'!$I$7:$BH$58, MATCH(Curvas!$AB27, 'Fluxos de Recebimento'!$F$7:$F$58, 0), MATCH(Curvas!BT$2,'Fluxos de Recebimento'!$I$5:$BH$5, 0))+INDEX('Fluxos de Recebimento'!$I$65:$BH$116, MATCH(Curvas!$AB27, 'Fluxos de Recebimento'!$F$65:$F$116, 0), MATCH(Curvas!BT$2, 'Fluxos de Recebimento'!$I$63:$BH$63, 0)),0)*INDEX($E:$E, MATCH(BT$2, $B:$B, 0))</f>
        <v>0</v>
      </c>
      <c r="BU27" s="193">
        <f>IFERROR(INDEX('Fluxos de Recebimento'!$I$7:$BH$58, MATCH(Curvas!$AB27, 'Fluxos de Recebimento'!$F$7:$F$58, 0), MATCH(Curvas!BU$2,'Fluxos de Recebimento'!$I$5:$BH$5, 0))+INDEX('Fluxos de Recebimento'!$I$65:$BH$116, MATCH(Curvas!$AB27, 'Fluxos de Recebimento'!$F$65:$F$116, 0), MATCH(Curvas!BU$2, 'Fluxos de Recebimento'!$I$63:$BH$63, 0)),0)*INDEX($E:$E, MATCH(BU$2, $B:$B, 0))</f>
        <v>0</v>
      </c>
      <c r="BV27" s="193">
        <f>IFERROR(INDEX('Fluxos de Recebimento'!$I$7:$BH$58, MATCH(Curvas!$AB27, 'Fluxos de Recebimento'!$F$7:$F$58, 0), MATCH(Curvas!BV$2,'Fluxos de Recebimento'!$I$5:$BH$5, 0))+INDEX('Fluxos de Recebimento'!$I$65:$BH$116, MATCH(Curvas!$AB27, 'Fluxos de Recebimento'!$F$65:$F$116, 0), MATCH(Curvas!BV$2, 'Fluxos de Recebimento'!$I$63:$BH$63, 0)),0)*INDEX($E:$E, MATCH(BV$2, $B:$B, 0))</f>
        <v>0</v>
      </c>
      <c r="BW27" s="193">
        <f>IFERROR(INDEX('Fluxos de Recebimento'!$I$7:$BH$58, MATCH(Curvas!$AB27, 'Fluxos de Recebimento'!$F$7:$F$58, 0), MATCH(Curvas!BW$2,'Fluxos de Recebimento'!$I$5:$BH$5, 0))+INDEX('Fluxos de Recebimento'!$I$65:$BH$116, MATCH(Curvas!$AB27, 'Fluxos de Recebimento'!$F$65:$F$116, 0), MATCH(Curvas!BW$2, 'Fluxos de Recebimento'!$I$63:$BH$63, 0)),0)*INDEX($E:$E, MATCH(BW$2, $B:$B, 0))</f>
        <v>0</v>
      </c>
      <c r="BX27" s="193">
        <f>IFERROR(INDEX('Fluxos de Recebimento'!$I$7:$BH$58, MATCH(Curvas!$AB27, 'Fluxos de Recebimento'!$F$7:$F$58, 0), MATCH(Curvas!BX$2,'Fluxos de Recebimento'!$I$5:$BH$5, 0))+INDEX('Fluxos de Recebimento'!$I$65:$BH$116, MATCH(Curvas!$AB27, 'Fluxos de Recebimento'!$F$65:$F$116, 0), MATCH(Curvas!BX$2, 'Fluxos de Recebimento'!$I$63:$BH$63, 0)),0)*INDEX($E:$E, MATCH(BX$2, $B:$B, 0))</f>
        <v>0</v>
      </c>
      <c r="BY27" s="193">
        <f>IFERROR(INDEX('Fluxos de Recebimento'!$I$7:$BH$58, MATCH(Curvas!$AB27, 'Fluxos de Recebimento'!$F$7:$F$58, 0), MATCH(Curvas!BY$2,'Fluxos de Recebimento'!$I$5:$BH$5, 0))+INDEX('Fluxos de Recebimento'!$I$65:$BH$116, MATCH(Curvas!$AB27, 'Fluxos de Recebimento'!$F$65:$F$116, 0), MATCH(Curvas!BY$2, 'Fluxos de Recebimento'!$I$63:$BH$63, 0)),0)*INDEX($E:$E, MATCH(BY$2, $B:$B, 0))</f>
        <v>0</v>
      </c>
      <c r="BZ27" s="193">
        <f>IFERROR(INDEX('Fluxos de Recebimento'!$I$7:$BH$58, MATCH(Curvas!$AB27, 'Fluxos de Recebimento'!$F$7:$F$58, 0), MATCH(Curvas!BZ$2,'Fluxos de Recebimento'!$I$5:$BH$5, 0))+INDEX('Fluxos de Recebimento'!$I$65:$BH$116, MATCH(Curvas!$AB27, 'Fluxos de Recebimento'!$F$65:$F$116, 0), MATCH(Curvas!BZ$2, 'Fluxos de Recebimento'!$I$63:$BH$63, 0)),0)*INDEX($E:$E, MATCH(BZ$2, $B:$B, 0))</f>
        <v>0</v>
      </c>
      <c r="CA27" s="193">
        <f>IFERROR(INDEX('Fluxos de Recebimento'!$I$7:$BH$58, MATCH(Curvas!$AB27, 'Fluxos de Recebimento'!$F$7:$F$58, 0), MATCH(Curvas!CA$2,'Fluxos de Recebimento'!$I$5:$BH$5, 0))+INDEX('Fluxos de Recebimento'!$I$65:$BH$116, MATCH(Curvas!$AB27, 'Fluxos de Recebimento'!$F$65:$F$116, 0), MATCH(Curvas!CA$2, 'Fluxos de Recebimento'!$I$63:$BH$63, 0)),0)*INDEX($E:$E, MATCH(CA$2, $B:$B, 0))</f>
        <v>0</v>
      </c>
      <c r="CB27" s="193">
        <f>IFERROR(INDEX('Fluxos de Recebimento'!$I$7:$BH$58, MATCH(Curvas!$AB27, 'Fluxos de Recebimento'!$F$7:$F$58, 0), MATCH(Curvas!CB$2,'Fluxos de Recebimento'!$I$5:$BH$5, 0))+INDEX('Fluxos de Recebimento'!$I$65:$BH$116, MATCH(Curvas!$AB27, 'Fluxos de Recebimento'!$F$65:$F$116, 0), MATCH(Curvas!CB$2, 'Fluxos de Recebimento'!$I$63:$BH$63, 0)),0)*INDEX($E:$E, MATCH(CB$2, $B:$B, 0))</f>
        <v>0</v>
      </c>
      <c r="CC27" s="193">
        <f>IFERROR(INDEX('Fluxos de Recebimento'!$I$7:$BH$58, MATCH(Curvas!$AB27, 'Fluxos de Recebimento'!$F$7:$F$58, 0), MATCH(Curvas!CC$2,'Fluxos de Recebimento'!$I$5:$BH$5, 0))+INDEX('Fluxos de Recebimento'!$I$65:$BH$116, MATCH(Curvas!$AB27, 'Fluxos de Recebimento'!$F$65:$F$116, 0), MATCH(Curvas!CC$2, 'Fluxos de Recebimento'!$I$63:$BH$63, 0)),0)*INDEX($E:$E, MATCH(CC$2, $B:$B, 0))</f>
        <v>0</v>
      </c>
    </row>
    <row r="28" spans="1:81" x14ac:dyDescent="0.25">
      <c r="A28" s="2"/>
      <c r="B28" s="477">
        <f t="shared" si="16"/>
        <v>44896</v>
      </c>
      <c r="C28" s="52">
        <f t="shared" si="17"/>
        <v>25</v>
      </c>
      <c r="D28" s="2"/>
      <c r="E28" s="187">
        <f t="shared" si="4"/>
        <v>2.298850574712644E-2</v>
      </c>
      <c r="F28" s="48">
        <f t="shared" si="18"/>
        <v>0.57471264367816111</v>
      </c>
      <c r="G28" s="46">
        <f t="shared" ca="1" si="5"/>
        <v>0</v>
      </c>
      <c r="H28" s="48">
        <f t="shared" ca="1" si="19"/>
        <v>0</v>
      </c>
      <c r="I28" s="2"/>
      <c r="J28" s="69">
        <f t="shared" si="6"/>
        <v>16</v>
      </c>
      <c r="K28" s="479">
        <f t="shared" ca="1" si="7"/>
        <v>0</v>
      </c>
      <c r="L28" s="70">
        <f t="shared" ca="1" si="8"/>
        <v>16</v>
      </c>
      <c r="M28" s="2"/>
      <c r="N28" s="69">
        <f t="shared" si="9"/>
        <v>21</v>
      </c>
      <c r="O28" s="479">
        <f t="shared" si="10"/>
        <v>0</v>
      </c>
      <c r="P28" s="70">
        <f t="shared" si="11"/>
        <v>21</v>
      </c>
      <c r="Q28" s="2"/>
      <c r="R28" s="71">
        <f t="shared" si="12"/>
        <v>37</v>
      </c>
      <c r="S28" s="196"/>
      <c r="T28" s="46">
        <v>4.5599121963704352E-2</v>
      </c>
      <c r="U28" s="48">
        <f t="shared" si="20"/>
        <v>0.66063539163534546</v>
      </c>
      <c r="V28" s="2"/>
      <c r="W28" s="56"/>
      <c r="X28" s="48"/>
      <c r="Y28" s="2"/>
      <c r="Z28" s="194">
        <f t="shared" si="13"/>
        <v>9.6268400258990115E-3</v>
      </c>
      <c r="AA28" s="2"/>
      <c r="AB28" s="477">
        <f t="shared" si="14"/>
        <v>44896</v>
      </c>
      <c r="AC28" s="52">
        <f t="shared" si="15"/>
        <v>25</v>
      </c>
      <c r="AD28" s="193">
        <f>IFERROR(INDEX('Fluxos de Recebimento'!$I$7:$BH$58, MATCH(Curvas!$AB28, 'Fluxos de Recebimento'!$F$7:$F$58, 0), MATCH(Curvas!AD$2,'Fluxos de Recebimento'!$I$5:$BH$5, 0))+INDEX('Fluxos de Recebimento'!$I$65:$BH$116, MATCH(Curvas!$AB28, 'Fluxos de Recebimento'!$F$65:$F$116, 0), MATCH(Curvas!AD$2, 'Fluxos de Recebimento'!$I$63:$BH$63, 0)),0)*INDEX($E:$E, MATCH(AD$2, $B:$B, 0))</f>
        <v>1.6420361247947458E-4</v>
      </c>
      <c r="AE28" s="193">
        <f>IFERROR(INDEX('Fluxos de Recebimento'!$I$7:$BH$58, MATCH(Curvas!$AB28, 'Fluxos de Recebimento'!$F$7:$F$58, 0), MATCH(Curvas!AE$2,'Fluxos de Recebimento'!$I$5:$BH$5, 0))+INDEX('Fluxos de Recebimento'!$I$65:$BH$116, MATCH(Curvas!$AB28, 'Fluxos de Recebimento'!$F$65:$F$116, 0), MATCH(Curvas!AE$2, 'Fluxos de Recebimento'!$I$63:$BH$63, 0)),0)*INDEX($E:$E, MATCH(AE$2, $B:$B, 0))</f>
        <v>1.7028522775649216E-4</v>
      </c>
      <c r="AF28" s="193">
        <f>IFERROR(INDEX('Fluxos de Recebimento'!$I$7:$BH$58, MATCH(Curvas!$AB28, 'Fluxos de Recebimento'!$F$7:$F$58, 0), MATCH(Curvas!AF$2,'Fluxos de Recebimento'!$I$5:$BH$5, 0))+INDEX('Fluxos de Recebimento'!$I$65:$BH$116, MATCH(Curvas!$AB28, 'Fluxos de Recebimento'!$F$65:$F$116, 0), MATCH(Curvas!AF$2, 'Fluxos de Recebimento'!$I$63:$BH$63, 0)),0)*INDEX($E:$E, MATCH(AF$2, $B:$B, 0))</f>
        <v>1.7683465959328031E-4</v>
      </c>
      <c r="AG28" s="193">
        <f>IFERROR(INDEX('Fluxos de Recebimento'!$I$7:$BH$58, MATCH(Curvas!$AB28, 'Fluxos de Recebimento'!$F$7:$F$58, 0), MATCH(Curvas!AG$2,'Fluxos de Recebimento'!$I$5:$BH$5, 0))+INDEX('Fluxos de Recebimento'!$I$65:$BH$116, MATCH(Curvas!$AB28, 'Fluxos de Recebimento'!$F$65:$F$116, 0), MATCH(Curvas!AG$2, 'Fluxos de Recebimento'!$I$63:$BH$63, 0)),0)*INDEX($E:$E, MATCH(AG$2, $B:$B, 0))</f>
        <v>1.8390804597701152E-4</v>
      </c>
      <c r="AH28" s="193">
        <f>IFERROR(INDEX('Fluxos de Recebimento'!$I$7:$BH$58, MATCH(Curvas!$AB28, 'Fluxos de Recebimento'!$F$7:$F$58, 0), MATCH(Curvas!AH$2,'Fluxos de Recebimento'!$I$5:$BH$5, 0))+INDEX('Fluxos de Recebimento'!$I$65:$BH$116, MATCH(Curvas!$AB28, 'Fluxos de Recebimento'!$F$65:$F$116, 0), MATCH(Curvas!AH$2, 'Fluxos de Recebimento'!$I$63:$BH$63, 0)),0)*INDEX($E:$E, MATCH(AH$2, $B:$B, 0))</f>
        <v>1.9157088122605367E-4</v>
      </c>
      <c r="AI28" s="193">
        <f>IFERROR(INDEX('Fluxos de Recebimento'!$I$7:$BH$58, MATCH(Curvas!$AB28, 'Fluxos de Recebimento'!$F$7:$F$58, 0), MATCH(Curvas!AI$2,'Fluxos de Recebimento'!$I$5:$BH$5, 0))+INDEX('Fluxos de Recebimento'!$I$65:$BH$116, MATCH(Curvas!$AB28, 'Fluxos de Recebimento'!$F$65:$F$116, 0), MATCH(Curvas!AI$2, 'Fluxos de Recebimento'!$I$63:$BH$63, 0)),0)*INDEX($E:$E, MATCH(AI$2, $B:$B, 0))</f>
        <v>1.9990004997501253E-4</v>
      </c>
      <c r="AJ28" s="193">
        <f>IFERROR(INDEX('Fluxos de Recebimento'!$I$7:$BH$58, MATCH(Curvas!$AB28, 'Fluxos de Recebimento'!$F$7:$F$58, 0), MATCH(Curvas!AJ$2,'Fluxos de Recebimento'!$I$5:$BH$5, 0))+INDEX('Fluxos de Recebimento'!$I$65:$BH$116, MATCH(Curvas!$AB28, 'Fluxos de Recebimento'!$F$65:$F$116, 0), MATCH(Curvas!AJ$2, 'Fluxos de Recebimento'!$I$63:$BH$63, 0)),0)*INDEX($E:$E, MATCH(AJ$2, $B:$B, 0))</f>
        <v>2.0898641588296767E-4</v>
      </c>
      <c r="AK28" s="193">
        <f>IFERROR(INDEX('Fluxos de Recebimento'!$I$7:$BH$58, MATCH(Curvas!$AB28, 'Fluxos de Recebimento'!$F$7:$F$58, 0), MATCH(Curvas!AK$2,'Fluxos de Recebimento'!$I$5:$BH$5, 0))+INDEX('Fluxos de Recebimento'!$I$65:$BH$116, MATCH(Curvas!$AB28, 'Fluxos de Recebimento'!$F$65:$F$116, 0), MATCH(Curvas!AK$2, 'Fluxos de Recebimento'!$I$63:$BH$63, 0)),0)*INDEX($E:$E, MATCH(AK$2, $B:$B, 0))</f>
        <v>2.1893814997263279E-4</v>
      </c>
      <c r="AL28" s="193">
        <f>IFERROR(INDEX('Fluxos de Recebimento'!$I$7:$BH$58, MATCH(Curvas!$AB28, 'Fluxos de Recebimento'!$F$7:$F$58, 0), MATCH(Curvas!AL$2,'Fluxos de Recebimento'!$I$5:$BH$5, 0))+INDEX('Fluxos de Recebimento'!$I$65:$BH$116, MATCH(Curvas!$AB28, 'Fluxos de Recebimento'!$F$65:$F$116, 0), MATCH(Curvas!AL$2, 'Fluxos de Recebimento'!$I$63:$BH$63, 0)),0)*INDEX($E:$E, MATCH(AL$2, $B:$B, 0))</f>
        <v>2.2988505747126441E-4</v>
      </c>
      <c r="AM28" s="193">
        <f>IFERROR(INDEX('Fluxos de Recebimento'!$I$7:$BH$58, MATCH(Curvas!$AB28, 'Fluxos de Recebimento'!$F$7:$F$58, 0), MATCH(Curvas!AM$2,'Fluxos de Recebimento'!$I$5:$BH$5, 0))+INDEX('Fluxos de Recebimento'!$I$65:$BH$116, MATCH(Curvas!$AB28, 'Fluxos de Recebimento'!$F$65:$F$116, 0), MATCH(Curvas!AM$2, 'Fluxos de Recebimento'!$I$63:$BH$63, 0)),0)*INDEX($E:$E, MATCH(AM$2, $B:$B, 0))</f>
        <v>2.4198427102238356E-4</v>
      </c>
      <c r="AN28" s="193">
        <f>IFERROR(INDEX('Fluxos de Recebimento'!$I$7:$BH$58, MATCH(Curvas!$AB28, 'Fluxos de Recebimento'!$F$7:$F$58, 0), MATCH(Curvas!AN$2,'Fluxos de Recebimento'!$I$5:$BH$5, 0))+INDEX('Fluxos de Recebimento'!$I$65:$BH$116, MATCH(Curvas!$AB28, 'Fluxos de Recebimento'!$F$65:$F$116, 0), MATCH(Curvas!AN$2, 'Fluxos de Recebimento'!$I$63:$BH$63, 0)),0)*INDEX($E:$E, MATCH(AN$2, $B:$B, 0))</f>
        <v>2.5542784163473821E-4</v>
      </c>
      <c r="AO28" s="193">
        <f>IFERROR(INDEX('Fluxos de Recebimento'!$I$7:$BH$58, MATCH(Curvas!$AB28, 'Fluxos de Recebimento'!$F$7:$F$58, 0), MATCH(Curvas!AO$2,'Fluxos de Recebimento'!$I$5:$BH$5, 0))+INDEX('Fluxos de Recebimento'!$I$65:$BH$116, MATCH(Curvas!$AB28, 'Fluxos de Recebimento'!$F$65:$F$116, 0), MATCH(Curvas!AO$2, 'Fluxos de Recebimento'!$I$63:$BH$63, 0)),0)*INDEX($E:$E, MATCH(AO$2, $B:$B, 0))</f>
        <v>2.7045300878972284E-4</v>
      </c>
      <c r="AP28" s="193">
        <f>IFERROR(INDEX('Fluxos de Recebimento'!$I$7:$BH$58, MATCH(Curvas!$AB28, 'Fluxos de Recebimento'!$F$7:$F$58, 0), MATCH(Curvas!AP$2,'Fluxos de Recebimento'!$I$5:$BH$5, 0))+INDEX('Fluxos de Recebimento'!$I$65:$BH$116, MATCH(Curvas!$AB28, 'Fluxos de Recebimento'!$F$65:$F$116, 0), MATCH(Curvas!AP$2, 'Fluxos de Recebimento'!$I$63:$BH$63, 0)),0)*INDEX($E:$E, MATCH(AP$2, $B:$B, 0))</f>
        <v>2.8735632183908051E-4</v>
      </c>
      <c r="AQ28" s="193">
        <f>IFERROR(INDEX('Fluxos de Recebimento'!$I$7:$BH$58, MATCH(Curvas!$AB28, 'Fluxos de Recebimento'!$F$7:$F$58, 0), MATCH(Curvas!AQ$2,'Fluxos de Recebimento'!$I$5:$BH$5, 0))+INDEX('Fluxos de Recebimento'!$I$65:$BH$116, MATCH(Curvas!$AB28, 'Fluxos de Recebimento'!$F$65:$F$116, 0), MATCH(Curvas!AQ$2, 'Fluxos de Recebimento'!$I$63:$BH$63, 0)),0)*INDEX($E:$E, MATCH(AQ$2, $B:$B, 0))</f>
        <v>3.0651340996168587E-4</v>
      </c>
      <c r="AR28" s="193">
        <f>IFERROR(INDEX('Fluxos de Recebimento'!$I$7:$BH$58, MATCH(Curvas!$AB28, 'Fluxos de Recebimento'!$F$7:$F$58, 0), MATCH(Curvas!AR$2,'Fluxos de Recebimento'!$I$5:$BH$5, 0))+INDEX('Fluxos de Recebimento'!$I$65:$BH$116, MATCH(Curvas!$AB28, 'Fluxos de Recebimento'!$F$65:$F$116, 0), MATCH(Curvas!AR$2, 'Fluxos de Recebimento'!$I$63:$BH$63, 0)),0)*INDEX($E:$E, MATCH(AR$2, $B:$B, 0))</f>
        <v>3.2840722495894916E-4</v>
      </c>
      <c r="AS28" s="193">
        <f>IFERROR(INDEX('Fluxos de Recebimento'!$I$7:$BH$58, MATCH(Curvas!$AB28, 'Fluxos de Recebimento'!$F$7:$F$58, 0), MATCH(Curvas!AS$2,'Fluxos de Recebimento'!$I$5:$BH$5, 0))+INDEX('Fluxos de Recebimento'!$I$65:$BH$116, MATCH(Curvas!$AB28, 'Fluxos de Recebimento'!$F$65:$F$116, 0), MATCH(Curvas!AS$2, 'Fluxos de Recebimento'!$I$63:$BH$63, 0)),0)*INDEX($E:$E, MATCH(AS$2, $B:$B, 0))</f>
        <v>3.5366931918656062E-4</v>
      </c>
      <c r="AT28" s="193">
        <f>IFERROR(INDEX('Fluxos de Recebimento'!$I$7:$BH$58, MATCH(Curvas!$AB28, 'Fluxos de Recebimento'!$F$7:$F$58, 0), MATCH(Curvas!AT$2,'Fluxos de Recebimento'!$I$5:$BH$5, 0))+INDEX('Fluxos de Recebimento'!$I$65:$BH$116, MATCH(Curvas!$AB28, 'Fluxos de Recebimento'!$F$65:$F$116, 0), MATCH(Curvas!AT$2, 'Fluxos de Recebimento'!$I$63:$BH$63, 0)),0)*INDEX($E:$E, MATCH(AT$2, $B:$B, 0))</f>
        <v>3.8314176245210735E-4</v>
      </c>
      <c r="AU28" s="193">
        <f>IFERROR(INDEX('Fluxos de Recebimento'!$I$7:$BH$58, MATCH(Curvas!$AB28, 'Fluxos de Recebimento'!$F$7:$F$58, 0), MATCH(Curvas!AU$2,'Fluxos de Recebimento'!$I$5:$BH$5, 0))+INDEX('Fluxos de Recebimento'!$I$65:$BH$116, MATCH(Curvas!$AB28, 'Fluxos de Recebimento'!$F$65:$F$116, 0), MATCH(Curvas!AU$2, 'Fluxos de Recebimento'!$I$63:$BH$63, 0)),0)*INDEX($E:$E, MATCH(AU$2, $B:$B, 0))</f>
        <v>4.1797283176593533E-4</v>
      </c>
      <c r="AV28" s="193">
        <f>IFERROR(INDEX('Fluxos de Recebimento'!$I$7:$BH$58, MATCH(Curvas!$AB28, 'Fluxos de Recebimento'!$F$7:$F$58, 0), MATCH(Curvas!AV$2,'Fluxos de Recebimento'!$I$5:$BH$5, 0))+INDEX('Fluxos de Recebimento'!$I$65:$BH$116, MATCH(Curvas!$AB28, 'Fluxos de Recebimento'!$F$65:$F$116, 0), MATCH(Curvas!AV$2, 'Fluxos de Recebimento'!$I$63:$BH$63, 0)),0)*INDEX($E:$E, MATCH(AV$2, $B:$B, 0))</f>
        <v>4.5977011494252883E-4</v>
      </c>
      <c r="AW28" s="193">
        <f>IFERROR(INDEX('Fluxos de Recebimento'!$I$7:$BH$58, MATCH(Curvas!$AB28, 'Fluxos de Recebimento'!$F$7:$F$58, 0), MATCH(Curvas!AW$2,'Fluxos de Recebimento'!$I$5:$BH$5, 0))+INDEX('Fluxos de Recebimento'!$I$65:$BH$116, MATCH(Curvas!$AB28, 'Fluxos de Recebimento'!$F$65:$F$116, 0), MATCH(Curvas!AW$2, 'Fluxos de Recebimento'!$I$63:$BH$63, 0)),0)*INDEX($E:$E, MATCH(AW$2, $B:$B, 0))</f>
        <v>5.1085568326947643E-4</v>
      </c>
      <c r="AX28" s="193">
        <f>IFERROR(INDEX('Fluxos de Recebimento'!$I$7:$BH$58, MATCH(Curvas!$AB28, 'Fluxos de Recebimento'!$F$7:$F$58, 0), MATCH(Curvas!AX$2,'Fluxos de Recebimento'!$I$5:$BH$5, 0))+INDEX('Fluxos de Recebimento'!$I$65:$BH$116, MATCH(Curvas!$AB28, 'Fluxos de Recebimento'!$F$65:$F$116, 0), MATCH(Curvas!AX$2, 'Fluxos de Recebimento'!$I$63:$BH$63, 0)),0)*INDEX($E:$E, MATCH(AX$2, $B:$B, 0))</f>
        <v>5.7471264367816102E-4</v>
      </c>
      <c r="AY28" s="193">
        <f>IFERROR(INDEX('Fluxos de Recebimento'!$I$7:$BH$58, MATCH(Curvas!$AB28, 'Fluxos de Recebimento'!$F$7:$F$58, 0), MATCH(Curvas!AY$2,'Fluxos de Recebimento'!$I$5:$BH$5, 0))+INDEX('Fluxos de Recebimento'!$I$65:$BH$116, MATCH(Curvas!$AB28, 'Fluxos de Recebimento'!$F$65:$F$116, 0), MATCH(Curvas!AY$2, 'Fluxos de Recebimento'!$I$63:$BH$63, 0)),0)*INDEX($E:$E, MATCH(AY$2, $B:$B, 0))</f>
        <v>6.5681444991789832E-4</v>
      </c>
      <c r="AZ28" s="193">
        <f>IFERROR(INDEX('Fluxos de Recebimento'!$I$7:$BH$58, MATCH(Curvas!$AB28, 'Fluxos de Recebimento'!$F$7:$F$58, 0), MATCH(Curvas!AZ$2,'Fluxos de Recebimento'!$I$5:$BH$5, 0))+INDEX('Fluxos de Recebimento'!$I$65:$BH$116, MATCH(Curvas!$AB28, 'Fluxos de Recebimento'!$F$65:$F$116, 0), MATCH(Curvas!AZ$2, 'Fluxos de Recebimento'!$I$63:$BH$63, 0)),0)*INDEX($E:$E, MATCH(AZ$2, $B:$B, 0))</f>
        <v>7.6628352490421469E-4</v>
      </c>
      <c r="BA28" s="193">
        <f>IFERROR(INDEX('Fluxos de Recebimento'!$I$7:$BH$58, MATCH(Curvas!$AB28, 'Fluxos de Recebimento'!$F$7:$F$58, 0), MATCH(Curvas!BA$2,'Fluxos de Recebimento'!$I$5:$BH$5, 0))+INDEX('Fluxos de Recebimento'!$I$65:$BH$116, MATCH(Curvas!$AB28, 'Fluxos de Recebimento'!$F$65:$F$116, 0), MATCH(Curvas!BA$2, 'Fluxos de Recebimento'!$I$63:$BH$63, 0)),0)*INDEX($E:$E, MATCH(BA$2, $B:$B, 0))</f>
        <v>9.1954022988505765E-4</v>
      </c>
      <c r="BB28" s="193">
        <f>IFERROR(INDEX('Fluxos de Recebimento'!$I$7:$BH$58, MATCH(Curvas!$AB28, 'Fluxos de Recebimento'!$F$7:$F$58, 0), MATCH(Curvas!BB$2,'Fluxos de Recebimento'!$I$5:$BH$5, 0))+INDEX('Fluxos de Recebimento'!$I$65:$BH$116, MATCH(Curvas!$AB28, 'Fluxos de Recebimento'!$F$65:$F$116, 0), MATCH(Curvas!BB$2, 'Fluxos de Recebimento'!$I$63:$BH$63, 0)),0)*INDEX($E:$E, MATCH(BB$2, $B:$B, 0))</f>
        <v>1.149425287356322E-3</v>
      </c>
      <c r="BC28" s="193">
        <f>IFERROR(INDEX('Fluxos de Recebimento'!$I$7:$BH$58, MATCH(Curvas!$AB28, 'Fluxos de Recebimento'!$F$7:$F$58, 0), MATCH(Curvas!BC$2,'Fluxos de Recebimento'!$I$5:$BH$5, 0))+INDEX('Fluxos de Recebimento'!$I$65:$BH$116, MATCH(Curvas!$AB28, 'Fluxos de Recebimento'!$F$65:$F$116, 0), MATCH(Curvas!BC$2, 'Fluxos de Recebimento'!$I$63:$BH$63, 0)),0)*INDEX($E:$E, MATCH(BC$2, $B:$B, 0))</f>
        <v>0</v>
      </c>
      <c r="BD28" s="193">
        <f>IFERROR(INDEX('Fluxos de Recebimento'!$I$7:$BH$58, MATCH(Curvas!$AB28, 'Fluxos de Recebimento'!$F$7:$F$58, 0), MATCH(Curvas!BD$2,'Fluxos de Recebimento'!$I$5:$BH$5, 0))+INDEX('Fluxos de Recebimento'!$I$65:$BH$116, MATCH(Curvas!$AB28, 'Fluxos de Recebimento'!$F$65:$F$116, 0), MATCH(Curvas!BD$2, 'Fluxos de Recebimento'!$I$63:$BH$63, 0)),0)*INDEX($E:$E, MATCH(BD$2, $B:$B, 0))</f>
        <v>0</v>
      </c>
      <c r="BE28" s="193">
        <f>IFERROR(INDEX('Fluxos de Recebimento'!$I$7:$BH$58, MATCH(Curvas!$AB28, 'Fluxos de Recebimento'!$F$7:$F$58, 0), MATCH(Curvas!BE$2,'Fluxos de Recebimento'!$I$5:$BH$5, 0))+INDEX('Fluxos de Recebimento'!$I$65:$BH$116, MATCH(Curvas!$AB28, 'Fluxos de Recebimento'!$F$65:$F$116, 0), MATCH(Curvas!BE$2, 'Fluxos de Recebimento'!$I$63:$BH$63, 0)),0)*INDEX($E:$E, MATCH(BE$2, $B:$B, 0))</f>
        <v>0</v>
      </c>
      <c r="BF28" s="193">
        <f>IFERROR(INDEX('Fluxos de Recebimento'!$I$7:$BH$58, MATCH(Curvas!$AB28, 'Fluxos de Recebimento'!$F$7:$F$58, 0), MATCH(Curvas!BF$2,'Fluxos de Recebimento'!$I$5:$BH$5, 0))+INDEX('Fluxos de Recebimento'!$I$65:$BH$116, MATCH(Curvas!$AB28, 'Fluxos de Recebimento'!$F$65:$F$116, 0), MATCH(Curvas!BF$2, 'Fluxos de Recebimento'!$I$63:$BH$63, 0)),0)*INDEX($E:$E, MATCH(BF$2, $B:$B, 0))</f>
        <v>0</v>
      </c>
      <c r="BG28" s="193">
        <f>IFERROR(INDEX('Fluxos de Recebimento'!$I$7:$BH$58, MATCH(Curvas!$AB28, 'Fluxos de Recebimento'!$F$7:$F$58, 0), MATCH(Curvas!BG$2,'Fluxos de Recebimento'!$I$5:$BH$5, 0))+INDEX('Fluxos de Recebimento'!$I$65:$BH$116, MATCH(Curvas!$AB28, 'Fluxos de Recebimento'!$F$65:$F$116, 0), MATCH(Curvas!BG$2, 'Fluxos de Recebimento'!$I$63:$BH$63, 0)),0)*INDEX($E:$E, MATCH(BG$2, $B:$B, 0))</f>
        <v>0</v>
      </c>
      <c r="BH28" s="193">
        <f>IFERROR(INDEX('Fluxos de Recebimento'!$I$7:$BH$58, MATCH(Curvas!$AB28, 'Fluxos de Recebimento'!$F$7:$F$58, 0), MATCH(Curvas!BH$2,'Fluxos de Recebimento'!$I$5:$BH$5, 0))+INDEX('Fluxos de Recebimento'!$I$65:$BH$116, MATCH(Curvas!$AB28, 'Fluxos de Recebimento'!$F$65:$F$116, 0), MATCH(Curvas!BH$2, 'Fluxos de Recebimento'!$I$63:$BH$63, 0)),0)*INDEX($E:$E, MATCH(BH$2, $B:$B, 0))</f>
        <v>0</v>
      </c>
      <c r="BI28" s="193">
        <f>IFERROR(INDEX('Fluxos de Recebimento'!$I$7:$BH$58, MATCH(Curvas!$AB28, 'Fluxos de Recebimento'!$F$7:$F$58, 0), MATCH(Curvas!BI$2,'Fluxos de Recebimento'!$I$5:$BH$5, 0))+INDEX('Fluxos de Recebimento'!$I$65:$BH$116, MATCH(Curvas!$AB28, 'Fluxos de Recebimento'!$F$65:$F$116, 0), MATCH(Curvas!BI$2, 'Fluxos de Recebimento'!$I$63:$BH$63, 0)),0)*INDEX($E:$E, MATCH(BI$2, $B:$B, 0))</f>
        <v>0</v>
      </c>
      <c r="BJ28" s="193">
        <f>IFERROR(INDEX('Fluxos de Recebimento'!$I$7:$BH$58, MATCH(Curvas!$AB28, 'Fluxos de Recebimento'!$F$7:$F$58, 0), MATCH(Curvas!BJ$2,'Fluxos de Recebimento'!$I$5:$BH$5, 0))+INDEX('Fluxos de Recebimento'!$I$65:$BH$116, MATCH(Curvas!$AB28, 'Fluxos de Recebimento'!$F$65:$F$116, 0), MATCH(Curvas!BJ$2, 'Fluxos de Recebimento'!$I$63:$BH$63, 0)),0)*INDEX($E:$E, MATCH(BJ$2, $B:$B, 0))</f>
        <v>0</v>
      </c>
      <c r="BK28" s="193">
        <f>IFERROR(INDEX('Fluxos de Recebimento'!$I$7:$BH$58, MATCH(Curvas!$AB28, 'Fluxos de Recebimento'!$F$7:$F$58, 0), MATCH(Curvas!BK$2,'Fluxos de Recebimento'!$I$5:$BH$5, 0))+INDEX('Fluxos de Recebimento'!$I$65:$BH$116, MATCH(Curvas!$AB28, 'Fluxos de Recebimento'!$F$65:$F$116, 0), MATCH(Curvas!BK$2, 'Fluxos de Recebimento'!$I$63:$BH$63, 0)),0)*INDEX($E:$E, MATCH(BK$2, $B:$B, 0))</f>
        <v>0</v>
      </c>
      <c r="BL28" s="193">
        <f>IFERROR(INDEX('Fluxos de Recebimento'!$I$7:$BH$58, MATCH(Curvas!$AB28, 'Fluxos de Recebimento'!$F$7:$F$58, 0), MATCH(Curvas!BL$2,'Fluxos de Recebimento'!$I$5:$BH$5, 0))+INDEX('Fluxos de Recebimento'!$I$65:$BH$116, MATCH(Curvas!$AB28, 'Fluxos de Recebimento'!$F$65:$F$116, 0), MATCH(Curvas!BL$2, 'Fluxos de Recebimento'!$I$63:$BH$63, 0)),0)*INDEX($E:$E, MATCH(BL$2, $B:$B, 0))</f>
        <v>0</v>
      </c>
      <c r="BM28" s="193">
        <f>IFERROR(INDEX('Fluxos de Recebimento'!$I$7:$BH$58, MATCH(Curvas!$AB28, 'Fluxos de Recebimento'!$F$7:$F$58, 0), MATCH(Curvas!BM$2,'Fluxos de Recebimento'!$I$5:$BH$5, 0))+INDEX('Fluxos de Recebimento'!$I$65:$BH$116, MATCH(Curvas!$AB28, 'Fluxos de Recebimento'!$F$65:$F$116, 0), MATCH(Curvas!BM$2, 'Fluxos de Recebimento'!$I$63:$BH$63, 0)),0)*INDEX($E:$E, MATCH(BM$2, $B:$B, 0))</f>
        <v>0</v>
      </c>
      <c r="BN28" s="193">
        <f>IFERROR(INDEX('Fluxos de Recebimento'!$I$7:$BH$58, MATCH(Curvas!$AB28, 'Fluxos de Recebimento'!$F$7:$F$58, 0), MATCH(Curvas!BN$2,'Fluxos de Recebimento'!$I$5:$BH$5, 0))+INDEX('Fluxos de Recebimento'!$I$65:$BH$116, MATCH(Curvas!$AB28, 'Fluxos de Recebimento'!$F$65:$F$116, 0), MATCH(Curvas!BN$2, 'Fluxos de Recebimento'!$I$63:$BH$63, 0)),0)*INDEX($E:$E, MATCH(BN$2, $B:$B, 0))</f>
        <v>0</v>
      </c>
      <c r="BO28" s="193">
        <f>IFERROR(INDEX('Fluxos de Recebimento'!$I$7:$BH$58, MATCH(Curvas!$AB28, 'Fluxos de Recebimento'!$F$7:$F$58, 0), MATCH(Curvas!BO$2,'Fluxos de Recebimento'!$I$5:$BH$5, 0))+INDEX('Fluxos de Recebimento'!$I$65:$BH$116, MATCH(Curvas!$AB28, 'Fluxos de Recebimento'!$F$65:$F$116, 0), MATCH(Curvas!BO$2, 'Fluxos de Recebimento'!$I$63:$BH$63, 0)),0)*INDEX($E:$E, MATCH(BO$2, $B:$B, 0))</f>
        <v>0</v>
      </c>
      <c r="BP28" s="193">
        <f>IFERROR(INDEX('Fluxos de Recebimento'!$I$7:$BH$58, MATCH(Curvas!$AB28, 'Fluxos de Recebimento'!$F$7:$F$58, 0), MATCH(Curvas!BP$2,'Fluxos de Recebimento'!$I$5:$BH$5, 0))+INDEX('Fluxos de Recebimento'!$I$65:$BH$116, MATCH(Curvas!$AB28, 'Fluxos de Recebimento'!$F$65:$F$116, 0), MATCH(Curvas!BP$2, 'Fluxos de Recebimento'!$I$63:$BH$63, 0)),0)*INDEX($E:$E, MATCH(BP$2, $B:$B, 0))</f>
        <v>0</v>
      </c>
      <c r="BQ28" s="193">
        <f>IFERROR(INDEX('Fluxos de Recebimento'!$I$7:$BH$58, MATCH(Curvas!$AB28, 'Fluxos de Recebimento'!$F$7:$F$58, 0), MATCH(Curvas!BQ$2,'Fluxos de Recebimento'!$I$5:$BH$5, 0))+INDEX('Fluxos de Recebimento'!$I$65:$BH$116, MATCH(Curvas!$AB28, 'Fluxos de Recebimento'!$F$65:$F$116, 0), MATCH(Curvas!BQ$2, 'Fluxos de Recebimento'!$I$63:$BH$63, 0)),0)*INDEX($E:$E, MATCH(BQ$2, $B:$B, 0))</f>
        <v>0</v>
      </c>
      <c r="BR28" s="193">
        <f>IFERROR(INDEX('Fluxos de Recebimento'!$I$7:$BH$58, MATCH(Curvas!$AB28, 'Fluxos de Recebimento'!$F$7:$F$58, 0), MATCH(Curvas!BR$2,'Fluxos de Recebimento'!$I$5:$BH$5, 0))+INDEX('Fluxos de Recebimento'!$I$65:$BH$116, MATCH(Curvas!$AB28, 'Fluxos de Recebimento'!$F$65:$F$116, 0), MATCH(Curvas!BR$2, 'Fluxos de Recebimento'!$I$63:$BH$63, 0)),0)*INDEX($E:$E, MATCH(BR$2, $B:$B, 0))</f>
        <v>0</v>
      </c>
      <c r="BS28" s="193">
        <f>IFERROR(INDEX('Fluxos de Recebimento'!$I$7:$BH$58, MATCH(Curvas!$AB28, 'Fluxos de Recebimento'!$F$7:$F$58, 0), MATCH(Curvas!BS$2,'Fluxos de Recebimento'!$I$5:$BH$5, 0))+INDEX('Fluxos de Recebimento'!$I$65:$BH$116, MATCH(Curvas!$AB28, 'Fluxos de Recebimento'!$F$65:$F$116, 0), MATCH(Curvas!BS$2, 'Fluxos de Recebimento'!$I$63:$BH$63, 0)),0)*INDEX($E:$E, MATCH(BS$2, $B:$B, 0))</f>
        <v>0</v>
      </c>
      <c r="BT28" s="193">
        <f>IFERROR(INDEX('Fluxos de Recebimento'!$I$7:$BH$58, MATCH(Curvas!$AB28, 'Fluxos de Recebimento'!$F$7:$F$58, 0), MATCH(Curvas!BT$2,'Fluxos de Recebimento'!$I$5:$BH$5, 0))+INDEX('Fluxos de Recebimento'!$I$65:$BH$116, MATCH(Curvas!$AB28, 'Fluxos de Recebimento'!$F$65:$F$116, 0), MATCH(Curvas!BT$2, 'Fluxos de Recebimento'!$I$63:$BH$63, 0)),0)*INDEX($E:$E, MATCH(BT$2, $B:$B, 0))</f>
        <v>0</v>
      </c>
      <c r="BU28" s="193">
        <f>IFERROR(INDEX('Fluxos de Recebimento'!$I$7:$BH$58, MATCH(Curvas!$AB28, 'Fluxos de Recebimento'!$F$7:$F$58, 0), MATCH(Curvas!BU$2,'Fluxos de Recebimento'!$I$5:$BH$5, 0))+INDEX('Fluxos de Recebimento'!$I$65:$BH$116, MATCH(Curvas!$AB28, 'Fluxos de Recebimento'!$F$65:$F$116, 0), MATCH(Curvas!BU$2, 'Fluxos de Recebimento'!$I$63:$BH$63, 0)),0)*INDEX($E:$E, MATCH(BU$2, $B:$B, 0))</f>
        <v>0</v>
      </c>
      <c r="BV28" s="193">
        <f>IFERROR(INDEX('Fluxos de Recebimento'!$I$7:$BH$58, MATCH(Curvas!$AB28, 'Fluxos de Recebimento'!$F$7:$F$58, 0), MATCH(Curvas!BV$2,'Fluxos de Recebimento'!$I$5:$BH$5, 0))+INDEX('Fluxos de Recebimento'!$I$65:$BH$116, MATCH(Curvas!$AB28, 'Fluxos de Recebimento'!$F$65:$F$116, 0), MATCH(Curvas!BV$2, 'Fluxos de Recebimento'!$I$63:$BH$63, 0)),0)*INDEX($E:$E, MATCH(BV$2, $B:$B, 0))</f>
        <v>0</v>
      </c>
      <c r="BW28" s="193">
        <f>IFERROR(INDEX('Fluxos de Recebimento'!$I$7:$BH$58, MATCH(Curvas!$AB28, 'Fluxos de Recebimento'!$F$7:$F$58, 0), MATCH(Curvas!BW$2,'Fluxos de Recebimento'!$I$5:$BH$5, 0))+INDEX('Fluxos de Recebimento'!$I$65:$BH$116, MATCH(Curvas!$AB28, 'Fluxos de Recebimento'!$F$65:$F$116, 0), MATCH(Curvas!BW$2, 'Fluxos de Recebimento'!$I$63:$BH$63, 0)),0)*INDEX($E:$E, MATCH(BW$2, $B:$B, 0))</f>
        <v>0</v>
      </c>
      <c r="BX28" s="193">
        <f>IFERROR(INDEX('Fluxos de Recebimento'!$I$7:$BH$58, MATCH(Curvas!$AB28, 'Fluxos de Recebimento'!$F$7:$F$58, 0), MATCH(Curvas!BX$2,'Fluxos de Recebimento'!$I$5:$BH$5, 0))+INDEX('Fluxos de Recebimento'!$I$65:$BH$116, MATCH(Curvas!$AB28, 'Fluxos de Recebimento'!$F$65:$F$116, 0), MATCH(Curvas!BX$2, 'Fluxos de Recebimento'!$I$63:$BH$63, 0)),0)*INDEX($E:$E, MATCH(BX$2, $B:$B, 0))</f>
        <v>0</v>
      </c>
      <c r="BY28" s="193">
        <f>IFERROR(INDEX('Fluxos de Recebimento'!$I$7:$BH$58, MATCH(Curvas!$AB28, 'Fluxos de Recebimento'!$F$7:$F$58, 0), MATCH(Curvas!BY$2,'Fluxos de Recebimento'!$I$5:$BH$5, 0))+INDEX('Fluxos de Recebimento'!$I$65:$BH$116, MATCH(Curvas!$AB28, 'Fluxos de Recebimento'!$F$65:$F$116, 0), MATCH(Curvas!BY$2, 'Fluxos de Recebimento'!$I$63:$BH$63, 0)),0)*INDEX($E:$E, MATCH(BY$2, $B:$B, 0))</f>
        <v>0</v>
      </c>
      <c r="BZ28" s="193">
        <f>IFERROR(INDEX('Fluxos de Recebimento'!$I$7:$BH$58, MATCH(Curvas!$AB28, 'Fluxos de Recebimento'!$F$7:$F$58, 0), MATCH(Curvas!BZ$2,'Fluxos de Recebimento'!$I$5:$BH$5, 0))+INDEX('Fluxos de Recebimento'!$I$65:$BH$116, MATCH(Curvas!$AB28, 'Fluxos de Recebimento'!$F$65:$F$116, 0), MATCH(Curvas!BZ$2, 'Fluxos de Recebimento'!$I$63:$BH$63, 0)),0)*INDEX($E:$E, MATCH(BZ$2, $B:$B, 0))</f>
        <v>0</v>
      </c>
      <c r="CA28" s="193">
        <f>IFERROR(INDEX('Fluxos de Recebimento'!$I$7:$BH$58, MATCH(Curvas!$AB28, 'Fluxos de Recebimento'!$F$7:$F$58, 0), MATCH(Curvas!CA$2,'Fluxos de Recebimento'!$I$5:$BH$5, 0))+INDEX('Fluxos de Recebimento'!$I$65:$BH$116, MATCH(Curvas!$AB28, 'Fluxos de Recebimento'!$F$65:$F$116, 0), MATCH(Curvas!CA$2, 'Fluxos de Recebimento'!$I$63:$BH$63, 0)),0)*INDEX($E:$E, MATCH(CA$2, $B:$B, 0))</f>
        <v>0</v>
      </c>
      <c r="CB28" s="193">
        <f>IFERROR(INDEX('Fluxos de Recebimento'!$I$7:$BH$58, MATCH(Curvas!$AB28, 'Fluxos de Recebimento'!$F$7:$F$58, 0), MATCH(Curvas!CB$2,'Fluxos de Recebimento'!$I$5:$BH$5, 0))+INDEX('Fluxos de Recebimento'!$I$65:$BH$116, MATCH(Curvas!$AB28, 'Fluxos de Recebimento'!$F$65:$F$116, 0), MATCH(Curvas!CB$2, 'Fluxos de Recebimento'!$I$63:$BH$63, 0)),0)*INDEX($E:$E, MATCH(CB$2, $B:$B, 0))</f>
        <v>0</v>
      </c>
      <c r="CC28" s="193">
        <f>IFERROR(INDEX('Fluxos de Recebimento'!$I$7:$BH$58, MATCH(Curvas!$AB28, 'Fluxos de Recebimento'!$F$7:$F$58, 0), MATCH(Curvas!CC$2,'Fluxos de Recebimento'!$I$5:$BH$5, 0))+INDEX('Fluxos de Recebimento'!$I$65:$BH$116, MATCH(Curvas!$AB28, 'Fluxos de Recebimento'!$F$65:$F$116, 0), MATCH(Curvas!CC$2, 'Fluxos de Recebimento'!$I$63:$BH$63, 0)),0)*INDEX($E:$E, MATCH(CC$2, $B:$B, 0))</f>
        <v>0</v>
      </c>
    </row>
    <row r="29" spans="1:81" x14ac:dyDescent="0.25">
      <c r="A29" s="2"/>
      <c r="B29" s="477">
        <f t="shared" si="16"/>
        <v>44927</v>
      </c>
      <c r="C29" s="52">
        <f t="shared" si="17"/>
        <v>26</v>
      </c>
      <c r="D29" s="2"/>
      <c r="E29" s="187">
        <f t="shared" si="4"/>
        <v>2.298850574712644E-2</v>
      </c>
      <c r="F29" s="48">
        <f t="shared" si="18"/>
        <v>0.59770114942528751</v>
      </c>
      <c r="G29" s="46">
        <f t="shared" ca="1" si="5"/>
        <v>0</v>
      </c>
      <c r="H29" s="48">
        <f t="shared" ca="1" si="19"/>
        <v>0</v>
      </c>
      <c r="I29" s="2"/>
      <c r="J29" s="69">
        <f t="shared" si="6"/>
        <v>16</v>
      </c>
      <c r="K29" s="479">
        <f t="shared" ca="1" si="7"/>
        <v>0</v>
      </c>
      <c r="L29" s="70">
        <f t="shared" ca="1" si="8"/>
        <v>16</v>
      </c>
      <c r="M29" s="2"/>
      <c r="N29" s="69">
        <f t="shared" si="9"/>
        <v>21</v>
      </c>
      <c r="O29" s="479">
        <f t="shared" si="10"/>
        <v>0</v>
      </c>
      <c r="P29" s="70">
        <f t="shared" si="11"/>
        <v>21</v>
      </c>
      <c r="Q29" s="2"/>
      <c r="R29" s="71">
        <f t="shared" si="12"/>
        <v>37</v>
      </c>
      <c r="S29" s="196"/>
      <c r="T29" s="46">
        <v>5.2631970941411872E-2</v>
      </c>
      <c r="U29" s="48">
        <f t="shared" si="20"/>
        <v>0.71326736257675738</v>
      </c>
      <c r="V29" s="2"/>
      <c r="W29" s="56"/>
      <c r="X29" s="48"/>
      <c r="Y29" s="2"/>
      <c r="Z29" s="194">
        <f t="shared" si="13"/>
        <v>1.0776265313255333E-2</v>
      </c>
      <c r="AA29" s="2"/>
      <c r="AB29" s="477">
        <f t="shared" si="14"/>
        <v>44927</v>
      </c>
      <c r="AC29" s="52">
        <f t="shared" si="15"/>
        <v>26</v>
      </c>
      <c r="AD29" s="193">
        <f>IFERROR(INDEX('Fluxos de Recebimento'!$I$7:$BH$58, MATCH(Curvas!$AB29, 'Fluxos de Recebimento'!$F$7:$F$58, 0), MATCH(Curvas!AD$2,'Fluxos de Recebimento'!$I$5:$BH$5, 0))+INDEX('Fluxos de Recebimento'!$I$65:$BH$116, MATCH(Curvas!$AB29, 'Fluxos de Recebimento'!$F$65:$F$116, 0), MATCH(Curvas!AD$2, 'Fluxos de Recebimento'!$I$63:$BH$63, 0)),0)*INDEX($E:$E, MATCH(AD$2, $B:$B, 0))</f>
        <v>1.6420361247947458E-4</v>
      </c>
      <c r="AE29" s="193">
        <f>IFERROR(INDEX('Fluxos de Recebimento'!$I$7:$BH$58, MATCH(Curvas!$AB29, 'Fluxos de Recebimento'!$F$7:$F$58, 0), MATCH(Curvas!AE$2,'Fluxos de Recebimento'!$I$5:$BH$5, 0))+INDEX('Fluxos de Recebimento'!$I$65:$BH$116, MATCH(Curvas!$AB29, 'Fluxos de Recebimento'!$F$65:$F$116, 0), MATCH(Curvas!AE$2, 'Fluxos de Recebimento'!$I$63:$BH$63, 0)),0)*INDEX($E:$E, MATCH(AE$2, $B:$B, 0))</f>
        <v>1.7028522775649216E-4</v>
      </c>
      <c r="AF29" s="193">
        <f>IFERROR(INDEX('Fluxos de Recebimento'!$I$7:$BH$58, MATCH(Curvas!$AB29, 'Fluxos de Recebimento'!$F$7:$F$58, 0), MATCH(Curvas!AF$2,'Fluxos de Recebimento'!$I$5:$BH$5, 0))+INDEX('Fluxos de Recebimento'!$I$65:$BH$116, MATCH(Curvas!$AB29, 'Fluxos de Recebimento'!$F$65:$F$116, 0), MATCH(Curvas!AF$2, 'Fluxos de Recebimento'!$I$63:$BH$63, 0)),0)*INDEX($E:$E, MATCH(AF$2, $B:$B, 0))</f>
        <v>1.7683465959328031E-4</v>
      </c>
      <c r="AG29" s="193">
        <f>IFERROR(INDEX('Fluxos de Recebimento'!$I$7:$BH$58, MATCH(Curvas!$AB29, 'Fluxos de Recebimento'!$F$7:$F$58, 0), MATCH(Curvas!AG$2,'Fluxos de Recebimento'!$I$5:$BH$5, 0))+INDEX('Fluxos de Recebimento'!$I$65:$BH$116, MATCH(Curvas!$AB29, 'Fluxos de Recebimento'!$F$65:$F$116, 0), MATCH(Curvas!AG$2, 'Fluxos de Recebimento'!$I$63:$BH$63, 0)),0)*INDEX($E:$E, MATCH(AG$2, $B:$B, 0))</f>
        <v>1.8390804597701152E-4</v>
      </c>
      <c r="AH29" s="193">
        <f>IFERROR(INDEX('Fluxos de Recebimento'!$I$7:$BH$58, MATCH(Curvas!$AB29, 'Fluxos de Recebimento'!$F$7:$F$58, 0), MATCH(Curvas!AH$2,'Fluxos de Recebimento'!$I$5:$BH$5, 0))+INDEX('Fluxos de Recebimento'!$I$65:$BH$116, MATCH(Curvas!$AB29, 'Fluxos de Recebimento'!$F$65:$F$116, 0), MATCH(Curvas!AH$2, 'Fluxos de Recebimento'!$I$63:$BH$63, 0)),0)*INDEX($E:$E, MATCH(AH$2, $B:$B, 0))</f>
        <v>1.9157088122605367E-4</v>
      </c>
      <c r="AI29" s="193">
        <f>IFERROR(INDEX('Fluxos de Recebimento'!$I$7:$BH$58, MATCH(Curvas!$AB29, 'Fluxos de Recebimento'!$F$7:$F$58, 0), MATCH(Curvas!AI$2,'Fluxos de Recebimento'!$I$5:$BH$5, 0))+INDEX('Fluxos de Recebimento'!$I$65:$BH$116, MATCH(Curvas!$AB29, 'Fluxos de Recebimento'!$F$65:$F$116, 0), MATCH(Curvas!AI$2, 'Fluxos de Recebimento'!$I$63:$BH$63, 0)),0)*INDEX($E:$E, MATCH(AI$2, $B:$B, 0))</f>
        <v>1.9990004997501253E-4</v>
      </c>
      <c r="AJ29" s="193">
        <f>IFERROR(INDEX('Fluxos de Recebimento'!$I$7:$BH$58, MATCH(Curvas!$AB29, 'Fluxos de Recebimento'!$F$7:$F$58, 0), MATCH(Curvas!AJ$2,'Fluxos de Recebimento'!$I$5:$BH$5, 0))+INDEX('Fluxos de Recebimento'!$I$65:$BH$116, MATCH(Curvas!$AB29, 'Fluxos de Recebimento'!$F$65:$F$116, 0), MATCH(Curvas!AJ$2, 'Fluxos de Recebimento'!$I$63:$BH$63, 0)),0)*INDEX($E:$E, MATCH(AJ$2, $B:$B, 0))</f>
        <v>2.0898641588296767E-4</v>
      </c>
      <c r="AK29" s="193">
        <f>IFERROR(INDEX('Fluxos de Recebimento'!$I$7:$BH$58, MATCH(Curvas!$AB29, 'Fluxos de Recebimento'!$F$7:$F$58, 0), MATCH(Curvas!AK$2,'Fluxos de Recebimento'!$I$5:$BH$5, 0))+INDEX('Fluxos de Recebimento'!$I$65:$BH$116, MATCH(Curvas!$AB29, 'Fluxos de Recebimento'!$F$65:$F$116, 0), MATCH(Curvas!AK$2, 'Fluxos de Recebimento'!$I$63:$BH$63, 0)),0)*INDEX($E:$E, MATCH(AK$2, $B:$B, 0))</f>
        <v>2.1893814997263279E-4</v>
      </c>
      <c r="AL29" s="193">
        <f>IFERROR(INDEX('Fluxos de Recebimento'!$I$7:$BH$58, MATCH(Curvas!$AB29, 'Fluxos de Recebimento'!$F$7:$F$58, 0), MATCH(Curvas!AL$2,'Fluxos de Recebimento'!$I$5:$BH$5, 0))+INDEX('Fluxos de Recebimento'!$I$65:$BH$116, MATCH(Curvas!$AB29, 'Fluxos de Recebimento'!$F$65:$F$116, 0), MATCH(Curvas!AL$2, 'Fluxos de Recebimento'!$I$63:$BH$63, 0)),0)*INDEX($E:$E, MATCH(AL$2, $B:$B, 0))</f>
        <v>2.2988505747126441E-4</v>
      </c>
      <c r="AM29" s="193">
        <f>IFERROR(INDEX('Fluxos de Recebimento'!$I$7:$BH$58, MATCH(Curvas!$AB29, 'Fluxos de Recebimento'!$F$7:$F$58, 0), MATCH(Curvas!AM$2,'Fluxos de Recebimento'!$I$5:$BH$5, 0))+INDEX('Fluxos de Recebimento'!$I$65:$BH$116, MATCH(Curvas!$AB29, 'Fluxos de Recebimento'!$F$65:$F$116, 0), MATCH(Curvas!AM$2, 'Fluxos de Recebimento'!$I$63:$BH$63, 0)),0)*INDEX($E:$E, MATCH(AM$2, $B:$B, 0))</f>
        <v>2.4198427102238356E-4</v>
      </c>
      <c r="AN29" s="193">
        <f>IFERROR(INDEX('Fluxos de Recebimento'!$I$7:$BH$58, MATCH(Curvas!$AB29, 'Fluxos de Recebimento'!$F$7:$F$58, 0), MATCH(Curvas!AN$2,'Fluxos de Recebimento'!$I$5:$BH$5, 0))+INDEX('Fluxos de Recebimento'!$I$65:$BH$116, MATCH(Curvas!$AB29, 'Fluxos de Recebimento'!$F$65:$F$116, 0), MATCH(Curvas!AN$2, 'Fluxos de Recebimento'!$I$63:$BH$63, 0)),0)*INDEX($E:$E, MATCH(AN$2, $B:$B, 0))</f>
        <v>2.5542784163473821E-4</v>
      </c>
      <c r="AO29" s="193">
        <f>IFERROR(INDEX('Fluxos de Recebimento'!$I$7:$BH$58, MATCH(Curvas!$AB29, 'Fluxos de Recebimento'!$F$7:$F$58, 0), MATCH(Curvas!AO$2,'Fluxos de Recebimento'!$I$5:$BH$5, 0))+INDEX('Fluxos de Recebimento'!$I$65:$BH$116, MATCH(Curvas!$AB29, 'Fluxos de Recebimento'!$F$65:$F$116, 0), MATCH(Curvas!AO$2, 'Fluxos de Recebimento'!$I$63:$BH$63, 0)),0)*INDEX($E:$E, MATCH(AO$2, $B:$B, 0))</f>
        <v>2.7045300878972284E-4</v>
      </c>
      <c r="AP29" s="193">
        <f>IFERROR(INDEX('Fluxos de Recebimento'!$I$7:$BH$58, MATCH(Curvas!$AB29, 'Fluxos de Recebimento'!$F$7:$F$58, 0), MATCH(Curvas!AP$2,'Fluxos de Recebimento'!$I$5:$BH$5, 0))+INDEX('Fluxos de Recebimento'!$I$65:$BH$116, MATCH(Curvas!$AB29, 'Fluxos de Recebimento'!$F$65:$F$116, 0), MATCH(Curvas!AP$2, 'Fluxos de Recebimento'!$I$63:$BH$63, 0)),0)*INDEX($E:$E, MATCH(AP$2, $B:$B, 0))</f>
        <v>2.8735632183908051E-4</v>
      </c>
      <c r="AQ29" s="193">
        <f>IFERROR(INDEX('Fluxos de Recebimento'!$I$7:$BH$58, MATCH(Curvas!$AB29, 'Fluxos de Recebimento'!$F$7:$F$58, 0), MATCH(Curvas!AQ$2,'Fluxos de Recebimento'!$I$5:$BH$5, 0))+INDEX('Fluxos de Recebimento'!$I$65:$BH$116, MATCH(Curvas!$AB29, 'Fluxos de Recebimento'!$F$65:$F$116, 0), MATCH(Curvas!AQ$2, 'Fluxos de Recebimento'!$I$63:$BH$63, 0)),0)*INDEX($E:$E, MATCH(AQ$2, $B:$B, 0))</f>
        <v>3.0651340996168587E-4</v>
      </c>
      <c r="AR29" s="193">
        <f>IFERROR(INDEX('Fluxos de Recebimento'!$I$7:$BH$58, MATCH(Curvas!$AB29, 'Fluxos de Recebimento'!$F$7:$F$58, 0), MATCH(Curvas!AR$2,'Fluxos de Recebimento'!$I$5:$BH$5, 0))+INDEX('Fluxos de Recebimento'!$I$65:$BH$116, MATCH(Curvas!$AB29, 'Fluxos de Recebimento'!$F$65:$F$116, 0), MATCH(Curvas!AR$2, 'Fluxos de Recebimento'!$I$63:$BH$63, 0)),0)*INDEX($E:$E, MATCH(AR$2, $B:$B, 0))</f>
        <v>3.2840722495894916E-4</v>
      </c>
      <c r="AS29" s="193">
        <f>IFERROR(INDEX('Fluxos de Recebimento'!$I$7:$BH$58, MATCH(Curvas!$AB29, 'Fluxos de Recebimento'!$F$7:$F$58, 0), MATCH(Curvas!AS$2,'Fluxos de Recebimento'!$I$5:$BH$5, 0))+INDEX('Fluxos de Recebimento'!$I$65:$BH$116, MATCH(Curvas!$AB29, 'Fluxos de Recebimento'!$F$65:$F$116, 0), MATCH(Curvas!AS$2, 'Fluxos de Recebimento'!$I$63:$BH$63, 0)),0)*INDEX($E:$E, MATCH(AS$2, $B:$B, 0))</f>
        <v>3.5366931918656062E-4</v>
      </c>
      <c r="AT29" s="193">
        <f>IFERROR(INDEX('Fluxos de Recebimento'!$I$7:$BH$58, MATCH(Curvas!$AB29, 'Fluxos de Recebimento'!$F$7:$F$58, 0), MATCH(Curvas!AT$2,'Fluxos de Recebimento'!$I$5:$BH$5, 0))+INDEX('Fluxos de Recebimento'!$I$65:$BH$116, MATCH(Curvas!$AB29, 'Fluxos de Recebimento'!$F$65:$F$116, 0), MATCH(Curvas!AT$2, 'Fluxos de Recebimento'!$I$63:$BH$63, 0)),0)*INDEX($E:$E, MATCH(AT$2, $B:$B, 0))</f>
        <v>3.8314176245210735E-4</v>
      </c>
      <c r="AU29" s="193">
        <f>IFERROR(INDEX('Fluxos de Recebimento'!$I$7:$BH$58, MATCH(Curvas!$AB29, 'Fluxos de Recebimento'!$F$7:$F$58, 0), MATCH(Curvas!AU$2,'Fluxos de Recebimento'!$I$5:$BH$5, 0))+INDEX('Fluxos de Recebimento'!$I$65:$BH$116, MATCH(Curvas!$AB29, 'Fluxos de Recebimento'!$F$65:$F$116, 0), MATCH(Curvas!AU$2, 'Fluxos de Recebimento'!$I$63:$BH$63, 0)),0)*INDEX($E:$E, MATCH(AU$2, $B:$B, 0))</f>
        <v>4.1797283176593533E-4</v>
      </c>
      <c r="AV29" s="193">
        <f>IFERROR(INDEX('Fluxos de Recebimento'!$I$7:$BH$58, MATCH(Curvas!$AB29, 'Fluxos de Recebimento'!$F$7:$F$58, 0), MATCH(Curvas!AV$2,'Fluxos de Recebimento'!$I$5:$BH$5, 0))+INDEX('Fluxos de Recebimento'!$I$65:$BH$116, MATCH(Curvas!$AB29, 'Fluxos de Recebimento'!$F$65:$F$116, 0), MATCH(Curvas!AV$2, 'Fluxos de Recebimento'!$I$63:$BH$63, 0)),0)*INDEX($E:$E, MATCH(AV$2, $B:$B, 0))</f>
        <v>4.5977011494252883E-4</v>
      </c>
      <c r="AW29" s="193">
        <f>IFERROR(INDEX('Fluxos de Recebimento'!$I$7:$BH$58, MATCH(Curvas!$AB29, 'Fluxos de Recebimento'!$F$7:$F$58, 0), MATCH(Curvas!AW$2,'Fluxos de Recebimento'!$I$5:$BH$5, 0))+INDEX('Fluxos de Recebimento'!$I$65:$BH$116, MATCH(Curvas!$AB29, 'Fluxos de Recebimento'!$F$65:$F$116, 0), MATCH(Curvas!AW$2, 'Fluxos de Recebimento'!$I$63:$BH$63, 0)),0)*INDEX($E:$E, MATCH(AW$2, $B:$B, 0))</f>
        <v>5.1085568326947643E-4</v>
      </c>
      <c r="AX29" s="193">
        <f>IFERROR(INDEX('Fluxos de Recebimento'!$I$7:$BH$58, MATCH(Curvas!$AB29, 'Fluxos de Recebimento'!$F$7:$F$58, 0), MATCH(Curvas!AX$2,'Fluxos de Recebimento'!$I$5:$BH$5, 0))+INDEX('Fluxos de Recebimento'!$I$65:$BH$116, MATCH(Curvas!$AB29, 'Fluxos de Recebimento'!$F$65:$F$116, 0), MATCH(Curvas!AX$2, 'Fluxos de Recebimento'!$I$63:$BH$63, 0)),0)*INDEX($E:$E, MATCH(AX$2, $B:$B, 0))</f>
        <v>5.7471264367816102E-4</v>
      </c>
      <c r="AY29" s="193">
        <f>IFERROR(INDEX('Fluxos de Recebimento'!$I$7:$BH$58, MATCH(Curvas!$AB29, 'Fluxos de Recebimento'!$F$7:$F$58, 0), MATCH(Curvas!AY$2,'Fluxos de Recebimento'!$I$5:$BH$5, 0))+INDEX('Fluxos de Recebimento'!$I$65:$BH$116, MATCH(Curvas!$AB29, 'Fluxos de Recebimento'!$F$65:$F$116, 0), MATCH(Curvas!AY$2, 'Fluxos de Recebimento'!$I$63:$BH$63, 0)),0)*INDEX($E:$E, MATCH(AY$2, $B:$B, 0))</f>
        <v>6.5681444991789832E-4</v>
      </c>
      <c r="AZ29" s="193">
        <f>IFERROR(INDEX('Fluxos de Recebimento'!$I$7:$BH$58, MATCH(Curvas!$AB29, 'Fluxos de Recebimento'!$F$7:$F$58, 0), MATCH(Curvas!AZ$2,'Fluxos de Recebimento'!$I$5:$BH$5, 0))+INDEX('Fluxos de Recebimento'!$I$65:$BH$116, MATCH(Curvas!$AB29, 'Fluxos de Recebimento'!$F$65:$F$116, 0), MATCH(Curvas!AZ$2, 'Fluxos de Recebimento'!$I$63:$BH$63, 0)),0)*INDEX($E:$E, MATCH(AZ$2, $B:$B, 0))</f>
        <v>7.6628352490421469E-4</v>
      </c>
      <c r="BA29" s="193">
        <f>IFERROR(INDEX('Fluxos de Recebimento'!$I$7:$BH$58, MATCH(Curvas!$AB29, 'Fluxos de Recebimento'!$F$7:$F$58, 0), MATCH(Curvas!BA$2,'Fluxos de Recebimento'!$I$5:$BH$5, 0))+INDEX('Fluxos de Recebimento'!$I$65:$BH$116, MATCH(Curvas!$AB29, 'Fluxos de Recebimento'!$F$65:$F$116, 0), MATCH(Curvas!BA$2, 'Fluxos de Recebimento'!$I$63:$BH$63, 0)),0)*INDEX($E:$E, MATCH(BA$2, $B:$B, 0))</f>
        <v>9.1954022988505765E-4</v>
      </c>
      <c r="BB29" s="193">
        <f>IFERROR(INDEX('Fluxos de Recebimento'!$I$7:$BH$58, MATCH(Curvas!$AB29, 'Fluxos de Recebimento'!$F$7:$F$58, 0), MATCH(Curvas!BB$2,'Fluxos de Recebimento'!$I$5:$BH$5, 0))+INDEX('Fluxos de Recebimento'!$I$65:$BH$116, MATCH(Curvas!$AB29, 'Fluxos de Recebimento'!$F$65:$F$116, 0), MATCH(Curvas!BB$2, 'Fluxos de Recebimento'!$I$63:$BH$63, 0)),0)*INDEX($E:$E, MATCH(BB$2, $B:$B, 0))</f>
        <v>1.149425287356322E-3</v>
      </c>
      <c r="BC29" s="193">
        <f>IFERROR(INDEX('Fluxos de Recebimento'!$I$7:$BH$58, MATCH(Curvas!$AB29, 'Fluxos de Recebimento'!$F$7:$F$58, 0), MATCH(Curvas!BC$2,'Fluxos de Recebimento'!$I$5:$BH$5, 0))+INDEX('Fluxos de Recebimento'!$I$65:$BH$116, MATCH(Curvas!$AB29, 'Fluxos de Recebimento'!$F$65:$F$116, 0), MATCH(Curvas!BC$2, 'Fluxos de Recebimento'!$I$63:$BH$63, 0)),0)*INDEX($E:$E, MATCH(BC$2, $B:$B, 0))</f>
        <v>1.149425287356322E-3</v>
      </c>
      <c r="BD29" s="193">
        <f>IFERROR(INDEX('Fluxos de Recebimento'!$I$7:$BH$58, MATCH(Curvas!$AB29, 'Fluxos de Recebimento'!$F$7:$F$58, 0), MATCH(Curvas!BD$2,'Fluxos de Recebimento'!$I$5:$BH$5, 0))+INDEX('Fluxos de Recebimento'!$I$65:$BH$116, MATCH(Curvas!$AB29, 'Fluxos de Recebimento'!$F$65:$F$116, 0), MATCH(Curvas!BD$2, 'Fluxos de Recebimento'!$I$63:$BH$63, 0)),0)*INDEX($E:$E, MATCH(BD$2, $B:$B, 0))</f>
        <v>0</v>
      </c>
      <c r="BE29" s="193">
        <f>IFERROR(INDEX('Fluxos de Recebimento'!$I$7:$BH$58, MATCH(Curvas!$AB29, 'Fluxos de Recebimento'!$F$7:$F$58, 0), MATCH(Curvas!BE$2,'Fluxos de Recebimento'!$I$5:$BH$5, 0))+INDEX('Fluxos de Recebimento'!$I$65:$BH$116, MATCH(Curvas!$AB29, 'Fluxos de Recebimento'!$F$65:$F$116, 0), MATCH(Curvas!BE$2, 'Fluxos de Recebimento'!$I$63:$BH$63, 0)),0)*INDEX($E:$E, MATCH(BE$2, $B:$B, 0))</f>
        <v>0</v>
      </c>
      <c r="BF29" s="193">
        <f>IFERROR(INDEX('Fluxos de Recebimento'!$I$7:$BH$58, MATCH(Curvas!$AB29, 'Fluxos de Recebimento'!$F$7:$F$58, 0), MATCH(Curvas!BF$2,'Fluxos de Recebimento'!$I$5:$BH$5, 0))+INDEX('Fluxos de Recebimento'!$I$65:$BH$116, MATCH(Curvas!$AB29, 'Fluxos de Recebimento'!$F$65:$F$116, 0), MATCH(Curvas!BF$2, 'Fluxos de Recebimento'!$I$63:$BH$63, 0)),0)*INDEX($E:$E, MATCH(BF$2, $B:$B, 0))</f>
        <v>0</v>
      </c>
      <c r="BG29" s="193">
        <f>IFERROR(INDEX('Fluxos de Recebimento'!$I$7:$BH$58, MATCH(Curvas!$AB29, 'Fluxos de Recebimento'!$F$7:$F$58, 0), MATCH(Curvas!BG$2,'Fluxos de Recebimento'!$I$5:$BH$5, 0))+INDEX('Fluxos de Recebimento'!$I$65:$BH$116, MATCH(Curvas!$AB29, 'Fluxos de Recebimento'!$F$65:$F$116, 0), MATCH(Curvas!BG$2, 'Fluxos de Recebimento'!$I$63:$BH$63, 0)),0)*INDEX($E:$E, MATCH(BG$2, $B:$B, 0))</f>
        <v>0</v>
      </c>
      <c r="BH29" s="193">
        <f>IFERROR(INDEX('Fluxos de Recebimento'!$I$7:$BH$58, MATCH(Curvas!$AB29, 'Fluxos de Recebimento'!$F$7:$F$58, 0), MATCH(Curvas!BH$2,'Fluxos de Recebimento'!$I$5:$BH$5, 0))+INDEX('Fluxos de Recebimento'!$I$65:$BH$116, MATCH(Curvas!$AB29, 'Fluxos de Recebimento'!$F$65:$F$116, 0), MATCH(Curvas!BH$2, 'Fluxos de Recebimento'!$I$63:$BH$63, 0)),0)*INDEX($E:$E, MATCH(BH$2, $B:$B, 0))</f>
        <v>0</v>
      </c>
      <c r="BI29" s="193">
        <f>IFERROR(INDEX('Fluxos de Recebimento'!$I$7:$BH$58, MATCH(Curvas!$AB29, 'Fluxos de Recebimento'!$F$7:$F$58, 0), MATCH(Curvas!BI$2,'Fluxos de Recebimento'!$I$5:$BH$5, 0))+INDEX('Fluxos de Recebimento'!$I$65:$BH$116, MATCH(Curvas!$AB29, 'Fluxos de Recebimento'!$F$65:$F$116, 0), MATCH(Curvas!BI$2, 'Fluxos de Recebimento'!$I$63:$BH$63, 0)),0)*INDEX($E:$E, MATCH(BI$2, $B:$B, 0))</f>
        <v>0</v>
      </c>
      <c r="BJ29" s="193">
        <f>IFERROR(INDEX('Fluxos de Recebimento'!$I$7:$BH$58, MATCH(Curvas!$AB29, 'Fluxos de Recebimento'!$F$7:$F$58, 0), MATCH(Curvas!BJ$2,'Fluxos de Recebimento'!$I$5:$BH$5, 0))+INDEX('Fluxos de Recebimento'!$I$65:$BH$116, MATCH(Curvas!$AB29, 'Fluxos de Recebimento'!$F$65:$F$116, 0), MATCH(Curvas!BJ$2, 'Fluxos de Recebimento'!$I$63:$BH$63, 0)),0)*INDEX($E:$E, MATCH(BJ$2, $B:$B, 0))</f>
        <v>0</v>
      </c>
      <c r="BK29" s="193">
        <f>IFERROR(INDEX('Fluxos de Recebimento'!$I$7:$BH$58, MATCH(Curvas!$AB29, 'Fluxos de Recebimento'!$F$7:$F$58, 0), MATCH(Curvas!BK$2,'Fluxos de Recebimento'!$I$5:$BH$5, 0))+INDEX('Fluxos de Recebimento'!$I$65:$BH$116, MATCH(Curvas!$AB29, 'Fluxos de Recebimento'!$F$65:$F$116, 0), MATCH(Curvas!BK$2, 'Fluxos de Recebimento'!$I$63:$BH$63, 0)),0)*INDEX($E:$E, MATCH(BK$2, $B:$B, 0))</f>
        <v>0</v>
      </c>
      <c r="BL29" s="193">
        <f>IFERROR(INDEX('Fluxos de Recebimento'!$I$7:$BH$58, MATCH(Curvas!$AB29, 'Fluxos de Recebimento'!$F$7:$F$58, 0), MATCH(Curvas!BL$2,'Fluxos de Recebimento'!$I$5:$BH$5, 0))+INDEX('Fluxos de Recebimento'!$I$65:$BH$116, MATCH(Curvas!$AB29, 'Fluxos de Recebimento'!$F$65:$F$116, 0), MATCH(Curvas!BL$2, 'Fluxos de Recebimento'!$I$63:$BH$63, 0)),0)*INDEX($E:$E, MATCH(BL$2, $B:$B, 0))</f>
        <v>0</v>
      </c>
      <c r="BM29" s="193">
        <f>IFERROR(INDEX('Fluxos de Recebimento'!$I$7:$BH$58, MATCH(Curvas!$AB29, 'Fluxos de Recebimento'!$F$7:$F$58, 0), MATCH(Curvas!BM$2,'Fluxos de Recebimento'!$I$5:$BH$5, 0))+INDEX('Fluxos de Recebimento'!$I$65:$BH$116, MATCH(Curvas!$AB29, 'Fluxos de Recebimento'!$F$65:$F$116, 0), MATCH(Curvas!BM$2, 'Fluxos de Recebimento'!$I$63:$BH$63, 0)),0)*INDEX($E:$E, MATCH(BM$2, $B:$B, 0))</f>
        <v>0</v>
      </c>
      <c r="BN29" s="193">
        <f>IFERROR(INDEX('Fluxos de Recebimento'!$I$7:$BH$58, MATCH(Curvas!$AB29, 'Fluxos de Recebimento'!$F$7:$F$58, 0), MATCH(Curvas!BN$2,'Fluxos de Recebimento'!$I$5:$BH$5, 0))+INDEX('Fluxos de Recebimento'!$I$65:$BH$116, MATCH(Curvas!$AB29, 'Fluxos de Recebimento'!$F$65:$F$116, 0), MATCH(Curvas!BN$2, 'Fluxos de Recebimento'!$I$63:$BH$63, 0)),0)*INDEX($E:$E, MATCH(BN$2, $B:$B, 0))</f>
        <v>0</v>
      </c>
      <c r="BO29" s="193">
        <f>IFERROR(INDEX('Fluxos de Recebimento'!$I$7:$BH$58, MATCH(Curvas!$AB29, 'Fluxos de Recebimento'!$F$7:$F$58, 0), MATCH(Curvas!BO$2,'Fluxos de Recebimento'!$I$5:$BH$5, 0))+INDEX('Fluxos de Recebimento'!$I$65:$BH$116, MATCH(Curvas!$AB29, 'Fluxos de Recebimento'!$F$65:$F$116, 0), MATCH(Curvas!BO$2, 'Fluxos de Recebimento'!$I$63:$BH$63, 0)),0)*INDEX($E:$E, MATCH(BO$2, $B:$B, 0))</f>
        <v>0</v>
      </c>
      <c r="BP29" s="193">
        <f>IFERROR(INDEX('Fluxos de Recebimento'!$I$7:$BH$58, MATCH(Curvas!$AB29, 'Fluxos de Recebimento'!$F$7:$F$58, 0), MATCH(Curvas!BP$2,'Fluxos de Recebimento'!$I$5:$BH$5, 0))+INDEX('Fluxos de Recebimento'!$I$65:$BH$116, MATCH(Curvas!$AB29, 'Fluxos de Recebimento'!$F$65:$F$116, 0), MATCH(Curvas!BP$2, 'Fluxos de Recebimento'!$I$63:$BH$63, 0)),0)*INDEX($E:$E, MATCH(BP$2, $B:$B, 0))</f>
        <v>0</v>
      </c>
      <c r="BQ29" s="193">
        <f>IFERROR(INDEX('Fluxos de Recebimento'!$I$7:$BH$58, MATCH(Curvas!$AB29, 'Fluxos de Recebimento'!$F$7:$F$58, 0), MATCH(Curvas!BQ$2,'Fluxos de Recebimento'!$I$5:$BH$5, 0))+INDEX('Fluxos de Recebimento'!$I$65:$BH$116, MATCH(Curvas!$AB29, 'Fluxos de Recebimento'!$F$65:$F$116, 0), MATCH(Curvas!BQ$2, 'Fluxos de Recebimento'!$I$63:$BH$63, 0)),0)*INDEX($E:$E, MATCH(BQ$2, $B:$B, 0))</f>
        <v>0</v>
      </c>
      <c r="BR29" s="193">
        <f>IFERROR(INDEX('Fluxos de Recebimento'!$I$7:$BH$58, MATCH(Curvas!$AB29, 'Fluxos de Recebimento'!$F$7:$F$58, 0), MATCH(Curvas!BR$2,'Fluxos de Recebimento'!$I$5:$BH$5, 0))+INDEX('Fluxos de Recebimento'!$I$65:$BH$116, MATCH(Curvas!$AB29, 'Fluxos de Recebimento'!$F$65:$F$116, 0), MATCH(Curvas!BR$2, 'Fluxos de Recebimento'!$I$63:$BH$63, 0)),0)*INDEX($E:$E, MATCH(BR$2, $B:$B, 0))</f>
        <v>0</v>
      </c>
      <c r="BS29" s="193">
        <f>IFERROR(INDEX('Fluxos de Recebimento'!$I$7:$BH$58, MATCH(Curvas!$AB29, 'Fluxos de Recebimento'!$F$7:$F$58, 0), MATCH(Curvas!BS$2,'Fluxos de Recebimento'!$I$5:$BH$5, 0))+INDEX('Fluxos de Recebimento'!$I$65:$BH$116, MATCH(Curvas!$AB29, 'Fluxos de Recebimento'!$F$65:$F$116, 0), MATCH(Curvas!BS$2, 'Fluxos de Recebimento'!$I$63:$BH$63, 0)),0)*INDEX($E:$E, MATCH(BS$2, $B:$B, 0))</f>
        <v>0</v>
      </c>
      <c r="BT29" s="193">
        <f>IFERROR(INDEX('Fluxos de Recebimento'!$I$7:$BH$58, MATCH(Curvas!$AB29, 'Fluxos de Recebimento'!$F$7:$F$58, 0), MATCH(Curvas!BT$2,'Fluxos de Recebimento'!$I$5:$BH$5, 0))+INDEX('Fluxos de Recebimento'!$I$65:$BH$116, MATCH(Curvas!$AB29, 'Fluxos de Recebimento'!$F$65:$F$116, 0), MATCH(Curvas!BT$2, 'Fluxos de Recebimento'!$I$63:$BH$63, 0)),0)*INDEX($E:$E, MATCH(BT$2, $B:$B, 0))</f>
        <v>0</v>
      </c>
      <c r="BU29" s="193">
        <f>IFERROR(INDEX('Fluxos de Recebimento'!$I$7:$BH$58, MATCH(Curvas!$AB29, 'Fluxos de Recebimento'!$F$7:$F$58, 0), MATCH(Curvas!BU$2,'Fluxos de Recebimento'!$I$5:$BH$5, 0))+INDEX('Fluxos de Recebimento'!$I$65:$BH$116, MATCH(Curvas!$AB29, 'Fluxos de Recebimento'!$F$65:$F$116, 0), MATCH(Curvas!BU$2, 'Fluxos de Recebimento'!$I$63:$BH$63, 0)),0)*INDEX($E:$E, MATCH(BU$2, $B:$B, 0))</f>
        <v>0</v>
      </c>
      <c r="BV29" s="193">
        <f>IFERROR(INDEX('Fluxos de Recebimento'!$I$7:$BH$58, MATCH(Curvas!$AB29, 'Fluxos de Recebimento'!$F$7:$F$58, 0), MATCH(Curvas!BV$2,'Fluxos de Recebimento'!$I$5:$BH$5, 0))+INDEX('Fluxos de Recebimento'!$I$65:$BH$116, MATCH(Curvas!$AB29, 'Fluxos de Recebimento'!$F$65:$F$116, 0), MATCH(Curvas!BV$2, 'Fluxos de Recebimento'!$I$63:$BH$63, 0)),0)*INDEX($E:$E, MATCH(BV$2, $B:$B, 0))</f>
        <v>0</v>
      </c>
      <c r="BW29" s="193">
        <f>IFERROR(INDEX('Fluxos de Recebimento'!$I$7:$BH$58, MATCH(Curvas!$AB29, 'Fluxos de Recebimento'!$F$7:$F$58, 0), MATCH(Curvas!BW$2,'Fluxos de Recebimento'!$I$5:$BH$5, 0))+INDEX('Fluxos de Recebimento'!$I$65:$BH$116, MATCH(Curvas!$AB29, 'Fluxos de Recebimento'!$F$65:$F$116, 0), MATCH(Curvas!BW$2, 'Fluxos de Recebimento'!$I$63:$BH$63, 0)),0)*INDEX($E:$E, MATCH(BW$2, $B:$B, 0))</f>
        <v>0</v>
      </c>
      <c r="BX29" s="193">
        <f>IFERROR(INDEX('Fluxos de Recebimento'!$I$7:$BH$58, MATCH(Curvas!$AB29, 'Fluxos de Recebimento'!$F$7:$F$58, 0), MATCH(Curvas!BX$2,'Fluxos de Recebimento'!$I$5:$BH$5, 0))+INDEX('Fluxos de Recebimento'!$I$65:$BH$116, MATCH(Curvas!$AB29, 'Fluxos de Recebimento'!$F$65:$F$116, 0), MATCH(Curvas!BX$2, 'Fluxos de Recebimento'!$I$63:$BH$63, 0)),0)*INDEX($E:$E, MATCH(BX$2, $B:$B, 0))</f>
        <v>0</v>
      </c>
      <c r="BY29" s="193">
        <f>IFERROR(INDEX('Fluxos de Recebimento'!$I$7:$BH$58, MATCH(Curvas!$AB29, 'Fluxos de Recebimento'!$F$7:$F$58, 0), MATCH(Curvas!BY$2,'Fluxos de Recebimento'!$I$5:$BH$5, 0))+INDEX('Fluxos de Recebimento'!$I$65:$BH$116, MATCH(Curvas!$AB29, 'Fluxos de Recebimento'!$F$65:$F$116, 0), MATCH(Curvas!BY$2, 'Fluxos de Recebimento'!$I$63:$BH$63, 0)),0)*INDEX($E:$E, MATCH(BY$2, $B:$B, 0))</f>
        <v>0</v>
      </c>
      <c r="BZ29" s="193">
        <f>IFERROR(INDEX('Fluxos de Recebimento'!$I$7:$BH$58, MATCH(Curvas!$AB29, 'Fluxos de Recebimento'!$F$7:$F$58, 0), MATCH(Curvas!BZ$2,'Fluxos de Recebimento'!$I$5:$BH$5, 0))+INDEX('Fluxos de Recebimento'!$I$65:$BH$116, MATCH(Curvas!$AB29, 'Fluxos de Recebimento'!$F$65:$F$116, 0), MATCH(Curvas!BZ$2, 'Fluxos de Recebimento'!$I$63:$BH$63, 0)),0)*INDEX($E:$E, MATCH(BZ$2, $B:$B, 0))</f>
        <v>0</v>
      </c>
      <c r="CA29" s="193">
        <f>IFERROR(INDEX('Fluxos de Recebimento'!$I$7:$BH$58, MATCH(Curvas!$AB29, 'Fluxos de Recebimento'!$F$7:$F$58, 0), MATCH(Curvas!CA$2,'Fluxos de Recebimento'!$I$5:$BH$5, 0))+INDEX('Fluxos de Recebimento'!$I$65:$BH$116, MATCH(Curvas!$AB29, 'Fluxos de Recebimento'!$F$65:$F$116, 0), MATCH(Curvas!CA$2, 'Fluxos de Recebimento'!$I$63:$BH$63, 0)),0)*INDEX($E:$E, MATCH(CA$2, $B:$B, 0))</f>
        <v>0</v>
      </c>
      <c r="CB29" s="193">
        <f>IFERROR(INDEX('Fluxos de Recebimento'!$I$7:$BH$58, MATCH(Curvas!$AB29, 'Fluxos de Recebimento'!$F$7:$F$58, 0), MATCH(Curvas!CB$2,'Fluxos de Recebimento'!$I$5:$BH$5, 0))+INDEX('Fluxos de Recebimento'!$I$65:$BH$116, MATCH(Curvas!$AB29, 'Fluxos de Recebimento'!$F$65:$F$116, 0), MATCH(Curvas!CB$2, 'Fluxos de Recebimento'!$I$63:$BH$63, 0)),0)*INDEX($E:$E, MATCH(CB$2, $B:$B, 0))</f>
        <v>0</v>
      </c>
      <c r="CC29" s="193">
        <f>IFERROR(INDEX('Fluxos de Recebimento'!$I$7:$BH$58, MATCH(Curvas!$AB29, 'Fluxos de Recebimento'!$F$7:$F$58, 0), MATCH(Curvas!CC$2,'Fluxos de Recebimento'!$I$5:$BH$5, 0))+INDEX('Fluxos de Recebimento'!$I$65:$BH$116, MATCH(Curvas!$AB29, 'Fluxos de Recebimento'!$F$65:$F$116, 0), MATCH(Curvas!CC$2, 'Fluxos de Recebimento'!$I$63:$BH$63, 0)),0)*INDEX($E:$E, MATCH(CC$2, $B:$B, 0))</f>
        <v>0</v>
      </c>
    </row>
    <row r="30" spans="1:81" x14ac:dyDescent="0.25">
      <c r="A30" s="2"/>
      <c r="B30" s="477">
        <f t="shared" si="16"/>
        <v>44958</v>
      </c>
      <c r="C30" s="52">
        <f t="shared" si="17"/>
        <v>27</v>
      </c>
      <c r="D30" s="2"/>
      <c r="E30" s="187">
        <f t="shared" si="4"/>
        <v>2.298850574712644E-2</v>
      </c>
      <c r="F30" s="48">
        <f t="shared" si="18"/>
        <v>0.62068965517241392</v>
      </c>
      <c r="G30" s="46">
        <f t="shared" ca="1" si="5"/>
        <v>0</v>
      </c>
      <c r="H30" s="48">
        <f t="shared" ca="1" si="19"/>
        <v>0</v>
      </c>
      <c r="I30" s="2"/>
      <c r="J30" s="69">
        <f t="shared" si="6"/>
        <v>16</v>
      </c>
      <c r="K30" s="479">
        <f t="shared" ca="1" si="7"/>
        <v>0</v>
      </c>
      <c r="L30" s="70">
        <f t="shared" ca="1" si="8"/>
        <v>16</v>
      </c>
      <c r="M30" s="2"/>
      <c r="N30" s="69">
        <f t="shared" si="9"/>
        <v>21</v>
      </c>
      <c r="O30" s="479">
        <f t="shared" si="10"/>
        <v>0</v>
      </c>
      <c r="P30" s="70">
        <f t="shared" si="11"/>
        <v>21</v>
      </c>
      <c r="Q30" s="2"/>
      <c r="R30" s="71">
        <f t="shared" si="12"/>
        <v>37</v>
      </c>
      <c r="S30" s="196"/>
      <c r="T30" s="46">
        <v>6.5888553464648933E-2</v>
      </c>
      <c r="U30" s="48">
        <f t="shared" si="20"/>
        <v>0.77915591604140633</v>
      </c>
      <c r="V30" s="2"/>
      <c r="W30" s="56"/>
      <c r="X30" s="48"/>
      <c r="Y30" s="2"/>
      <c r="Z30" s="194">
        <f t="shared" si="13"/>
        <v>1.2308832363063762E-2</v>
      </c>
      <c r="AA30" s="2"/>
      <c r="AB30" s="477">
        <f t="shared" si="14"/>
        <v>44958</v>
      </c>
      <c r="AC30" s="52">
        <f t="shared" si="15"/>
        <v>27</v>
      </c>
      <c r="AD30" s="193">
        <f>IFERROR(INDEX('Fluxos de Recebimento'!$I$7:$BH$58, MATCH(Curvas!$AB30, 'Fluxos de Recebimento'!$F$7:$F$58, 0), MATCH(Curvas!AD$2,'Fluxos de Recebimento'!$I$5:$BH$5, 0))+INDEX('Fluxos de Recebimento'!$I$65:$BH$116, MATCH(Curvas!$AB30, 'Fluxos de Recebimento'!$F$65:$F$116, 0), MATCH(Curvas!AD$2, 'Fluxos de Recebimento'!$I$63:$BH$63, 0)),0)*INDEX($E:$E, MATCH(AD$2, $B:$B, 0))</f>
        <v>1.6420361247947458E-4</v>
      </c>
      <c r="AE30" s="193">
        <f>IFERROR(INDEX('Fluxos de Recebimento'!$I$7:$BH$58, MATCH(Curvas!$AB30, 'Fluxos de Recebimento'!$F$7:$F$58, 0), MATCH(Curvas!AE$2,'Fluxos de Recebimento'!$I$5:$BH$5, 0))+INDEX('Fluxos de Recebimento'!$I$65:$BH$116, MATCH(Curvas!$AB30, 'Fluxos de Recebimento'!$F$65:$F$116, 0), MATCH(Curvas!AE$2, 'Fluxos de Recebimento'!$I$63:$BH$63, 0)),0)*INDEX($E:$E, MATCH(AE$2, $B:$B, 0))</f>
        <v>1.7028522775649216E-4</v>
      </c>
      <c r="AF30" s="193">
        <f>IFERROR(INDEX('Fluxos de Recebimento'!$I$7:$BH$58, MATCH(Curvas!$AB30, 'Fluxos de Recebimento'!$F$7:$F$58, 0), MATCH(Curvas!AF$2,'Fluxos de Recebimento'!$I$5:$BH$5, 0))+INDEX('Fluxos de Recebimento'!$I$65:$BH$116, MATCH(Curvas!$AB30, 'Fluxos de Recebimento'!$F$65:$F$116, 0), MATCH(Curvas!AF$2, 'Fluxos de Recebimento'!$I$63:$BH$63, 0)),0)*INDEX($E:$E, MATCH(AF$2, $B:$B, 0))</f>
        <v>1.7683465959328031E-4</v>
      </c>
      <c r="AG30" s="193">
        <f>IFERROR(INDEX('Fluxos de Recebimento'!$I$7:$BH$58, MATCH(Curvas!$AB30, 'Fluxos de Recebimento'!$F$7:$F$58, 0), MATCH(Curvas!AG$2,'Fluxos de Recebimento'!$I$5:$BH$5, 0))+INDEX('Fluxos de Recebimento'!$I$65:$BH$116, MATCH(Curvas!$AB30, 'Fluxos de Recebimento'!$F$65:$F$116, 0), MATCH(Curvas!AG$2, 'Fluxos de Recebimento'!$I$63:$BH$63, 0)),0)*INDEX($E:$E, MATCH(AG$2, $B:$B, 0))</f>
        <v>1.8390804597701152E-4</v>
      </c>
      <c r="AH30" s="193">
        <f>IFERROR(INDEX('Fluxos de Recebimento'!$I$7:$BH$58, MATCH(Curvas!$AB30, 'Fluxos de Recebimento'!$F$7:$F$58, 0), MATCH(Curvas!AH$2,'Fluxos de Recebimento'!$I$5:$BH$5, 0))+INDEX('Fluxos de Recebimento'!$I$65:$BH$116, MATCH(Curvas!$AB30, 'Fluxos de Recebimento'!$F$65:$F$116, 0), MATCH(Curvas!AH$2, 'Fluxos de Recebimento'!$I$63:$BH$63, 0)),0)*INDEX($E:$E, MATCH(AH$2, $B:$B, 0))</f>
        <v>1.9157088122605367E-4</v>
      </c>
      <c r="AI30" s="193">
        <f>IFERROR(INDEX('Fluxos de Recebimento'!$I$7:$BH$58, MATCH(Curvas!$AB30, 'Fluxos de Recebimento'!$F$7:$F$58, 0), MATCH(Curvas!AI$2,'Fluxos de Recebimento'!$I$5:$BH$5, 0))+INDEX('Fluxos de Recebimento'!$I$65:$BH$116, MATCH(Curvas!$AB30, 'Fluxos de Recebimento'!$F$65:$F$116, 0), MATCH(Curvas!AI$2, 'Fluxos de Recebimento'!$I$63:$BH$63, 0)),0)*INDEX($E:$E, MATCH(AI$2, $B:$B, 0))</f>
        <v>1.9990004997501253E-4</v>
      </c>
      <c r="AJ30" s="193">
        <f>IFERROR(INDEX('Fluxos de Recebimento'!$I$7:$BH$58, MATCH(Curvas!$AB30, 'Fluxos de Recebimento'!$F$7:$F$58, 0), MATCH(Curvas!AJ$2,'Fluxos de Recebimento'!$I$5:$BH$5, 0))+INDEX('Fluxos de Recebimento'!$I$65:$BH$116, MATCH(Curvas!$AB30, 'Fluxos de Recebimento'!$F$65:$F$116, 0), MATCH(Curvas!AJ$2, 'Fluxos de Recebimento'!$I$63:$BH$63, 0)),0)*INDEX($E:$E, MATCH(AJ$2, $B:$B, 0))</f>
        <v>2.0898641588296767E-4</v>
      </c>
      <c r="AK30" s="193">
        <f>IFERROR(INDEX('Fluxos de Recebimento'!$I$7:$BH$58, MATCH(Curvas!$AB30, 'Fluxos de Recebimento'!$F$7:$F$58, 0), MATCH(Curvas!AK$2,'Fluxos de Recebimento'!$I$5:$BH$5, 0))+INDEX('Fluxos de Recebimento'!$I$65:$BH$116, MATCH(Curvas!$AB30, 'Fluxos de Recebimento'!$F$65:$F$116, 0), MATCH(Curvas!AK$2, 'Fluxos de Recebimento'!$I$63:$BH$63, 0)),0)*INDEX($E:$E, MATCH(AK$2, $B:$B, 0))</f>
        <v>2.1893814997263279E-4</v>
      </c>
      <c r="AL30" s="193">
        <f>IFERROR(INDEX('Fluxos de Recebimento'!$I$7:$BH$58, MATCH(Curvas!$AB30, 'Fluxos de Recebimento'!$F$7:$F$58, 0), MATCH(Curvas!AL$2,'Fluxos de Recebimento'!$I$5:$BH$5, 0))+INDEX('Fluxos de Recebimento'!$I$65:$BH$116, MATCH(Curvas!$AB30, 'Fluxos de Recebimento'!$F$65:$F$116, 0), MATCH(Curvas!AL$2, 'Fluxos de Recebimento'!$I$63:$BH$63, 0)),0)*INDEX($E:$E, MATCH(AL$2, $B:$B, 0))</f>
        <v>2.2988505747126441E-4</v>
      </c>
      <c r="AM30" s="193">
        <f>IFERROR(INDEX('Fluxos de Recebimento'!$I$7:$BH$58, MATCH(Curvas!$AB30, 'Fluxos de Recebimento'!$F$7:$F$58, 0), MATCH(Curvas!AM$2,'Fluxos de Recebimento'!$I$5:$BH$5, 0))+INDEX('Fluxos de Recebimento'!$I$65:$BH$116, MATCH(Curvas!$AB30, 'Fluxos de Recebimento'!$F$65:$F$116, 0), MATCH(Curvas!AM$2, 'Fluxos de Recebimento'!$I$63:$BH$63, 0)),0)*INDEX($E:$E, MATCH(AM$2, $B:$B, 0))</f>
        <v>2.4198427102238356E-4</v>
      </c>
      <c r="AN30" s="193">
        <f>IFERROR(INDEX('Fluxos de Recebimento'!$I$7:$BH$58, MATCH(Curvas!$AB30, 'Fluxos de Recebimento'!$F$7:$F$58, 0), MATCH(Curvas!AN$2,'Fluxos de Recebimento'!$I$5:$BH$5, 0))+INDEX('Fluxos de Recebimento'!$I$65:$BH$116, MATCH(Curvas!$AB30, 'Fluxos de Recebimento'!$F$65:$F$116, 0), MATCH(Curvas!AN$2, 'Fluxos de Recebimento'!$I$63:$BH$63, 0)),0)*INDEX($E:$E, MATCH(AN$2, $B:$B, 0))</f>
        <v>2.5542784163473821E-4</v>
      </c>
      <c r="AO30" s="193">
        <f>IFERROR(INDEX('Fluxos de Recebimento'!$I$7:$BH$58, MATCH(Curvas!$AB30, 'Fluxos de Recebimento'!$F$7:$F$58, 0), MATCH(Curvas!AO$2,'Fluxos de Recebimento'!$I$5:$BH$5, 0))+INDEX('Fluxos de Recebimento'!$I$65:$BH$116, MATCH(Curvas!$AB30, 'Fluxos de Recebimento'!$F$65:$F$116, 0), MATCH(Curvas!AO$2, 'Fluxos de Recebimento'!$I$63:$BH$63, 0)),0)*INDEX($E:$E, MATCH(AO$2, $B:$B, 0))</f>
        <v>2.7045300878972284E-4</v>
      </c>
      <c r="AP30" s="193">
        <f>IFERROR(INDEX('Fluxos de Recebimento'!$I$7:$BH$58, MATCH(Curvas!$AB30, 'Fluxos de Recebimento'!$F$7:$F$58, 0), MATCH(Curvas!AP$2,'Fluxos de Recebimento'!$I$5:$BH$5, 0))+INDEX('Fluxos de Recebimento'!$I$65:$BH$116, MATCH(Curvas!$AB30, 'Fluxos de Recebimento'!$F$65:$F$116, 0), MATCH(Curvas!AP$2, 'Fluxos de Recebimento'!$I$63:$BH$63, 0)),0)*INDEX($E:$E, MATCH(AP$2, $B:$B, 0))</f>
        <v>2.8735632183908051E-4</v>
      </c>
      <c r="AQ30" s="193">
        <f>IFERROR(INDEX('Fluxos de Recebimento'!$I$7:$BH$58, MATCH(Curvas!$AB30, 'Fluxos de Recebimento'!$F$7:$F$58, 0), MATCH(Curvas!AQ$2,'Fluxos de Recebimento'!$I$5:$BH$5, 0))+INDEX('Fluxos de Recebimento'!$I$65:$BH$116, MATCH(Curvas!$AB30, 'Fluxos de Recebimento'!$F$65:$F$116, 0), MATCH(Curvas!AQ$2, 'Fluxos de Recebimento'!$I$63:$BH$63, 0)),0)*INDEX($E:$E, MATCH(AQ$2, $B:$B, 0))</f>
        <v>3.0651340996168587E-4</v>
      </c>
      <c r="AR30" s="193">
        <f>IFERROR(INDEX('Fluxos de Recebimento'!$I$7:$BH$58, MATCH(Curvas!$AB30, 'Fluxos de Recebimento'!$F$7:$F$58, 0), MATCH(Curvas!AR$2,'Fluxos de Recebimento'!$I$5:$BH$5, 0))+INDEX('Fluxos de Recebimento'!$I$65:$BH$116, MATCH(Curvas!$AB30, 'Fluxos de Recebimento'!$F$65:$F$116, 0), MATCH(Curvas!AR$2, 'Fluxos de Recebimento'!$I$63:$BH$63, 0)),0)*INDEX($E:$E, MATCH(AR$2, $B:$B, 0))</f>
        <v>3.2840722495894916E-4</v>
      </c>
      <c r="AS30" s="193">
        <f>IFERROR(INDEX('Fluxos de Recebimento'!$I$7:$BH$58, MATCH(Curvas!$AB30, 'Fluxos de Recebimento'!$F$7:$F$58, 0), MATCH(Curvas!AS$2,'Fluxos de Recebimento'!$I$5:$BH$5, 0))+INDEX('Fluxos de Recebimento'!$I$65:$BH$116, MATCH(Curvas!$AB30, 'Fluxos de Recebimento'!$F$65:$F$116, 0), MATCH(Curvas!AS$2, 'Fluxos de Recebimento'!$I$63:$BH$63, 0)),0)*INDEX($E:$E, MATCH(AS$2, $B:$B, 0))</f>
        <v>3.5366931918656062E-4</v>
      </c>
      <c r="AT30" s="193">
        <f>IFERROR(INDEX('Fluxos de Recebimento'!$I$7:$BH$58, MATCH(Curvas!$AB30, 'Fluxos de Recebimento'!$F$7:$F$58, 0), MATCH(Curvas!AT$2,'Fluxos de Recebimento'!$I$5:$BH$5, 0))+INDEX('Fluxos de Recebimento'!$I$65:$BH$116, MATCH(Curvas!$AB30, 'Fluxos de Recebimento'!$F$65:$F$116, 0), MATCH(Curvas!AT$2, 'Fluxos de Recebimento'!$I$63:$BH$63, 0)),0)*INDEX($E:$E, MATCH(AT$2, $B:$B, 0))</f>
        <v>3.8314176245210735E-4</v>
      </c>
      <c r="AU30" s="193">
        <f>IFERROR(INDEX('Fluxos de Recebimento'!$I$7:$BH$58, MATCH(Curvas!$AB30, 'Fluxos de Recebimento'!$F$7:$F$58, 0), MATCH(Curvas!AU$2,'Fluxos de Recebimento'!$I$5:$BH$5, 0))+INDEX('Fluxos de Recebimento'!$I$65:$BH$116, MATCH(Curvas!$AB30, 'Fluxos de Recebimento'!$F$65:$F$116, 0), MATCH(Curvas!AU$2, 'Fluxos de Recebimento'!$I$63:$BH$63, 0)),0)*INDEX($E:$E, MATCH(AU$2, $B:$B, 0))</f>
        <v>4.1797283176593533E-4</v>
      </c>
      <c r="AV30" s="193">
        <f>IFERROR(INDEX('Fluxos de Recebimento'!$I$7:$BH$58, MATCH(Curvas!$AB30, 'Fluxos de Recebimento'!$F$7:$F$58, 0), MATCH(Curvas!AV$2,'Fluxos de Recebimento'!$I$5:$BH$5, 0))+INDEX('Fluxos de Recebimento'!$I$65:$BH$116, MATCH(Curvas!$AB30, 'Fluxos de Recebimento'!$F$65:$F$116, 0), MATCH(Curvas!AV$2, 'Fluxos de Recebimento'!$I$63:$BH$63, 0)),0)*INDEX($E:$E, MATCH(AV$2, $B:$B, 0))</f>
        <v>4.5977011494252883E-4</v>
      </c>
      <c r="AW30" s="193">
        <f>IFERROR(INDEX('Fluxos de Recebimento'!$I$7:$BH$58, MATCH(Curvas!$AB30, 'Fluxos de Recebimento'!$F$7:$F$58, 0), MATCH(Curvas!AW$2,'Fluxos de Recebimento'!$I$5:$BH$5, 0))+INDEX('Fluxos de Recebimento'!$I$65:$BH$116, MATCH(Curvas!$AB30, 'Fluxos de Recebimento'!$F$65:$F$116, 0), MATCH(Curvas!AW$2, 'Fluxos de Recebimento'!$I$63:$BH$63, 0)),0)*INDEX($E:$E, MATCH(AW$2, $B:$B, 0))</f>
        <v>5.1085568326947643E-4</v>
      </c>
      <c r="AX30" s="193">
        <f>IFERROR(INDEX('Fluxos de Recebimento'!$I$7:$BH$58, MATCH(Curvas!$AB30, 'Fluxos de Recebimento'!$F$7:$F$58, 0), MATCH(Curvas!AX$2,'Fluxos de Recebimento'!$I$5:$BH$5, 0))+INDEX('Fluxos de Recebimento'!$I$65:$BH$116, MATCH(Curvas!$AB30, 'Fluxos de Recebimento'!$F$65:$F$116, 0), MATCH(Curvas!AX$2, 'Fluxos de Recebimento'!$I$63:$BH$63, 0)),0)*INDEX($E:$E, MATCH(AX$2, $B:$B, 0))</f>
        <v>5.7471264367816102E-4</v>
      </c>
      <c r="AY30" s="193">
        <f>IFERROR(INDEX('Fluxos de Recebimento'!$I$7:$BH$58, MATCH(Curvas!$AB30, 'Fluxos de Recebimento'!$F$7:$F$58, 0), MATCH(Curvas!AY$2,'Fluxos de Recebimento'!$I$5:$BH$5, 0))+INDEX('Fluxos de Recebimento'!$I$65:$BH$116, MATCH(Curvas!$AB30, 'Fluxos de Recebimento'!$F$65:$F$116, 0), MATCH(Curvas!AY$2, 'Fluxos de Recebimento'!$I$63:$BH$63, 0)),0)*INDEX($E:$E, MATCH(AY$2, $B:$B, 0))</f>
        <v>6.5681444991789832E-4</v>
      </c>
      <c r="AZ30" s="193">
        <f>IFERROR(INDEX('Fluxos de Recebimento'!$I$7:$BH$58, MATCH(Curvas!$AB30, 'Fluxos de Recebimento'!$F$7:$F$58, 0), MATCH(Curvas!AZ$2,'Fluxos de Recebimento'!$I$5:$BH$5, 0))+INDEX('Fluxos de Recebimento'!$I$65:$BH$116, MATCH(Curvas!$AB30, 'Fluxos de Recebimento'!$F$65:$F$116, 0), MATCH(Curvas!AZ$2, 'Fluxos de Recebimento'!$I$63:$BH$63, 0)),0)*INDEX($E:$E, MATCH(AZ$2, $B:$B, 0))</f>
        <v>7.6628352490421469E-4</v>
      </c>
      <c r="BA30" s="193">
        <f>IFERROR(INDEX('Fluxos de Recebimento'!$I$7:$BH$58, MATCH(Curvas!$AB30, 'Fluxos de Recebimento'!$F$7:$F$58, 0), MATCH(Curvas!BA$2,'Fluxos de Recebimento'!$I$5:$BH$5, 0))+INDEX('Fluxos de Recebimento'!$I$65:$BH$116, MATCH(Curvas!$AB30, 'Fluxos de Recebimento'!$F$65:$F$116, 0), MATCH(Curvas!BA$2, 'Fluxos de Recebimento'!$I$63:$BH$63, 0)),0)*INDEX($E:$E, MATCH(BA$2, $B:$B, 0))</f>
        <v>9.1954022988505765E-4</v>
      </c>
      <c r="BB30" s="193">
        <f>IFERROR(INDEX('Fluxos de Recebimento'!$I$7:$BH$58, MATCH(Curvas!$AB30, 'Fluxos de Recebimento'!$F$7:$F$58, 0), MATCH(Curvas!BB$2,'Fluxos de Recebimento'!$I$5:$BH$5, 0))+INDEX('Fluxos de Recebimento'!$I$65:$BH$116, MATCH(Curvas!$AB30, 'Fluxos de Recebimento'!$F$65:$F$116, 0), MATCH(Curvas!BB$2, 'Fluxos de Recebimento'!$I$63:$BH$63, 0)),0)*INDEX($E:$E, MATCH(BB$2, $B:$B, 0))</f>
        <v>1.149425287356322E-3</v>
      </c>
      <c r="BC30" s="193">
        <f>IFERROR(INDEX('Fluxos de Recebimento'!$I$7:$BH$58, MATCH(Curvas!$AB30, 'Fluxos de Recebimento'!$F$7:$F$58, 0), MATCH(Curvas!BC$2,'Fluxos de Recebimento'!$I$5:$BH$5, 0))+INDEX('Fluxos de Recebimento'!$I$65:$BH$116, MATCH(Curvas!$AB30, 'Fluxos de Recebimento'!$F$65:$F$116, 0), MATCH(Curvas!BC$2, 'Fluxos de Recebimento'!$I$63:$BH$63, 0)),0)*INDEX($E:$E, MATCH(BC$2, $B:$B, 0))</f>
        <v>1.5325670498084294E-3</v>
      </c>
      <c r="BD30" s="193">
        <f>IFERROR(INDEX('Fluxos de Recebimento'!$I$7:$BH$58, MATCH(Curvas!$AB30, 'Fluxos de Recebimento'!$F$7:$F$58, 0), MATCH(Curvas!BD$2,'Fluxos de Recebimento'!$I$5:$BH$5, 0))+INDEX('Fluxos de Recebimento'!$I$65:$BH$116, MATCH(Curvas!$AB30, 'Fluxos de Recebimento'!$F$65:$F$116, 0), MATCH(Curvas!BD$2, 'Fluxos de Recebimento'!$I$63:$BH$63, 0)),0)*INDEX($E:$E, MATCH(BD$2, $B:$B, 0))</f>
        <v>1.149425287356322E-3</v>
      </c>
      <c r="BE30" s="193">
        <f>IFERROR(INDEX('Fluxos de Recebimento'!$I$7:$BH$58, MATCH(Curvas!$AB30, 'Fluxos de Recebimento'!$F$7:$F$58, 0), MATCH(Curvas!BE$2,'Fluxos de Recebimento'!$I$5:$BH$5, 0))+INDEX('Fluxos de Recebimento'!$I$65:$BH$116, MATCH(Curvas!$AB30, 'Fluxos de Recebimento'!$F$65:$F$116, 0), MATCH(Curvas!BE$2, 'Fluxos de Recebimento'!$I$63:$BH$63, 0)),0)*INDEX($E:$E, MATCH(BE$2, $B:$B, 0))</f>
        <v>0</v>
      </c>
      <c r="BF30" s="193">
        <f>IFERROR(INDEX('Fluxos de Recebimento'!$I$7:$BH$58, MATCH(Curvas!$AB30, 'Fluxos de Recebimento'!$F$7:$F$58, 0), MATCH(Curvas!BF$2,'Fluxos de Recebimento'!$I$5:$BH$5, 0))+INDEX('Fluxos de Recebimento'!$I$65:$BH$116, MATCH(Curvas!$AB30, 'Fluxos de Recebimento'!$F$65:$F$116, 0), MATCH(Curvas!BF$2, 'Fluxos de Recebimento'!$I$63:$BH$63, 0)),0)*INDEX($E:$E, MATCH(BF$2, $B:$B, 0))</f>
        <v>0</v>
      </c>
      <c r="BG30" s="193">
        <f>IFERROR(INDEX('Fluxos de Recebimento'!$I$7:$BH$58, MATCH(Curvas!$AB30, 'Fluxos de Recebimento'!$F$7:$F$58, 0), MATCH(Curvas!BG$2,'Fluxos de Recebimento'!$I$5:$BH$5, 0))+INDEX('Fluxos de Recebimento'!$I$65:$BH$116, MATCH(Curvas!$AB30, 'Fluxos de Recebimento'!$F$65:$F$116, 0), MATCH(Curvas!BG$2, 'Fluxos de Recebimento'!$I$63:$BH$63, 0)),0)*INDEX($E:$E, MATCH(BG$2, $B:$B, 0))</f>
        <v>0</v>
      </c>
      <c r="BH30" s="193">
        <f>IFERROR(INDEX('Fluxos de Recebimento'!$I$7:$BH$58, MATCH(Curvas!$AB30, 'Fluxos de Recebimento'!$F$7:$F$58, 0), MATCH(Curvas!BH$2,'Fluxos de Recebimento'!$I$5:$BH$5, 0))+INDEX('Fluxos de Recebimento'!$I$65:$BH$116, MATCH(Curvas!$AB30, 'Fluxos de Recebimento'!$F$65:$F$116, 0), MATCH(Curvas!BH$2, 'Fluxos de Recebimento'!$I$63:$BH$63, 0)),0)*INDEX($E:$E, MATCH(BH$2, $B:$B, 0))</f>
        <v>0</v>
      </c>
      <c r="BI30" s="193">
        <f>IFERROR(INDEX('Fluxos de Recebimento'!$I$7:$BH$58, MATCH(Curvas!$AB30, 'Fluxos de Recebimento'!$F$7:$F$58, 0), MATCH(Curvas!BI$2,'Fluxos de Recebimento'!$I$5:$BH$5, 0))+INDEX('Fluxos de Recebimento'!$I$65:$BH$116, MATCH(Curvas!$AB30, 'Fluxos de Recebimento'!$F$65:$F$116, 0), MATCH(Curvas!BI$2, 'Fluxos de Recebimento'!$I$63:$BH$63, 0)),0)*INDEX($E:$E, MATCH(BI$2, $B:$B, 0))</f>
        <v>0</v>
      </c>
      <c r="BJ30" s="193">
        <f>IFERROR(INDEX('Fluxos de Recebimento'!$I$7:$BH$58, MATCH(Curvas!$AB30, 'Fluxos de Recebimento'!$F$7:$F$58, 0), MATCH(Curvas!BJ$2,'Fluxos de Recebimento'!$I$5:$BH$5, 0))+INDEX('Fluxos de Recebimento'!$I$65:$BH$116, MATCH(Curvas!$AB30, 'Fluxos de Recebimento'!$F$65:$F$116, 0), MATCH(Curvas!BJ$2, 'Fluxos de Recebimento'!$I$63:$BH$63, 0)),0)*INDEX($E:$E, MATCH(BJ$2, $B:$B, 0))</f>
        <v>0</v>
      </c>
      <c r="BK30" s="193">
        <f>IFERROR(INDEX('Fluxos de Recebimento'!$I$7:$BH$58, MATCH(Curvas!$AB30, 'Fluxos de Recebimento'!$F$7:$F$58, 0), MATCH(Curvas!BK$2,'Fluxos de Recebimento'!$I$5:$BH$5, 0))+INDEX('Fluxos de Recebimento'!$I$65:$BH$116, MATCH(Curvas!$AB30, 'Fluxos de Recebimento'!$F$65:$F$116, 0), MATCH(Curvas!BK$2, 'Fluxos de Recebimento'!$I$63:$BH$63, 0)),0)*INDEX($E:$E, MATCH(BK$2, $B:$B, 0))</f>
        <v>0</v>
      </c>
      <c r="BL30" s="193">
        <f>IFERROR(INDEX('Fluxos de Recebimento'!$I$7:$BH$58, MATCH(Curvas!$AB30, 'Fluxos de Recebimento'!$F$7:$F$58, 0), MATCH(Curvas!BL$2,'Fluxos de Recebimento'!$I$5:$BH$5, 0))+INDEX('Fluxos de Recebimento'!$I$65:$BH$116, MATCH(Curvas!$AB30, 'Fluxos de Recebimento'!$F$65:$F$116, 0), MATCH(Curvas!BL$2, 'Fluxos de Recebimento'!$I$63:$BH$63, 0)),0)*INDEX($E:$E, MATCH(BL$2, $B:$B, 0))</f>
        <v>0</v>
      </c>
      <c r="BM30" s="193">
        <f>IFERROR(INDEX('Fluxos de Recebimento'!$I$7:$BH$58, MATCH(Curvas!$AB30, 'Fluxos de Recebimento'!$F$7:$F$58, 0), MATCH(Curvas!BM$2,'Fluxos de Recebimento'!$I$5:$BH$5, 0))+INDEX('Fluxos de Recebimento'!$I$65:$BH$116, MATCH(Curvas!$AB30, 'Fluxos de Recebimento'!$F$65:$F$116, 0), MATCH(Curvas!BM$2, 'Fluxos de Recebimento'!$I$63:$BH$63, 0)),0)*INDEX($E:$E, MATCH(BM$2, $B:$B, 0))</f>
        <v>0</v>
      </c>
      <c r="BN30" s="193">
        <f>IFERROR(INDEX('Fluxos de Recebimento'!$I$7:$BH$58, MATCH(Curvas!$AB30, 'Fluxos de Recebimento'!$F$7:$F$58, 0), MATCH(Curvas!BN$2,'Fluxos de Recebimento'!$I$5:$BH$5, 0))+INDEX('Fluxos de Recebimento'!$I$65:$BH$116, MATCH(Curvas!$AB30, 'Fluxos de Recebimento'!$F$65:$F$116, 0), MATCH(Curvas!BN$2, 'Fluxos de Recebimento'!$I$63:$BH$63, 0)),0)*INDEX($E:$E, MATCH(BN$2, $B:$B, 0))</f>
        <v>0</v>
      </c>
      <c r="BO30" s="193">
        <f>IFERROR(INDEX('Fluxos de Recebimento'!$I$7:$BH$58, MATCH(Curvas!$AB30, 'Fluxos de Recebimento'!$F$7:$F$58, 0), MATCH(Curvas!BO$2,'Fluxos de Recebimento'!$I$5:$BH$5, 0))+INDEX('Fluxos de Recebimento'!$I$65:$BH$116, MATCH(Curvas!$AB30, 'Fluxos de Recebimento'!$F$65:$F$116, 0), MATCH(Curvas!BO$2, 'Fluxos de Recebimento'!$I$63:$BH$63, 0)),0)*INDEX($E:$E, MATCH(BO$2, $B:$B, 0))</f>
        <v>0</v>
      </c>
      <c r="BP30" s="193">
        <f>IFERROR(INDEX('Fluxos de Recebimento'!$I$7:$BH$58, MATCH(Curvas!$AB30, 'Fluxos de Recebimento'!$F$7:$F$58, 0), MATCH(Curvas!BP$2,'Fluxos de Recebimento'!$I$5:$BH$5, 0))+INDEX('Fluxos de Recebimento'!$I$65:$BH$116, MATCH(Curvas!$AB30, 'Fluxos de Recebimento'!$F$65:$F$116, 0), MATCH(Curvas!BP$2, 'Fluxos de Recebimento'!$I$63:$BH$63, 0)),0)*INDEX($E:$E, MATCH(BP$2, $B:$B, 0))</f>
        <v>0</v>
      </c>
      <c r="BQ30" s="193">
        <f>IFERROR(INDEX('Fluxos de Recebimento'!$I$7:$BH$58, MATCH(Curvas!$AB30, 'Fluxos de Recebimento'!$F$7:$F$58, 0), MATCH(Curvas!BQ$2,'Fluxos de Recebimento'!$I$5:$BH$5, 0))+INDEX('Fluxos de Recebimento'!$I$65:$BH$116, MATCH(Curvas!$AB30, 'Fluxos de Recebimento'!$F$65:$F$116, 0), MATCH(Curvas!BQ$2, 'Fluxos de Recebimento'!$I$63:$BH$63, 0)),0)*INDEX($E:$E, MATCH(BQ$2, $B:$B, 0))</f>
        <v>0</v>
      </c>
      <c r="BR30" s="193">
        <f>IFERROR(INDEX('Fluxos de Recebimento'!$I$7:$BH$58, MATCH(Curvas!$AB30, 'Fluxos de Recebimento'!$F$7:$F$58, 0), MATCH(Curvas!BR$2,'Fluxos de Recebimento'!$I$5:$BH$5, 0))+INDEX('Fluxos de Recebimento'!$I$65:$BH$116, MATCH(Curvas!$AB30, 'Fluxos de Recebimento'!$F$65:$F$116, 0), MATCH(Curvas!BR$2, 'Fluxos de Recebimento'!$I$63:$BH$63, 0)),0)*INDEX($E:$E, MATCH(BR$2, $B:$B, 0))</f>
        <v>0</v>
      </c>
      <c r="BS30" s="193">
        <f>IFERROR(INDEX('Fluxos de Recebimento'!$I$7:$BH$58, MATCH(Curvas!$AB30, 'Fluxos de Recebimento'!$F$7:$F$58, 0), MATCH(Curvas!BS$2,'Fluxos de Recebimento'!$I$5:$BH$5, 0))+INDEX('Fluxos de Recebimento'!$I$65:$BH$116, MATCH(Curvas!$AB30, 'Fluxos de Recebimento'!$F$65:$F$116, 0), MATCH(Curvas!BS$2, 'Fluxos de Recebimento'!$I$63:$BH$63, 0)),0)*INDEX($E:$E, MATCH(BS$2, $B:$B, 0))</f>
        <v>0</v>
      </c>
      <c r="BT30" s="193">
        <f>IFERROR(INDEX('Fluxos de Recebimento'!$I$7:$BH$58, MATCH(Curvas!$AB30, 'Fluxos de Recebimento'!$F$7:$F$58, 0), MATCH(Curvas!BT$2,'Fluxos de Recebimento'!$I$5:$BH$5, 0))+INDEX('Fluxos de Recebimento'!$I$65:$BH$116, MATCH(Curvas!$AB30, 'Fluxos de Recebimento'!$F$65:$F$116, 0), MATCH(Curvas!BT$2, 'Fluxos de Recebimento'!$I$63:$BH$63, 0)),0)*INDEX($E:$E, MATCH(BT$2, $B:$B, 0))</f>
        <v>0</v>
      </c>
      <c r="BU30" s="193">
        <f>IFERROR(INDEX('Fluxos de Recebimento'!$I$7:$BH$58, MATCH(Curvas!$AB30, 'Fluxos de Recebimento'!$F$7:$F$58, 0), MATCH(Curvas!BU$2,'Fluxos de Recebimento'!$I$5:$BH$5, 0))+INDEX('Fluxos de Recebimento'!$I$65:$BH$116, MATCH(Curvas!$AB30, 'Fluxos de Recebimento'!$F$65:$F$116, 0), MATCH(Curvas!BU$2, 'Fluxos de Recebimento'!$I$63:$BH$63, 0)),0)*INDEX($E:$E, MATCH(BU$2, $B:$B, 0))</f>
        <v>0</v>
      </c>
      <c r="BV30" s="193">
        <f>IFERROR(INDEX('Fluxos de Recebimento'!$I$7:$BH$58, MATCH(Curvas!$AB30, 'Fluxos de Recebimento'!$F$7:$F$58, 0), MATCH(Curvas!BV$2,'Fluxos de Recebimento'!$I$5:$BH$5, 0))+INDEX('Fluxos de Recebimento'!$I$65:$BH$116, MATCH(Curvas!$AB30, 'Fluxos de Recebimento'!$F$65:$F$116, 0), MATCH(Curvas!BV$2, 'Fluxos de Recebimento'!$I$63:$BH$63, 0)),0)*INDEX($E:$E, MATCH(BV$2, $B:$B, 0))</f>
        <v>0</v>
      </c>
      <c r="BW30" s="193">
        <f>IFERROR(INDEX('Fluxos de Recebimento'!$I$7:$BH$58, MATCH(Curvas!$AB30, 'Fluxos de Recebimento'!$F$7:$F$58, 0), MATCH(Curvas!BW$2,'Fluxos de Recebimento'!$I$5:$BH$5, 0))+INDEX('Fluxos de Recebimento'!$I$65:$BH$116, MATCH(Curvas!$AB30, 'Fluxos de Recebimento'!$F$65:$F$116, 0), MATCH(Curvas!BW$2, 'Fluxos de Recebimento'!$I$63:$BH$63, 0)),0)*INDEX($E:$E, MATCH(BW$2, $B:$B, 0))</f>
        <v>0</v>
      </c>
      <c r="BX30" s="193">
        <f>IFERROR(INDEX('Fluxos de Recebimento'!$I$7:$BH$58, MATCH(Curvas!$AB30, 'Fluxos de Recebimento'!$F$7:$F$58, 0), MATCH(Curvas!BX$2,'Fluxos de Recebimento'!$I$5:$BH$5, 0))+INDEX('Fluxos de Recebimento'!$I$65:$BH$116, MATCH(Curvas!$AB30, 'Fluxos de Recebimento'!$F$65:$F$116, 0), MATCH(Curvas!BX$2, 'Fluxos de Recebimento'!$I$63:$BH$63, 0)),0)*INDEX($E:$E, MATCH(BX$2, $B:$B, 0))</f>
        <v>0</v>
      </c>
      <c r="BY30" s="193">
        <f>IFERROR(INDEX('Fluxos de Recebimento'!$I$7:$BH$58, MATCH(Curvas!$AB30, 'Fluxos de Recebimento'!$F$7:$F$58, 0), MATCH(Curvas!BY$2,'Fluxos de Recebimento'!$I$5:$BH$5, 0))+INDEX('Fluxos de Recebimento'!$I$65:$BH$116, MATCH(Curvas!$AB30, 'Fluxos de Recebimento'!$F$65:$F$116, 0), MATCH(Curvas!BY$2, 'Fluxos de Recebimento'!$I$63:$BH$63, 0)),0)*INDEX($E:$E, MATCH(BY$2, $B:$B, 0))</f>
        <v>0</v>
      </c>
      <c r="BZ30" s="193">
        <f>IFERROR(INDEX('Fluxos de Recebimento'!$I$7:$BH$58, MATCH(Curvas!$AB30, 'Fluxos de Recebimento'!$F$7:$F$58, 0), MATCH(Curvas!BZ$2,'Fluxos de Recebimento'!$I$5:$BH$5, 0))+INDEX('Fluxos de Recebimento'!$I$65:$BH$116, MATCH(Curvas!$AB30, 'Fluxos de Recebimento'!$F$65:$F$116, 0), MATCH(Curvas!BZ$2, 'Fluxos de Recebimento'!$I$63:$BH$63, 0)),0)*INDEX($E:$E, MATCH(BZ$2, $B:$B, 0))</f>
        <v>0</v>
      </c>
      <c r="CA30" s="193">
        <f>IFERROR(INDEX('Fluxos de Recebimento'!$I$7:$BH$58, MATCH(Curvas!$AB30, 'Fluxos de Recebimento'!$F$7:$F$58, 0), MATCH(Curvas!CA$2,'Fluxos de Recebimento'!$I$5:$BH$5, 0))+INDEX('Fluxos de Recebimento'!$I$65:$BH$116, MATCH(Curvas!$AB30, 'Fluxos de Recebimento'!$F$65:$F$116, 0), MATCH(Curvas!CA$2, 'Fluxos de Recebimento'!$I$63:$BH$63, 0)),0)*INDEX($E:$E, MATCH(CA$2, $B:$B, 0))</f>
        <v>0</v>
      </c>
      <c r="CB30" s="193">
        <f>IFERROR(INDEX('Fluxos de Recebimento'!$I$7:$BH$58, MATCH(Curvas!$AB30, 'Fluxos de Recebimento'!$F$7:$F$58, 0), MATCH(Curvas!CB$2,'Fluxos de Recebimento'!$I$5:$BH$5, 0))+INDEX('Fluxos de Recebimento'!$I$65:$BH$116, MATCH(Curvas!$AB30, 'Fluxos de Recebimento'!$F$65:$F$116, 0), MATCH(Curvas!CB$2, 'Fluxos de Recebimento'!$I$63:$BH$63, 0)),0)*INDEX($E:$E, MATCH(CB$2, $B:$B, 0))</f>
        <v>0</v>
      </c>
      <c r="CC30" s="193">
        <f>IFERROR(INDEX('Fluxos de Recebimento'!$I$7:$BH$58, MATCH(Curvas!$AB30, 'Fluxos de Recebimento'!$F$7:$F$58, 0), MATCH(Curvas!CC$2,'Fluxos de Recebimento'!$I$5:$BH$5, 0))+INDEX('Fluxos de Recebimento'!$I$65:$BH$116, MATCH(Curvas!$AB30, 'Fluxos de Recebimento'!$F$65:$F$116, 0), MATCH(Curvas!CC$2, 'Fluxos de Recebimento'!$I$63:$BH$63, 0)),0)*INDEX($E:$E, MATCH(CC$2, $B:$B, 0))</f>
        <v>0</v>
      </c>
    </row>
    <row r="31" spans="1:81" x14ac:dyDescent="0.25">
      <c r="A31" s="2"/>
      <c r="B31" s="477">
        <f t="shared" si="16"/>
        <v>44986</v>
      </c>
      <c r="C31" s="52">
        <f t="shared" si="17"/>
        <v>28</v>
      </c>
      <c r="D31" s="2"/>
      <c r="E31" s="187">
        <f t="shared" si="4"/>
        <v>2.298850574712644E-2</v>
      </c>
      <c r="F31" s="48">
        <f t="shared" si="18"/>
        <v>0.64367816091954033</v>
      </c>
      <c r="G31" s="46">
        <f t="shared" ca="1" si="5"/>
        <v>0</v>
      </c>
      <c r="H31" s="48">
        <f t="shared" ca="1" si="19"/>
        <v>0</v>
      </c>
      <c r="I31" s="2"/>
      <c r="J31" s="69">
        <f t="shared" si="6"/>
        <v>16</v>
      </c>
      <c r="K31" s="479">
        <f t="shared" ca="1" si="7"/>
        <v>0</v>
      </c>
      <c r="L31" s="70">
        <f t="shared" ca="1" si="8"/>
        <v>16</v>
      </c>
      <c r="M31" s="2"/>
      <c r="N31" s="69">
        <f t="shared" si="9"/>
        <v>21</v>
      </c>
      <c r="O31" s="479">
        <f t="shared" si="10"/>
        <v>0</v>
      </c>
      <c r="P31" s="70">
        <f t="shared" si="11"/>
        <v>21</v>
      </c>
      <c r="Q31" s="2"/>
      <c r="R31" s="71">
        <f t="shared" si="12"/>
        <v>37</v>
      </c>
      <c r="S31" s="196"/>
      <c r="T31" s="46">
        <v>5.5037987556035659E-2</v>
      </c>
      <c r="U31" s="48">
        <f t="shared" si="20"/>
        <v>0.83419390359744194</v>
      </c>
      <c r="V31" s="2"/>
      <c r="W31" s="56"/>
      <c r="X31" s="48"/>
      <c r="Y31" s="2"/>
      <c r="Z31" s="194">
        <f t="shared" si="13"/>
        <v>1.4607682937776405E-2</v>
      </c>
      <c r="AA31" s="2"/>
      <c r="AB31" s="477">
        <f t="shared" si="14"/>
        <v>44986</v>
      </c>
      <c r="AC31" s="52">
        <f t="shared" si="15"/>
        <v>28</v>
      </c>
      <c r="AD31" s="193">
        <f>IFERROR(INDEX('Fluxos de Recebimento'!$I$7:$BH$58, MATCH(Curvas!$AB31, 'Fluxos de Recebimento'!$F$7:$F$58, 0), MATCH(Curvas!AD$2,'Fluxos de Recebimento'!$I$5:$BH$5, 0))+INDEX('Fluxos de Recebimento'!$I$65:$BH$116, MATCH(Curvas!$AB31, 'Fluxos de Recebimento'!$F$65:$F$116, 0), MATCH(Curvas!AD$2, 'Fluxos de Recebimento'!$I$63:$BH$63, 0)),0)*INDEX($E:$E, MATCH(AD$2, $B:$B, 0))</f>
        <v>1.6420361247947458E-4</v>
      </c>
      <c r="AE31" s="193">
        <f>IFERROR(INDEX('Fluxos de Recebimento'!$I$7:$BH$58, MATCH(Curvas!$AB31, 'Fluxos de Recebimento'!$F$7:$F$58, 0), MATCH(Curvas!AE$2,'Fluxos de Recebimento'!$I$5:$BH$5, 0))+INDEX('Fluxos de Recebimento'!$I$65:$BH$116, MATCH(Curvas!$AB31, 'Fluxos de Recebimento'!$F$65:$F$116, 0), MATCH(Curvas!AE$2, 'Fluxos de Recebimento'!$I$63:$BH$63, 0)),0)*INDEX($E:$E, MATCH(AE$2, $B:$B, 0))</f>
        <v>1.7028522775649216E-4</v>
      </c>
      <c r="AF31" s="193">
        <f>IFERROR(INDEX('Fluxos de Recebimento'!$I$7:$BH$58, MATCH(Curvas!$AB31, 'Fluxos de Recebimento'!$F$7:$F$58, 0), MATCH(Curvas!AF$2,'Fluxos de Recebimento'!$I$5:$BH$5, 0))+INDEX('Fluxos de Recebimento'!$I$65:$BH$116, MATCH(Curvas!$AB31, 'Fluxos de Recebimento'!$F$65:$F$116, 0), MATCH(Curvas!AF$2, 'Fluxos de Recebimento'!$I$63:$BH$63, 0)),0)*INDEX($E:$E, MATCH(AF$2, $B:$B, 0))</f>
        <v>1.7683465959328031E-4</v>
      </c>
      <c r="AG31" s="193">
        <f>IFERROR(INDEX('Fluxos de Recebimento'!$I$7:$BH$58, MATCH(Curvas!$AB31, 'Fluxos de Recebimento'!$F$7:$F$58, 0), MATCH(Curvas!AG$2,'Fluxos de Recebimento'!$I$5:$BH$5, 0))+INDEX('Fluxos de Recebimento'!$I$65:$BH$116, MATCH(Curvas!$AB31, 'Fluxos de Recebimento'!$F$65:$F$116, 0), MATCH(Curvas!AG$2, 'Fluxos de Recebimento'!$I$63:$BH$63, 0)),0)*INDEX($E:$E, MATCH(AG$2, $B:$B, 0))</f>
        <v>1.8390804597701152E-4</v>
      </c>
      <c r="AH31" s="193">
        <f>IFERROR(INDEX('Fluxos de Recebimento'!$I$7:$BH$58, MATCH(Curvas!$AB31, 'Fluxos de Recebimento'!$F$7:$F$58, 0), MATCH(Curvas!AH$2,'Fluxos de Recebimento'!$I$5:$BH$5, 0))+INDEX('Fluxos de Recebimento'!$I$65:$BH$116, MATCH(Curvas!$AB31, 'Fluxos de Recebimento'!$F$65:$F$116, 0), MATCH(Curvas!AH$2, 'Fluxos de Recebimento'!$I$63:$BH$63, 0)),0)*INDEX($E:$E, MATCH(AH$2, $B:$B, 0))</f>
        <v>1.9157088122605367E-4</v>
      </c>
      <c r="AI31" s="193">
        <f>IFERROR(INDEX('Fluxos de Recebimento'!$I$7:$BH$58, MATCH(Curvas!$AB31, 'Fluxos de Recebimento'!$F$7:$F$58, 0), MATCH(Curvas!AI$2,'Fluxos de Recebimento'!$I$5:$BH$5, 0))+INDEX('Fluxos de Recebimento'!$I$65:$BH$116, MATCH(Curvas!$AB31, 'Fluxos de Recebimento'!$F$65:$F$116, 0), MATCH(Curvas!AI$2, 'Fluxos de Recebimento'!$I$63:$BH$63, 0)),0)*INDEX($E:$E, MATCH(AI$2, $B:$B, 0))</f>
        <v>1.9990004997501253E-4</v>
      </c>
      <c r="AJ31" s="193">
        <f>IFERROR(INDEX('Fluxos de Recebimento'!$I$7:$BH$58, MATCH(Curvas!$AB31, 'Fluxos de Recebimento'!$F$7:$F$58, 0), MATCH(Curvas!AJ$2,'Fluxos de Recebimento'!$I$5:$BH$5, 0))+INDEX('Fluxos de Recebimento'!$I$65:$BH$116, MATCH(Curvas!$AB31, 'Fluxos de Recebimento'!$F$65:$F$116, 0), MATCH(Curvas!AJ$2, 'Fluxos de Recebimento'!$I$63:$BH$63, 0)),0)*INDEX($E:$E, MATCH(AJ$2, $B:$B, 0))</f>
        <v>2.0898641588296767E-4</v>
      </c>
      <c r="AK31" s="193">
        <f>IFERROR(INDEX('Fluxos de Recebimento'!$I$7:$BH$58, MATCH(Curvas!$AB31, 'Fluxos de Recebimento'!$F$7:$F$58, 0), MATCH(Curvas!AK$2,'Fluxos de Recebimento'!$I$5:$BH$5, 0))+INDEX('Fluxos de Recebimento'!$I$65:$BH$116, MATCH(Curvas!$AB31, 'Fluxos de Recebimento'!$F$65:$F$116, 0), MATCH(Curvas!AK$2, 'Fluxos de Recebimento'!$I$63:$BH$63, 0)),0)*INDEX($E:$E, MATCH(AK$2, $B:$B, 0))</f>
        <v>2.1893814997263279E-4</v>
      </c>
      <c r="AL31" s="193">
        <f>IFERROR(INDEX('Fluxos de Recebimento'!$I$7:$BH$58, MATCH(Curvas!$AB31, 'Fluxos de Recebimento'!$F$7:$F$58, 0), MATCH(Curvas!AL$2,'Fluxos de Recebimento'!$I$5:$BH$5, 0))+INDEX('Fluxos de Recebimento'!$I$65:$BH$116, MATCH(Curvas!$AB31, 'Fluxos de Recebimento'!$F$65:$F$116, 0), MATCH(Curvas!AL$2, 'Fluxos de Recebimento'!$I$63:$BH$63, 0)),0)*INDEX($E:$E, MATCH(AL$2, $B:$B, 0))</f>
        <v>2.2988505747126441E-4</v>
      </c>
      <c r="AM31" s="193">
        <f>IFERROR(INDEX('Fluxos de Recebimento'!$I$7:$BH$58, MATCH(Curvas!$AB31, 'Fluxos de Recebimento'!$F$7:$F$58, 0), MATCH(Curvas!AM$2,'Fluxos de Recebimento'!$I$5:$BH$5, 0))+INDEX('Fluxos de Recebimento'!$I$65:$BH$116, MATCH(Curvas!$AB31, 'Fluxos de Recebimento'!$F$65:$F$116, 0), MATCH(Curvas!AM$2, 'Fluxos de Recebimento'!$I$63:$BH$63, 0)),0)*INDEX($E:$E, MATCH(AM$2, $B:$B, 0))</f>
        <v>2.4198427102238356E-4</v>
      </c>
      <c r="AN31" s="193">
        <f>IFERROR(INDEX('Fluxos de Recebimento'!$I$7:$BH$58, MATCH(Curvas!$AB31, 'Fluxos de Recebimento'!$F$7:$F$58, 0), MATCH(Curvas!AN$2,'Fluxos de Recebimento'!$I$5:$BH$5, 0))+INDEX('Fluxos de Recebimento'!$I$65:$BH$116, MATCH(Curvas!$AB31, 'Fluxos de Recebimento'!$F$65:$F$116, 0), MATCH(Curvas!AN$2, 'Fluxos de Recebimento'!$I$63:$BH$63, 0)),0)*INDEX($E:$E, MATCH(AN$2, $B:$B, 0))</f>
        <v>2.5542784163473821E-4</v>
      </c>
      <c r="AO31" s="193">
        <f>IFERROR(INDEX('Fluxos de Recebimento'!$I$7:$BH$58, MATCH(Curvas!$AB31, 'Fluxos de Recebimento'!$F$7:$F$58, 0), MATCH(Curvas!AO$2,'Fluxos de Recebimento'!$I$5:$BH$5, 0))+INDEX('Fluxos de Recebimento'!$I$65:$BH$116, MATCH(Curvas!$AB31, 'Fluxos de Recebimento'!$F$65:$F$116, 0), MATCH(Curvas!AO$2, 'Fluxos de Recebimento'!$I$63:$BH$63, 0)),0)*INDEX($E:$E, MATCH(AO$2, $B:$B, 0))</f>
        <v>2.7045300878972284E-4</v>
      </c>
      <c r="AP31" s="193">
        <f>IFERROR(INDEX('Fluxos de Recebimento'!$I$7:$BH$58, MATCH(Curvas!$AB31, 'Fluxos de Recebimento'!$F$7:$F$58, 0), MATCH(Curvas!AP$2,'Fluxos de Recebimento'!$I$5:$BH$5, 0))+INDEX('Fluxos de Recebimento'!$I$65:$BH$116, MATCH(Curvas!$AB31, 'Fluxos de Recebimento'!$F$65:$F$116, 0), MATCH(Curvas!AP$2, 'Fluxos de Recebimento'!$I$63:$BH$63, 0)),0)*INDEX($E:$E, MATCH(AP$2, $B:$B, 0))</f>
        <v>2.8735632183908051E-4</v>
      </c>
      <c r="AQ31" s="193">
        <f>IFERROR(INDEX('Fluxos de Recebimento'!$I$7:$BH$58, MATCH(Curvas!$AB31, 'Fluxos de Recebimento'!$F$7:$F$58, 0), MATCH(Curvas!AQ$2,'Fluxos de Recebimento'!$I$5:$BH$5, 0))+INDEX('Fluxos de Recebimento'!$I$65:$BH$116, MATCH(Curvas!$AB31, 'Fluxos de Recebimento'!$F$65:$F$116, 0), MATCH(Curvas!AQ$2, 'Fluxos de Recebimento'!$I$63:$BH$63, 0)),0)*INDEX($E:$E, MATCH(AQ$2, $B:$B, 0))</f>
        <v>3.0651340996168587E-4</v>
      </c>
      <c r="AR31" s="193">
        <f>IFERROR(INDEX('Fluxos de Recebimento'!$I$7:$BH$58, MATCH(Curvas!$AB31, 'Fluxos de Recebimento'!$F$7:$F$58, 0), MATCH(Curvas!AR$2,'Fluxos de Recebimento'!$I$5:$BH$5, 0))+INDEX('Fluxos de Recebimento'!$I$65:$BH$116, MATCH(Curvas!$AB31, 'Fluxos de Recebimento'!$F$65:$F$116, 0), MATCH(Curvas!AR$2, 'Fluxos de Recebimento'!$I$63:$BH$63, 0)),0)*INDEX($E:$E, MATCH(AR$2, $B:$B, 0))</f>
        <v>3.2840722495894916E-4</v>
      </c>
      <c r="AS31" s="193">
        <f>IFERROR(INDEX('Fluxos de Recebimento'!$I$7:$BH$58, MATCH(Curvas!$AB31, 'Fluxos de Recebimento'!$F$7:$F$58, 0), MATCH(Curvas!AS$2,'Fluxos de Recebimento'!$I$5:$BH$5, 0))+INDEX('Fluxos de Recebimento'!$I$65:$BH$116, MATCH(Curvas!$AB31, 'Fluxos de Recebimento'!$F$65:$F$116, 0), MATCH(Curvas!AS$2, 'Fluxos de Recebimento'!$I$63:$BH$63, 0)),0)*INDEX($E:$E, MATCH(AS$2, $B:$B, 0))</f>
        <v>3.5366931918656062E-4</v>
      </c>
      <c r="AT31" s="193">
        <f>IFERROR(INDEX('Fluxos de Recebimento'!$I$7:$BH$58, MATCH(Curvas!$AB31, 'Fluxos de Recebimento'!$F$7:$F$58, 0), MATCH(Curvas!AT$2,'Fluxos de Recebimento'!$I$5:$BH$5, 0))+INDEX('Fluxos de Recebimento'!$I$65:$BH$116, MATCH(Curvas!$AB31, 'Fluxos de Recebimento'!$F$65:$F$116, 0), MATCH(Curvas!AT$2, 'Fluxos de Recebimento'!$I$63:$BH$63, 0)),0)*INDEX($E:$E, MATCH(AT$2, $B:$B, 0))</f>
        <v>3.8314176245210735E-4</v>
      </c>
      <c r="AU31" s="193">
        <f>IFERROR(INDEX('Fluxos de Recebimento'!$I$7:$BH$58, MATCH(Curvas!$AB31, 'Fluxos de Recebimento'!$F$7:$F$58, 0), MATCH(Curvas!AU$2,'Fluxos de Recebimento'!$I$5:$BH$5, 0))+INDEX('Fluxos de Recebimento'!$I$65:$BH$116, MATCH(Curvas!$AB31, 'Fluxos de Recebimento'!$F$65:$F$116, 0), MATCH(Curvas!AU$2, 'Fluxos de Recebimento'!$I$63:$BH$63, 0)),0)*INDEX($E:$E, MATCH(AU$2, $B:$B, 0))</f>
        <v>4.1797283176593533E-4</v>
      </c>
      <c r="AV31" s="193">
        <f>IFERROR(INDEX('Fluxos de Recebimento'!$I$7:$BH$58, MATCH(Curvas!$AB31, 'Fluxos de Recebimento'!$F$7:$F$58, 0), MATCH(Curvas!AV$2,'Fluxos de Recebimento'!$I$5:$BH$5, 0))+INDEX('Fluxos de Recebimento'!$I$65:$BH$116, MATCH(Curvas!$AB31, 'Fluxos de Recebimento'!$F$65:$F$116, 0), MATCH(Curvas!AV$2, 'Fluxos de Recebimento'!$I$63:$BH$63, 0)),0)*INDEX($E:$E, MATCH(AV$2, $B:$B, 0))</f>
        <v>4.5977011494252883E-4</v>
      </c>
      <c r="AW31" s="193">
        <f>IFERROR(INDEX('Fluxos de Recebimento'!$I$7:$BH$58, MATCH(Curvas!$AB31, 'Fluxos de Recebimento'!$F$7:$F$58, 0), MATCH(Curvas!AW$2,'Fluxos de Recebimento'!$I$5:$BH$5, 0))+INDEX('Fluxos de Recebimento'!$I$65:$BH$116, MATCH(Curvas!$AB31, 'Fluxos de Recebimento'!$F$65:$F$116, 0), MATCH(Curvas!AW$2, 'Fluxos de Recebimento'!$I$63:$BH$63, 0)),0)*INDEX($E:$E, MATCH(AW$2, $B:$B, 0))</f>
        <v>5.1085568326947643E-4</v>
      </c>
      <c r="AX31" s="193">
        <f>IFERROR(INDEX('Fluxos de Recebimento'!$I$7:$BH$58, MATCH(Curvas!$AB31, 'Fluxos de Recebimento'!$F$7:$F$58, 0), MATCH(Curvas!AX$2,'Fluxos de Recebimento'!$I$5:$BH$5, 0))+INDEX('Fluxos de Recebimento'!$I$65:$BH$116, MATCH(Curvas!$AB31, 'Fluxos de Recebimento'!$F$65:$F$116, 0), MATCH(Curvas!AX$2, 'Fluxos de Recebimento'!$I$63:$BH$63, 0)),0)*INDEX($E:$E, MATCH(AX$2, $B:$B, 0))</f>
        <v>5.7471264367816102E-4</v>
      </c>
      <c r="AY31" s="193">
        <f>IFERROR(INDEX('Fluxos de Recebimento'!$I$7:$BH$58, MATCH(Curvas!$AB31, 'Fluxos de Recebimento'!$F$7:$F$58, 0), MATCH(Curvas!AY$2,'Fluxos de Recebimento'!$I$5:$BH$5, 0))+INDEX('Fluxos de Recebimento'!$I$65:$BH$116, MATCH(Curvas!$AB31, 'Fluxos de Recebimento'!$F$65:$F$116, 0), MATCH(Curvas!AY$2, 'Fluxos de Recebimento'!$I$63:$BH$63, 0)),0)*INDEX($E:$E, MATCH(AY$2, $B:$B, 0))</f>
        <v>6.5681444991789832E-4</v>
      </c>
      <c r="AZ31" s="193">
        <f>IFERROR(INDEX('Fluxos de Recebimento'!$I$7:$BH$58, MATCH(Curvas!$AB31, 'Fluxos de Recebimento'!$F$7:$F$58, 0), MATCH(Curvas!AZ$2,'Fluxos de Recebimento'!$I$5:$BH$5, 0))+INDEX('Fluxos de Recebimento'!$I$65:$BH$116, MATCH(Curvas!$AB31, 'Fluxos de Recebimento'!$F$65:$F$116, 0), MATCH(Curvas!AZ$2, 'Fluxos de Recebimento'!$I$63:$BH$63, 0)),0)*INDEX($E:$E, MATCH(AZ$2, $B:$B, 0))</f>
        <v>7.6628352490421469E-4</v>
      </c>
      <c r="BA31" s="193">
        <f>IFERROR(INDEX('Fluxos de Recebimento'!$I$7:$BH$58, MATCH(Curvas!$AB31, 'Fluxos de Recebimento'!$F$7:$F$58, 0), MATCH(Curvas!BA$2,'Fluxos de Recebimento'!$I$5:$BH$5, 0))+INDEX('Fluxos de Recebimento'!$I$65:$BH$116, MATCH(Curvas!$AB31, 'Fluxos de Recebimento'!$F$65:$F$116, 0), MATCH(Curvas!BA$2, 'Fluxos de Recebimento'!$I$63:$BH$63, 0)),0)*INDEX($E:$E, MATCH(BA$2, $B:$B, 0))</f>
        <v>9.1954022988505765E-4</v>
      </c>
      <c r="BB31" s="193">
        <f>IFERROR(INDEX('Fluxos de Recebimento'!$I$7:$BH$58, MATCH(Curvas!$AB31, 'Fluxos de Recebimento'!$F$7:$F$58, 0), MATCH(Curvas!BB$2,'Fluxos de Recebimento'!$I$5:$BH$5, 0))+INDEX('Fluxos de Recebimento'!$I$65:$BH$116, MATCH(Curvas!$AB31, 'Fluxos de Recebimento'!$F$65:$F$116, 0), MATCH(Curvas!BB$2, 'Fluxos de Recebimento'!$I$63:$BH$63, 0)),0)*INDEX($E:$E, MATCH(BB$2, $B:$B, 0))</f>
        <v>1.149425287356322E-3</v>
      </c>
      <c r="BC31" s="193">
        <f>IFERROR(INDEX('Fluxos de Recebimento'!$I$7:$BH$58, MATCH(Curvas!$AB31, 'Fluxos de Recebimento'!$F$7:$F$58, 0), MATCH(Curvas!BC$2,'Fluxos de Recebimento'!$I$5:$BH$5, 0))+INDEX('Fluxos de Recebimento'!$I$65:$BH$116, MATCH(Curvas!$AB31, 'Fluxos de Recebimento'!$F$65:$F$116, 0), MATCH(Curvas!BC$2, 'Fluxos de Recebimento'!$I$63:$BH$63, 0)),0)*INDEX($E:$E, MATCH(BC$2, $B:$B, 0))</f>
        <v>1.5325670498084294E-3</v>
      </c>
      <c r="BD31" s="193">
        <f>IFERROR(INDEX('Fluxos de Recebimento'!$I$7:$BH$58, MATCH(Curvas!$AB31, 'Fluxos de Recebimento'!$F$7:$F$58, 0), MATCH(Curvas!BD$2,'Fluxos de Recebimento'!$I$5:$BH$5, 0))+INDEX('Fluxos de Recebimento'!$I$65:$BH$116, MATCH(Curvas!$AB31, 'Fluxos de Recebimento'!$F$65:$F$116, 0), MATCH(Curvas!BD$2, 'Fluxos de Recebimento'!$I$63:$BH$63, 0)),0)*INDEX($E:$E, MATCH(BD$2, $B:$B, 0))</f>
        <v>2.2988505747126441E-3</v>
      </c>
      <c r="BE31" s="193">
        <f>IFERROR(INDEX('Fluxos de Recebimento'!$I$7:$BH$58, MATCH(Curvas!$AB31, 'Fluxos de Recebimento'!$F$7:$F$58, 0), MATCH(Curvas!BE$2,'Fluxos de Recebimento'!$I$5:$BH$5, 0))+INDEX('Fluxos de Recebimento'!$I$65:$BH$116, MATCH(Curvas!$AB31, 'Fluxos de Recebimento'!$F$65:$F$116, 0), MATCH(Curvas!BE$2, 'Fluxos de Recebimento'!$I$63:$BH$63, 0)),0)*INDEX($E:$E, MATCH(BE$2, $B:$B, 0))</f>
        <v>1.149425287356322E-3</v>
      </c>
      <c r="BF31" s="193">
        <f>IFERROR(INDEX('Fluxos de Recebimento'!$I$7:$BH$58, MATCH(Curvas!$AB31, 'Fluxos de Recebimento'!$F$7:$F$58, 0), MATCH(Curvas!BF$2,'Fluxos de Recebimento'!$I$5:$BH$5, 0))+INDEX('Fluxos de Recebimento'!$I$65:$BH$116, MATCH(Curvas!$AB31, 'Fluxos de Recebimento'!$F$65:$F$116, 0), MATCH(Curvas!BF$2, 'Fluxos de Recebimento'!$I$63:$BH$63, 0)),0)*INDEX($E:$E, MATCH(BF$2, $B:$B, 0))</f>
        <v>0</v>
      </c>
      <c r="BG31" s="193">
        <f>IFERROR(INDEX('Fluxos de Recebimento'!$I$7:$BH$58, MATCH(Curvas!$AB31, 'Fluxos de Recebimento'!$F$7:$F$58, 0), MATCH(Curvas!BG$2,'Fluxos de Recebimento'!$I$5:$BH$5, 0))+INDEX('Fluxos de Recebimento'!$I$65:$BH$116, MATCH(Curvas!$AB31, 'Fluxos de Recebimento'!$F$65:$F$116, 0), MATCH(Curvas!BG$2, 'Fluxos de Recebimento'!$I$63:$BH$63, 0)),0)*INDEX($E:$E, MATCH(BG$2, $B:$B, 0))</f>
        <v>0</v>
      </c>
      <c r="BH31" s="193">
        <f>IFERROR(INDEX('Fluxos de Recebimento'!$I$7:$BH$58, MATCH(Curvas!$AB31, 'Fluxos de Recebimento'!$F$7:$F$58, 0), MATCH(Curvas!BH$2,'Fluxos de Recebimento'!$I$5:$BH$5, 0))+INDEX('Fluxos de Recebimento'!$I$65:$BH$116, MATCH(Curvas!$AB31, 'Fluxos de Recebimento'!$F$65:$F$116, 0), MATCH(Curvas!BH$2, 'Fluxos de Recebimento'!$I$63:$BH$63, 0)),0)*INDEX($E:$E, MATCH(BH$2, $B:$B, 0))</f>
        <v>0</v>
      </c>
      <c r="BI31" s="193">
        <f>IFERROR(INDEX('Fluxos de Recebimento'!$I$7:$BH$58, MATCH(Curvas!$AB31, 'Fluxos de Recebimento'!$F$7:$F$58, 0), MATCH(Curvas!BI$2,'Fluxos de Recebimento'!$I$5:$BH$5, 0))+INDEX('Fluxos de Recebimento'!$I$65:$BH$116, MATCH(Curvas!$AB31, 'Fluxos de Recebimento'!$F$65:$F$116, 0), MATCH(Curvas!BI$2, 'Fluxos de Recebimento'!$I$63:$BH$63, 0)),0)*INDEX($E:$E, MATCH(BI$2, $B:$B, 0))</f>
        <v>0</v>
      </c>
      <c r="BJ31" s="193">
        <f>IFERROR(INDEX('Fluxos de Recebimento'!$I$7:$BH$58, MATCH(Curvas!$AB31, 'Fluxos de Recebimento'!$F$7:$F$58, 0), MATCH(Curvas!BJ$2,'Fluxos de Recebimento'!$I$5:$BH$5, 0))+INDEX('Fluxos de Recebimento'!$I$65:$BH$116, MATCH(Curvas!$AB31, 'Fluxos de Recebimento'!$F$65:$F$116, 0), MATCH(Curvas!BJ$2, 'Fluxos de Recebimento'!$I$63:$BH$63, 0)),0)*INDEX($E:$E, MATCH(BJ$2, $B:$B, 0))</f>
        <v>0</v>
      </c>
      <c r="BK31" s="193">
        <f>IFERROR(INDEX('Fluxos de Recebimento'!$I$7:$BH$58, MATCH(Curvas!$AB31, 'Fluxos de Recebimento'!$F$7:$F$58, 0), MATCH(Curvas!BK$2,'Fluxos de Recebimento'!$I$5:$BH$5, 0))+INDEX('Fluxos de Recebimento'!$I$65:$BH$116, MATCH(Curvas!$AB31, 'Fluxos de Recebimento'!$F$65:$F$116, 0), MATCH(Curvas!BK$2, 'Fluxos de Recebimento'!$I$63:$BH$63, 0)),0)*INDEX($E:$E, MATCH(BK$2, $B:$B, 0))</f>
        <v>0</v>
      </c>
      <c r="BL31" s="193">
        <f>IFERROR(INDEX('Fluxos de Recebimento'!$I$7:$BH$58, MATCH(Curvas!$AB31, 'Fluxos de Recebimento'!$F$7:$F$58, 0), MATCH(Curvas!BL$2,'Fluxos de Recebimento'!$I$5:$BH$5, 0))+INDEX('Fluxos de Recebimento'!$I$65:$BH$116, MATCH(Curvas!$AB31, 'Fluxos de Recebimento'!$F$65:$F$116, 0), MATCH(Curvas!BL$2, 'Fluxos de Recebimento'!$I$63:$BH$63, 0)),0)*INDEX($E:$E, MATCH(BL$2, $B:$B, 0))</f>
        <v>0</v>
      </c>
      <c r="BM31" s="193">
        <f>IFERROR(INDEX('Fluxos de Recebimento'!$I$7:$BH$58, MATCH(Curvas!$AB31, 'Fluxos de Recebimento'!$F$7:$F$58, 0), MATCH(Curvas!BM$2,'Fluxos de Recebimento'!$I$5:$BH$5, 0))+INDEX('Fluxos de Recebimento'!$I$65:$BH$116, MATCH(Curvas!$AB31, 'Fluxos de Recebimento'!$F$65:$F$116, 0), MATCH(Curvas!BM$2, 'Fluxos de Recebimento'!$I$63:$BH$63, 0)),0)*INDEX($E:$E, MATCH(BM$2, $B:$B, 0))</f>
        <v>0</v>
      </c>
      <c r="BN31" s="193">
        <f>IFERROR(INDEX('Fluxos de Recebimento'!$I$7:$BH$58, MATCH(Curvas!$AB31, 'Fluxos de Recebimento'!$F$7:$F$58, 0), MATCH(Curvas!BN$2,'Fluxos de Recebimento'!$I$5:$BH$5, 0))+INDEX('Fluxos de Recebimento'!$I$65:$BH$116, MATCH(Curvas!$AB31, 'Fluxos de Recebimento'!$F$65:$F$116, 0), MATCH(Curvas!BN$2, 'Fluxos de Recebimento'!$I$63:$BH$63, 0)),0)*INDEX($E:$E, MATCH(BN$2, $B:$B, 0))</f>
        <v>0</v>
      </c>
      <c r="BO31" s="193">
        <f>IFERROR(INDEX('Fluxos de Recebimento'!$I$7:$BH$58, MATCH(Curvas!$AB31, 'Fluxos de Recebimento'!$F$7:$F$58, 0), MATCH(Curvas!BO$2,'Fluxos de Recebimento'!$I$5:$BH$5, 0))+INDEX('Fluxos de Recebimento'!$I$65:$BH$116, MATCH(Curvas!$AB31, 'Fluxos de Recebimento'!$F$65:$F$116, 0), MATCH(Curvas!BO$2, 'Fluxos de Recebimento'!$I$63:$BH$63, 0)),0)*INDEX($E:$E, MATCH(BO$2, $B:$B, 0))</f>
        <v>0</v>
      </c>
      <c r="BP31" s="193">
        <f>IFERROR(INDEX('Fluxos de Recebimento'!$I$7:$BH$58, MATCH(Curvas!$AB31, 'Fluxos de Recebimento'!$F$7:$F$58, 0), MATCH(Curvas!BP$2,'Fluxos de Recebimento'!$I$5:$BH$5, 0))+INDEX('Fluxos de Recebimento'!$I$65:$BH$116, MATCH(Curvas!$AB31, 'Fluxos de Recebimento'!$F$65:$F$116, 0), MATCH(Curvas!BP$2, 'Fluxos de Recebimento'!$I$63:$BH$63, 0)),0)*INDEX($E:$E, MATCH(BP$2, $B:$B, 0))</f>
        <v>0</v>
      </c>
      <c r="BQ31" s="193">
        <f>IFERROR(INDEX('Fluxos de Recebimento'!$I$7:$BH$58, MATCH(Curvas!$AB31, 'Fluxos de Recebimento'!$F$7:$F$58, 0), MATCH(Curvas!BQ$2,'Fluxos de Recebimento'!$I$5:$BH$5, 0))+INDEX('Fluxos de Recebimento'!$I$65:$BH$116, MATCH(Curvas!$AB31, 'Fluxos de Recebimento'!$F$65:$F$116, 0), MATCH(Curvas!BQ$2, 'Fluxos de Recebimento'!$I$63:$BH$63, 0)),0)*INDEX($E:$E, MATCH(BQ$2, $B:$B, 0))</f>
        <v>0</v>
      </c>
      <c r="BR31" s="193">
        <f>IFERROR(INDEX('Fluxos de Recebimento'!$I$7:$BH$58, MATCH(Curvas!$AB31, 'Fluxos de Recebimento'!$F$7:$F$58, 0), MATCH(Curvas!BR$2,'Fluxos de Recebimento'!$I$5:$BH$5, 0))+INDEX('Fluxos de Recebimento'!$I$65:$BH$116, MATCH(Curvas!$AB31, 'Fluxos de Recebimento'!$F$65:$F$116, 0), MATCH(Curvas!BR$2, 'Fluxos de Recebimento'!$I$63:$BH$63, 0)),0)*INDEX($E:$E, MATCH(BR$2, $B:$B, 0))</f>
        <v>0</v>
      </c>
      <c r="BS31" s="193">
        <f>IFERROR(INDEX('Fluxos de Recebimento'!$I$7:$BH$58, MATCH(Curvas!$AB31, 'Fluxos de Recebimento'!$F$7:$F$58, 0), MATCH(Curvas!BS$2,'Fluxos de Recebimento'!$I$5:$BH$5, 0))+INDEX('Fluxos de Recebimento'!$I$65:$BH$116, MATCH(Curvas!$AB31, 'Fluxos de Recebimento'!$F$65:$F$116, 0), MATCH(Curvas!BS$2, 'Fluxos de Recebimento'!$I$63:$BH$63, 0)),0)*INDEX($E:$E, MATCH(BS$2, $B:$B, 0))</f>
        <v>0</v>
      </c>
      <c r="BT31" s="193">
        <f>IFERROR(INDEX('Fluxos de Recebimento'!$I$7:$BH$58, MATCH(Curvas!$AB31, 'Fluxos de Recebimento'!$F$7:$F$58, 0), MATCH(Curvas!BT$2,'Fluxos de Recebimento'!$I$5:$BH$5, 0))+INDEX('Fluxos de Recebimento'!$I$65:$BH$116, MATCH(Curvas!$AB31, 'Fluxos de Recebimento'!$F$65:$F$116, 0), MATCH(Curvas!BT$2, 'Fluxos de Recebimento'!$I$63:$BH$63, 0)),0)*INDEX($E:$E, MATCH(BT$2, $B:$B, 0))</f>
        <v>0</v>
      </c>
      <c r="BU31" s="193">
        <f>IFERROR(INDEX('Fluxos de Recebimento'!$I$7:$BH$58, MATCH(Curvas!$AB31, 'Fluxos de Recebimento'!$F$7:$F$58, 0), MATCH(Curvas!BU$2,'Fluxos de Recebimento'!$I$5:$BH$5, 0))+INDEX('Fluxos de Recebimento'!$I$65:$BH$116, MATCH(Curvas!$AB31, 'Fluxos de Recebimento'!$F$65:$F$116, 0), MATCH(Curvas!BU$2, 'Fluxos de Recebimento'!$I$63:$BH$63, 0)),0)*INDEX($E:$E, MATCH(BU$2, $B:$B, 0))</f>
        <v>0</v>
      </c>
      <c r="BV31" s="193">
        <f>IFERROR(INDEX('Fluxos de Recebimento'!$I$7:$BH$58, MATCH(Curvas!$AB31, 'Fluxos de Recebimento'!$F$7:$F$58, 0), MATCH(Curvas!BV$2,'Fluxos de Recebimento'!$I$5:$BH$5, 0))+INDEX('Fluxos de Recebimento'!$I$65:$BH$116, MATCH(Curvas!$AB31, 'Fluxos de Recebimento'!$F$65:$F$116, 0), MATCH(Curvas!BV$2, 'Fluxos de Recebimento'!$I$63:$BH$63, 0)),0)*INDEX($E:$E, MATCH(BV$2, $B:$B, 0))</f>
        <v>0</v>
      </c>
      <c r="BW31" s="193">
        <f>IFERROR(INDEX('Fluxos de Recebimento'!$I$7:$BH$58, MATCH(Curvas!$AB31, 'Fluxos de Recebimento'!$F$7:$F$58, 0), MATCH(Curvas!BW$2,'Fluxos de Recebimento'!$I$5:$BH$5, 0))+INDEX('Fluxos de Recebimento'!$I$65:$BH$116, MATCH(Curvas!$AB31, 'Fluxos de Recebimento'!$F$65:$F$116, 0), MATCH(Curvas!BW$2, 'Fluxos de Recebimento'!$I$63:$BH$63, 0)),0)*INDEX($E:$E, MATCH(BW$2, $B:$B, 0))</f>
        <v>0</v>
      </c>
      <c r="BX31" s="193">
        <f>IFERROR(INDEX('Fluxos de Recebimento'!$I$7:$BH$58, MATCH(Curvas!$AB31, 'Fluxos de Recebimento'!$F$7:$F$58, 0), MATCH(Curvas!BX$2,'Fluxos de Recebimento'!$I$5:$BH$5, 0))+INDEX('Fluxos de Recebimento'!$I$65:$BH$116, MATCH(Curvas!$AB31, 'Fluxos de Recebimento'!$F$65:$F$116, 0), MATCH(Curvas!BX$2, 'Fluxos de Recebimento'!$I$63:$BH$63, 0)),0)*INDEX($E:$E, MATCH(BX$2, $B:$B, 0))</f>
        <v>0</v>
      </c>
      <c r="BY31" s="193">
        <f>IFERROR(INDEX('Fluxos de Recebimento'!$I$7:$BH$58, MATCH(Curvas!$AB31, 'Fluxos de Recebimento'!$F$7:$F$58, 0), MATCH(Curvas!BY$2,'Fluxos de Recebimento'!$I$5:$BH$5, 0))+INDEX('Fluxos de Recebimento'!$I$65:$BH$116, MATCH(Curvas!$AB31, 'Fluxos de Recebimento'!$F$65:$F$116, 0), MATCH(Curvas!BY$2, 'Fluxos de Recebimento'!$I$63:$BH$63, 0)),0)*INDEX($E:$E, MATCH(BY$2, $B:$B, 0))</f>
        <v>0</v>
      </c>
      <c r="BZ31" s="193">
        <f>IFERROR(INDEX('Fluxos de Recebimento'!$I$7:$BH$58, MATCH(Curvas!$AB31, 'Fluxos de Recebimento'!$F$7:$F$58, 0), MATCH(Curvas!BZ$2,'Fluxos de Recebimento'!$I$5:$BH$5, 0))+INDEX('Fluxos de Recebimento'!$I$65:$BH$116, MATCH(Curvas!$AB31, 'Fluxos de Recebimento'!$F$65:$F$116, 0), MATCH(Curvas!BZ$2, 'Fluxos de Recebimento'!$I$63:$BH$63, 0)),0)*INDEX($E:$E, MATCH(BZ$2, $B:$B, 0))</f>
        <v>0</v>
      </c>
      <c r="CA31" s="193">
        <f>IFERROR(INDEX('Fluxos de Recebimento'!$I$7:$BH$58, MATCH(Curvas!$AB31, 'Fluxos de Recebimento'!$F$7:$F$58, 0), MATCH(Curvas!CA$2,'Fluxos de Recebimento'!$I$5:$BH$5, 0))+INDEX('Fluxos de Recebimento'!$I$65:$BH$116, MATCH(Curvas!$AB31, 'Fluxos de Recebimento'!$F$65:$F$116, 0), MATCH(Curvas!CA$2, 'Fluxos de Recebimento'!$I$63:$BH$63, 0)),0)*INDEX($E:$E, MATCH(CA$2, $B:$B, 0))</f>
        <v>0</v>
      </c>
      <c r="CB31" s="193">
        <f>IFERROR(INDEX('Fluxos de Recebimento'!$I$7:$BH$58, MATCH(Curvas!$AB31, 'Fluxos de Recebimento'!$F$7:$F$58, 0), MATCH(Curvas!CB$2,'Fluxos de Recebimento'!$I$5:$BH$5, 0))+INDEX('Fluxos de Recebimento'!$I$65:$BH$116, MATCH(Curvas!$AB31, 'Fluxos de Recebimento'!$F$65:$F$116, 0), MATCH(Curvas!CB$2, 'Fluxos de Recebimento'!$I$63:$BH$63, 0)),0)*INDEX($E:$E, MATCH(CB$2, $B:$B, 0))</f>
        <v>0</v>
      </c>
      <c r="CC31" s="193">
        <f>IFERROR(INDEX('Fluxos de Recebimento'!$I$7:$BH$58, MATCH(Curvas!$AB31, 'Fluxos de Recebimento'!$F$7:$F$58, 0), MATCH(Curvas!CC$2,'Fluxos de Recebimento'!$I$5:$BH$5, 0))+INDEX('Fluxos de Recebimento'!$I$65:$BH$116, MATCH(Curvas!$AB31, 'Fluxos de Recebimento'!$F$65:$F$116, 0), MATCH(Curvas!CC$2, 'Fluxos de Recebimento'!$I$63:$BH$63, 0)),0)*INDEX($E:$E, MATCH(CC$2, $B:$B, 0))</f>
        <v>0</v>
      </c>
    </row>
    <row r="32" spans="1:81" x14ac:dyDescent="0.25">
      <c r="A32" s="2"/>
      <c r="B32" s="477">
        <f t="shared" si="16"/>
        <v>45017</v>
      </c>
      <c r="C32" s="52">
        <f t="shared" si="17"/>
        <v>29</v>
      </c>
      <c r="D32" s="2"/>
      <c r="E32" s="187">
        <f t="shared" si="4"/>
        <v>2.298850574712644E-2</v>
      </c>
      <c r="F32" s="48">
        <f t="shared" si="18"/>
        <v>0.66666666666666674</v>
      </c>
      <c r="G32" s="46">
        <f t="shared" ca="1" si="5"/>
        <v>0</v>
      </c>
      <c r="H32" s="48">
        <f t="shared" ca="1" si="19"/>
        <v>0</v>
      </c>
      <c r="I32" s="2"/>
      <c r="J32" s="69">
        <f t="shared" si="6"/>
        <v>16</v>
      </c>
      <c r="K32" s="479">
        <f t="shared" ca="1" si="7"/>
        <v>0</v>
      </c>
      <c r="L32" s="70">
        <f t="shared" ca="1" si="8"/>
        <v>16</v>
      </c>
      <c r="M32" s="2"/>
      <c r="N32" s="69">
        <f t="shared" si="9"/>
        <v>21</v>
      </c>
      <c r="O32" s="479">
        <f t="shared" si="10"/>
        <v>0</v>
      </c>
      <c r="P32" s="70">
        <f t="shared" si="11"/>
        <v>21</v>
      </c>
      <c r="Q32" s="2"/>
      <c r="R32" s="71">
        <f t="shared" si="12"/>
        <v>37</v>
      </c>
      <c r="S32" s="196"/>
      <c r="T32" s="46">
        <v>5.3761909076648913E-2</v>
      </c>
      <c r="U32" s="48">
        <f t="shared" si="20"/>
        <v>0.88795581267409085</v>
      </c>
      <c r="V32" s="2"/>
      <c r="W32" s="56"/>
      <c r="X32" s="48"/>
      <c r="Y32" s="2"/>
      <c r="Z32" s="194">
        <f t="shared" si="13"/>
        <v>2.380308523662698E-2</v>
      </c>
      <c r="AA32" s="2"/>
      <c r="AB32" s="477">
        <f t="shared" si="14"/>
        <v>45017</v>
      </c>
      <c r="AC32" s="52">
        <f t="shared" si="15"/>
        <v>29</v>
      </c>
      <c r="AD32" s="193">
        <f>IFERROR(INDEX('Fluxos de Recebimento'!$I$7:$BH$58, MATCH(Curvas!$AB32, 'Fluxos de Recebimento'!$F$7:$F$58, 0), MATCH(Curvas!AD$2,'Fluxos de Recebimento'!$I$5:$BH$5, 0))+INDEX('Fluxos de Recebimento'!$I$65:$BH$116, MATCH(Curvas!$AB32, 'Fluxos de Recebimento'!$F$65:$F$116, 0), MATCH(Curvas!AD$2, 'Fluxos de Recebimento'!$I$63:$BH$63, 0)),0)*INDEX($E:$E, MATCH(AD$2, $B:$B, 0))</f>
        <v>1.6420361247947458E-4</v>
      </c>
      <c r="AE32" s="193">
        <f>IFERROR(INDEX('Fluxos de Recebimento'!$I$7:$BH$58, MATCH(Curvas!$AB32, 'Fluxos de Recebimento'!$F$7:$F$58, 0), MATCH(Curvas!AE$2,'Fluxos de Recebimento'!$I$5:$BH$5, 0))+INDEX('Fluxos de Recebimento'!$I$65:$BH$116, MATCH(Curvas!$AB32, 'Fluxos de Recebimento'!$F$65:$F$116, 0), MATCH(Curvas!AE$2, 'Fluxos de Recebimento'!$I$63:$BH$63, 0)),0)*INDEX($E:$E, MATCH(AE$2, $B:$B, 0))</f>
        <v>1.7028522775649216E-4</v>
      </c>
      <c r="AF32" s="193">
        <f>IFERROR(INDEX('Fluxos de Recebimento'!$I$7:$BH$58, MATCH(Curvas!$AB32, 'Fluxos de Recebimento'!$F$7:$F$58, 0), MATCH(Curvas!AF$2,'Fluxos de Recebimento'!$I$5:$BH$5, 0))+INDEX('Fluxos de Recebimento'!$I$65:$BH$116, MATCH(Curvas!$AB32, 'Fluxos de Recebimento'!$F$65:$F$116, 0), MATCH(Curvas!AF$2, 'Fluxos de Recebimento'!$I$63:$BH$63, 0)),0)*INDEX($E:$E, MATCH(AF$2, $B:$B, 0))</f>
        <v>1.7683465959328031E-4</v>
      </c>
      <c r="AG32" s="193">
        <f>IFERROR(INDEX('Fluxos de Recebimento'!$I$7:$BH$58, MATCH(Curvas!$AB32, 'Fluxos de Recebimento'!$F$7:$F$58, 0), MATCH(Curvas!AG$2,'Fluxos de Recebimento'!$I$5:$BH$5, 0))+INDEX('Fluxos de Recebimento'!$I$65:$BH$116, MATCH(Curvas!$AB32, 'Fluxos de Recebimento'!$F$65:$F$116, 0), MATCH(Curvas!AG$2, 'Fluxos de Recebimento'!$I$63:$BH$63, 0)),0)*INDEX($E:$E, MATCH(AG$2, $B:$B, 0))</f>
        <v>1.8390804597701152E-4</v>
      </c>
      <c r="AH32" s="193">
        <f>IFERROR(INDEX('Fluxos de Recebimento'!$I$7:$BH$58, MATCH(Curvas!$AB32, 'Fluxos de Recebimento'!$F$7:$F$58, 0), MATCH(Curvas!AH$2,'Fluxos de Recebimento'!$I$5:$BH$5, 0))+INDEX('Fluxos de Recebimento'!$I$65:$BH$116, MATCH(Curvas!$AB32, 'Fluxos de Recebimento'!$F$65:$F$116, 0), MATCH(Curvas!AH$2, 'Fluxos de Recebimento'!$I$63:$BH$63, 0)),0)*INDEX($E:$E, MATCH(AH$2, $B:$B, 0))</f>
        <v>1.9157088122605367E-4</v>
      </c>
      <c r="AI32" s="193">
        <f>IFERROR(INDEX('Fluxos de Recebimento'!$I$7:$BH$58, MATCH(Curvas!$AB32, 'Fluxos de Recebimento'!$F$7:$F$58, 0), MATCH(Curvas!AI$2,'Fluxos de Recebimento'!$I$5:$BH$5, 0))+INDEX('Fluxos de Recebimento'!$I$65:$BH$116, MATCH(Curvas!$AB32, 'Fluxos de Recebimento'!$F$65:$F$116, 0), MATCH(Curvas!AI$2, 'Fluxos de Recebimento'!$I$63:$BH$63, 0)),0)*INDEX($E:$E, MATCH(AI$2, $B:$B, 0))</f>
        <v>1.9990004997501253E-4</v>
      </c>
      <c r="AJ32" s="193">
        <f>IFERROR(INDEX('Fluxos de Recebimento'!$I$7:$BH$58, MATCH(Curvas!$AB32, 'Fluxos de Recebimento'!$F$7:$F$58, 0), MATCH(Curvas!AJ$2,'Fluxos de Recebimento'!$I$5:$BH$5, 0))+INDEX('Fluxos de Recebimento'!$I$65:$BH$116, MATCH(Curvas!$AB32, 'Fluxos de Recebimento'!$F$65:$F$116, 0), MATCH(Curvas!AJ$2, 'Fluxos de Recebimento'!$I$63:$BH$63, 0)),0)*INDEX($E:$E, MATCH(AJ$2, $B:$B, 0))</f>
        <v>2.0898641588296767E-4</v>
      </c>
      <c r="AK32" s="193">
        <f>IFERROR(INDEX('Fluxos de Recebimento'!$I$7:$BH$58, MATCH(Curvas!$AB32, 'Fluxos de Recebimento'!$F$7:$F$58, 0), MATCH(Curvas!AK$2,'Fluxos de Recebimento'!$I$5:$BH$5, 0))+INDEX('Fluxos de Recebimento'!$I$65:$BH$116, MATCH(Curvas!$AB32, 'Fluxos de Recebimento'!$F$65:$F$116, 0), MATCH(Curvas!AK$2, 'Fluxos de Recebimento'!$I$63:$BH$63, 0)),0)*INDEX($E:$E, MATCH(AK$2, $B:$B, 0))</f>
        <v>2.1893814997263279E-4</v>
      </c>
      <c r="AL32" s="193">
        <f>IFERROR(INDEX('Fluxos de Recebimento'!$I$7:$BH$58, MATCH(Curvas!$AB32, 'Fluxos de Recebimento'!$F$7:$F$58, 0), MATCH(Curvas!AL$2,'Fluxos de Recebimento'!$I$5:$BH$5, 0))+INDEX('Fluxos de Recebimento'!$I$65:$BH$116, MATCH(Curvas!$AB32, 'Fluxos de Recebimento'!$F$65:$F$116, 0), MATCH(Curvas!AL$2, 'Fluxos de Recebimento'!$I$63:$BH$63, 0)),0)*INDEX($E:$E, MATCH(AL$2, $B:$B, 0))</f>
        <v>2.2988505747126441E-4</v>
      </c>
      <c r="AM32" s="193">
        <f>IFERROR(INDEX('Fluxos de Recebimento'!$I$7:$BH$58, MATCH(Curvas!$AB32, 'Fluxos de Recebimento'!$F$7:$F$58, 0), MATCH(Curvas!AM$2,'Fluxos de Recebimento'!$I$5:$BH$5, 0))+INDEX('Fluxos de Recebimento'!$I$65:$BH$116, MATCH(Curvas!$AB32, 'Fluxos de Recebimento'!$F$65:$F$116, 0), MATCH(Curvas!AM$2, 'Fluxos de Recebimento'!$I$63:$BH$63, 0)),0)*INDEX($E:$E, MATCH(AM$2, $B:$B, 0))</f>
        <v>2.4198427102238356E-4</v>
      </c>
      <c r="AN32" s="193">
        <f>IFERROR(INDEX('Fluxos de Recebimento'!$I$7:$BH$58, MATCH(Curvas!$AB32, 'Fluxos de Recebimento'!$F$7:$F$58, 0), MATCH(Curvas!AN$2,'Fluxos de Recebimento'!$I$5:$BH$5, 0))+INDEX('Fluxos de Recebimento'!$I$65:$BH$116, MATCH(Curvas!$AB32, 'Fluxos de Recebimento'!$F$65:$F$116, 0), MATCH(Curvas!AN$2, 'Fluxos de Recebimento'!$I$63:$BH$63, 0)),0)*INDEX($E:$E, MATCH(AN$2, $B:$B, 0))</f>
        <v>2.5542784163473821E-4</v>
      </c>
      <c r="AO32" s="193">
        <f>IFERROR(INDEX('Fluxos de Recebimento'!$I$7:$BH$58, MATCH(Curvas!$AB32, 'Fluxos de Recebimento'!$F$7:$F$58, 0), MATCH(Curvas!AO$2,'Fluxos de Recebimento'!$I$5:$BH$5, 0))+INDEX('Fluxos de Recebimento'!$I$65:$BH$116, MATCH(Curvas!$AB32, 'Fluxos de Recebimento'!$F$65:$F$116, 0), MATCH(Curvas!AO$2, 'Fluxos de Recebimento'!$I$63:$BH$63, 0)),0)*INDEX($E:$E, MATCH(AO$2, $B:$B, 0))</f>
        <v>2.7045300878972284E-4</v>
      </c>
      <c r="AP32" s="193">
        <f>IFERROR(INDEX('Fluxos de Recebimento'!$I$7:$BH$58, MATCH(Curvas!$AB32, 'Fluxos de Recebimento'!$F$7:$F$58, 0), MATCH(Curvas!AP$2,'Fluxos de Recebimento'!$I$5:$BH$5, 0))+INDEX('Fluxos de Recebimento'!$I$65:$BH$116, MATCH(Curvas!$AB32, 'Fluxos de Recebimento'!$F$65:$F$116, 0), MATCH(Curvas!AP$2, 'Fluxos de Recebimento'!$I$63:$BH$63, 0)),0)*INDEX($E:$E, MATCH(AP$2, $B:$B, 0))</f>
        <v>2.8735632183908051E-4</v>
      </c>
      <c r="AQ32" s="193">
        <f>IFERROR(INDEX('Fluxos de Recebimento'!$I$7:$BH$58, MATCH(Curvas!$AB32, 'Fluxos de Recebimento'!$F$7:$F$58, 0), MATCH(Curvas!AQ$2,'Fluxos de Recebimento'!$I$5:$BH$5, 0))+INDEX('Fluxos de Recebimento'!$I$65:$BH$116, MATCH(Curvas!$AB32, 'Fluxos de Recebimento'!$F$65:$F$116, 0), MATCH(Curvas!AQ$2, 'Fluxos de Recebimento'!$I$63:$BH$63, 0)),0)*INDEX($E:$E, MATCH(AQ$2, $B:$B, 0))</f>
        <v>3.0651340996168587E-4</v>
      </c>
      <c r="AR32" s="193">
        <f>IFERROR(INDEX('Fluxos de Recebimento'!$I$7:$BH$58, MATCH(Curvas!$AB32, 'Fluxos de Recebimento'!$F$7:$F$58, 0), MATCH(Curvas!AR$2,'Fluxos de Recebimento'!$I$5:$BH$5, 0))+INDEX('Fluxos de Recebimento'!$I$65:$BH$116, MATCH(Curvas!$AB32, 'Fluxos de Recebimento'!$F$65:$F$116, 0), MATCH(Curvas!AR$2, 'Fluxos de Recebimento'!$I$63:$BH$63, 0)),0)*INDEX($E:$E, MATCH(AR$2, $B:$B, 0))</f>
        <v>3.2840722495894916E-4</v>
      </c>
      <c r="AS32" s="193">
        <f>IFERROR(INDEX('Fluxos de Recebimento'!$I$7:$BH$58, MATCH(Curvas!$AB32, 'Fluxos de Recebimento'!$F$7:$F$58, 0), MATCH(Curvas!AS$2,'Fluxos de Recebimento'!$I$5:$BH$5, 0))+INDEX('Fluxos de Recebimento'!$I$65:$BH$116, MATCH(Curvas!$AB32, 'Fluxos de Recebimento'!$F$65:$F$116, 0), MATCH(Curvas!AS$2, 'Fluxos de Recebimento'!$I$63:$BH$63, 0)),0)*INDEX($E:$E, MATCH(AS$2, $B:$B, 0))</f>
        <v>3.5366931918656062E-4</v>
      </c>
      <c r="AT32" s="193">
        <f>IFERROR(INDEX('Fluxos de Recebimento'!$I$7:$BH$58, MATCH(Curvas!$AB32, 'Fluxos de Recebimento'!$F$7:$F$58, 0), MATCH(Curvas!AT$2,'Fluxos de Recebimento'!$I$5:$BH$5, 0))+INDEX('Fluxos de Recebimento'!$I$65:$BH$116, MATCH(Curvas!$AB32, 'Fluxos de Recebimento'!$F$65:$F$116, 0), MATCH(Curvas!AT$2, 'Fluxos de Recebimento'!$I$63:$BH$63, 0)),0)*INDEX($E:$E, MATCH(AT$2, $B:$B, 0))</f>
        <v>3.8314176245210735E-4</v>
      </c>
      <c r="AU32" s="193">
        <f>IFERROR(INDEX('Fluxos de Recebimento'!$I$7:$BH$58, MATCH(Curvas!$AB32, 'Fluxos de Recebimento'!$F$7:$F$58, 0), MATCH(Curvas!AU$2,'Fluxos de Recebimento'!$I$5:$BH$5, 0))+INDEX('Fluxos de Recebimento'!$I$65:$BH$116, MATCH(Curvas!$AB32, 'Fluxos de Recebimento'!$F$65:$F$116, 0), MATCH(Curvas!AU$2, 'Fluxos de Recebimento'!$I$63:$BH$63, 0)),0)*INDEX($E:$E, MATCH(AU$2, $B:$B, 0))</f>
        <v>4.1797283176593533E-4</v>
      </c>
      <c r="AV32" s="193">
        <f>IFERROR(INDEX('Fluxos de Recebimento'!$I$7:$BH$58, MATCH(Curvas!$AB32, 'Fluxos de Recebimento'!$F$7:$F$58, 0), MATCH(Curvas!AV$2,'Fluxos de Recebimento'!$I$5:$BH$5, 0))+INDEX('Fluxos de Recebimento'!$I$65:$BH$116, MATCH(Curvas!$AB32, 'Fluxos de Recebimento'!$F$65:$F$116, 0), MATCH(Curvas!AV$2, 'Fluxos de Recebimento'!$I$63:$BH$63, 0)),0)*INDEX($E:$E, MATCH(AV$2, $B:$B, 0))</f>
        <v>4.5977011494252883E-4</v>
      </c>
      <c r="AW32" s="193">
        <f>IFERROR(INDEX('Fluxos de Recebimento'!$I$7:$BH$58, MATCH(Curvas!$AB32, 'Fluxos de Recebimento'!$F$7:$F$58, 0), MATCH(Curvas!AW$2,'Fluxos de Recebimento'!$I$5:$BH$5, 0))+INDEX('Fluxos de Recebimento'!$I$65:$BH$116, MATCH(Curvas!$AB32, 'Fluxos de Recebimento'!$F$65:$F$116, 0), MATCH(Curvas!AW$2, 'Fluxos de Recebimento'!$I$63:$BH$63, 0)),0)*INDEX($E:$E, MATCH(AW$2, $B:$B, 0))</f>
        <v>5.1085568326947643E-4</v>
      </c>
      <c r="AX32" s="193">
        <f>IFERROR(INDEX('Fluxos de Recebimento'!$I$7:$BH$58, MATCH(Curvas!$AB32, 'Fluxos de Recebimento'!$F$7:$F$58, 0), MATCH(Curvas!AX$2,'Fluxos de Recebimento'!$I$5:$BH$5, 0))+INDEX('Fluxos de Recebimento'!$I$65:$BH$116, MATCH(Curvas!$AB32, 'Fluxos de Recebimento'!$F$65:$F$116, 0), MATCH(Curvas!AX$2, 'Fluxos de Recebimento'!$I$63:$BH$63, 0)),0)*INDEX($E:$E, MATCH(AX$2, $B:$B, 0))</f>
        <v>5.7471264367816102E-4</v>
      </c>
      <c r="AY32" s="193">
        <f>IFERROR(INDEX('Fluxos de Recebimento'!$I$7:$BH$58, MATCH(Curvas!$AB32, 'Fluxos de Recebimento'!$F$7:$F$58, 0), MATCH(Curvas!AY$2,'Fluxos de Recebimento'!$I$5:$BH$5, 0))+INDEX('Fluxos de Recebimento'!$I$65:$BH$116, MATCH(Curvas!$AB32, 'Fluxos de Recebimento'!$F$65:$F$116, 0), MATCH(Curvas!AY$2, 'Fluxos de Recebimento'!$I$63:$BH$63, 0)),0)*INDEX($E:$E, MATCH(AY$2, $B:$B, 0))</f>
        <v>6.5681444991789832E-4</v>
      </c>
      <c r="AZ32" s="193">
        <f>IFERROR(INDEX('Fluxos de Recebimento'!$I$7:$BH$58, MATCH(Curvas!$AB32, 'Fluxos de Recebimento'!$F$7:$F$58, 0), MATCH(Curvas!AZ$2,'Fluxos de Recebimento'!$I$5:$BH$5, 0))+INDEX('Fluxos de Recebimento'!$I$65:$BH$116, MATCH(Curvas!$AB32, 'Fluxos de Recebimento'!$F$65:$F$116, 0), MATCH(Curvas!AZ$2, 'Fluxos de Recebimento'!$I$63:$BH$63, 0)),0)*INDEX($E:$E, MATCH(AZ$2, $B:$B, 0))</f>
        <v>7.6628352490421469E-4</v>
      </c>
      <c r="BA32" s="193">
        <f>IFERROR(INDEX('Fluxos de Recebimento'!$I$7:$BH$58, MATCH(Curvas!$AB32, 'Fluxos de Recebimento'!$F$7:$F$58, 0), MATCH(Curvas!BA$2,'Fluxos de Recebimento'!$I$5:$BH$5, 0))+INDEX('Fluxos de Recebimento'!$I$65:$BH$116, MATCH(Curvas!$AB32, 'Fluxos de Recebimento'!$F$65:$F$116, 0), MATCH(Curvas!BA$2, 'Fluxos de Recebimento'!$I$63:$BH$63, 0)),0)*INDEX($E:$E, MATCH(BA$2, $B:$B, 0))</f>
        <v>9.1954022988505765E-4</v>
      </c>
      <c r="BB32" s="193">
        <f>IFERROR(INDEX('Fluxos de Recebimento'!$I$7:$BH$58, MATCH(Curvas!$AB32, 'Fluxos de Recebimento'!$F$7:$F$58, 0), MATCH(Curvas!BB$2,'Fluxos de Recebimento'!$I$5:$BH$5, 0))+INDEX('Fluxos de Recebimento'!$I$65:$BH$116, MATCH(Curvas!$AB32, 'Fluxos de Recebimento'!$F$65:$F$116, 0), MATCH(Curvas!BB$2, 'Fluxos de Recebimento'!$I$63:$BH$63, 0)),0)*INDEX($E:$E, MATCH(BB$2, $B:$B, 0))</f>
        <v>1.149425287356322E-3</v>
      </c>
      <c r="BC32" s="193">
        <f>IFERROR(INDEX('Fluxos de Recebimento'!$I$7:$BH$58, MATCH(Curvas!$AB32, 'Fluxos de Recebimento'!$F$7:$F$58, 0), MATCH(Curvas!BC$2,'Fluxos de Recebimento'!$I$5:$BH$5, 0))+INDEX('Fluxos de Recebimento'!$I$65:$BH$116, MATCH(Curvas!$AB32, 'Fluxos de Recebimento'!$F$65:$F$116, 0), MATCH(Curvas!BC$2, 'Fluxos de Recebimento'!$I$63:$BH$63, 0)),0)*INDEX($E:$E, MATCH(BC$2, $B:$B, 0))</f>
        <v>1.5325670498084294E-3</v>
      </c>
      <c r="BD32" s="193">
        <f>IFERROR(INDEX('Fluxos de Recebimento'!$I$7:$BH$58, MATCH(Curvas!$AB32, 'Fluxos de Recebimento'!$F$7:$F$58, 0), MATCH(Curvas!BD$2,'Fluxos de Recebimento'!$I$5:$BH$5, 0))+INDEX('Fluxos de Recebimento'!$I$65:$BH$116, MATCH(Curvas!$AB32, 'Fluxos de Recebimento'!$F$65:$F$116, 0), MATCH(Curvas!BD$2, 'Fluxos de Recebimento'!$I$63:$BH$63, 0)),0)*INDEX($E:$E, MATCH(BD$2, $B:$B, 0))</f>
        <v>2.2988505747126441E-3</v>
      </c>
      <c r="BE32" s="193">
        <f>IFERROR(INDEX('Fluxos de Recebimento'!$I$7:$BH$58, MATCH(Curvas!$AB32, 'Fluxos de Recebimento'!$F$7:$F$58, 0), MATCH(Curvas!BE$2,'Fluxos de Recebimento'!$I$5:$BH$5, 0))+INDEX('Fluxos de Recebimento'!$I$65:$BH$116, MATCH(Curvas!$AB32, 'Fluxos de Recebimento'!$F$65:$F$116, 0), MATCH(Curvas!BE$2, 'Fluxos de Recebimento'!$I$63:$BH$63, 0)),0)*INDEX($E:$E, MATCH(BE$2, $B:$B, 0))</f>
        <v>4.5977011494252882E-3</v>
      </c>
      <c r="BF32" s="193">
        <f>IFERROR(INDEX('Fluxos de Recebimento'!$I$7:$BH$58, MATCH(Curvas!$AB32, 'Fluxos de Recebimento'!$F$7:$F$58, 0), MATCH(Curvas!BF$2,'Fluxos de Recebimento'!$I$5:$BH$5, 0))+INDEX('Fluxos de Recebimento'!$I$65:$BH$116, MATCH(Curvas!$AB32, 'Fluxos de Recebimento'!$F$65:$F$116, 0), MATCH(Curvas!BF$2, 'Fluxos de Recebimento'!$I$63:$BH$63, 0)),0)*INDEX($E:$E, MATCH(BF$2, $B:$B, 0))</f>
        <v>5.74712643678161E-3</v>
      </c>
      <c r="BG32" s="193">
        <f>IFERROR(INDEX('Fluxos de Recebimento'!$I$7:$BH$58, MATCH(Curvas!$AB32, 'Fluxos de Recebimento'!$F$7:$F$58, 0), MATCH(Curvas!BG$2,'Fluxos de Recebimento'!$I$5:$BH$5, 0))+INDEX('Fluxos de Recebimento'!$I$65:$BH$116, MATCH(Curvas!$AB32, 'Fluxos de Recebimento'!$F$65:$F$116, 0), MATCH(Curvas!BG$2, 'Fluxos de Recebimento'!$I$63:$BH$63, 0)),0)*INDEX($E:$E, MATCH(BG$2, $B:$B, 0))</f>
        <v>0</v>
      </c>
      <c r="BH32" s="193">
        <f>IFERROR(INDEX('Fluxos de Recebimento'!$I$7:$BH$58, MATCH(Curvas!$AB32, 'Fluxos de Recebimento'!$F$7:$F$58, 0), MATCH(Curvas!BH$2,'Fluxos de Recebimento'!$I$5:$BH$5, 0))+INDEX('Fluxos de Recebimento'!$I$65:$BH$116, MATCH(Curvas!$AB32, 'Fluxos de Recebimento'!$F$65:$F$116, 0), MATCH(Curvas!BH$2, 'Fluxos de Recebimento'!$I$63:$BH$63, 0)),0)*INDEX($E:$E, MATCH(BH$2, $B:$B, 0))</f>
        <v>0</v>
      </c>
      <c r="BI32" s="193">
        <f>IFERROR(INDEX('Fluxos de Recebimento'!$I$7:$BH$58, MATCH(Curvas!$AB32, 'Fluxos de Recebimento'!$F$7:$F$58, 0), MATCH(Curvas!BI$2,'Fluxos de Recebimento'!$I$5:$BH$5, 0))+INDEX('Fluxos de Recebimento'!$I$65:$BH$116, MATCH(Curvas!$AB32, 'Fluxos de Recebimento'!$F$65:$F$116, 0), MATCH(Curvas!BI$2, 'Fluxos de Recebimento'!$I$63:$BH$63, 0)),0)*INDEX($E:$E, MATCH(BI$2, $B:$B, 0))</f>
        <v>0</v>
      </c>
      <c r="BJ32" s="193">
        <f>IFERROR(INDEX('Fluxos de Recebimento'!$I$7:$BH$58, MATCH(Curvas!$AB32, 'Fluxos de Recebimento'!$F$7:$F$58, 0), MATCH(Curvas!BJ$2,'Fluxos de Recebimento'!$I$5:$BH$5, 0))+INDEX('Fluxos de Recebimento'!$I$65:$BH$116, MATCH(Curvas!$AB32, 'Fluxos de Recebimento'!$F$65:$F$116, 0), MATCH(Curvas!BJ$2, 'Fluxos de Recebimento'!$I$63:$BH$63, 0)),0)*INDEX($E:$E, MATCH(BJ$2, $B:$B, 0))</f>
        <v>0</v>
      </c>
      <c r="BK32" s="193">
        <f>IFERROR(INDEX('Fluxos de Recebimento'!$I$7:$BH$58, MATCH(Curvas!$AB32, 'Fluxos de Recebimento'!$F$7:$F$58, 0), MATCH(Curvas!BK$2,'Fluxos de Recebimento'!$I$5:$BH$5, 0))+INDEX('Fluxos de Recebimento'!$I$65:$BH$116, MATCH(Curvas!$AB32, 'Fluxos de Recebimento'!$F$65:$F$116, 0), MATCH(Curvas!BK$2, 'Fluxos de Recebimento'!$I$63:$BH$63, 0)),0)*INDEX($E:$E, MATCH(BK$2, $B:$B, 0))</f>
        <v>0</v>
      </c>
      <c r="BL32" s="193">
        <f>IFERROR(INDEX('Fluxos de Recebimento'!$I$7:$BH$58, MATCH(Curvas!$AB32, 'Fluxos de Recebimento'!$F$7:$F$58, 0), MATCH(Curvas!BL$2,'Fluxos de Recebimento'!$I$5:$BH$5, 0))+INDEX('Fluxos de Recebimento'!$I$65:$BH$116, MATCH(Curvas!$AB32, 'Fluxos de Recebimento'!$F$65:$F$116, 0), MATCH(Curvas!BL$2, 'Fluxos de Recebimento'!$I$63:$BH$63, 0)),0)*INDEX($E:$E, MATCH(BL$2, $B:$B, 0))</f>
        <v>0</v>
      </c>
      <c r="BM32" s="193">
        <f>IFERROR(INDEX('Fluxos de Recebimento'!$I$7:$BH$58, MATCH(Curvas!$AB32, 'Fluxos de Recebimento'!$F$7:$F$58, 0), MATCH(Curvas!BM$2,'Fluxos de Recebimento'!$I$5:$BH$5, 0))+INDEX('Fluxos de Recebimento'!$I$65:$BH$116, MATCH(Curvas!$AB32, 'Fluxos de Recebimento'!$F$65:$F$116, 0), MATCH(Curvas!BM$2, 'Fluxos de Recebimento'!$I$63:$BH$63, 0)),0)*INDEX($E:$E, MATCH(BM$2, $B:$B, 0))</f>
        <v>0</v>
      </c>
      <c r="BN32" s="193">
        <f>IFERROR(INDEX('Fluxos de Recebimento'!$I$7:$BH$58, MATCH(Curvas!$AB32, 'Fluxos de Recebimento'!$F$7:$F$58, 0), MATCH(Curvas!BN$2,'Fluxos de Recebimento'!$I$5:$BH$5, 0))+INDEX('Fluxos de Recebimento'!$I$65:$BH$116, MATCH(Curvas!$AB32, 'Fluxos de Recebimento'!$F$65:$F$116, 0), MATCH(Curvas!BN$2, 'Fluxos de Recebimento'!$I$63:$BH$63, 0)),0)*INDEX($E:$E, MATCH(BN$2, $B:$B, 0))</f>
        <v>0</v>
      </c>
      <c r="BO32" s="193">
        <f>IFERROR(INDEX('Fluxos de Recebimento'!$I$7:$BH$58, MATCH(Curvas!$AB32, 'Fluxos de Recebimento'!$F$7:$F$58, 0), MATCH(Curvas!BO$2,'Fluxos de Recebimento'!$I$5:$BH$5, 0))+INDEX('Fluxos de Recebimento'!$I$65:$BH$116, MATCH(Curvas!$AB32, 'Fluxos de Recebimento'!$F$65:$F$116, 0), MATCH(Curvas!BO$2, 'Fluxos de Recebimento'!$I$63:$BH$63, 0)),0)*INDEX($E:$E, MATCH(BO$2, $B:$B, 0))</f>
        <v>0</v>
      </c>
      <c r="BP32" s="193">
        <f>IFERROR(INDEX('Fluxos de Recebimento'!$I$7:$BH$58, MATCH(Curvas!$AB32, 'Fluxos de Recebimento'!$F$7:$F$58, 0), MATCH(Curvas!BP$2,'Fluxos de Recebimento'!$I$5:$BH$5, 0))+INDEX('Fluxos de Recebimento'!$I$65:$BH$116, MATCH(Curvas!$AB32, 'Fluxos de Recebimento'!$F$65:$F$116, 0), MATCH(Curvas!BP$2, 'Fluxos de Recebimento'!$I$63:$BH$63, 0)),0)*INDEX($E:$E, MATCH(BP$2, $B:$B, 0))</f>
        <v>0</v>
      </c>
      <c r="BQ32" s="193">
        <f>IFERROR(INDEX('Fluxos de Recebimento'!$I$7:$BH$58, MATCH(Curvas!$AB32, 'Fluxos de Recebimento'!$F$7:$F$58, 0), MATCH(Curvas!BQ$2,'Fluxos de Recebimento'!$I$5:$BH$5, 0))+INDEX('Fluxos de Recebimento'!$I$65:$BH$116, MATCH(Curvas!$AB32, 'Fluxos de Recebimento'!$F$65:$F$116, 0), MATCH(Curvas!BQ$2, 'Fluxos de Recebimento'!$I$63:$BH$63, 0)),0)*INDEX($E:$E, MATCH(BQ$2, $B:$B, 0))</f>
        <v>0</v>
      </c>
      <c r="BR32" s="193">
        <f>IFERROR(INDEX('Fluxos de Recebimento'!$I$7:$BH$58, MATCH(Curvas!$AB32, 'Fluxos de Recebimento'!$F$7:$F$58, 0), MATCH(Curvas!BR$2,'Fluxos de Recebimento'!$I$5:$BH$5, 0))+INDEX('Fluxos de Recebimento'!$I$65:$BH$116, MATCH(Curvas!$AB32, 'Fluxos de Recebimento'!$F$65:$F$116, 0), MATCH(Curvas!BR$2, 'Fluxos de Recebimento'!$I$63:$BH$63, 0)),0)*INDEX($E:$E, MATCH(BR$2, $B:$B, 0))</f>
        <v>0</v>
      </c>
      <c r="BS32" s="193">
        <f>IFERROR(INDEX('Fluxos de Recebimento'!$I$7:$BH$58, MATCH(Curvas!$AB32, 'Fluxos de Recebimento'!$F$7:$F$58, 0), MATCH(Curvas!BS$2,'Fluxos de Recebimento'!$I$5:$BH$5, 0))+INDEX('Fluxos de Recebimento'!$I$65:$BH$116, MATCH(Curvas!$AB32, 'Fluxos de Recebimento'!$F$65:$F$116, 0), MATCH(Curvas!BS$2, 'Fluxos de Recebimento'!$I$63:$BH$63, 0)),0)*INDEX($E:$E, MATCH(BS$2, $B:$B, 0))</f>
        <v>0</v>
      </c>
      <c r="BT32" s="193">
        <f>IFERROR(INDEX('Fluxos de Recebimento'!$I$7:$BH$58, MATCH(Curvas!$AB32, 'Fluxos de Recebimento'!$F$7:$F$58, 0), MATCH(Curvas!BT$2,'Fluxos de Recebimento'!$I$5:$BH$5, 0))+INDEX('Fluxos de Recebimento'!$I$65:$BH$116, MATCH(Curvas!$AB32, 'Fluxos de Recebimento'!$F$65:$F$116, 0), MATCH(Curvas!BT$2, 'Fluxos de Recebimento'!$I$63:$BH$63, 0)),0)*INDEX($E:$E, MATCH(BT$2, $B:$B, 0))</f>
        <v>0</v>
      </c>
      <c r="BU32" s="193">
        <f>IFERROR(INDEX('Fluxos de Recebimento'!$I$7:$BH$58, MATCH(Curvas!$AB32, 'Fluxos de Recebimento'!$F$7:$F$58, 0), MATCH(Curvas!BU$2,'Fluxos de Recebimento'!$I$5:$BH$5, 0))+INDEX('Fluxos de Recebimento'!$I$65:$BH$116, MATCH(Curvas!$AB32, 'Fluxos de Recebimento'!$F$65:$F$116, 0), MATCH(Curvas!BU$2, 'Fluxos de Recebimento'!$I$63:$BH$63, 0)),0)*INDEX($E:$E, MATCH(BU$2, $B:$B, 0))</f>
        <v>0</v>
      </c>
      <c r="BV32" s="193">
        <f>IFERROR(INDEX('Fluxos de Recebimento'!$I$7:$BH$58, MATCH(Curvas!$AB32, 'Fluxos de Recebimento'!$F$7:$F$58, 0), MATCH(Curvas!BV$2,'Fluxos de Recebimento'!$I$5:$BH$5, 0))+INDEX('Fluxos de Recebimento'!$I$65:$BH$116, MATCH(Curvas!$AB32, 'Fluxos de Recebimento'!$F$65:$F$116, 0), MATCH(Curvas!BV$2, 'Fluxos de Recebimento'!$I$63:$BH$63, 0)),0)*INDEX($E:$E, MATCH(BV$2, $B:$B, 0))</f>
        <v>0</v>
      </c>
      <c r="BW32" s="193">
        <f>IFERROR(INDEX('Fluxos de Recebimento'!$I$7:$BH$58, MATCH(Curvas!$AB32, 'Fluxos de Recebimento'!$F$7:$F$58, 0), MATCH(Curvas!BW$2,'Fluxos de Recebimento'!$I$5:$BH$5, 0))+INDEX('Fluxos de Recebimento'!$I$65:$BH$116, MATCH(Curvas!$AB32, 'Fluxos de Recebimento'!$F$65:$F$116, 0), MATCH(Curvas!BW$2, 'Fluxos de Recebimento'!$I$63:$BH$63, 0)),0)*INDEX($E:$E, MATCH(BW$2, $B:$B, 0))</f>
        <v>0</v>
      </c>
      <c r="BX32" s="193">
        <f>IFERROR(INDEX('Fluxos de Recebimento'!$I$7:$BH$58, MATCH(Curvas!$AB32, 'Fluxos de Recebimento'!$F$7:$F$58, 0), MATCH(Curvas!BX$2,'Fluxos de Recebimento'!$I$5:$BH$5, 0))+INDEX('Fluxos de Recebimento'!$I$65:$BH$116, MATCH(Curvas!$AB32, 'Fluxos de Recebimento'!$F$65:$F$116, 0), MATCH(Curvas!BX$2, 'Fluxos de Recebimento'!$I$63:$BH$63, 0)),0)*INDEX($E:$E, MATCH(BX$2, $B:$B, 0))</f>
        <v>0</v>
      </c>
      <c r="BY32" s="193">
        <f>IFERROR(INDEX('Fluxos de Recebimento'!$I$7:$BH$58, MATCH(Curvas!$AB32, 'Fluxos de Recebimento'!$F$7:$F$58, 0), MATCH(Curvas!BY$2,'Fluxos de Recebimento'!$I$5:$BH$5, 0))+INDEX('Fluxos de Recebimento'!$I$65:$BH$116, MATCH(Curvas!$AB32, 'Fluxos de Recebimento'!$F$65:$F$116, 0), MATCH(Curvas!BY$2, 'Fluxos de Recebimento'!$I$63:$BH$63, 0)),0)*INDEX($E:$E, MATCH(BY$2, $B:$B, 0))</f>
        <v>0</v>
      </c>
      <c r="BZ32" s="193">
        <f>IFERROR(INDEX('Fluxos de Recebimento'!$I$7:$BH$58, MATCH(Curvas!$AB32, 'Fluxos de Recebimento'!$F$7:$F$58, 0), MATCH(Curvas!BZ$2,'Fluxos de Recebimento'!$I$5:$BH$5, 0))+INDEX('Fluxos de Recebimento'!$I$65:$BH$116, MATCH(Curvas!$AB32, 'Fluxos de Recebimento'!$F$65:$F$116, 0), MATCH(Curvas!BZ$2, 'Fluxos de Recebimento'!$I$63:$BH$63, 0)),0)*INDEX($E:$E, MATCH(BZ$2, $B:$B, 0))</f>
        <v>0</v>
      </c>
      <c r="CA32" s="193">
        <f>IFERROR(INDEX('Fluxos de Recebimento'!$I$7:$BH$58, MATCH(Curvas!$AB32, 'Fluxos de Recebimento'!$F$7:$F$58, 0), MATCH(Curvas!CA$2,'Fluxos de Recebimento'!$I$5:$BH$5, 0))+INDEX('Fluxos de Recebimento'!$I$65:$BH$116, MATCH(Curvas!$AB32, 'Fluxos de Recebimento'!$F$65:$F$116, 0), MATCH(Curvas!CA$2, 'Fluxos de Recebimento'!$I$63:$BH$63, 0)),0)*INDEX($E:$E, MATCH(CA$2, $B:$B, 0))</f>
        <v>0</v>
      </c>
      <c r="CB32" s="193">
        <f>IFERROR(INDEX('Fluxos de Recebimento'!$I$7:$BH$58, MATCH(Curvas!$AB32, 'Fluxos de Recebimento'!$F$7:$F$58, 0), MATCH(Curvas!CB$2,'Fluxos de Recebimento'!$I$5:$BH$5, 0))+INDEX('Fluxos de Recebimento'!$I$65:$BH$116, MATCH(Curvas!$AB32, 'Fluxos de Recebimento'!$F$65:$F$116, 0), MATCH(Curvas!CB$2, 'Fluxos de Recebimento'!$I$63:$BH$63, 0)),0)*INDEX($E:$E, MATCH(CB$2, $B:$B, 0))</f>
        <v>0</v>
      </c>
      <c r="CC32" s="193">
        <f>IFERROR(INDEX('Fluxos de Recebimento'!$I$7:$BH$58, MATCH(Curvas!$AB32, 'Fluxos de Recebimento'!$F$7:$F$58, 0), MATCH(Curvas!CC$2,'Fluxos de Recebimento'!$I$5:$BH$5, 0))+INDEX('Fluxos de Recebimento'!$I$65:$BH$116, MATCH(Curvas!$AB32, 'Fluxos de Recebimento'!$F$65:$F$116, 0), MATCH(Curvas!CC$2, 'Fluxos de Recebimento'!$I$63:$BH$63, 0)),0)*INDEX($E:$E, MATCH(CC$2, $B:$B, 0))</f>
        <v>0</v>
      </c>
    </row>
    <row r="33" spans="1:81" x14ac:dyDescent="0.25">
      <c r="A33" s="2"/>
      <c r="B33" s="477">
        <f t="shared" si="16"/>
        <v>45047</v>
      </c>
      <c r="C33" s="52">
        <f t="shared" si="17"/>
        <v>30</v>
      </c>
      <c r="D33" s="2"/>
      <c r="E33" s="187">
        <f t="shared" si="4"/>
        <v>4.1666666666666671E-2</v>
      </c>
      <c r="F33" s="48">
        <f t="shared" si="18"/>
        <v>0.70833333333333337</v>
      </c>
      <c r="G33" s="46">
        <f t="shared" ca="1" si="5"/>
        <v>0</v>
      </c>
      <c r="H33" s="48">
        <f t="shared" ca="1" si="19"/>
        <v>0</v>
      </c>
      <c r="I33" s="2"/>
      <c r="J33" s="69">
        <f t="shared" ca="1" si="6"/>
        <v>16</v>
      </c>
      <c r="K33" s="479">
        <f t="shared" ca="1" si="7"/>
        <v>0</v>
      </c>
      <c r="L33" s="70">
        <f t="shared" ca="1" si="8"/>
        <v>16</v>
      </c>
      <c r="M33" s="2"/>
      <c r="N33" s="69">
        <f t="shared" si="9"/>
        <v>21</v>
      </c>
      <c r="O33" s="479">
        <f t="shared" si="10"/>
        <v>0</v>
      </c>
      <c r="P33" s="70">
        <f t="shared" si="11"/>
        <v>21</v>
      </c>
      <c r="Q33" s="2"/>
      <c r="R33" s="71">
        <f t="shared" ca="1" si="12"/>
        <v>37</v>
      </c>
      <c r="S33" s="196"/>
      <c r="T33" s="46">
        <v>4.1524758395255157E-2</v>
      </c>
      <c r="U33" s="48">
        <f t="shared" si="20"/>
        <v>0.92948057106934601</v>
      </c>
      <c r="V33" s="2"/>
      <c r="W33" s="56"/>
      <c r="X33" s="48"/>
      <c r="Y33" s="2"/>
      <c r="Z33" s="194">
        <f t="shared" si="13"/>
        <v>6.2500000000000003E-3</v>
      </c>
      <c r="AA33" s="2"/>
      <c r="AB33" s="477">
        <f t="shared" si="14"/>
        <v>45047</v>
      </c>
      <c r="AC33" s="52">
        <f t="shared" si="15"/>
        <v>30</v>
      </c>
      <c r="AD33" s="193">
        <f>IFERROR(INDEX('Fluxos de Recebimento'!$I$7:$BH$58, MATCH(Curvas!$AB33, 'Fluxos de Recebimento'!$F$7:$F$58, 0), MATCH(Curvas!AD$2,'Fluxos de Recebimento'!$I$5:$BH$5, 0))+INDEX('Fluxos de Recebimento'!$I$65:$BH$116, MATCH(Curvas!$AB33, 'Fluxos de Recebimento'!$F$65:$F$116, 0), MATCH(Curvas!AD$2, 'Fluxos de Recebimento'!$I$63:$BH$63, 0)),0)*INDEX($E:$E, MATCH(AD$2, $B:$B, 0))</f>
        <v>0</v>
      </c>
      <c r="AE33" s="193">
        <f>IFERROR(INDEX('Fluxos de Recebimento'!$I$7:$BH$58, MATCH(Curvas!$AB33, 'Fluxos de Recebimento'!$F$7:$F$58, 0), MATCH(Curvas!AE$2,'Fluxos de Recebimento'!$I$5:$BH$5, 0))+INDEX('Fluxos de Recebimento'!$I$65:$BH$116, MATCH(Curvas!$AB33, 'Fluxos de Recebimento'!$F$65:$F$116, 0), MATCH(Curvas!AE$2, 'Fluxos de Recebimento'!$I$63:$BH$63, 0)),0)*INDEX($E:$E, MATCH(AE$2, $B:$B, 0))</f>
        <v>0</v>
      </c>
      <c r="AF33" s="193">
        <f>IFERROR(INDEX('Fluxos de Recebimento'!$I$7:$BH$58, MATCH(Curvas!$AB33, 'Fluxos de Recebimento'!$F$7:$F$58, 0), MATCH(Curvas!AF$2,'Fluxos de Recebimento'!$I$5:$BH$5, 0))+INDEX('Fluxos de Recebimento'!$I$65:$BH$116, MATCH(Curvas!$AB33, 'Fluxos de Recebimento'!$F$65:$F$116, 0), MATCH(Curvas!AF$2, 'Fluxos de Recebimento'!$I$63:$BH$63, 0)),0)*INDEX($E:$E, MATCH(AF$2, $B:$B, 0))</f>
        <v>0</v>
      </c>
      <c r="AG33" s="193">
        <f>IFERROR(INDEX('Fluxos de Recebimento'!$I$7:$BH$58, MATCH(Curvas!$AB33, 'Fluxos de Recebimento'!$F$7:$F$58, 0), MATCH(Curvas!AG$2,'Fluxos de Recebimento'!$I$5:$BH$5, 0))+INDEX('Fluxos de Recebimento'!$I$65:$BH$116, MATCH(Curvas!$AB33, 'Fluxos de Recebimento'!$F$65:$F$116, 0), MATCH(Curvas!AG$2, 'Fluxos de Recebimento'!$I$63:$BH$63, 0)),0)*INDEX($E:$E, MATCH(AG$2, $B:$B, 0))</f>
        <v>0</v>
      </c>
      <c r="AH33" s="193">
        <f>IFERROR(INDEX('Fluxos de Recebimento'!$I$7:$BH$58, MATCH(Curvas!$AB33, 'Fluxos de Recebimento'!$F$7:$F$58, 0), MATCH(Curvas!AH$2,'Fluxos de Recebimento'!$I$5:$BH$5, 0))+INDEX('Fluxos de Recebimento'!$I$65:$BH$116, MATCH(Curvas!$AB33, 'Fluxos de Recebimento'!$F$65:$F$116, 0), MATCH(Curvas!AH$2, 'Fluxos de Recebimento'!$I$63:$BH$63, 0)),0)*INDEX($E:$E, MATCH(AH$2, $B:$B, 0))</f>
        <v>0</v>
      </c>
      <c r="AI33" s="193">
        <f>IFERROR(INDEX('Fluxos de Recebimento'!$I$7:$BH$58, MATCH(Curvas!$AB33, 'Fluxos de Recebimento'!$F$7:$F$58, 0), MATCH(Curvas!AI$2,'Fluxos de Recebimento'!$I$5:$BH$5, 0))+INDEX('Fluxos de Recebimento'!$I$65:$BH$116, MATCH(Curvas!$AB33, 'Fluxos de Recebimento'!$F$65:$F$116, 0), MATCH(Curvas!AI$2, 'Fluxos de Recebimento'!$I$63:$BH$63, 0)),0)*INDEX($E:$E, MATCH(AI$2, $B:$B, 0))</f>
        <v>0</v>
      </c>
      <c r="AJ33" s="193">
        <f>IFERROR(INDEX('Fluxos de Recebimento'!$I$7:$BH$58, MATCH(Curvas!$AB33, 'Fluxos de Recebimento'!$F$7:$F$58, 0), MATCH(Curvas!AJ$2,'Fluxos de Recebimento'!$I$5:$BH$5, 0))+INDEX('Fluxos de Recebimento'!$I$65:$BH$116, MATCH(Curvas!$AB33, 'Fluxos de Recebimento'!$F$65:$F$116, 0), MATCH(Curvas!AJ$2, 'Fluxos de Recebimento'!$I$63:$BH$63, 0)),0)*INDEX($E:$E, MATCH(AJ$2, $B:$B, 0))</f>
        <v>0</v>
      </c>
      <c r="AK33" s="193">
        <f>IFERROR(INDEX('Fluxos de Recebimento'!$I$7:$BH$58, MATCH(Curvas!$AB33, 'Fluxos de Recebimento'!$F$7:$F$58, 0), MATCH(Curvas!AK$2,'Fluxos de Recebimento'!$I$5:$BH$5, 0))+INDEX('Fluxos de Recebimento'!$I$65:$BH$116, MATCH(Curvas!$AB33, 'Fluxos de Recebimento'!$F$65:$F$116, 0), MATCH(Curvas!AK$2, 'Fluxos de Recebimento'!$I$63:$BH$63, 0)),0)*INDEX($E:$E, MATCH(AK$2, $B:$B, 0))</f>
        <v>0</v>
      </c>
      <c r="AL33" s="193">
        <f>IFERROR(INDEX('Fluxos de Recebimento'!$I$7:$BH$58, MATCH(Curvas!$AB33, 'Fluxos de Recebimento'!$F$7:$F$58, 0), MATCH(Curvas!AL$2,'Fluxos de Recebimento'!$I$5:$BH$5, 0))+INDEX('Fluxos de Recebimento'!$I$65:$BH$116, MATCH(Curvas!$AB33, 'Fluxos de Recebimento'!$F$65:$F$116, 0), MATCH(Curvas!AL$2, 'Fluxos de Recebimento'!$I$63:$BH$63, 0)),0)*INDEX($E:$E, MATCH(AL$2, $B:$B, 0))</f>
        <v>0</v>
      </c>
      <c r="AM33" s="193">
        <f>IFERROR(INDEX('Fluxos de Recebimento'!$I$7:$BH$58, MATCH(Curvas!$AB33, 'Fluxos de Recebimento'!$F$7:$F$58, 0), MATCH(Curvas!AM$2,'Fluxos de Recebimento'!$I$5:$BH$5, 0))+INDEX('Fluxos de Recebimento'!$I$65:$BH$116, MATCH(Curvas!$AB33, 'Fluxos de Recebimento'!$F$65:$F$116, 0), MATCH(Curvas!AM$2, 'Fluxos de Recebimento'!$I$63:$BH$63, 0)),0)*INDEX($E:$E, MATCH(AM$2, $B:$B, 0))</f>
        <v>0</v>
      </c>
      <c r="AN33" s="193">
        <f>IFERROR(INDEX('Fluxos de Recebimento'!$I$7:$BH$58, MATCH(Curvas!$AB33, 'Fluxos de Recebimento'!$F$7:$F$58, 0), MATCH(Curvas!AN$2,'Fluxos de Recebimento'!$I$5:$BH$5, 0))+INDEX('Fluxos de Recebimento'!$I$65:$BH$116, MATCH(Curvas!$AB33, 'Fluxos de Recebimento'!$F$65:$F$116, 0), MATCH(Curvas!AN$2, 'Fluxos de Recebimento'!$I$63:$BH$63, 0)),0)*INDEX($E:$E, MATCH(AN$2, $B:$B, 0))</f>
        <v>0</v>
      </c>
      <c r="AO33" s="193">
        <f>IFERROR(INDEX('Fluxos de Recebimento'!$I$7:$BH$58, MATCH(Curvas!$AB33, 'Fluxos de Recebimento'!$F$7:$F$58, 0), MATCH(Curvas!AO$2,'Fluxos de Recebimento'!$I$5:$BH$5, 0))+INDEX('Fluxos de Recebimento'!$I$65:$BH$116, MATCH(Curvas!$AB33, 'Fluxos de Recebimento'!$F$65:$F$116, 0), MATCH(Curvas!AO$2, 'Fluxos de Recebimento'!$I$63:$BH$63, 0)),0)*INDEX($E:$E, MATCH(AO$2, $B:$B, 0))</f>
        <v>0</v>
      </c>
      <c r="AP33" s="193">
        <f>IFERROR(INDEX('Fluxos de Recebimento'!$I$7:$BH$58, MATCH(Curvas!$AB33, 'Fluxos de Recebimento'!$F$7:$F$58, 0), MATCH(Curvas!AP$2,'Fluxos de Recebimento'!$I$5:$BH$5, 0))+INDEX('Fluxos de Recebimento'!$I$65:$BH$116, MATCH(Curvas!$AB33, 'Fluxos de Recebimento'!$F$65:$F$116, 0), MATCH(Curvas!AP$2, 'Fluxos de Recebimento'!$I$63:$BH$63, 0)),0)*INDEX($E:$E, MATCH(AP$2, $B:$B, 0))</f>
        <v>0</v>
      </c>
      <c r="AQ33" s="193">
        <f>IFERROR(INDEX('Fluxos de Recebimento'!$I$7:$BH$58, MATCH(Curvas!$AB33, 'Fluxos de Recebimento'!$F$7:$F$58, 0), MATCH(Curvas!AQ$2,'Fluxos de Recebimento'!$I$5:$BH$5, 0))+INDEX('Fluxos de Recebimento'!$I$65:$BH$116, MATCH(Curvas!$AB33, 'Fluxos de Recebimento'!$F$65:$F$116, 0), MATCH(Curvas!AQ$2, 'Fluxos de Recebimento'!$I$63:$BH$63, 0)),0)*INDEX($E:$E, MATCH(AQ$2, $B:$B, 0))</f>
        <v>0</v>
      </c>
      <c r="AR33" s="193">
        <f>IFERROR(INDEX('Fluxos de Recebimento'!$I$7:$BH$58, MATCH(Curvas!$AB33, 'Fluxos de Recebimento'!$F$7:$F$58, 0), MATCH(Curvas!AR$2,'Fluxos de Recebimento'!$I$5:$BH$5, 0))+INDEX('Fluxos de Recebimento'!$I$65:$BH$116, MATCH(Curvas!$AB33, 'Fluxos de Recebimento'!$F$65:$F$116, 0), MATCH(Curvas!AR$2, 'Fluxos de Recebimento'!$I$63:$BH$63, 0)),0)*INDEX($E:$E, MATCH(AR$2, $B:$B, 0))</f>
        <v>0</v>
      </c>
      <c r="AS33" s="193">
        <f>IFERROR(INDEX('Fluxos de Recebimento'!$I$7:$BH$58, MATCH(Curvas!$AB33, 'Fluxos de Recebimento'!$F$7:$F$58, 0), MATCH(Curvas!AS$2,'Fluxos de Recebimento'!$I$5:$BH$5, 0))+INDEX('Fluxos de Recebimento'!$I$65:$BH$116, MATCH(Curvas!$AB33, 'Fluxos de Recebimento'!$F$65:$F$116, 0), MATCH(Curvas!AS$2, 'Fluxos de Recebimento'!$I$63:$BH$63, 0)),0)*INDEX($E:$E, MATCH(AS$2, $B:$B, 0))</f>
        <v>0</v>
      </c>
      <c r="AT33" s="193">
        <f>IFERROR(INDEX('Fluxos de Recebimento'!$I$7:$BH$58, MATCH(Curvas!$AB33, 'Fluxos de Recebimento'!$F$7:$F$58, 0), MATCH(Curvas!AT$2,'Fluxos de Recebimento'!$I$5:$BH$5, 0))+INDEX('Fluxos de Recebimento'!$I$65:$BH$116, MATCH(Curvas!$AB33, 'Fluxos de Recebimento'!$F$65:$F$116, 0), MATCH(Curvas!AT$2, 'Fluxos de Recebimento'!$I$63:$BH$63, 0)),0)*INDEX($E:$E, MATCH(AT$2, $B:$B, 0))</f>
        <v>0</v>
      </c>
      <c r="AU33" s="193">
        <f>IFERROR(INDEX('Fluxos de Recebimento'!$I$7:$BH$58, MATCH(Curvas!$AB33, 'Fluxos de Recebimento'!$F$7:$F$58, 0), MATCH(Curvas!AU$2,'Fluxos de Recebimento'!$I$5:$BH$5, 0))+INDEX('Fluxos de Recebimento'!$I$65:$BH$116, MATCH(Curvas!$AB33, 'Fluxos de Recebimento'!$F$65:$F$116, 0), MATCH(Curvas!AU$2, 'Fluxos de Recebimento'!$I$63:$BH$63, 0)),0)*INDEX($E:$E, MATCH(AU$2, $B:$B, 0))</f>
        <v>0</v>
      </c>
      <c r="AV33" s="193">
        <f>IFERROR(INDEX('Fluxos de Recebimento'!$I$7:$BH$58, MATCH(Curvas!$AB33, 'Fluxos de Recebimento'!$F$7:$F$58, 0), MATCH(Curvas!AV$2,'Fluxos de Recebimento'!$I$5:$BH$5, 0))+INDEX('Fluxos de Recebimento'!$I$65:$BH$116, MATCH(Curvas!$AB33, 'Fluxos de Recebimento'!$F$65:$F$116, 0), MATCH(Curvas!AV$2, 'Fluxos de Recebimento'!$I$63:$BH$63, 0)),0)*INDEX($E:$E, MATCH(AV$2, $B:$B, 0))</f>
        <v>0</v>
      </c>
      <c r="AW33" s="193">
        <f>IFERROR(INDEX('Fluxos de Recebimento'!$I$7:$BH$58, MATCH(Curvas!$AB33, 'Fluxos de Recebimento'!$F$7:$F$58, 0), MATCH(Curvas!AW$2,'Fluxos de Recebimento'!$I$5:$BH$5, 0))+INDEX('Fluxos de Recebimento'!$I$65:$BH$116, MATCH(Curvas!$AB33, 'Fluxos de Recebimento'!$F$65:$F$116, 0), MATCH(Curvas!AW$2, 'Fluxos de Recebimento'!$I$63:$BH$63, 0)),0)*INDEX($E:$E, MATCH(AW$2, $B:$B, 0))</f>
        <v>0</v>
      </c>
      <c r="AX33" s="193">
        <f>IFERROR(INDEX('Fluxos de Recebimento'!$I$7:$BH$58, MATCH(Curvas!$AB33, 'Fluxos de Recebimento'!$F$7:$F$58, 0), MATCH(Curvas!AX$2,'Fluxos de Recebimento'!$I$5:$BH$5, 0))+INDEX('Fluxos de Recebimento'!$I$65:$BH$116, MATCH(Curvas!$AB33, 'Fluxos de Recebimento'!$F$65:$F$116, 0), MATCH(Curvas!AX$2, 'Fluxos de Recebimento'!$I$63:$BH$63, 0)),0)*INDEX($E:$E, MATCH(AX$2, $B:$B, 0))</f>
        <v>0</v>
      </c>
      <c r="AY33" s="193">
        <f>IFERROR(INDEX('Fluxos de Recebimento'!$I$7:$BH$58, MATCH(Curvas!$AB33, 'Fluxos de Recebimento'!$F$7:$F$58, 0), MATCH(Curvas!AY$2,'Fluxos de Recebimento'!$I$5:$BH$5, 0))+INDEX('Fluxos de Recebimento'!$I$65:$BH$116, MATCH(Curvas!$AB33, 'Fluxos de Recebimento'!$F$65:$F$116, 0), MATCH(Curvas!AY$2, 'Fluxos de Recebimento'!$I$63:$BH$63, 0)),0)*INDEX($E:$E, MATCH(AY$2, $B:$B, 0))</f>
        <v>0</v>
      </c>
      <c r="AZ33" s="193">
        <f>IFERROR(INDEX('Fluxos de Recebimento'!$I$7:$BH$58, MATCH(Curvas!$AB33, 'Fluxos de Recebimento'!$F$7:$F$58, 0), MATCH(Curvas!AZ$2,'Fluxos de Recebimento'!$I$5:$BH$5, 0))+INDEX('Fluxos de Recebimento'!$I$65:$BH$116, MATCH(Curvas!$AB33, 'Fluxos de Recebimento'!$F$65:$F$116, 0), MATCH(Curvas!AZ$2, 'Fluxos de Recebimento'!$I$63:$BH$63, 0)),0)*INDEX($E:$E, MATCH(AZ$2, $B:$B, 0))</f>
        <v>0</v>
      </c>
      <c r="BA33" s="193">
        <f>IFERROR(INDEX('Fluxos de Recebimento'!$I$7:$BH$58, MATCH(Curvas!$AB33, 'Fluxos de Recebimento'!$F$7:$F$58, 0), MATCH(Curvas!BA$2,'Fluxos de Recebimento'!$I$5:$BH$5, 0))+INDEX('Fluxos de Recebimento'!$I$65:$BH$116, MATCH(Curvas!$AB33, 'Fluxos de Recebimento'!$F$65:$F$116, 0), MATCH(Curvas!BA$2, 'Fluxos de Recebimento'!$I$63:$BH$63, 0)),0)*INDEX($E:$E, MATCH(BA$2, $B:$B, 0))</f>
        <v>0</v>
      </c>
      <c r="BB33" s="193">
        <f>IFERROR(INDEX('Fluxos de Recebimento'!$I$7:$BH$58, MATCH(Curvas!$AB33, 'Fluxos de Recebimento'!$F$7:$F$58, 0), MATCH(Curvas!BB$2,'Fluxos de Recebimento'!$I$5:$BH$5, 0))+INDEX('Fluxos de Recebimento'!$I$65:$BH$116, MATCH(Curvas!$AB33, 'Fluxos de Recebimento'!$F$65:$F$116, 0), MATCH(Curvas!BB$2, 'Fluxos de Recebimento'!$I$63:$BH$63, 0)),0)*INDEX($E:$E, MATCH(BB$2, $B:$B, 0))</f>
        <v>0</v>
      </c>
      <c r="BC33" s="193">
        <f>IFERROR(INDEX('Fluxos de Recebimento'!$I$7:$BH$58, MATCH(Curvas!$AB33, 'Fluxos de Recebimento'!$F$7:$F$58, 0), MATCH(Curvas!BC$2,'Fluxos de Recebimento'!$I$5:$BH$5, 0))+INDEX('Fluxos de Recebimento'!$I$65:$BH$116, MATCH(Curvas!$AB33, 'Fluxos de Recebimento'!$F$65:$F$116, 0), MATCH(Curvas!BC$2, 'Fluxos de Recebimento'!$I$63:$BH$63, 0)),0)*INDEX($E:$E, MATCH(BC$2, $B:$B, 0))</f>
        <v>0</v>
      </c>
      <c r="BD33" s="193">
        <f>IFERROR(INDEX('Fluxos de Recebimento'!$I$7:$BH$58, MATCH(Curvas!$AB33, 'Fluxos de Recebimento'!$F$7:$F$58, 0), MATCH(Curvas!BD$2,'Fluxos de Recebimento'!$I$5:$BH$5, 0))+INDEX('Fluxos de Recebimento'!$I$65:$BH$116, MATCH(Curvas!$AB33, 'Fluxos de Recebimento'!$F$65:$F$116, 0), MATCH(Curvas!BD$2, 'Fluxos de Recebimento'!$I$63:$BH$63, 0)),0)*INDEX($E:$E, MATCH(BD$2, $B:$B, 0))</f>
        <v>0</v>
      </c>
      <c r="BE33" s="193">
        <f>IFERROR(INDEX('Fluxos de Recebimento'!$I$7:$BH$58, MATCH(Curvas!$AB33, 'Fluxos de Recebimento'!$F$7:$F$58, 0), MATCH(Curvas!BE$2,'Fluxos de Recebimento'!$I$5:$BH$5, 0))+INDEX('Fluxos de Recebimento'!$I$65:$BH$116, MATCH(Curvas!$AB33, 'Fluxos de Recebimento'!$F$65:$F$116, 0), MATCH(Curvas!BE$2, 'Fluxos de Recebimento'!$I$63:$BH$63, 0)),0)*INDEX($E:$E, MATCH(BE$2, $B:$B, 0))</f>
        <v>0</v>
      </c>
      <c r="BF33" s="193">
        <f>IFERROR(INDEX('Fluxos de Recebimento'!$I$7:$BH$58, MATCH(Curvas!$AB33, 'Fluxos de Recebimento'!$F$7:$F$58, 0), MATCH(Curvas!BF$2,'Fluxos de Recebimento'!$I$5:$BH$5, 0))+INDEX('Fluxos de Recebimento'!$I$65:$BH$116, MATCH(Curvas!$AB33, 'Fluxos de Recebimento'!$F$65:$F$116, 0), MATCH(Curvas!BF$2, 'Fluxos de Recebimento'!$I$63:$BH$63, 0)),0)*INDEX($E:$E, MATCH(BF$2, $B:$B, 0))</f>
        <v>0</v>
      </c>
      <c r="BG33" s="193">
        <f>IFERROR(INDEX('Fluxos de Recebimento'!$I$7:$BH$58, MATCH(Curvas!$AB33, 'Fluxos de Recebimento'!$F$7:$F$58, 0), MATCH(Curvas!BG$2,'Fluxos de Recebimento'!$I$5:$BH$5, 0))+INDEX('Fluxos de Recebimento'!$I$65:$BH$116, MATCH(Curvas!$AB33, 'Fluxos de Recebimento'!$F$65:$F$116, 0), MATCH(Curvas!BG$2, 'Fluxos de Recebimento'!$I$63:$BH$63, 0)),0)*INDEX($E:$E, MATCH(BG$2, $B:$B, 0))</f>
        <v>6.2500000000000003E-3</v>
      </c>
      <c r="BH33" s="193">
        <f>IFERROR(INDEX('Fluxos de Recebimento'!$I$7:$BH$58, MATCH(Curvas!$AB33, 'Fluxos de Recebimento'!$F$7:$F$58, 0), MATCH(Curvas!BH$2,'Fluxos de Recebimento'!$I$5:$BH$5, 0))+INDEX('Fluxos de Recebimento'!$I$65:$BH$116, MATCH(Curvas!$AB33, 'Fluxos de Recebimento'!$F$65:$F$116, 0), MATCH(Curvas!BH$2, 'Fluxos de Recebimento'!$I$63:$BH$63, 0)),0)*INDEX($E:$E, MATCH(BH$2, $B:$B, 0))</f>
        <v>0</v>
      </c>
      <c r="BI33" s="193">
        <f>IFERROR(INDEX('Fluxos de Recebimento'!$I$7:$BH$58, MATCH(Curvas!$AB33, 'Fluxos de Recebimento'!$F$7:$F$58, 0), MATCH(Curvas!BI$2,'Fluxos de Recebimento'!$I$5:$BH$5, 0))+INDEX('Fluxos de Recebimento'!$I$65:$BH$116, MATCH(Curvas!$AB33, 'Fluxos de Recebimento'!$F$65:$F$116, 0), MATCH(Curvas!BI$2, 'Fluxos de Recebimento'!$I$63:$BH$63, 0)),0)*INDEX($E:$E, MATCH(BI$2, $B:$B, 0))</f>
        <v>0</v>
      </c>
      <c r="BJ33" s="193">
        <f>IFERROR(INDEX('Fluxos de Recebimento'!$I$7:$BH$58, MATCH(Curvas!$AB33, 'Fluxos de Recebimento'!$F$7:$F$58, 0), MATCH(Curvas!BJ$2,'Fluxos de Recebimento'!$I$5:$BH$5, 0))+INDEX('Fluxos de Recebimento'!$I$65:$BH$116, MATCH(Curvas!$AB33, 'Fluxos de Recebimento'!$F$65:$F$116, 0), MATCH(Curvas!BJ$2, 'Fluxos de Recebimento'!$I$63:$BH$63, 0)),0)*INDEX($E:$E, MATCH(BJ$2, $B:$B, 0))</f>
        <v>0</v>
      </c>
      <c r="BK33" s="193">
        <f>IFERROR(INDEX('Fluxos de Recebimento'!$I$7:$BH$58, MATCH(Curvas!$AB33, 'Fluxos de Recebimento'!$F$7:$F$58, 0), MATCH(Curvas!BK$2,'Fluxos de Recebimento'!$I$5:$BH$5, 0))+INDEX('Fluxos de Recebimento'!$I$65:$BH$116, MATCH(Curvas!$AB33, 'Fluxos de Recebimento'!$F$65:$F$116, 0), MATCH(Curvas!BK$2, 'Fluxos de Recebimento'!$I$63:$BH$63, 0)),0)*INDEX($E:$E, MATCH(BK$2, $B:$B, 0))</f>
        <v>0</v>
      </c>
      <c r="BL33" s="193">
        <f>IFERROR(INDEX('Fluxos de Recebimento'!$I$7:$BH$58, MATCH(Curvas!$AB33, 'Fluxos de Recebimento'!$F$7:$F$58, 0), MATCH(Curvas!BL$2,'Fluxos de Recebimento'!$I$5:$BH$5, 0))+INDEX('Fluxos de Recebimento'!$I$65:$BH$116, MATCH(Curvas!$AB33, 'Fluxos de Recebimento'!$F$65:$F$116, 0), MATCH(Curvas!BL$2, 'Fluxos de Recebimento'!$I$63:$BH$63, 0)),0)*INDEX($E:$E, MATCH(BL$2, $B:$B, 0))</f>
        <v>0</v>
      </c>
      <c r="BM33" s="193">
        <f>IFERROR(INDEX('Fluxos de Recebimento'!$I$7:$BH$58, MATCH(Curvas!$AB33, 'Fluxos de Recebimento'!$F$7:$F$58, 0), MATCH(Curvas!BM$2,'Fluxos de Recebimento'!$I$5:$BH$5, 0))+INDEX('Fluxos de Recebimento'!$I$65:$BH$116, MATCH(Curvas!$AB33, 'Fluxos de Recebimento'!$F$65:$F$116, 0), MATCH(Curvas!BM$2, 'Fluxos de Recebimento'!$I$63:$BH$63, 0)),0)*INDEX($E:$E, MATCH(BM$2, $B:$B, 0))</f>
        <v>0</v>
      </c>
      <c r="BN33" s="193">
        <f>IFERROR(INDEX('Fluxos de Recebimento'!$I$7:$BH$58, MATCH(Curvas!$AB33, 'Fluxos de Recebimento'!$F$7:$F$58, 0), MATCH(Curvas!BN$2,'Fluxos de Recebimento'!$I$5:$BH$5, 0))+INDEX('Fluxos de Recebimento'!$I$65:$BH$116, MATCH(Curvas!$AB33, 'Fluxos de Recebimento'!$F$65:$F$116, 0), MATCH(Curvas!BN$2, 'Fluxos de Recebimento'!$I$63:$BH$63, 0)),0)*INDEX($E:$E, MATCH(BN$2, $B:$B, 0))</f>
        <v>0</v>
      </c>
      <c r="BO33" s="193">
        <f>IFERROR(INDEX('Fluxos de Recebimento'!$I$7:$BH$58, MATCH(Curvas!$AB33, 'Fluxos de Recebimento'!$F$7:$F$58, 0), MATCH(Curvas!BO$2,'Fluxos de Recebimento'!$I$5:$BH$5, 0))+INDEX('Fluxos de Recebimento'!$I$65:$BH$116, MATCH(Curvas!$AB33, 'Fluxos de Recebimento'!$F$65:$F$116, 0), MATCH(Curvas!BO$2, 'Fluxos de Recebimento'!$I$63:$BH$63, 0)),0)*INDEX($E:$E, MATCH(BO$2, $B:$B, 0))</f>
        <v>0</v>
      </c>
      <c r="BP33" s="193">
        <f>IFERROR(INDEX('Fluxos de Recebimento'!$I$7:$BH$58, MATCH(Curvas!$AB33, 'Fluxos de Recebimento'!$F$7:$F$58, 0), MATCH(Curvas!BP$2,'Fluxos de Recebimento'!$I$5:$BH$5, 0))+INDEX('Fluxos de Recebimento'!$I$65:$BH$116, MATCH(Curvas!$AB33, 'Fluxos de Recebimento'!$F$65:$F$116, 0), MATCH(Curvas!BP$2, 'Fluxos de Recebimento'!$I$63:$BH$63, 0)),0)*INDEX($E:$E, MATCH(BP$2, $B:$B, 0))</f>
        <v>0</v>
      </c>
      <c r="BQ33" s="193">
        <f>IFERROR(INDEX('Fluxos de Recebimento'!$I$7:$BH$58, MATCH(Curvas!$AB33, 'Fluxos de Recebimento'!$F$7:$F$58, 0), MATCH(Curvas!BQ$2,'Fluxos de Recebimento'!$I$5:$BH$5, 0))+INDEX('Fluxos de Recebimento'!$I$65:$BH$116, MATCH(Curvas!$AB33, 'Fluxos de Recebimento'!$F$65:$F$116, 0), MATCH(Curvas!BQ$2, 'Fluxos de Recebimento'!$I$63:$BH$63, 0)),0)*INDEX($E:$E, MATCH(BQ$2, $B:$B, 0))</f>
        <v>0</v>
      </c>
      <c r="BR33" s="193">
        <f>IFERROR(INDEX('Fluxos de Recebimento'!$I$7:$BH$58, MATCH(Curvas!$AB33, 'Fluxos de Recebimento'!$F$7:$F$58, 0), MATCH(Curvas!BR$2,'Fluxos de Recebimento'!$I$5:$BH$5, 0))+INDEX('Fluxos de Recebimento'!$I$65:$BH$116, MATCH(Curvas!$AB33, 'Fluxos de Recebimento'!$F$65:$F$116, 0), MATCH(Curvas!BR$2, 'Fluxos de Recebimento'!$I$63:$BH$63, 0)),0)*INDEX($E:$E, MATCH(BR$2, $B:$B, 0))</f>
        <v>0</v>
      </c>
      <c r="BS33" s="193">
        <f>IFERROR(INDEX('Fluxos de Recebimento'!$I$7:$BH$58, MATCH(Curvas!$AB33, 'Fluxos de Recebimento'!$F$7:$F$58, 0), MATCH(Curvas!BS$2,'Fluxos de Recebimento'!$I$5:$BH$5, 0))+INDEX('Fluxos de Recebimento'!$I$65:$BH$116, MATCH(Curvas!$AB33, 'Fluxos de Recebimento'!$F$65:$F$116, 0), MATCH(Curvas!BS$2, 'Fluxos de Recebimento'!$I$63:$BH$63, 0)),0)*INDEX($E:$E, MATCH(BS$2, $B:$B, 0))</f>
        <v>0</v>
      </c>
      <c r="BT33" s="193">
        <f>IFERROR(INDEX('Fluxos de Recebimento'!$I$7:$BH$58, MATCH(Curvas!$AB33, 'Fluxos de Recebimento'!$F$7:$F$58, 0), MATCH(Curvas!BT$2,'Fluxos de Recebimento'!$I$5:$BH$5, 0))+INDEX('Fluxos de Recebimento'!$I$65:$BH$116, MATCH(Curvas!$AB33, 'Fluxos de Recebimento'!$F$65:$F$116, 0), MATCH(Curvas!BT$2, 'Fluxos de Recebimento'!$I$63:$BH$63, 0)),0)*INDEX($E:$E, MATCH(BT$2, $B:$B, 0))</f>
        <v>0</v>
      </c>
      <c r="BU33" s="193">
        <f>IFERROR(INDEX('Fluxos de Recebimento'!$I$7:$BH$58, MATCH(Curvas!$AB33, 'Fluxos de Recebimento'!$F$7:$F$58, 0), MATCH(Curvas!BU$2,'Fluxos de Recebimento'!$I$5:$BH$5, 0))+INDEX('Fluxos de Recebimento'!$I$65:$BH$116, MATCH(Curvas!$AB33, 'Fluxos de Recebimento'!$F$65:$F$116, 0), MATCH(Curvas!BU$2, 'Fluxos de Recebimento'!$I$63:$BH$63, 0)),0)*INDEX($E:$E, MATCH(BU$2, $B:$B, 0))</f>
        <v>0</v>
      </c>
      <c r="BV33" s="193">
        <f>IFERROR(INDEX('Fluxos de Recebimento'!$I$7:$BH$58, MATCH(Curvas!$AB33, 'Fluxos de Recebimento'!$F$7:$F$58, 0), MATCH(Curvas!BV$2,'Fluxos de Recebimento'!$I$5:$BH$5, 0))+INDEX('Fluxos de Recebimento'!$I$65:$BH$116, MATCH(Curvas!$AB33, 'Fluxos de Recebimento'!$F$65:$F$116, 0), MATCH(Curvas!BV$2, 'Fluxos de Recebimento'!$I$63:$BH$63, 0)),0)*INDEX($E:$E, MATCH(BV$2, $B:$B, 0))</f>
        <v>0</v>
      </c>
      <c r="BW33" s="193">
        <f>IFERROR(INDEX('Fluxos de Recebimento'!$I$7:$BH$58, MATCH(Curvas!$AB33, 'Fluxos de Recebimento'!$F$7:$F$58, 0), MATCH(Curvas!BW$2,'Fluxos de Recebimento'!$I$5:$BH$5, 0))+INDEX('Fluxos de Recebimento'!$I$65:$BH$116, MATCH(Curvas!$AB33, 'Fluxos de Recebimento'!$F$65:$F$116, 0), MATCH(Curvas!BW$2, 'Fluxos de Recebimento'!$I$63:$BH$63, 0)),0)*INDEX($E:$E, MATCH(BW$2, $B:$B, 0))</f>
        <v>0</v>
      </c>
      <c r="BX33" s="193">
        <f>IFERROR(INDEX('Fluxos de Recebimento'!$I$7:$BH$58, MATCH(Curvas!$AB33, 'Fluxos de Recebimento'!$F$7:$F$58, 0), MATCH(Curvas!BX$2,'Fluxos de Recebimento'!$I$5:$BH$5, 0))+INDEX('Fluxos de Recebimento'!$I$65:$BH$116, MATCH(Curvas!$AB33, 'Fluxos de Recebimento'!$F$65:$F$116, 0), MATCH(Curvas!BX$2, 'Fluxos de Recebimento'!$I$63:$BH$63, 0)),0)*INDEX($E:$E, MATCH(BX$2, $B:$B, 0))</f>
        <v>0</v>
      </c>
      <c r="BY33" s="193">
        <f>IFERROR(INDEX('Fluxos de Recebimento'!$I$7:$BH$58, MATCH(Curvas!$AB33, 'Fluxos de Recebimento'!$F$7:$F$58, 0), MATCH(Curvas!BY$2,'Fluxos de Recebimento'!$I$5:$BH$5, 0))+INDEX('Fluxos de Recebimento'!$I$65:$BH$116, MATCH(Curvas!$AB33, 'Fluxos de Recebimento'!$F$65:$F$116, 0), MATCH(Curvas!BY$2, 'Fluxos de Recebimento'!$I$63:$BH$63, 0)),0)*INDEX($E:$E, MATCH(BY$2, $B:$B, 0))</f>
        <v>0</v>
      </c>
      <c r="BZ33" s="193">
        <f>IFERROR(INDEX('Fluxos de Recebimento'!$I$7:$BH$58, MATCH(Curvas!$AB33, 'Fluxos de Recebimento'!$F$7:$F$58, 0), MATCH(Curvas!BZ$2,'Fluxos de Recebimento'!$I$5:$BH$5, 0))+INDEX('Fluxos de Recebimento'!$I$65:$BH$116, MATCH(Curvas!$AB33, 'Fluxos de Recebimento'!$F$65:$F$116, 0), MATCH(Curvas!BZ$2, 'Fluxos de Recebimento'!$I$63:$BH$63, 0)),0)*INDEX($E:$E, MATCH(BZ$2, $B:$B, 0))</f>
        <v>0</v>
      </c>
      <c r="CA33" s="193">
        <f>IFERROR(INDEX('Fluxos de Recebimento'!$I$7:$BH$58, MATCH(Curvas!$AB33, 'Fluxos de Recebimento'!$F$7:$F$58, 0), MATCH(Curvas!CA$2,'Fluxos de Recebimento'!$I$5:$BH$5, 0))+INDEX('Fluxos de Recebimento'!$I$65:$BH$116, MATCH(Curvas!$AB33, 'Fluxos de Recebimento'!$F$65:$F$116, 0), MATCH(Curvas!CA$2, 'Fluxos de Recebimento'!$I$63:$BH$63, 0)),0)*INDEX($E:$E, MATCH(CA$2, $B:$B, 0))</f>
        <v>0</v>
      </c>
      <c r="CB33" s="193">
        <f>IFERROR(INDEX('Fluxos de Recebimento'!$I$7:$BH$58, MATCH(Curvas!$AB33, 'Fluxos de Recebimento'!$F$7:$F$58, 0), MATCH(Curvas!CB$2,'Fluxos de Recebimento'!$I$5:$BH$5, 0))+INDEX('Fluxos de Recebimento'!$I$65:$BH$116, MATCH(Curvas!$AB33, 'Fluxos de Recebimento'!$F$65:$F$116, 0), MATCH(Curvas!CB$2, 'Fluxos de Recebimento'!$I$63:$BH$63, 0)),0)*INDEX($E:$E, MATCH(CB$2, $B:$B, 0))</f>
        <v>0</v>
      </c>
      <c r="CC33" s="193">
        <f>IFERROR(INDEX('Fluxos de Recebimento'!$I$7:$BH$58, MATCH(Curvas!$AB33, 'Fluxos de Recebimento'!$F$7:$F$58, 0), MATCH(Curvas!CC$2,'Fluxos de Recebimento'!$I$5:$BH$5, 0))+INDEX('Fluxos de Recebimento'!$I$65:$BH$116, MATCH(Curvas!$AB33, 'Fluxos de Recebimento'!$F$65:$F$116, 0), MATCH(Curvas!CC$2, 'Fluxos de Recebimento'!$I$63:$BH$63, 0)),0)*INDEX($E:$E, MATCH(CC$2, $B:$B, 0))</f>
        <v>0</v>
      </c>
    </row>
    <row r="34" spans="1:81" x14ac:dyDescent="0.25">
      <c r="A34" s="2"/>
      <c r="B34" s="477">
        <f t="shared" si="16"/>
        <v>45078</v>
      </c>
      <c r="C34" s="52">
        <f t="shared" si="17"/>
        <v>31</v>
      </c>
      <c r="D34" s="2"/>
      <c r="E34" s="187">
        <f t="shared" si="4"/>
        <v>4.1666666666666671E-2</v>
      </c>
      <c r="F34" s="48">
        <f t="shared" si="18"/>
        <v>0.75</v>
      </c>
      <c r="G34" s="46">
        <f t="shared" ca="1" si="5"/>
        <v>0</v>
      </c>
      <c r="H34" s="48">
        <f t="shared" ca="1" si="19"/>
        <v>0</v>
      </c>
      <c r="I34" s="2"/>
      <c r="J34" s="69">
        <f t="shared" ca="1" si="6"/>
        <v>16</v>
      </c>
      <c r="K34" s="479">
        <f t="shared" ca="1" si="7"/>
        <v>0</v>
      </c>
      <c r="L34" s="70">
        <f t="shared" ca="1" si="8"/>
        <v>16</v>
      </c>
      <c r="M34" s="2"/>
      <c r="N34" s="69">
        <f t="shared" si="9"/>
        <v>21</v>
      </c>
      <c r="O34" s="479">
        <f t="shared" si="10"/>
        <v>0</v>
      </c>
      <c r="P34" s="70">
        <f t="shared" si="11"/>
        <v>21</v>
      </c>
      <c r="Q34" s="2"/>
      <c r="R34" s="71">
        <f t="shared" ca="1" si="12"/>
        <v>37</v>
      </c>
      <c r="S34" s="196"/>
      <c r="T34" s="46">
        <v>3.3880636786569607E-2</v>
      </c>
      <c r="U34" s="48">
        <f t="shared" si="20"/>
        <v>0.96336120785591561</v>
      </c>
      <c r="V34" s="2"/>
      <c r="W34" s="56"/>
      <c r="X34" s="48"/>
      <c r="Y34" s="2"/>
      <c r="Z34" s="194">
        <f t="shared" si="13"/>
        <v>9.3750000000000014E-3</v>
      </c>
      <c r="AA34" s="2"/>
      <c r="AB34" s="477">
        <f t="shared" si="14"/>
        <v>45078</v>
      </c>
      <c r="AC34" s="52">
        <f t="shared" si="15"/>
        <v>31</v>
      </c>
      <c r="AD34" s="193">
        <f>IFERROR(INDEX('Fluxos de Recebimento'!$I$7:$BH$58, MATCH(Curvas!$AB34, 'Fluxos de Recebimento'!$F$7:$F$58, 0), MATCH(Curvas!AD$2,'Fluxos de Recebimento'!$I$5:$BH$5, 0))+INDEX('Fluxos de Recebimento'!$I$65:$BH$116, MATCH(Curvas!$AB34, 'Fluxos de Recebimento'!$F$65:$F$116, 0), MATCH(Curvas!AD$2, 'Fluxos de Recebimento'!$I$63:$BH$63, 0)),0)*INDEX($E:$E, MATCH(AD$2, $B:$B, 0))</f>
        <v>0</v>
      </c>
      <c r="AE34" s="193">
        <f>IFERROR(INDEX('Fluxos de Recebimento'!$I$7:$BH$58, MATCH(Curvas!$AB34, 'Fluxos de Recebimento'!$F$7:$F$58, 0), MATCH(Curvas!AE$2,'Fluxos de Recebimento'!$I$5:$BH$5, 0))+INDEX('Fluxos de Recebimento'!$I$65:$BH$116, MATCH(Curvas!$AB34, 'Fluxos de Recebimento'!$F$65:$F$116, 0), MATCH(Curvas!AE$2, 'Fluxos de Recebimento'!$I$63:$BH$63, 0)),0)*INDEX($E:$E, MATCH(AE$2, $B:$B, 0))</f>
        <v>0</v>
      </c>
      <c r="AF34" s="193">
        <f>IFERROR(INDEX('Fluxos de Recebimento'!$I$7:$BH$58, MATCH(Curvas!$AB34, 'Fluxos de Recebimento'!$F$7:$F$58, 0), MATCH(Curvas!AF$2,'Fluxos de Recebimento'!$I$5:$BH$5, 0))+INDEX('Fluxos de Recebimento'!$I$65:$BH$116, MATCH(Curvas!$AB34, 'Fluxos de Recebimento'!$F$65:$F$116, 0), MATCH(Curvas!AF$2, 'Fluxos de Recebimento'!$I$63:$BH$63, 0)),0)*INDEX($E:$E, MATCH(AF$2, $B:$B, 0))</f>
        <v>0</v>
      </c>
      <c r="AG34" s="193">
        <f>IFERROR(INDEX('Fluxos de Recebimento'!$I$7:$BH$58, MATCH(Curvas!$AB34, 'Fluxos de Recebimento'!$F$7:$F$58, 0), MATCH(Curvas!AG$2,'Fluxos de Recebimento'!$I$5:$BH$5, 0))+INDEX('Fluxos de Recebimento'!$I$65:$BH$116, MATCH(Curvas!$AB34, 'Fluxos de Recebimento'!$F$65:$F$116, 0), MATCH(Curvas!AG$2, 'Fluxos de Recebimento'!$I$63:$BH$63, 0)),0)*INDEX($E:$E, MATCH(AG$2, $B:$B, 0))</f>
        <v>0</v>
      </c>
      <c r="AH34" s="193">
        <f>IFERROR(INDEX('Fluxos de Recebimento'!$I$7:$BH$58, MATCH(Curvas!$AB34, 'Fluxos de Recebimento'!$F$7:$F$58, 0), MATCH(Curvas!AH$2,'Fluxos de Recebimento'!$I$5:$BH$5, 0))+INDEX('Fluxos de Recebimento'!$I$65:$BH$116, MATCH(Curvas!$AB34, 'Fluxos de Recebimento'!$F$65:$F$116, 0), MATCH(Curvas!AH$2, 'Fluxos de Recebimento'!$I$63:$BH$63, 0)),0)*INDEX($E:$E, MATCH(AH$2, $B:$B, 0))</f>
        <v>0</v>
      </c>
      <c r="AI34" s="193">
        <f>IFERROR(INDEX('Fluxos de Recebimento'!$I$7:$BH$58, MATCH(Curvas!$AB34, 'Fluxos de Recebimento'!$F$7:$F$58, 0), MATCH(Curvas!AI$2,'Fluxos de Recebimento'!$I$5:$BH$5, 0))+INDEX('Fluxos de Recebimento'!$I$65:$BH$116, MATCH(Curvas!$AB34, 'Fluxos de Recebimento'!$F$65:$F$116, 0), MATCH(Curvas!AI$2, 'Fluxos de Recebimento'!$I$63:$BH$63, 0)),0)*INDEX($E:$E, MATCH(AI$2, $B:$B, 0))</f>
        <v>0</v>
      </c>
      <c r="AJ34" s="193">
        <f>IFERROR(INDEX('Fluxos de Recebimento'!$I$7:$BH$58, MATCH(Curvas!$AB34, 'Fluxos de Recebimento'!$F$7:$F$58, 0), MATCH(Curvas!AJ$2,'Fluxos de Recebimento'!$I$5:$BH$5, 0))+INDEX('Fluxos de Recebimento'!$I$65:$BH$116, MATCH(Curvas!$AB34, 'Fluxos de Recebimento'!$F$65:$F$116, 0), MATCH(Curvas!AJ$2, 'Fluxos de Recebimento'!$I$63:$BH$63, 0)),0)*INDEX($E:$E, MATCH(AJ$2, $B:$B, 0))</f>
        <v>0</v>
      </c>
      <c r="AK34" s="193">
        <f>IFERROR(INDEX('Fluxos de Recebimento'!$I$7:$BH$58, MATCH(Curvas!$AB34, 'Fluxos de Recebimento'!$F$7:$F$58, 0), MATCH(Curvas!AK$2,'Fluxos de Recebimento'!$I$5:$BH$5, 0))+INDEX('Fluxos de Recebimento'!$I$65:$BH$116, MATCH(Curvas!$AB34, 'Fluxos de Recebimento'!$F$65:$F$116, 0), MATCH(Curvas!AK$2, 'Fluxos de Recebimento'!$I$63:$BH$63, 0)),0)*INDEX($E:$E, MATCH(AK$2, $B:$B, 0))</f>
        <v>0</v>
      </c>
      <c r="AL34" s="193">
        <f>IFERROR(INDEX('Fluxos de Recebimento'!$I$7:$BH$58, MATCH(Curvas!$AB34, 'Fluxos de Recebimento'!$F$7:$F$58, 0), MATCH(Curvas!AL$2,'Fluxos de Recebimento'!$I$5:$BH$5, 0))+INDEX('Fluxos de Recebimento'!$I$65:$BH$116, MATCH(Curvas!$AB34, 'Fluxos de Recebimento'!$F$65:$F$116, 0), MATCH(Curvas!AL$2, 'Fluxos de Recebimento'!$I$63:$BH$63, 0)),0)*INDEX($E:$E, MATCH(AL$2, $B:$B, 0))</f>
        <v>0</v>
      </c>
      <c r="AM34" s="193">
        <f>IFERROR(INDEX('Fluxos de Recebimento'!$I$7:$BH$58, MATCH(Curvas!$AB34, 'Fluxos de Recebimento'!$F$7:$F$58, 0), MATCH(Curvas!AM$2,'Fluxos de Recebimento'!$I$5:$BH$5, 0))+INDEX('Fluxos de Recebimento'!$I$65:$BH$116, MATCH(Curvas!$AB34, 'Fluxos de Recebimento'!$F$65:$F$116, 0), MATCH(Curvas!AM$2, 'Fluxos de Recebimento'!$I$63:$BH$63, 0)),0)*INDEX($E:$E, MATCH(AM$2, $B:$B, 0))</f>
        <v>0</v>
      </c>
      <c r="AN34" s="193">
        <f>IFERROR(INDEX('Fluxos de Recebimento'!$I$7:$BH$58, MATCH(Curvas!$AB34, 'Fluxos de Recebimento'!$F$7:$F$58, 0), MATCH(Curvas!AN$2,'Fluxos de Recebimento'!$I$5:$BH$5, 0))+INDEX('Fluxos de Recebimento'!$I$65:$BH$116, MATCH(Curvas!$AB34, 'Fluxos de Recebimento'!$F$65:$F$116, 0), MATCH(Curvas!AN$2, 'Fluxos de Recebimento'!$I$63:$BH$63, 0)),0)*INDEX($E:$E, MATCH(AN$2, $B:$B, 0))</f>
        <v>0</v>
      </c>
      <c r="AO34" s="193">
        <f>IFERROR(INDEX('Fluxos de Recebimento'!$I$7:$BH$58, MATCH(Curvas!$AB34, 'Fluxos de Recebimento'!$F$7:$F$58, 0), MATCH(Curvas!AO$2,'Fluxos de Recebimento'!$I$5:$BH$5, 0))+INDEX('Fluxos de Recebimento'!$I$65:$BH$116, MATCH(Curvas!$AB34, 'Fluxos de Recebimento'!$F$65:$F$116, 0), MATCH(Curvas!AO$2, 'Fluxos de Recebimento'!$I$63:$BH$63, 0)),0)*INDEX($E:$E, MATCH(AO$2, $B:$B, 0))</f>
        <v>0</v>
      </c>
      <c r="AP34" s="193">
        <f>IFERROR(INDEX('Fluxos de Recebimento'!$I$7:$BH$58, MATCH(Curvas!$AB34, 'Fluxos de Recebimento'!$F$7:$F$58, 0), MATCH(Curvas!AP$2,'Fluxos de Recebimento'!$I$5:$BH$5, 0))+INDEX('Fluxos de Recebimento'!$I$65:$BH$116, MATCH(Curvas!$AB34, 'Fluxos de Recebimento'!$F$65:$F$116, 0), MATCH(Curvas!AP$2, 'Fluxos de Recebimento'!$I$63:$BH$63, 0)),0)*INDEX($E:$E, MATCH(AP$2, $B:$B, 0))</f>
        <v>0</v>
      </c>
      <c r="AQ34" s="193">
        <f>IFERROR(INDEX('Fluxos de Recebimento'!$I$7:$BH$58, MATCH(Curvas!$AB34, 'Fluxos de Recebimento'!$F$7:$F$58, 0), MATCH(Curvas!AQ$2,'Fluxos de Recebimento'!$I$5:$BH$5, 0))+INDEX('Fluxos de Recebimento'!$I$65:$BH$116, MATCH(Curvas!$AB34, 'Fluxos de Recebimento'!$F$65:$F$116, 0), MATCH(Curvas!AQ$2, 'Fluxos de Recebimento'!$I$63:$BH$63, 0)),0)*INDEX($E:$E, MATCH(AQ$2, $B:$B, 0))</f>
        <v>0</v>
      </c>
      <c r="AR34" s="193">
        <f>IFERROR(INDEX('Fluxos de Recebimento'!$I$7:$BH$58, MATCH(Curvas!$AB34, 'Fluxos de Recebimento'!$F$7:$F$58, 0), MATCH(Curvas!AR$2,'Fluxos de Recebimento'!$I$5:$BH$5, 0))+INDEX('Fluxos de Recebimento'!$I$65:$BH$116, MATCH(Curvas!$AB34, 'Fluxos de Recebimento'!$F$65:$F$116, 0), MATCH(Curvas!AR$2, 'Fluxos de Recebimento'!$I$63:$BH$63, 0)),0)*INDEX($E:$E, MATCH(AR$2, $B:$B, 0))</f>
        <v>0</v>
      </c>
      <c r="AS34" s="193">
        <f>IFERROR(INDEX('Fluxos de Recebimento'!$I$7:$BH$58, MATCH(Curvas!$AB34, 'Fluxos de Recebimento'!$F$7:$F$58, 0), MATCH(Curvas!AS$2,'Fluxos de Recebimento'!$I$5:$BH$5, 0))+INDEX('Fluxos de Recebimento'!$I$65:$BH$116, MATCH(Curvas!$AB34, 'Fluxos de Recebimento'!$F$65:$F$116, 0), MATCH(Curvas!AS$2, 'Fluxos de Recebimento'!$I$63:$BH$63, 0)),0)*INDEX($E:$E, MATCH(AS$2, $B:$B, 0))</f>
        <v>0</v>
      </c>
      <c r="AT34" s="193">
        <f>IFERROR(INDEX('Fluxos de Recebimento'!$I$7:$BH$58, MATCH(Curvas!$AB34, 'Fluxos de Recebimento'!$F$7:$F$58, 0), MATCH(Curvas!AT$2,'Fluxos de Recebimento'!$I$5:$BH$5, 0))+INDEX('Fluxos de Recebimento'!$I$65:$BH$116, MATCH(Curvas!$AB34, 'Fluxos de Recebimento'!$F$65:$F$116, 0), MATCH(Curvas!AT$2, 'Fluxos de Recebimento'!$I$63:$BH$63, 0)),0)*INDEX($E:$E, MATCH(AT$2, $B:$B, 0))</f>
        <v>0</v>
      </c>
      <c r="AU34" s="193">
        <f>IFERROR(INDEX('Fluxos de Recebimento'!$I$7:$BH$58, MATCH(Curvas!$AB34, 'Fluxos de Recebimento'!$F$7:$F$58, 0), MATCH(Curvas!AU$2,'Fluxos de Recebimento'!$I$5:$BH$5, 0))+INDEX('Fluxos de Recebimento'!$I$65:$BH$116, MATCH(Curvas!$AB34, 'Fluxos de Recebimento'!$F$65:$F$116, 0), MATCH(Curvas!AU$2, 'Fluxos de Recebimento'!$I$63:$BH$63, 0)),0)*INDEX($E:$E, MATCH(AU$2, $B:$B, 0))</f>
        <v>0</v>
      </c>
      <c r="AV34" s="193">
        <f>IFERROR(INDEX('Fluxos de Recebimento'!$I$7:$BH$58, MATCH(Curvas!$AB34, 'Fluxos de Recebimento'!$F$7:$F$58, 0), MATCH(Curvas!AV$2,'Fluxos de Recebimento'!$I$5:$BH$5, 0))+INDEX('Fluxos de Recebimento'!$I$65:$BH$116, MATCH(Curvas!$AB34, 'Fluxos de Recebimento'!$F$65:$F$116, 0), MATCH(Curvas!AV$2, 'Fluxos de Recebimento'!$I$63:$BH$63, 0)),0)*INDEX($E:$E, MATCH(AV$2, $B:$B, 0))</f>
        <v>0</v>
      </c>
      <c r="AW34" s="193">
        <f>IFERROR(INDEX('Fluxos de Recebimento'!$I$7:$BH$58, MATCH(Curvas!$AB34, 'Fluxos de Recebimento'!$F$7:$F$58, 0), MATCH(Curvas!AW$2,'Fluxos de Recebimento'!$I$5:$BH$5, 0))+INDEX('Fluxos de Recebimento'!$I$65:$BH$116, MATCH(Curvas!$AB34, 'Fluxos de Recebimento'!$F$65:$F$116, 0), MATCH(Curvas!AW$2, 'Fluxos de Recebimento'!$I$63:$BH$63, 0)),0)*INDEX($E:$E, MATCH(AW$2, $B:$B, 0))</f>
        <v>0</v>
      </c>
      <c r="AX34" s="193">
        <f>IFERROR(INDEX('Fluxos de Recebimento'!$I$7:$BH$58, MATCH(Curvas!$AB34, 'Fluxos de Recebimento'!$F$7:$F$58, 0), MATCH(Curvas!AX$2,'Fluxos de Recebimento'!$I$5:$BH$5, 0))+INDEX('Fluxos de Recebimento'!$I$65:$BH$116, MATCH(Curvas!$AB34, 'Fluxos de Recebimento'!$F$65:$F$116, 0), MATCH(Curvas!AX$2, 'Fluxos de Recebimento'!$I$63:$BH$63, 0)),0)*INDEX($E:$E, MATCH(AX$2, $B:$B, 0))</f>
        <v>0</v>
      </c>
      <c r="AY34" s="193">
        <f>IFERROR(INDEX('Fluxos de Recebimento'!$I$7:$BH$58, MATCH(Curvas!$AB34, 'Fluxos de Recebimento'!$F$7:$F$58, 0), MATCH(Curvas!AY$2,'Fluxos de Recebimento'!$I$5:$BH$5, 0))+INDEX('Fluxos de Recebimento'!$I$65:$BH$116, MATCH(Curvas!$AB34, 'Fluxos de Recebimento'!$F$65:$F$116, 0), MATCH(Curvas!AY$2, 'Fluxos de Recebimento'!$I$63:$BH$63, 0)),0)*INDEX($E:$E, MATCH(AY$2, $B:$B, 0))</f>
        <v>0</v>
      </c>
      <c r="AZ34" s="193">
        <f>IFERROR(INDEX('Fluxos de Recebimento'!$I$7:$BH$58, MATCH(Curvas!$AB34, 'Fluxos de Recebimento'!$F$7:$F$58, 0), MATCH(Curvas!AZ$2,'Fluxos de Recebimento'!$I$5:$BH$5, 0))+INDEX('Fluxos de Recebimento'!$I$65:$BH$116, MATCH(Curvas!$AB34, 'Fluxos de Recebimento'!$F$65:$F$116, 0), MATCH(Curvas!AZ$2, 'Fluxos de Recebimento'!$I$63:$BH$63, 0)),0)*INDEX($E:$E, MATCH(AZ$2, $B:$B, 0))</f>
        <v>0</v>
      </c>
      <c r="BA34" s="193">
        <f>IFERROR(INDEX('Fluxos de Recebimento'!$I$7:$BH$58, MATCH(Curvas!$AB34, 'Fluxos de Recebimento'!$F$7:$F$58, 0), MATCH(Curvas!BA$2,'Fluxos de Recebimento'!$I$5:$BH$5, 0))+INDEX('Fluxos de Recebimento'!$I$65:$BH$116, MATCH(Curvas!$AB34, 'Fluxos de Recebimento'!$F$65:$F$116, 0), MATCH(Curvas!BA$2, 'Fluxos de Recebimento'!$I$63:$BH$63, 0)),0)*INDEX($E:$E, MATCH(BA$2, $B:$B, 0))</f>
        <v>0</v>
      </c>
      <c r="BB34" s="193">
        <f>IFERROR(INDEX('Fluxos de Recebimento'!$I$7:$BH$58, MATCH(Curvas!$AB34, 'Fluxos de Recebimento'!$F$7:$F$58, 0), MATCH(Curvas!BB$2,'Fluxos de Recebimento'!$I$5:$BH$5, 0))+INDEX('Fluxos de Recebimento'!$I$65:$BH$116, MATCH(Curvas!$AB34, 'Fluxos de Recebimento'!$F$65:$F$116, 0), MATCH(Curvas!BB$2, 'Fluxos de Recebimento'!$I$63:$BH$63, 0)),0)*INDEX($E:$E, MATCH(BB$2, $B:$B, 0))</f>
        <v>0</v>
      </c>
      <c r="BC34" s="193">
        <f>IFERROR(INDEX('Fluxos de Recebimento'!$I$7:$BH$58, MATCH(Curvas!$AB34, 'Fluxos de Recebimento'!$F$7:$F$58, 0), MATCH(Curvas!BC$2,'Fluxos de Recebimento'!$I$5:$BH$5, 0))+INDEX('Fluxos de Recebimento'!$I$65:$BH$116, MATCH(Curvas!$AB34, 'Fluxos de Recebimento'!$F$65:$F$116, 0), MATCH(Curvas!BC$2, 'Fluxos de Recebimento'!$I$63:$BH$63, 0)),0)*INDEX($E:$E, MATCH(BC$2, $B:$B, 0))</f>
        <v>0</v>
      </c>
      <c r="BD34" s="193">
        <f>IFERROR(INDEX('Fluxos de Recebimento'!$I$7:$BH$58, MATCH(Curvas!$AB34, 'Fluxos de Recebimento'!$F$7:$F$58, 0), MATCH(Curvas!BD$2,'Fluxos de Recebimento'!$I$5:$BH$5, 0))+INDEX('Fluxos de Recebimento'!$I$65:$BH$116, MATCH(Curvas!$AB34, 'Fluxos de Recebimento'!$F$65:$F$116, 0), MATCH(Curvas!BD$2, 'Fluxos de Recebimento'!$I$63:$BH$63, 0)),0)*INDEX($E:$E, MATCH(BD$2, $B:$B, 0))</f>
        <v>0</v>
      </c>
      <c r="BE34" s="193">
        <f>IFERROR(INDEX('Fluxos de Recebimento'!$I$7:$BH$58, MATCH(Curvas!$AB34, 'Fluxos de Recebimento'!$F$7:$F$58, 0), MATCH(Curvas!BE$2,'Fluxos de Recebimento'!$I$5:$BH$5, 0))+INDEX('Fluxos de Recebimento'!$I$65:$BH$116, MATCH(Curvas!$AB34, 'Fluxos de Recebimento'!$F$65:$F$116, 0), MATCH(Curvas!BE$2, 'Fluxos de Recebimento'!$I$63:$BH$63, 0)),0)*INDEX($E:$E, MATCH(BE$2, $B:$B, 0))</f>
        <v>0</v>
      </c>
      <c r="BF34" s="193">
        <f>IFERROR(INDEX('Fluxos de Recebimento'!$I$7:$BH$58, MATCH(Curvas!$AB34, 'Fluxos de Recebimento'!$F$7:$F$58, 0), MATCH(Curvas!BF$2,'Fluxos de Recebimento'!$I$5:$BH$5, 0))+INDEX('Fluxos de Recebimento'!$I$65:$BH$116, MATCH(Curvas!$AB34, 'Fluxos de Recebimento'!$F$65:$F$116, 0), MATCH(Curvas!BF$2, 'Fluxos de Recebimento'!$I$63:$BH$63, 0)),0)*INDEX($E:$E, MATCH(BF$2, $B:$B, 0))</f>
        <v>0</v>
      </c>
      <c r="BG34" s="193">
        <f>IFERROR(INDEX('Fluxos de Recebimento'!$I$7:$BH$58, MATCH(Curvas!$AB34, 'Fluxos de Recebimento'!$F$7:$F$58, 0), MATCH(Curvas!BG$2,'Fluxos de Recebimento'!$I$5:$BH$5, 0))+INDEX('Fluxos de Recebimento'!$I$65:$BH$116, MATCH(Curvas!$AB34, 'Fluxos de Recebimento'!$F$65:$F$116, 0), MATCH(Curvas!BG$2, 'Fluxos de Recebimento'!$I$63:$BH$63, 0)),0)*INDEX($E:$E, MATCH(BG$2, $B:$B, 0))</f>
        <v>3.1250000000000002E-3</v>
      </c>
      <c r="BH34" s="193">
        <f>IFERROR(INDEX('Fluxos de Recebimento'!$I$7:$BH$58, MATCH(Curvas!$AB34, 'Fluxos de Recebimento'!$F$7:$F$58, 0), MATCH(Curvas!BH$2,'Fluxos de Recebimento'!$I$5:$BH$5, 0))+INDEX('Fluxos de Recebimento'!$I$65:$BH$116, MATCH(Curvas!$AB34, 'Fluxos de Recebimento'!$F$65:$F$116, 0), MATCH(Curvas!BH$2, 'Fluxos de Recebimento'!$I$63:$BH$63, 0)),0)*INDEX($E:$E, MATCH(BH$2, $B:$B, 0))</f>
        <v>6.2500000000000003E-3</v>
      </c>
      <c r="BI34" s="193">
        <f>IFERROR(INDEX('Fluxos de Recebimento'!$I$7:$BH$58, MATCH(Curvas!$AB34, 'Fluxos de Recebimento'!$F$7:$F$58, 0), MATCH(Curvas!BI$2,'Fluxos de Recebimento'!$I$5:$BH$5, 0))+INDEX('Fluxos de Recebimento'!$I$65:$BH$116, MATCH(Curvas!$AB34, 'Fluxos de Recebimento'!$F$65:$F$116, 0), MATCH(Curvas!BI$2, 'Fluxos de Recebimento'!$I$63:$BH$63, 0)),0)*INDEX($E:$E, MATCH(BI$2, $B:$B, 0))</f>
        <v>0</v>
      </c>
      <c r="BJ34" s="193">
        <f>IFERROR(INDEX('Fluxos de Recebimento'!$I$7:$BH$58, MATCH(Curvas!$AB34, 'Fluxos de Recebimento'!$F$7:$F$58, 0), MATCH(Curvas!BJ$2,'Fluxos de Recebimento'!$I$5:$BH$5, 0))+INDEX('Fluxos de Recebimento'!$I$65:$BH$116, MATCH(Curvas!$AB34, 'Fluxos de Recebimento'!$F$65:$F$116, 0), MATCH(Curvas!BJ$2, 'Fluxos de Recebimento'!$I$63:$BH$63, 0)),0)*INDEX($E:$E, MATCH(BJ$2, $B:$B, 0))</f>
        <v>0</v>
      </c>
      <c r="BK34" s="193">
        <f>IFERROR(INDEX('Fluxos de Recebimento'!$I$7:$BH$58, MATCH(Curvas!$AB34, 'Fluxos de Recebimento'!$F$7:$F$58, 0), MATCH(Curvas!BK$2,'Fluxos de Recebimento'!$I$5:$BH$5, 0))+INDEX('Fluxos de Recebimento'!$I$65:$BH$116, MATCH(Curvas!$AB34, 'Fluxos de Recebimento'!$F$65:$F$116, 0), MATCH(Curvas!BK$2, 'Fluxos de Recebimento'!$I$63:$BH$63, 0)),0)*INDEX($E:$E, MATCH(BK$2, $B:$B, 0))</f>
        <v>0</v>
      </c>
      <c r="BL34" s="193">
        <f>IFERROR(INDEX('Fluxos de Recebimento'!$I$7:$BH$58, MATCH(Curvas!$AB34, 'Fluxos de Recebimento'!$F$7:$F$58, 0), MATCH(Curvas!BL$2,'Fluxos de Recebimento'!$I$5:$BH$5, 0))+INDEX('Fluxos de Recebimento'!$I$65:$BH$116, MATCH(Curvas!$AB34, 'Fluxos de Recebimento'!$F$65:$F$116, 0), MATCH(Curvas!BL$2, 'Fluxos de Recebimento'!$I$63:$BH$63, 0)),0)*INDEX($E:$E, MATCH(BL$2, $B:$B, 0))</f>
        <v>0</v>
      </c>
      <c r="BM34" s="193">
        <f>IFERROR(INDEX('Fluxos de Recebimento'!$I$7:$BH$58, MATCH(Curvas!$AB34, 'Fluxos de Recebimento'!$F$7:$F$58, 0), MATCH(Curvas!BM$2,'Fluxos de Recebimento'!$I$5:$BH$5, 0))+INDEX('Fluxos de Recebimento'!$I$65:$BH$116, MATCH(Curvas!$AB34, 'Fluxos de Recebimento'!$F$65:$F$116, 0), MATCH(Curvas!BM$2, 'Fluxos de Recebimento'!$I$63:$BH$63, 0)),0)*INDEX($E:$E, MATCH(BM$2, $B:$B, 0))</f>
        <v>0</v>
      </c>
      <c r="BN34" s="193">
        <f>IFERROR(INDEX('Fluxos de Recebimento'!$I$7:$BH$58, MATCH(Curvas!$AB34, 'Fluxos de Recebimento'!$F$7:$F$58, 0), MATCH(Curvas!BN$2,'Fluxos de Recebimento'!$I$5:$BH$5, 0))+INDEX('Fluxos de Recebimento'!$I$65:$BH$116, MATCH(Curvas!$AB34, 'Fluxos de Recebimento'!$F$65:$F$116, 0), MATCH(Curvas!BN$2, 'Fluxos de Recebimento'!$I$63:$BH$63, 0)),0)*INDEX($E:$E, MATCH(BN$2, $B:$B, 0))</f>
        <v>0</v>
      </c>
      <c r="BO34" s="193">
        <f>IFERROR(INDEX('Fluxos de Recebimento'!$I$7:$BH$58, MATCH(Curvas!$AB34, 'Fluxos de Recebimento'!$F$7:$F$58, 0), MATCH(Curvas!BO$2,'Fluxos de Recebimento'!$I$5:$BH$5, 0))+INDEX('Fluxos de Recebimento'!$I$65:$BH$116, MATCH(Curvas!$AB34, 'Fluxos de Recebimento'!$F$65:$F$116, 0), MATCH(Curvas!BO$2, 'Fluxos de Recebimento'!$I$63:$BH$63, 0)),0)*INDEX($E:$E, MATCH(BO$2, $B:$B, 0))</f>
        <v>0</v>
      </c>
      <c r="BP34" s="193">
        <f>IFERROR(INDEX('Fluxos de Recebimento'!$I$7:$BH$58, MATCH(Curvas!$AB34, 'Fluxos de Recebimento'!$F$7:$F$58, 0), MATCH(Curvas!BP$2,'Fluxos de Recebimento'!$I$5:$BH$5, 0))+INDEX('Fluxos de Recebimento'!$I$65:$BH$116, MATCH(Curvas!$AB34, 'Fluxos de Recebimento'!$F$65:$F$116, 0), MATCH(Curvas!BP$2, 'Fluxos de Recebimento'!$I$63:$BH$63, 0)),0)*INDEX($E:$E, MATCH(BP$2, $B:$B, 0))</f>
        <v>0</v>
      </c>
      <c r="BQ34" s="193">
        <f>IFERROR(INDEX('Fluxos de Recebimento'!$I$7:$BH$58, MATCH(Curvas!$AB34, 'Fluxos de Recebimento'!$F$7:$F$58, 0), MATCH(Curvas!BQ$2,'Fluxos de Recebimento'!$I$5:$BH$5, 0))+INDEX('Fluxos de Recebimento'!$I$65:$BH$116, MATCH(Curvas!$AB34, 'Fluxos de Recebimento'!$F$65:$F$116, 0), MATCH(Curvas!BQ$2, 'Fluxos de Recebimento'!$I$63:$BH$63, 0)),0)*INDEX($E:$E, MATCH(BQ$2, $B:$B, 0))</f>
        <v>0</v>
      </c>
      <c r="BR34" s="193">
        <f>IFERROR(INDEX('Fluxos de Recebimento'!$I$7:$BH$58, MATCH(Curvas!$AB34, 'Fluxos de Recebimento'!$F$7:$F$58, 0), MATCH(Curvas!BR$2,'Fluxos de Recebimento'!$I$5:$BH$5, 0))+INDEX('Fluxos de Recebimento'!$I$65:$BH$116, MATCH(Curvas!$AB34, 'Fluxos de Recebimento'!$F$65:$F$116, 0), MATCH(Curvas!BR$2, 'Fluxos de Recebimento'!$I$63:$BH$63, 0)),0)*INDEX($E:$E, MATCH(BR$2, $B:$B, 0))</f>
        <v>0</v>
      </c>
      <c r="BS34" s="193">
        <f>IFERROR(INDEX('Fluxos de Recebimento'!$I$7:$BH$58, MATCH(Curvas!$AB34, 'Fluxos de Recebimento'!$F$7:$F$58, 0), MATCH(Curvas!BS$2,'Fluxos de Recebimento'!$I$5:$BH$5, 0))+INDEX('Fluxos de Recebimento'!$I$65:$BH$116, MATCH(Curvas!$AB34, 'Fluxos de Recebimento'!$F$65:$F$116, 0), MATCH(Curvas!BS$2, 'Fluxos de Recebimento'!$I$63:$BH$63, 0)),0)*INDEX($E:$E, MATCH(BS$2, $B:$B, 0))</f>
        <v>0</v>
      </c>
      <c r="BT34" s="193">
        <f>IFERROR(INDEX('Fluxos de Recebimento'!$I$7:$BH$58, MATCH(Curvas!$AB34, 'Fluxos de Recebimento'!$F$7:$F$58, 0), MATCH(Curvas!BT$2,'Fluxos de Recebimento'!$I$5:$BH$5, 0))+INDEX('Fluxos de Recebimento'!$I$65:$BH$116, MATCH(Curvas!$AB34, 'Fluxos de Recebimento'!$F$65:$F$116, 0), MATCH(Curvas!BT$2, 'Fluxos de Recebimento'!$I$63:$BH$63, 0)),0)*INDEX($E:$E, MATCH(BT$2, $B:$B, 0))</f>
        <v>0</v>
      </c>
      <c r="BU34" s="193">
        <f>IFERROR(INDEX('Fluxos de Recebimento'!$I$7:$BH$58, MATCH(Curvas!$AB34, 'Fluxos de Recebimento'!$F$7:$F$58, 0), MATCH(Curvas!BU$2,'Fluxos de Recebimento'!$I$5:$BH$5, 0))+INDEX('Fluxos de Recebimento'!$I$65:$BH$116, MATCH(Curvas!$AB34, 'Fluxos de Recebimento'!$F$65:$F$116, 0), MATCH(Curvas!BU$2, 'Fluxos de Recebimento'!$I$63:$BH$63, 0)),0)*INDEX($E:$E, MATCH(BU$2, $B:$B, 0))</f>
        <v>0</v>
      </c>
      <c r="BV34" s="193">
        <f>IFERROR(INDEX('Fluxos de Recebimento'!$I$7:$BH$58, MATCH(Curvas!$AB34, 'Fluxos de Recebimento'!$F$7:$F$58, 0), MATCH(Curvas!BV$2,'Fluxos de Recebimento'!$I$5:$BH$5, 0))+INDEX('Fluxos de Recebimento'!$I$65:$BH$116, MATCH(Curvas!$AB34, 'Fluxos de Recebimento'!$F$65:$F$116, 0), MATCH(Curvas!BV$2, 'Fluxos de Recebimento'!$I$63:$BH$63, 0)),0)*INDEX($E:$E, MATCH(BV$2, $B:$B, 0))</f>
        <v>0</v>
      </c>
      <c r="BW34" s="193">
        <f>IFERROR(INDEX('Fluxos de Recebimento'!$I$7:$BH$58, MATCH(Curvas!$AB34, 'Fluxos de Recebimento'!$F$7:$F$58, 0), MATCH(Curvas!BW$2,'Fluxos de Recebimento'!$I$5:$BH$5, 0))+INDEX('Fluxos de Recebimento'!$I$65:$BH$116, MATCH(Curvas!$AB34, 'Fluxos de Recebimento'!$F$65:$F$116, 0), MATCH(Curvas!BW$2, 'Fluxos de Recebimento'!$I$63:$BH$63, 0)),0)*INDEX($E:$E, MATCH(BW$2, $B:$B, 0))</f>
        <v>0</v>
      </c>
      <c r="BX34" s="193">
        <f>IFERROR(INDEX('Fluxos de Recebimento'!$I$7:$BH$58, MATCH(Curvas!$AB34, 'Fluxos de Recebimento'!$F$7:$F$58, 0), MATCH(Curvas!BX$2,'Fluxos de Recebimento'!$I$5:$BH$5, 0))+INDEX('Fluxos de Recebimento'!$I$65:$BH$116, MATCH(Curvas!$AB34, 'Fluxos de Recebimento'!$F$65:$F$116, 0), MATCH(Curvas!BX$2, 'Fluxos de Recebimento'!$I$63:$BH$63, 0)),0)*INDEX($E:$E, MATCH(BX$2, $B:$B, 0))</f>
        <v>0</v>
      </c>
      <c r="BY34" s="193">
        <f>IFERROR(INDEX('Fluxos de Recebimento'!$I$7:$BH$58, MATCH(Curvas!$AB34, 'Fluxos de Recebimento'!$F$7:$F$58, 0), MATCH(Curvas!BY$2,'Fluxos de Recebimento'!$I$5:$BH$5, 0))+INDEX('Fluxos de Recebimento'!$I$65:$BH$116, MATCH(Curvas!$AB34, 'Fluxos de Recebimento'!$F$65:$F$116, 0), MATCH(Curvas!BY$2, 'Fluxos de Recebimento'!$I$63:$BH$63, 0)),0)*INDEX($E:$E, MATCH(BY$2, $B:$B, 0))</f>
        <v>0</v>
      </c>
      <c r="BZ34" s="193">
        <f>IFERROR(INDEX('Fluxos de Recebimento'!$I$7:$BH$58, MATCH(Curvas!$AB34, 'Fluxos de Recebimento'!$F$7:$F$58, 0), MATCH(Curvas!BZ$2,'Fluxos de Recebimento'!$I$5:$BH$5, 0))+INDEX('Fluxos de Recebimento'!$I$65:$BH$116, MATCH(Curvas!$AB34, 'Fluxos de Recebimento'!$F$65:$F$116, 0), MATCH(Curvas!BZ$2, 'Fluxos de Recebimento'!$I$63:$BH$63, 0)),0)*INDEX($E:$E, MATCH(BZ$2, $B:$B, 0))</f>
        <v>0</v>
      </c>
      <c r="CA34" s="193">
        <f>IFERROR(INDEX('Fluxos de Recebimento'!$I$7:$BH$58, MATCH(Curvas!$AB34, 'Fluxos de Recebimento'!$F$7:$F$58, 0), MATCH(Curvas!CA$2,'Fluxos de Recebimento'!$I$5:$BH$5, 0))+INDEX('Fluxos de Recebimento'!$I$65:$BH$116, MATCH(Curvas!$AB34, 'Fluxos de Recebimento'!$F$65:$F$116, 0), MATCH(Curvas!CA$2, 'Fluxos de Recebimento'!$I$63:$BH$63, 0)),0)*INDEX($E:$E, MATCH(CA$2, $B:$B, 0))</f>
        <v>0</v>
      </c>
      <c r="CB34" s="193">
        <f>IFERROR(INDEX('Fluxos de Recebimento'!$I$7:$BH$58, MATCH(Curvas!$AB34, 'Fluxos de Recebimento'!$F$7:$F$58, 0), MATCH(Curvas!CB$2,'Fluxos de Recebimento'!$I$5:$BH$5, 0))+INDEX('Fluxos de Recebimento'!$I$65:$BH$116, MATCH(Curvas!$AB34, 'Fluxos de Recebimento'!$F$65:$F$116, 0), MATCH(Curvas!CB$2, 'Fluxos de Recebimento'!$I$63:$BH$63, 0)),0)*INDEX($E:$E, MATCH(CB$2, $B:$B, 0))</f>
        <v>0</v>
      </c>
      <c r="CC34" s="193">
        <f>IFERROR(INDEX('Fluxos de Recebimento'!$I$7:$BH$58, MATCH(Curvas!$AB34, 'Fluxos de Recebimento'!$F$7:$F$58, 0), MATCH(Curvas!CC$2,'Fluxos de Recebimento'!$I$5:$BH$5, 0))+INDEX('Fluxos de Recebimento'!$I$65:$BH$116, MATCH(Curvas!$AB34, 'Fluxos de Recebimento'!$F$65:$F$116, 0), MATCH(Curvas!CC$2, 'Fluxos de Recebimento'!$I$63:$BH$63, 0)),0)*INDEX($E:$E, MATCH(CC$2, $B:$B, 0))</f>
        <v>0</v>
      </c>
    </row>
    <row r="35" spans="1:81" x14ac:dyDescent="0.25">
      <c r="A35" s="2"/>
      <c r="B35" s="477">
        <f t="shared" si="16"/>
        <v>45108</v>
      </c>
      <c r="C35" s="52">
        <f t="shared" si="17"/>
        <v>32</v>
      </c>
      <c r="D35" s="2"/>
      <c r="E35" s="187">
        <f t="shared" si="4"/>
        <v>4.1666666666666671E-2</v>
      </c>
      <c r="F35" s="48">
        <f t="shared" si="18"/>
        <v>0.79166666666666663</v>
      </c>
      <c r="G35" s="46">
        <f t="shared" ca="1" si="5"/>
        <v>0.1875</v>
      </c>
      <c r="H35" s="48">
        <f t="shared" ca="1" si="19"/>
        <v>0.1875</v>
      </c>
      <c r="I35" s="2"/>
      <c r="J35" s="69">
        <f t="shared" ca="1" si="6"/>
        <v>16</v>
      </c>
      <c r="K35" s="479">
        <f t="shared" ca="1" si="7"/>
        <v>-3</v>
      </c>
      <c r="L35" s="70">
        <f t="shared" ca="1" si="8"/>
        <v>13</v>
      </c>
      <c r="M35" s="2"/>
      <c r="N35" s="69">
        <f t="shared" si="9"/>
        <v>21</v>
      </c>
      <c r="O35" s="479">
        <f t="shared" si="10"/>
        <v>-5</v>
      </c>
      <c r="P35" s="70">
        <f t="shared" si="11"/>
        <v>16</v>
      </c>
      <c r="Q35" s="2"/>
      <c r="R35" s="71">
        <f t="shared" ca="1" si="12"/>
        <v>37</v>
      </c>
      <c r="S35" s="196"/>
      <c r="T35" s="46">
        <v>2.3222654013975531E-2</v>
      </c>
      <c r="U35" s="48">
        <f t="shared" si="20"/>
        <v>0.98658386186989111</v>
      </c>
      <c r="V35" s="2"/>
      <c r="W35" s="56"/>
      <c r="X35" s="48"/>
      <c r="Y35" s="2"/>
      <c r="Z35" s="194">
        <f t="shared" si="13"/>
        <v>0.13749999999999993</v>
      </c>
      <c r="AA35" s="2"/>
      <c r="AB35" s="477">
        <f t="shared" si="14"/>
        <v>45108</v>
      </c>
      <c r="AC35" s="52">
        <f t="shared" si="15"/>
        <v>32</v>
      </c>
      <c r="AD35" s="193">
        <f>IFERROR(INDEX('Fluxos de Recebimento'!$I$7:$BH$58, MATCH(Curvas!$AB35, 'Fluxos de Recebimento'!$F$7:$F$58, 0), MATCH(Curvas!AD$2,'Fluxos de Recebimento'!$I$5:$BH$5, 0))+INDEX('Fluxos de Recebimento'!$I$65:$BH$116, MATCH(Curvas!$AB35, 'Fluxos de Recebimento'!$F$65:$F$116, 0), MATCH(Curvas!AD$2, 'Fluxos de Recebimento'!$I$63:$BH$63, 0)),0)*INDEX($E:$E, MATCH(AD$2, $B:$B, 0))</f>
        <v>4.3103448275862077E-3</v>
      </c>
      <c r="AE35" s="193">
        <f>IFERROR(INDEX('Fluxos de Recebimento'!$I$7:$BH$58, MATCH(Curvas!$AB35, 'Fluxos de Recebimento'!$F$7:$F$58, 0), MATCH(Curvas!AE$2,'Fluxos de Recebimento'!$I$5:$BH$5, 0))+INDEX('Fluxos de Recebimento'!$I$65:$BH$116, MATCH(Curvas!$AB35, 'Fluxos de Recebimento'!$F$65:$F$116, 0), MATCH(Curvas!AE$2, 'Fluxos de Recebimento'!$I$63:$BH$63, 0)),0)*INDEX($E:$E, MATCH(AE$2, $B:$B, 0))</f>
        <v>4.3103448275862077E-3</v>
      </c>
      <c r="AF35" s="193">
        <f>IFERROR(INDEX('Fluxos de Recebimento'!$I$7:$BH$58, MATCH(Curvas!$AB35, 'Fluxos de Recebimento'!$F$7:$F$58, 0), MATCH(Curvas!AF$2,'Fluxos de Recebimento'!$I$5:$BH$5, 0))+INDEX('Fluxos de Recebimento'!$I$65:$BH$116, MATCH(Curvas!$AB35, 'Fluxos de Recebimento'!$F$65:$F$116, 0), MATCH(Curvas!AF$2, 'Fluxos de Recebimento'!$I$63:$BH$63, 0)),0)*INDEX($E:$E, MATCH(AF$2, $B:$B, 0))</f>
        <v>4.3103448275862077E-3</v>
      </c>
      <c r="AG35" s="193">
        <f>IFERROR(INDEX('Fluxos de Recebimento'!$I$7:$BH$58, MATCH(Curvas!$AB35, 'Fluxos de Recebimento'!$F$7:$F$58, 0), MATCH(Curvas!AG$2,'Fluxos de Recebimento'!$I$5:$BH$5, 0))+INDEX('Fluxos de Recebimento'!$I$65:$BH$116, MATCH(Curvas!$AB35, 'Fluxos de Recebimento'!$F$65:$F$116, 0), MATCH(Curvas!AG$2, 'Fluxos de Recebimento'!$I$63:$BH$63, 0)),0)*INDEX($E:$E, MATCH(AG$2, $B:$B, 0))</f>
        <v>4.3103448275862077E-3</v>
      </c>
      <c r="AH35" s="193">
        <f>IFERROR(INDEX('Fluxos de Recebimento'!$I$7:$BH$58, MATCH(Curvas!$AB35, 'Fluxos de Recebimento'!$F$7:$F$58, 0), MATCH(Curvas!AH$2,'Fluxos de Recebimento'!$I$5:$BH$5, 0))+INDEX('Fluxos de Recebimento'!$I$65:$BH$116, MATCH(Curvas!$AB35, 'Fluxos de Recebimento'!$F$65:$F$116, 0), MATCH(Curvas!AH$2, 'Fluxos de Recebimento'!$I$63:$BH$63, 0)),0)*INDEX($E:$E, MATCH(AH$2, $B:$B, 0))</f>
        <v>4.3103448275862077E-3</v>
      </c>
      <c r="AI35" s="193">
        <f>IFERROR(INDEX('Fluxos de Recebimento'!$I$7:$BH$58, MATCH(Curvas!$AB35, 'Fluxos de Recebimento'!$F$7:$F$58, 0), MATCH(Curvas!AI$2,'Fluxos de Recebimento'!$I$5:$BH$5, 0))+INDEX('Fluxos de Recebimento'!$I$65:$BH$116, MATCH(Curvas!$AB35, 'Fluxos de Recebimento'!$F$65:$F$116, 0), MATCH(Curvas!AI$2, 'Fluxos de Recebimento'!$I$63:$BH$63, 0)),0)*INDEX($E:$E, MATCH(AI$2, $B:$B, 0))</f>
        <v>4.3103448275862077E-3</v>
      </c>
      <c r="AJ35" s="193">
        <f>IFERROR(INDEX('Fluxos de Recebimento'!$I$7:$BH$58, MATCH(Curvas!$AB35, 'Fluxos de Recebimento'!$F$7:$F$58, 0), MATCH(Curvas!AJ$2,'Fluxos de Recebimento'!$I$5:$BH$5, 0))+INDEX('Fluxos de Recebimento'!$I$65:$BH$116, MATCH(Curvas!$AB35, 'Fluxos de Recebimento'!$F$65:$F$116, 0), MATCH(Curvas!AJ$2, 'Fluxos de Recebimento'!$I$63:$BH$63, 0)),0)*INDEX($E:$E, MATCH(AJ$2, $B:$B, 0))</f>
        <v>4.3103448275862077E-3</v>
      </c>
      <c r="AK35" s="193">
        <f>IFERROR(INDEX('Fluxos de Recebimento'!$I$7:$BH$58, MATCH(Curvas!$AB35, 'Fluxos de Recebimento'!$F$7:$F$58, 0), MATCH(Curvas!AK$2,'Fluxos de Recebimento'!$I$5:$BH$5, 0))+INDEX('Fluxos de Recebimento'!$I$65:$BH$116, MATCH(Curvas!$AB35, 'Fluxos de Recebimento'!$F$65:$F$116, 0), MATCH(Curvas!AK$2, 'Fluxos de Recebimento'!$I$63:$BH$63, 0)),0)*INDEX($E:$E, MATCH(AK$2, $B:$B, 0))</f>
        <v>4.3103448275862077E-3</v>
      </c>
      <c r="AL35" s="193">
        <f>IFERROR(INDEX('Fluxos de Recebimento'!$I$7:$BH$58, MATCH(Curvas!$AB35, 'Fluxos de Recebimento'!$F$7:$F$58, 0), MATCH(Curvas!AL$2,'Fluxos de Recebimento'!$I$5:$BH$5, 0))+INDEX('Fluxos de Recebimento'!$I$65:$BH$116, MATCH(Curvas!$AB35, 'Fluxos de Recebimento'!$F$65:$F$116, 0), MATCH(Curvas!AL$2, 'Fluxos de Recebimento'!$I$63:$BH$63, 0)),0)*INDEX($E:$E, MATCH(AL$2, $B:$B, 0))</f>
        <v>4.3103448275862077E-3</v>
      </c>
      <c r="AM35" s="193">
        <f>IFERROR(INDEX('Fluxos de Recebimento'!$I$7:$BH$58, MATCH(Curvas!$AB35, 'Fluxos de Recebimento'!$F$7:$F$58, 0), MATCH(Curvas!AM$2,'Fluxos de Recebimento'!$I$5:$BH$5, 0))+INDEX('Fluxos de Recebimento'!$I$65:$BH$116, MATCH(Curvas!$AB35, 'Fluxos de Recebimento'!$F$65:$F$116, 0), MATCH(Curvas!AM$2, 'Fluxos de Recebimento'!$I$63:$BH$63, 0)),0)*INDEX($E:$E, MATCH(AM$2, $B:$B, 0))</f>
        <v>4.3103448275862077E-3</v>
      </c>
      <c r="AN35" s="193">
        <f>IFERROR(INDEX('Fluxos de Recebimento'!$I$7:$BH$58, MATCH(Curvas!$AB35, 'Fluxos de Recebimento'!$F$7:$F$58, 0), MATCH(Curvas!AN$2,'Fluxos de Recebimento'!$I$5:$BH$5, 0))+INDEX('Fluxos de Recebimento'!$I$65:$BH$116, MATCH(Curvas!$AB35, 'Fluxos de Recebimento'!$F$65:$F$116, 0), MATCH(Curvas!AN$2, 'Fluxos de Recebimento'!$I$63:$BH$63, 0)),0)*INDEX($E:$E, MATCH(AN$2, $B:$B, 0))</f>
        <v>4.3103448275862077E-3</v>
      </c>
      <c r="AO35" s="193">
        <f>IFERROR(INDEX('Fluxos de Recebimento'!$I$7:$BH$58, MATCH(Curvas!$AB35, 'Fluxos de Recebimento'!$F$7:$F$58, 0), MATCH(Curvas!AO$2,'Fluxos de Recebimento'!$I$5:$BH$5, 0))+INDEX('Fluxos de Recebimento'!$I$65:$BH$116, MATCH(Curvas!$AB35, 'Fluxos de Recebimento'!$F$65:$F$116, 0), MATCH(Curvas!AO$2, 'Fluxos de Recebimento'!$I$63:$BH$63, 0)),0)*INDEX($E:$E, MATCH(AO$2, $B:$B, 0))</f>
        <v>4.3103448275862077E-3</v>
      </c>
      <c r="AP35" s="193">
        <f>IFERROR(INDEX('Fluxos de Recebimento'!$I$7:$BH$58, MATCH(Curvas!$AB35, 'Fluxos de Recebimento'!$F$7:$F$58, 0), MATCH(Curvas!AP$2,'Fluxos de Recebimento'!$I$5:$BH$5, 0))+INDEX('Fluxos de Recebimento'!$I$65:$BH$116, MATCH(Curvas!$AB35, 'Fluxos de Recebimento'!$F$65:$F$116, 0), MATCH(Curvas!AP$2, 'Fluxos de Recebimento'!$I$63:$BH$63, 0)),0)*INDEX($E:$E, MATCH(AP$2, $B:$B, 0))</f>
        <v>4.3103448275862077E-3</v>
      </c>
      <c r="AQ35" s="193">
        <f>IFERROR(INDEX('Fluxos de Recebimento'!$I$7:$BH$58, MATCH(Curvas!$AB35, 'Fluxos de Recebimento'!$F$7:$F$58, 0), MATCH(Curvas!AQ$2,'Fluxos de Recebimento'!$I$5:$BH$5, 0))+INDEX('Fluxos de Recebimento'!$I$65:$BH$116, MATCH(Curvas!$AB35, 'Fluxos de Recebimento'!$F$65:$F$116, 0), MATCH(Curvas!AQ$2, 'Fluxos de Recebimento'!$I$63:$BH$63, 0)),0)*INDEX($E:$E, MATCH(AQ$2, $B:$B, 0))</f>
        <v>4.3103448275862077E-3</v>
      </c>
      <c r="AR35" s="193">
        <f>IFERROR(INDEX('Fluxos de Recebimento'!$I$7:$BH$58, MATCH(Curvas!$AB35, 'Fluxos de Recebimento'!$F$7:$F$58, 0), MATCH(Curvas!AR$2,'Fluxos de Recebimento'!$I$5:$BH$5, 0))+INDEX('Fluxos de Recebimento'!$I$65:$BH$116, MATCH(Curvas!$AB35, 'Fluxos de Recebimento'!$F$65:$F$116, 0), MATCH(Curvas!AR$2, 'Fluxos de Recebimento'!$I$63:$BH$63, 0)),0)*INDEX($E:$E, MATCH(AR$2, $B:$B, 0))</f>
        <v>4.3103448275862077E-3</v>
      </c>
      <c r="AS35" s="193">
        <f>IFERROR(INDEX('Fluxos de Recebimento'!$I$7:$BH$58, MATCH(Curvas!$AB35, 'Fluxos de Recebimento'!$F$7:$F$58, 0), MATCH(Curvas!AS$2,'Fluxos de Recebimento'!$I$5:$BH$5, 0))+INDEX('Fluxos de Recebimento'!$I$65:$BH$116, MATCH(Curvas!$AB35, 'Fluxos de Recebimento'!$F$65:$F$116, 0), MATCH(Curvas!AS$2, 'Fluxos de Recebimento'!$I$63:$BH$63, 0)),0)*INDEX($E:$E, MATCH(AS$2, $B:$B, 0))</f>
        <v>4.3103448275862077E-3</v>
      </c>
      <c r="AT35" s="193">
        <f>IFERROR(INDEX('Fluxos de Recebimento'!$I$7:$BH$58, MATCH(Curvas!$AB35, 'Fluxos de Recebimento'!$F$7:$F$58, 0), MATCH(Curvas!AT$2,'Fluxos de Recebimento'!$I$5:$BH$5, 0))+INDEX('Fluxos de Recebimento'!$I$65:$BH$116, MATCH(Curvas!$AB35, 'Fluxos de Recebimento'!$F$65:$F$116, 0), MATCH(Curvas!AT$2, 'Fluxos de Recebimento'!$I$63:$BH$63, 0)),0)*INDEX($E:$E, MATCH(AT$2, $B:$B, 0))</f>
        <v>4.3103448275862077E-3</v>
      </c>
      <c r="AU35" s="193">
        <f>IFERROR(INDEX('Fluxos de Recebimento'!$I$7:$BH$58, MATCH(Curvas!$AB35, 'Fluxos de Recebimento'!$F$7:$F$58, 0), MATCH(Curvas!AU$2,'Fluxos de Recebimento'!$I$5:$BH$5, 0))+INDEX('Fluxos de Recebimento'!$I$65:$BH$116, MATCH(Curvas!$AB35, 'Fluxos de Recebimento'!$F$65:$F$116, 0), MATCH(Curvas!AU$2, 'Fluxos de Recebimento'!$I$63:$BH$63, 0)),0)*INDEX($E:$E, MATCH(AU$2, $B:$B, 0))</f>
        <v>4.3103448275862077E-3</v>
      </c>
      <c r="AV35" s="193">
        <f>IFERROR(INDEX('Fluxos de Recebimento'!$I$7:$BH$58, MATCH(Curvas!$AB35, 'Fluxos de Recebimento'!$F$7:$F$58, 0), MATCH(Curvas!AV$2,'Fluxos de Recebimento'!$I$5:$BH$5, 0))+INDEX('Fluxos de Recebimento'!$I$65:$BH$116, MATCH(Curvas!$AB35, 'Fluxos de Recebimento'!$F$65:$F$116, 0), MATCH(Curvas!AV$2, 'Fluxos de Recebimento'!$I$63:$BH$63, 0)),0)*INDEX($E:$E, MATCH(AV$2, $B:$B, 0))</f>
        <v>4.3103448275862077E-3</v>
      </c>
      <c r="AW35" s="193">
        <f>IFERROR(INDEX('Fluxos de Recebimento'!$I$7:$BH$58, MATCH(Curvas!$AB35, 'Fluxos de Recebimento'!$F$7:$F$58, 0), MATCH(Curvas!AW$2,'Fluxos de Recebimento'!$I$5:$BH$5, 0))+INDEX('Fluxos de Recebimento'!$I$65:$BH$116, MATCH(Curvas!$AB35, 'Fluxos de Recebimento'!$F$65:$F$116, 0), MATCH(Curvas!AW$2, 'Fluxos de Recebimento'!$I$63:$BH$63, 0)),0)*INDEX($E:$E, MATCH(AW$2, $B:$B, 0))</f>
        <v>4.3103448275862077E-3</v>
      </c>
      <c r="AX35" s="193">
        <f>IFERROR(INDEX('Fluxos de Recebimento'!$I$7:$BH$58, MATCH(Curvas!$AB35, 'Fluxos de Recebimento'!$F$7:$F$58, 0), MATCH(Curvas!AX$2,'Fluxos de Recebimento'!$I$5:$BH$5, 0))+INDEX('Fluxos de Recebimento'!$I$65:$BH$116, MATCH(Curvas!$AB35, 'Fluxos de Recebimento'!$F$65:$F$116, 0), MATCH(Curvas!AX$2, 'Fluxos de Recebimento'!$I$63:$BH$63, 0)),0)*INDEX($E:$E, MATCH(AX$2, $B:$B, 0))</f>
        <v>4.3103448275862077E-3</v>
      </c>
      <c r="AY35" s="193">
        <f>IFERROR(INDEX('Fluxos de Recebimento'!$I$7:$BH$58, MATCH(Curvas!$AB35, 'Fluxos de Recebimento'!$F$7:$F$58, 0), MATCH(Curvas!AY$2,'Fluxos de Recebimento'!$I$5:$BH$5, 0))+INDEX('Fluxos de Recebimento'!$I$65:$BH$116, MATCH(Curvas!$AB35, 'Fluxos de Recebimento'!$F$65:$F$116, 0), MATCH(Curvas!AY$2, 'Fluxos de Recebimento'!$I$63:$BH$63, 0)),0)*INDEX($E:$E, MATCH(AY$2, $B:$B, 0))</f>
        <v>4.3103448275862077E-3</v>
      </c>
      <c r="AZ35" s="193">
        <f>IFERROR(INDEX('Fluxos de Recebimento'!$I$7:$BH$58, MATCH(Curvas!$AB35, 'Fluxos de Recebimento'!$F$7:$F$58, 0), MATCH(Curvas!AZ$2,'Fluxos de Recebimento'!$I$5:$BH$5, 0))+INDEX('Fluxos de Recebimento'!$I$65:$BH$116, MATCH(Curvas!$AB35, 'Fluxos de Recebimento'!$F$65:$F$116, 0), MATCH(Curvas!AZ$2, 'Fluxos de Recebimento'!$I$63:$BH$63, 0)),0)*INDEX($E:$E, MATCH(AZ$2, $B:$B, 0))</f>
        <v>4.3103448275862077E-3</v>
      </c>
      <c r="BA35" s="193">
        <f>IFERROR(INDEX('Fluxos de Recebimento'!$I$7:$BH$58, MATCH(Curvas!$AB35, 'Fluxos de Recebimento'!$F$7:$F$58, 0), MATCH(Curvas!BA$2,'Fluxos de Recebimento'!$I$5:$BH$5, 0))+INDEX('Fluxos de Recebimento'!$I$65:$BH$116, MATCH(Curvas!$AB35, 'Fluxos de Recebimento'!$F$65:$F$116, 0), MATCH(Curvas!BA$2, 'Fluxos de Recebimento'!$I$63:$BH$63, 0)),0)*INDEX($E:$E, MATCH(BA$2, $B:$B, 0))</f>
        <v>4.3103448275862077E-3</v>
      </c>
      <c r="BB35" s="193">
        <f>IFERROR(INDEX('Fluxos de Recebimento'!$I$7:$BH$58, MATCH(Curvas!$AB35, 'Fluxos de Recebimento'!$F$7:$F$58, 0), MATCH(Curvas!BB$2,'Fluxos de Recebimento'!$I$5:$BH$5, 0))+INDEX('Fluxos de Recebimento'!$I$65:$BH$116, MATCH(Curvas!$AB35, 'Fluxos de Recebimento'!$F$65:$F$116, 0), MATCH(Curvas!BB$2, 'Fluxos de Recebimento'!$I$63:$BH$63, 0)),0)*INDEX($E:$E, MATCH(BB$2, $B:$B, 0))</f>
        <v>4.3103448275862077E-3</v>
      </c>
      <c r="BC35" s="193">
        <f>IFERROR(INDEX('Fluxos de Recebimento'!$I$7:$BH$58, MATCH(Curvas!$AB35, 'Fluxos de Recebimento'!$F$7:$F$58, 0), MATCH(Curvas!BC$2,'Fluxos de Recebimento'!$I$5:$BH$5, 0))+INDEX('Fluxos de Recebimento'!$I$65:$BH$116, MATCH(Curvas!$AB35, 'Fluxos de Recebimento'!$F$65:$F$116, 0), MATCH(Curvas!BC$2, 'Fluxos de Recebimento'!$I$63:$BH$63, 0)),0)*INDEX($E:$E, MATCH(BC$2, $B:$B, 0))</f>
        <v>4.3103448275862077E-3</v>
      </c>
      <c r="BD35" s="193">
        <f>IFERROR(INDEX('Fluxos de Recebimento'!$I$7:$BH$58, MATCH(Curvas!$AB35, 'Fluxos de Recebimento'!$F$7:$F$58, 0), MATCH(Curvas!BD$2,'Fluxos de Recebimento'!$I$5:$BH$5, 0))+INDEX('Fluxos de Recebimento'!$I$65:$BH$116, MATCH(Curvas!$AB35, 'Fluxos de Recebimento'!$F$65:$F$116, 0), MATCH(Curvas!BD$2, 'Fluxos de Recebimento'!$I$63:$BH$63, 0)),0)*INDEX($E:$E, MATCH(BD$2, $B:$B, 0))</f>
        <v>4.3103448275862077E-3</v>
      </c>
      <c r="BE35" s="193">
        <f>IFERROR(INDEX('Fluxos de Recebimento'!$I$7:$BH$58, MATCH(Curvas!$AB35, 'Fluxos de Recebimento'!$F$7:$F$58, 0), MATCH(Curvas!BE$2,'Fluxos de Recebimento'!$I$5:$BH$5, 0))+INDEX('Fluxos de Recebimento'!$I$65:$BH$116, MATCH(Curvas!$AB35, 'Fluxos de Recebimento'!$F$65:$F$116, 0), MATCH(Curvas!BE$2, 'Fluxos de Recebimento'!$I$63:$BH$63, 0)),0)*INDEX($E:$E, MATCH(BE$2, $B:$B, 0))</f>
        <v>4.3103448275862077E-3</v>
      </c>
      <c r="BF35" s="193">
        <f>IFERROR(INDEX('Fluxos de Recebimento'!$I$7:$BH$58, MATCH(Curvas!$AB35, 'Fluxos de Recebimento'!$F$7:$F$58, 0), MATCH(Curvas!BF$2,'Fluxos de Recebimento'!$I$5:$BH$5, 0))+INDEX('Fluxos de Recebimento'!$I$65:$BH$116, MATCH(Curvas!$AB35, 'Fluxos de Recebimento'!$F$65:$F$116, 0), MATCH(Curvas!BF$2, 'Fluxos de Recebimento'!$I$63:$BH$63, 0)),0)*INDEX($E:$E, MATCH(BF$2, $B:$B, 0))</f>
        <v>4.3103448275862077E-3</v>
      </c>
      <c r="BG35" s="193">
        <f>IFERROR(INDEX('Fluxos de Recebimento'!$I$7:$BH$58, MATCH(Curvas!$AB35, 'Fluxos de Recebimento'!$F$7:$F$58, 0), MATCH(Curvas!BG$2,'Fluxos de Recebimento'!$I$5:$BH$5, 0))+INDEX('Fluxos de Recebimento'!$I$65:$BH$116, MATCH(Curvas!$AB35, 'Fluxos de Recebimento'!$F$65:$F$116, 0), MATCH(Curvas!BG$2, 'Fluxos de Recebimento'!$I$63:$BH$63, 0)),0)*INDEX($E:$E, MATCH(BG$2, $B:$B, 0))</f>
        <v>3.1250000000000002E-3</v>
      </c>
      <c r="BH35" s="193">
        <f>IFERROR(INDEX('Fluxos de Recebimento'!$I$7:$BH$58, MATCH(Curvas!$AB35, 'Fluxos de Recebimento'!$F$7:$F$58, 0), MATCH(Curvas!BH$2,'Fluxos de Recebimento'!$I$5:$BH$5, 0))+INDEX('Fluxos de Recebimento'!$I$65:$BH$116, MATCH(Curvas!$AB35, 'Fluxos de Recebimento'!$F$65:$F$116, 0), MATCH(Curvas!BH$2, 'Fluxos de Recebimento'!$I$63:$BH$63, 0)),0)*INDEX($E:$E, MATCH(BH$2, $B:$B, 0))</f>
        <v>3.1250000000000002E-3</v>
      </c>
      <c r="BI35" s="193">
        <f>IFERROR(INDEX('Fluxos de Recebimento'!$I$7:$BH$58, MATCH(Curvas!$AB35, 'Fluxos de Recebimento'!$F$7:$F$58, 0), MATCH(Curvas!BI$2,'Fluxos de Recebimento'!$I$5:$BH$5, 0))+INDEX('Fluxos de Recebimento'!$I$65:$BH$116, MATCH(Curvas!$AB35, 'Fluxos de Recebimento'!$F$65:$F$116, 0), MATCH(Curvas!BI$2, 'Fluxos de Recebimento'!$I$63:$BH$63, 0)),0)*INDEX($E:$E, MATCH(BI$2, $B:$B, 0))</f>
        <v>6.2500000000000003E-3</v>
      </c>
      <c r="BJ35" s="193">
        <f>IFERROR(INDEX('Fluxos de Recebimento'!$I$7:$BH$58, MATCH(Curvas!$AB35, 'Fluxos de Recebimento'!$F$7:$F$58, 0), MATCH(Curvas!BJ$2,'Fluxos de Recebimento'!$I$5:$BH$5, 0))+INDEX('Fluxos de Recebimento'!$I$65:$BH$116, MATCH(Curvas!$AB35, 'Fluxos de Recebimento'!$F$65:$F$116, 0), MATCH(Curvas!BJ$2, 'Fluxos de Recebimento'!$I$63:$BH$63, 0)),0)*INDEX($E:$E, MATCH(BJ$2, $B:$B, 0))</f>
        <v>0</v>
      </c>
      <c r="BK35" s="193">
        <f>IFERROR(INDEX('Fluxos de Recebimento'!$I$7:$BH$58, MATCH(Curvas!$AB35, 'Fluxos de Recebimento'!$F$7:$F$58, 0), MATCH(Curvas!BK$2,'Fluxos de Recebimento'!$I$5:$BH$5, 0))+INDEX('Fluxos de Recebimento'!$I$65:$BH$116, MATCH(Curvas!$AB35, 'Fluxos de Recebimento'!$F$65:$F$116, 0), MATCH(Curvas!BK$2, 'Fluxos de Recebimento'!$I$63:$BH$63, 0)),0)*INDEX($E:$E, MATCH(BK$2, $B:$B, 0))</f>
        <v>0</v>
      </c>
      <c r="BL35" s="193">
        <f>IFERROR(INDEX('Fluxos de Recebimento'!$I$7:$BH$58, MATCH(Curvas!$AB35, 'Fluxos de Recebimento'!$F$7:$F$58, 0), MATCH(Curvas!BL$2,'Fluxos de Recebimento'!$I$5:$BH$5, 0))+INDEX('Fluxos de Recebimento'!$I$65:$BH$116, MATCH(Curvas!$AB35, 'Fluxos de Recebimento'!$F$65:$F$116, 0), MATCH(Curvas!BL$2, 'Fluxos de Recebimento'!$I$63:$BH$63, 0)),0)*INDEX($E:$E, MATCH(BL$2, $B:$B, 0))</f>
        <v>0</v>
      </c>
      <c r="BM35" s="193">
        <f>IFERROR(INDEX('Fluxos de Recebimento'!$I$7:$BH$58, MATCH(Curvas!$AB35, 'Fluxos de Recebimento'!$F$7:$F$58, 0), MATCH(Curvas!BM$2,'Fluxos de Recebimento'!$I$5:$BH$5, 0))+INDEX('Fluxos de Recebimento'!$I$65:$BH$116, MATCH(Curvas!$AB35, 'Fluxos de Recebimento'!$F$65:$F$116, 0), MATCH(Curvas!BM$2, 'Fluxos de Recebimento'!$I$63:$BH$63, 0)),0)*INDEX($E:$E, MATCH(BM$2, $B:$B, 0))</f>
        <v>0</v>
      </c>
      <c r="BN35" s="193">
        <f>IFERROR(INDEX('Fluxos de Recebimento'!$I$7:$BH$58, MATCH(Curvas!$AB35, 'Fluxos de Recebimento'!$F$7:$F$58, 0), MATCH(Curvas!BN$2,'Fluxos de Recebimento'!$I$5:$BH$5, 0))+INDEX('Fluxos de Recebimento'!$I$65:$BH$116, MATCH(Curvas!$AB35, 'Fluxos de Recebimento'!$F$65:$F$116, 0), MATCH(Curvas!BN$2, 'Fluxos de Recebimento'!$I$63:$BH$63, 0)),0)*INDEX($E:$E, MATCH(BN$2, $B:$B, 0))</f>
        <v>0</v>
      </c>
      <c r="BO35" s="193">
        <f>IFERROR(INDEX('Fluxos de Recebimento'!$I$7:$BH$58, MATCH(Curvas!$AB35, 'Fluxos de Recebimento'!$F$7:$F$58, 0), MATCH(Curvas!BO$2,'Fluxos de Recebimento'!$I$5:$BH$5, 0))+INDEX('Fluxos de Recebimento'!$I$65:$BH$116, MATCH(Curvas!$AB35, 'Fluxos de Recebimento'!$F$65:$F$116, 0), MATCH(Curvas!BO$2, 'Fluxos de Recebimento'!$I$63:$BH$63, 0)),0)*INDEX($E:$E, MATCH(BO$2, $B:$B, 0))</f>
        <v>0</v>
      </c>
      <c r="BP35" s="193">
        <f>IFERROR(INDEX('Fluxos de Recebimento'!$I$7:$BH$58, MATCH(Curvas!$AB35, 'Fluxos de Recebimento'!$F$7:$F$58, 0), MATCH(Curvas!BP$2,'Fluxos de Recebimento'!$I$5:$BH$5, 0))+INDEX('Fluxos de Recebimento'!$I$65:$BH$116, MATCH(Curvas!$AB35, 'Fluxos de Recebimento'!$F$65:$F$116, 0), MATCH(Curvas!BP$2, 'Fluxos de Recebimento'!$I$63:$BH$63, 0)),0)*INDEX($E:$E, MATCH(BP$2, $B:$B, 0))</f>
        <v>0</v>
      </c>
      <c r="BQ35" s="193">
        <f>IFERROR(INDEX('Fluxos de Recebimento'!$I$7:$BH$58, MATCH(Curvas!$AB35, 'Fluxos de Recebimento'!$F$7:$F$58, 0), MATCH(Curvas!BQ$2,'Fluxos de Recebimento'!$I$5:$BH$5, 0))+INDEX('Fluxos de Recebimento'!$I$65:$BH$116, MATCH(Curvas!$AB35, 'Fluxos de Recebimento'!$F$65:$F$116, 0), MATCH(Curvas!BQ$2, 'Fluxos de Recebimento'!$I$63:$BH$63, 0)),0)*INDEX($E:$E, MATCH(BQ$2, $B:$B, 0))</f>
        <v>0</v>
      </c>
      <c r="BR35" s="193">
        <f>IFERROR(INDEX('Fluxos de Recebimento'!$I$7:$BH$58, MATCH(Curvas!$AB35, 'Fluxos de Recebimento'!$F$7:$F$58, 0), MATCH(Curvas!BR$2,'Fluxos de Recebimento'!$I$5:$BH$5, 0))+INDEX('Fluxos de Recebimento'!$I$65:$BH$116, MATCH(Curvas!$AB35, 'Fluxos de Recebimento'!$F$65:$F$116, 0), MATCH(Curvas!BR$2, 'Fluxos de Recebimento'!$I$63:$BH$63, 0)),0)*INDEX($E:$E, MATCH(BR$2, $B:$B, 0))</f>
        <v>0</v>
      </c>
      <c r="BS35" s="193">
        <f>IFERROR(INDEX('Fluxos de Recebimento'!$I$7:$BH$58, MATCH(Curvas!$AB35, 'Fluxos de Recebimento'!$F$7:$F$58, 0), MATCH(Curvas!BS$2,'Fluxos de Recebimento'!$I$5:$BH$5, 0))+INDEX('Fluxos de Recebimento'!$I$65:$BH$116, MATCH(Curvas!$AB35, 'Fluxos de Recebimento'!$F$65:$F$116, 0), MATCH(Curvas!BS$2, 'Fluxos de Recebimento'!$I$63:$BH$63, 0)),0)*INDEX($E:$E, MATCH(BS$2, $B:$B, 0))</f>
        <v>0</v>
      </c>
      <c r="BT35" s="193">
        <f>IFERROR(INDEX('Fluxos de Recebimento'!$I$7:$BH$58, MATCH(Curvas!$AB35, 'Fluxos de Recebimento'!$F$7:$F$58, 0), MATCH(Curvas!BT$2,'Fluxos de Recebimento'!$I$5:$BH$5, 0))+INDEX('Fluxos de Recebimento'!$I$65:$BH$116, MATCH(Curvas!$AB35, 'Fluxos de Recebimento'!$F$65:$F$116, 0), MATCH(Curvas!BT$2, 'Fluxos de Recebimento'!$I$63:$BH$63, 0)),0)*INDEX($E:$E, MATCH(BT$2, $B:$B, 0))</f>
        <v>0</v>
      </c>
      <c r="BU35" s="193">
        <f>IFERROR(INDEX('Fluxos de Recebimento'!$I$7:$BH$58, MATCH(Curvas!$AB35, 'Fluxos de Recebimento'!$F$7:$F$58, 0), MATCH(Curvas!BU$2,'Fluxos de Recebimento'!$I$5:$BH$5, 0))+INDEX('Fluxos de Recebimento'!$I$65:$BH$116, MATCH(Curvas!$AB35, 'Fluxos de Recebimento'!$F$65:$F$116, 0), MATCH(Curvas!BU$2, 'Fluxos de Recebimento'!$I$63:$BH$63, 0)),0)*INDEX($E:$E, MATCH(BU$2, $B:$B, 0))</f>
        <v>0</v>
      </c>
      <c r="BV35" s="193">
        <f>IFERROR(INDEX('Fluxos de Recebimento'!$I$7:$BH$58, MATCH(Curvas!$AB35, 'Fluxos de Recebimento'!$F$7:$F$58, 0), MATCH(Curvas!BV$2,'Fluxos de Recebimento'!$I$5:$BH$5, 0))+INDEX('Fluxos de Recebimento'!$I$65:$BH$116, MATCH(Curvas!$AB35, 'Fluxos de Recebimento'!$F$65:$F$116, 0), MATCH(Curvas!BV$2, 'Fluxos de Recebimento'!$I$63:$BH$63, 0)),0)*INDEX($E:$E, MATCH(BV$2, $B:$B, 0))</f>
        <v>0</v>
      </c>
      <c r="BW35" s="193">
        <f>IFERROR(INDEX('Fluxos de Recebimento'!$I$7:$BH$58, MATCH(Curvas!$AB35, 'Fluxos de Recebimento'!$F$7:$F$58, 0), MATCH(Curvas!BW$2,'Fluxos de Recebimento'!$I$5:$BH$5, 0))+INDEX('Fluxos de Recebimento'!$I$65:$BH$116, MATCH(Curvas!$AB35, 'Fluxos de Recebimento'!$F$65:$F$116, 0), MATCH(Curvas!BW$2, 'Fluxos de Recebimento'!$I$63:$BH$63, 0)),0)*INDEX($E:$E, MATCH(BW$2, $B:$B, 0))</f>
        <v>0</v>
      </c>
      <c r="BX35" s="193">
        <f>IFERROR(INDEX('Fluxos de Recebimento'!$I$7:$BH$58, MATCH(Curvas!$AB35, 'Fluxos de Recebimento'!$F$7:$F$58, 0), MATCH(Curvas!BX$2,'Fluxos de Recebimento'!$I$5:$BH$5, 0))+INDEX('Fluxos de Recebimento'!$I$65:$BH$116, MATCH(Curvas!$AB35, 'Fluxos de Recebimento'!$F$65:$F$116, 0), MATCH(Curvas!BX$2, 'Fluxos de Recebimento'!$I$63:$BH$63, 0)),0)*INDEX($E:$E, MATCH(BX$2, $B:$B, 0))</f>
        <v>0</v>
      </c>
      <c r="BY35" s="193">
        <f>IFERROR(INDEX('Fluxos de Recebimento'!$I$7:$BH$58, MATCH(Curvas!$AB35, 'Fluxos de Recebimento'!$F$7:$F$58, 0), MATCH(Curvas!BY$2,'Fluxos de Recebimento'!$I$5:$BH$5, 0))+INDEX('Fluxos de Recebimento'!$I$65:$BH$116, MATCH(Curvas!$AB35, 'Fluxos de Recebimento'!$F$65:$F$116, 0), MATCH(Curvas!BY$2, 'Fluxos de Recebimento'!$I$63:$BH$63, 0)),0)*INDEX($E:$E, MATCH(BY$2, $B:$B, 0))</f>
        <v>0</v>
      </c>
      <c r="BZ35" s="193">
        <f>IFERROR(INDEX('Fluxos de Recebimento'!$I$7:$BH$58, MATCH(Curvas!$AB35, 'Fluxos de Recebimento'!$F$7:$F$58, 0), MATCH(Curvas!BZ$2,'Fluxos de Recebimento'!$I$5:$BH$5, 0))+INDEX('Fluxos de Recebimento'!$I$65:$BH$116, MATCH(Curvas!$AB35, 'Fluxos de Recebimento'!$F$65:$F$116, 0), MATCH(Curvas!BZ$2, 'Fluxos de Recebimento'!$I$63:$BH$63, 0)),0)*INDEX($E:$E, MATCH(BZ$2, $B:$B, 0))</f>
        <v>0</v>
      </c>
      <c r="CA35" s="193">
        <f>IFERROR(INDEX('Fluxos de Recebimento'!$I$7:$BH$58, MATCH(Curvas!$AB35, 'Fluxos de Recebimento'!$F$7:$F$58, 0), MATCH(Curvas!CA$2,'Fluxos de Recebimento'!$I$5:$BH$5, 0))+INDEX('Fluxos de Recebimento'!$I$65:$BH$116, MATCH(Curvas!$AB35, 'Fluxos de Recebimento'!$F$65:$F$116, 0), MATCH(Curvas!CA$2, 'Fluxos de Recebimento'!$I$63:$BH$63, 0)),0)*INDEX($E:$E, MATCH(CA$2, $B:$B, 0))</f>
        <v>0</v>
      </c>
      <c r="CB35" s="193">
        <f>IFERROR(INDEX('Fluxos de Recebimento'!$I$7:$BH$58, MATCH(Curvas!$AB35, 'Fluxos de Recebimento'!$F$7:$F$58, 0), MATCH(Curvas!CB$2,'Fluxos de Recebimento'!$I$5:$BH$5, 0))+INDEX('Fluxos de Recebimento'!$I$65:$BH$116, MATCH(Curvas!$AB35, 'Fluxos de Recebimento'!$F$65:$F$116, 0), MATCH(Curvas!CB$2, 'Fluxos de Recebimento'!$I$63:$BH$63, 0)),0)*INDEX($E:$E, MATCH(CB$2, $B:$B, 0))</f>
        <v>0</v>
      </c>
      <c r="CC35" s="193">
        <f>IFERROR(INDEX('Fluxos de Recebimento'!$I$7:$BH$58, MATCH(Curvas!$AB35, 'Fluxos de Recebimento'!$F$7:$F$58, 0), MATCH(Curvas!CC$2,'Fluxos de Recebimento'!$I$5:$BH$5, 0))+INDEX('Fluxos de Recebimento'!$I$65:$BH$116, MATCH(Curvas!$AB35, 'Fluxos de Recebimento'!$F$65:$F$116, 0), MATCH(Curvas!CC$2, 'Fluxos de Recebimento'!$I$63:$BH$63, 0)),0)*INDEX($E:$E, MATCH(CC$2, $B:$B, 0))</f>
        <v>0</v>
      </c>
    </row>
    <row r="36" spans="1:81" x14ac:dyDescent="0.25">
      <c r="A36" s="2"/>
      <c r="B36" s="477">
        <f t="shared" si="16"/>
        <v>45139</v>
      </c>
      <c r="C36" s="52">
        <f t="shared" si="17"/>
        <v>33</v>
      </c>
      <c r="D36" s="2"/>
      <c r="E36" s="187">
        <f t="shared" ref="E36:E59" si="22">IF(AND($B36&gt;=lçto, $B36&lt;inicioObra), ajusteVendasLçto/DATEDIF(IF(AND(baseData&gt;=lçto, baseData&lt;inicioObra), EDATE(baseData, 1), lçto), inicioObra, "m"), IF(AND($B36&gt;=inicioObra, $B36&lt;=entrega), ajusteVendasObra/(DATEDIF(IF(AND(baseData&gt;=inicioObra, baseData&lt;=entrega), EDATE(baseData, 1), inicioObra), entrega, "m")+1), IF(AND($B36&gt;EDATE(entrega, carenciaVenda), $B36&lt;EDATE(terminoProjeto, -prazoRepasseVendas)), ajusteVendasPosChave/(DATEDIF(EDATE(entrega, carenciaVenda), EDATE(terminoProjeto, -prazoRepasseVendas), "m")-1), 0)))</f>
        <v>4.1666666666666671E-2</v>
      </c>
      <c r="F36" s="48">
        <f t="shared" si="18"/>
        <v>0.83333333333333326</v>
      </c>
      <c r="G36" s="46">
        <f t="shared" ref="G36:G67" ca="1" si="23">IF(B36&lt;=EDATE(entrega, chRepasse), 0, IF(AND(B36&gt;EDATE(entrega, chRepasse), B36&lt;=EDATE(entrega, chRepasse+periodoRepassePreChaves)), INDEX(F:F, MATCH(EDATE(entrega, chRepasse), B:B, 0))/periodoRepassePreChaves+IF(B36&gt;EDATE(entrega, chRepasse+prazoRepasseVendas), OFFSET(E36, -prazoRepasseVendas, 0), 0), IF(ISNUMBER(OFFSET(E36,-prazoRepasseVendas,0)),OFFSET(E36,-prazoRepasseVendas,0))))</f>
        <v>0.1875</v>
      </c>
      <c r="H36" s="48">
        <f t="shared" ca="1" si="19"/>
        <v>0.375</v>
      </c>
      <c r="I36" s="2"/>
      <c r="J36" s="69">
        <f t="shared" ref="J36:J59" ca="1" si="24">IF(B36&lt;=entrega, estoqueInicial, L35)</f>
        <v>13</v>
      </c>
      <c r="K36" s="479">
        <f t="shared" ref="K36:K67" ca="1" si="25">IF(OR(H36=1, J36=0), -J36, -ROUNDUP(estoqueInicial*G36, 0))</f>
        <v>-3</v>
      </c>
      <c r="L36" s="70">
        <f t="shared" ref="L36:L67" ca="1" si="26">J36+K36</f>
        <v>10</v>
      </c>
      <c r="M36" s="2"/>
      <c r="N36" s="69">
        <f t="shared" ref="N36:N59" si="27">IF(B36&lt;=entrega, carteiraInicial, P35)</f>
        <v>16</v>
      </c>
      <c r="O36" s="479">
        <f t="shared" ref="O36:O67" si="28">IF(baseData&lt;=EDATE(entrega, chRepasse), IF(AND(B36&gt;EDATE(entrega, chRepasse), B36&lt;=EDATE(entrega, chRepasse+periodoRepassePreChaves)), IF(carteiraInicial/periodoRepassePreChaves&lt;=N36, -ROUND(carteiraInicial/periodoRepassePreChaves, 0), -N36), 0), IF(AND(B36&gt;=EDATE(baseData,carenciaRepasse),B36&lt;EDATE(baseData,carenciaRepasse+prazoRepasseCarteira)),IF(N36&gt;0,IF(N36&gt;ROUNDUP(carteiraInicial/prazoRepasseCarteira, 0),-ROUNDUP(carteiraInicial/prazoRepasseCarteira, 0),-N36),0),0))</f>
        <v>-5</v>
      </c>
      <c r="P36" s="70">
        <f t="shared" ref="P36:P67" si="29">N36+O36</f>
        <v>11</v>
      </c>
      <c r="Q36" s="2"/>
      <c r="R36" s="71">
        <f t="shared" ref="R36:R59" ca="1" si="30">N36+J36</f>
        <v>29</v>
      </c>
      <c r="S36" s="196"/>
      <c r="T36" s="46">
        <v>1.0665956586761021E-2</v>
      </c>
      <c r="U36" s="48">
        <f t="shared" si="20"/>
        <v>0.99724981845665217</v>
      </c>
      <c r="V36" s="2"/>
      <c r="W36" s="56"/>
      <c r="X36" s="48"/>
      <c r="Y36" s="2"/>
      <c r="Z36" s="194">
        <f t="shared" ref="Z36:Z59" si="31">SUM(AD36:CC36)</f>
        <v>0.1666666666666666</v>
      </c>
      <c r="AA36" s="2"/>
      <c r="AB36" s="477">
        <f t="shared" ref="AB36:AB59" si="32">B36</f>
        <v>45139</v>
      </c>
      <c r="AC36" s="52">
        <f t="shared" ref="AC36:AC59" si="33">C36</f>
        <v>33</v>
      </c>
      <c r="AD36" s="193">
        <f>IFERROR(INDEX('Fluxos de Recebimento'!$I$7:$BH$58, MATCH(Curvas!$AB36, 'Fluxos de Recebimento'!$F$7:$F$58, 0), MATCH(Curvas!AD$2,'Fluxos de Recebimento'!$I$5:$BH$5, 0))+INDEX('Fluxos de Recebimento'!$I$65:$BH$116, MATCH(Curvas!$AB36, 'Fluxos de Recebimento'!$F$65:$F$116, 0), MATCH(Curvas!AD$2, 'Fluxos de Recebimento'!$I$63:$BH$63, 0)),0)*INDEX($E:$E, MATCH(AD$2, $B:$B, 0))</f>
        <v>4.3103448275862077E-3</v>
      </c>
      <c r="AE36" s="193">
        <f>IFERROR(INDEX('Fluxos de Recebimento'!$I$7:$BH$58, MATCH(Curvas!$AB36, 'Fluxos de Recebimento'!$F$7:$F$58, 0), MATCH(Curvas!AE$2,'Fluxos de Recebimento'!$I$5:$BH$5, 0))+INDEX('Fluxos de Recebimento'!$I$65:$BH$116, MATCH(Curvas!$AB36, 'Fluxos de Recebimento'!$F$65:$F$116, 0), MATCH(Curvas!AE$2, 'Fluxos de Recebimento'!$I$63:$BH$63, 0)),0)*INDEX($E:$E, MATCH(AE$2, $B:$B, 0))</f>
        <v>4.3103448275862077E-3</v>
      </c>
      <c r="AF36" s="193">
        <f>IFERROR(INDEX('Fluxos de Recebimento'!$I$7:$BH$58, MATCH(Curvas!$AB36, 'Fluxos de Recebimento'!$F$7:$F$58, 0), MATCH(Curvas!AF$2,'Fluxos de Recebimento'!$I$5:$BH$5, 0))+INDEX('Fluxos de Recebimento'!$I$65:$BH$116, MATCH(Curvas!$AB36, 'Fluxos de Recebimento'!$F$65:$F$116, 0), MATCH(Curvas!AF$2, 'Fluxos de Recebimento'!$I$63:$BH$63, 0)),0)*INDEX($E:$E, MATCH(AF$2, $B:$B, 0))</f>
        <v>4.3103448275862077E-3</v>
      </c>
      <c r="AG36" s="193">
        <f>IFERROR(INDEX('Fluxos de Recebimento'!$I$7:$BH$58, MATCH(Curvas!$AB36, 'Fluxos de Recebimento'!$F$7:$F$58, 0), MATCH(Curvas!AG$2,'Fluxos de Recebimento'!$I$5:$BH$5, 0))+INDEX('Fluxos de Recebimento'!$I$65:$BH$116, MATCH(Curvas!$AB36, 'Fluxos de Recebimento'!$F$65:$F$116, 0), MATCH(Curvas!AG$2, 'Fluxos de Recebimento'!$I$63:$BH$63, 0)),0)*INDEX($E:$E, MATCH(AG$2, $B:$B, 0))</f>
        <v>4.3103448275862077E-3</v>
      </c>
      <c r="AH36" s="193">
        <f>IFERROR(INDEX('Fluxos de Recebimento'!$I$7:$BH$58, MATCH(Curvas!$AB36, 'Fluxos de Recebimento'!$F$7:$F$58, 0), MATCH(Curvas!AH$2,'Fluxos de Recebimento'!$I$5:$BH$5, 0))+INDEX('Fluxos de Recebimento'!$I$65:$BH$116, MATCH(Curvas!$AB36, 'Fluxos de Recebimento'!$F$65:$F$116, 0), MATCH(Curvas!AH$2, 'Fluxos de Recebimento'!$I$63:$BH$63, 0)),0)*INDEX($E:$E, MATCH(AH$2, $B:$B, 0))</f>
        <v>4.3103448275862077E-3</v>
      </c>
      <c r="AI36" s="193">
        <f>IFERROR(INDEX('Fluxos de Recebimento'!$I$7:$BH$58, MATCH(Curvas!$AB36, 'Fluxos de Recebimento'!$F$7:$F$58, 0), MATCH(Curvas!AI$2,'Fluxos de Recebimento'!$I$5:$BH$5, 0))+INDEX('Fluxos de Recebimento'!$I$65:$BH$116, MATCH(Curvas!$AB36, 'Fluxos de Recebimento'!$F$65:$F$116, 0), MATCH(Curvas!AI$2, 'Fluxos de Recebimento'!$I$63:$BH$63, 0)),0)*INDEX($E:$E, MATCH(AI$2, $B:$B, 0))</f>
        <v>4.3103448275862077E-3</v>
      </c>
      <c r="AJ36" s="193">
        <f>IFERROR(INDEX('Fluxos de Recebimento'!$I$7:$BH$58, MATCH(Curvas!$AB36, 'Fluxos de Recebimento'!$F$7:$F$58, 0), MATCH(Curvas!AJ$2,'Fluxos de Recebimento'!$I$5:$BH$5, 0))+INDEX('Fluxos de Recebimento'!$I$65:$BH$116, MATCH(Curvas!$AB36, 'Fluxos de Recebimento'!$F$65:$F$116, 0), MATCH(Curvas!AJ$2, 'Fluxos de Recebimento'!$I$63:$BH$63, 0)),0)*INDEX($E:$E, MATCH(AJ$2, $B:$B, 0))</f>
        <v>4.3103448275862077E-3</v>
      </c>
      <c r="AK36" s="193">
        <f>IFERROR(INDEX('Fluxos de Recebimento'!$I$7:$BH$58, MATCH(Curvas!$AB36, 'Fluxos de Recebimento'!$F$7:$F$58, 0), MATCH(Curvas!AK$2,'Fluxos de Recebimento'!$I$5:$BH$5, 0))+INDEX('Fluxos de Recebimento'!$I$65:$BH$116, MATCH(Curvas!$AB36, 'Fluxos de Recebimento'!$F$65:$F$116, 0), MATCH(Curvas!AK$2, 'Fluxos de Recebimento'!$I$63:$BH$63, 0)),0)*INDEX($E:$E, MATCH(AK$2, $B:$B, 0))</f>
        <v>4.3103448275862077E-3</v>
      </c>
      <c r="AL36" s="193">
        <f>IFERROR(INDEX('Fluxos de Recebimento'!$I$7:$BH$58, MATCH(Curvas!$AB36, 'Fluxos de Recebimento'!$F$7:$F$58, 0), MATCH(Curvas!AL$2,'Fluxos de Recebimento'!$I$5:$BH$5, 0))+INDEX('Fluxos de Recebimento'!$I$65:$BH$116, MATCH(Curvas!$AB36, 'Fluxos de Recebimento'!$F$65:$F$116, 0), MATCH(Curvas!AL$2, 'Fluxos de Recebimento'!$I$63:$BH$63, 0)),0)*INDEX($E:$E, MATCH(AL$2, $B:$B, 0))</f>
        <v>4.3103448275862077E-3</v>
      </c>
      <c r="AM36" s="193">
        <f>IFERROR(INDEX('Fluxos de Recebimento'!$I$7:$BH$58, MATCH(Curvas!$AB36, 'Fluxos de Recebimento'!$F$7:$F$58, 0), MATCH(Curvas!AM$2,'Fluxos de Recebimento'!$I$5:$BH$5, 0))+INDEX('Fluxos de Recebimento'!$I$65:$BH$116, MATCH(Curvas!$AB36, 'Fluxos de Recebimento'!$F$65:$F$116, 0), MATCH(Curvas!AM$2, 'Fluxos de Recebimento'!$I$63:$BH$63, 0)),0)*INDEX($E:$E, MATCH(AM$2, $B:$B, 0))</f>
        <v>4.3103448275862077E-3</v>
      </c>
      <c r="AN36" s="193">
        <f>IFERROR(INDEX('Fluxos de Recebimento'!$I$7:$BH$58, MATCH(Curvas!$AB36, 'Fluxos de Recebimento'!$F$7:$F$58, 0), MATCH(Curvas!AN$2,'Fluxos de Recebimento'!$I$5:$BH$5, 0))+INDEX('Fluxos de Recebimento'!$I$65:$BH$116, MATCH(Curvas!$AB36, 'Fluxos de Recebimento'!$F$65:$F$116, 0), MATCH(Curvas!AN$2, 'Fluxos de Recebimento'!$I$63:$BH$63, 0)),0)*INDEX($E:$E, MATCH(AN$2, $B:$B, 0))</f>
        <v>4.3103448275862077E-3</v>
      </c>
      <c r="AO36" s="193">
        <f>IFERROR(INDEX('Fluxos de Recebimento'!$I$7:$BH$58, MATCH(Curvas!$AB36, 'Fluxos de Recebimento'!$F$7:$F$58, 0), MATCH(Curvas!AO$2,'Fluxos de Recebimento'!$I$5:$BH$5, 0))+INDEX('Fluxos de Recebimento'!$I$65:$BH$116, MATCH(Curvas!$AB36, 'Fluxos de Recebimento'!$F$65:$F$116, 0), MATCH(Curvas!AO$2, 'Fluxos de Recebimento'!$I$63:$BH$63, 0)),0)*INDEX($E:$E, MATCH(AO$2, $B:$B, 0))</f>
        <v>4.3103448275862077E-3</v>
      </c>
      <c r="AP36" s="193">
        <f>IFERROR(INDEX('Fluxos de Recebimento'!$I$7:$BH$58, MATCH(Curvas!$AB36, 'Fluxos de Recebimento'!$F$7:$F$58, 0), MATCH(Curvas!AP$2,'Fluxos de Recebimento'!$I$5:$BH$5, 0))+INDEX('Fluxos de Recebimento'!$I$65:$BH$116, MATCH(Curvas!$AB36, 'Fluxos de Recebimento'!$F$65:$F$116, 0), MATCH(Curvas!AP$2, 'Fluxos de Recebimento'!$I$63:$BH$63, 0)),0)*INDEX($E:$E, MATCH(AP$2, $B:$B, 0))</f>
        <v>4.3103448275862077E-3</v>
      </c>
      <c r="AQ36" s="193">
        <f>IFERROR(INDEX('Fluxos de Recebimento'!$I$7:$BH$58, MATCH(Curvas!$AB36, 'Fluxos de Recebimento'!$F$7:$F$58, 0), MATCH(Curvas!AQ$2,'Fluxos de Recebimento'!$I$5:$BH$5, 0))+INDEX('Fluxos de Recebimento'!$I$65:$BH$116, MATCH(Curvas!$AB36, 'Fluxos de Recebimento'!$F$65:$F$116, 0), MATCH(Curvas!AQ$2, 'Fluxos de Recebimento'!$I$63:$BH$63, 0)),0)*INDEX($E:$E, MATCH(AQ$2, $B:$B, 0))</f>
        <v>4.3103448275862077E-3</v>
      </c>
      <c r="AR36" s="193">
        <f>IFERROR(INDEX('Fluxos de Recebimento'!$I$7:$BH$58, MATCH(Curvas!$AB36, 'Fluxos de Recebimento'!$F$7:$F$58, 0), MATCH(Curvas!AR$2,'Fluxos de Recebimento'!$I$5:$BH$5, 0))+INDEX('Fluxos de Recebimento'!$I$65:$BH$116, MATCH(Curvas!$AB36, 'Fluxos de Recebimento'!$F$65:$F$116, 0), MATCH(Curvas!AR$2, 'Fluxos de Recebimento'!$I$63:$BH$63, 0)),0)*INDEX($E:$E, MATCH(AR$2, $B:$B, 0))</f>
        <v>4.3103448275862077E-3</v>
      </c>
      <c r="AS36" s="193">
        <f>IFERROR(INDEX('Fluxos de Recebimento'!$I$7:$BH$58, MATCH(Curvas!$AB36, 'Fluxos de Recebimento'!$F$7:$F$58, 0), MATCH(Curvas!AS$2,'Fluxos de Recebimento'!$I$5:$BH$5, 0))+INDEX('Fluxos de Recebimento'!$I$65:$BH$116, MATCH(Curvas!$AB36, 'Fluxos de Recebimento'!$F$65:$F$116, 0), MATCH(Curvas!AS$2, 'Fluxos de Recebimento'!$I$63:$BH$63, 0)),0)*INDEX($E:$E, MATCH(AS$2, $B:$B, 0))</f>
        <v>4.3103448275862077E-3</v>
      </c>
      <c r="AT36" s="193">
        <f>IFERROR(INDEX('Fluxos de Recebimento'!$I$7:$BH$58, MATCH(Curvas!$AB36, 'Fluxos de Recebimento'!$F$7:$F$58, 0), MATCH(Curvas!AT$2,'Fluxos de Recebimento'!$I$5:$BH$5, 0))+INDEX('Fluxos de Recebimento'!$I$65:$BH$116, MATCH(Curvas!$AB36, 'Fluxos de Recebimento'!$F$65:$F$116, 0), MATCH(Curvas!AT$2, 'Fluxos de Recebimento'!$I$63:$BH$63, 0)),0)*INDEX($E:$E, MATCH(AT$2, $B:$B, 0))</f>
        <v>4.3103448275862077E-3</v>
      </c>
      <c r="AU36" s="193">
        <f>IFERROR(INDEX('Fluxos de Recebimento'!$I$7:$BH$58, MATCH(Curvas!$AB36, 'Fluxos de Recebimento'!$F$7:$F$58, 0), MATCH(Curvas!AU$2,'Fluxos de Recebimento'!$I$5:$BH$5, 0))+INDEX('Fluxos de Recebimento'!$I$65:$BH$116, MATCH(Curvas!$AB36, 'Fluxos de Recebimento'!$F$65:$F$116, 0), MATCH(Curvas!AU$2, 'Fluxos de Recebimento'!$I$63:$BH$63, 0)),0)*INDEX($E:$E, MATCH(AU$2, $B:$B, 0))</f>
        <v>4.3103448275862077E-3</v>
      </c>
      <c r="AV36" s="193">
        <f>IFERROR(INDEX('Fluxos de Recebimento'!$I$7:$BH$58, MATCH(Curvas!$AB36, 'Fluxos de Recebimento'!$F$7:$F$58, 0), MATCH(Curvas!AV$2,'Fluxos de Recebimento'!$I$5:$BH$5, 0))+INDEX('Fluxos de Recebimento'!$I$65:$BH$116, MATCH(Curvas!$AB36, 'Fluxos de Recebimento'!$F$65:$F$116, 0), MATCH(Curvas!AV$2, 'Fluxos de Recebimento'!$I$63:$BH$63, 0)),0)*INDEX($E:$E, MATCH(AV$2, $B:$B, 0))</f>
        <v>4.3103448275862077E-3</v>
      </c>
      <c r="AW36" s="193">
        <f>IFERROR(INDEX('Fluxos de Recebimento'!$I$7:$BH$58, MATCH(Curvas!$AB36, 'Fluxos de Recebimento'!$F$7:$F$58, 0), MATCH(Curvas!AW$2,'Fluxos de Recebimento'!$I$5:$BH$5, 0))+INDEX('Fluxos de Recebimento'!$I$65:$BH$116, MATCH(Curvas!$AB36, 'Fluxos de Recebimento'!$F$65:$F$116, 0), MATCH(Curvas!AW$2, 'Fluxos de Recebimento'!$I$63:$BH$63, 0)),0)*INDEX($E:$E, MATCH(AW$2, $B:$B, 0))</f>
        <v>4.3103448275862077E-3</v>
      </c>
      <c r="AX36" s="193">
        <f>IFERROR(INDEX('Fluxos de Recebimento'!$I$7:$BH$58, MATCH(Curvas!$AB36, 'Fluxos de Recebimento'!$F$7:$F$58, 0), MATCH(Curvas!AX$2,'Fluxos de Recebimento'!$I$5:$BH$5, 0))+INDEX('Fluxos de Recebimento'!$I$65:$BH$116, MATCH(Curvas!$AB36, 'Fluxos de Recebimento'!$F$65:$F$116, 0), MATCH(Curvas!AX$2, 'Fluxos de Recebimento'!$I$63:$BH$63, 0)),0)*INDEX($E:$E, MATCH(AX$2, $B:$B, 0))</f>
        <v>4.3103448275862077E-3</v>
      </c>
      <c r="AY36" s="193">
        <f>IFERROR(INDEX('Fluxos de Recebimento'!$I$7:$BH$58, MATCH(Curvas!$AB36, 'Fluxos de Recebimento'!$F$7:$F$58, 0), MATCH(Curvas!AY$2,'Fluxos de Recebimento'!$I$5:$BH$5, 0))+INDEX('Fluxos de Recebimento'!$I$65:$BH$116, MATCH(Curvas!$AB36, 'Fluxos de Recebimento'!$F$65:$F$116, 0), MATCH(Curvas!AY$2, 'Fluxos de Recebimento'!$I$63:$BH$63, 0)),0)*INDEX($E:$E, MATCH(AY$2, $B:$B, 0))</f>
        <v>4.3103448275862077E-3</v>
      </c>
      <c r="AZ36" s="193">
        <f>IFERROR(INDEX('Fluxos de Recebimento'!$I$7:$BH$58, MATCH(Curvas!$AB36, 'Fluxos de Recebimento'!$F$7:$F$58, 0), MATCH(Curvas!AZ$2,'Fluxos de Recebimento'!$I$5:$BH$5, 0))+INDEX('Fluxos de Recebimento'!$I$65:$BH$116, MATCH(Curvas!$AB36, 'Fluxos de Recebimento'!$F$65:$F$116, 0), MATCH(Curvas!AZ$2, 'Fluxos de Recebimento'!$I$63:$BH$63, 0)),0)*INDEX($E:$E, MATCH(AZ$2, $B:$B, 0))</f>
        <v>4.3103448275862077E-3</v>
      </c>
      <c r="BA36" s="193">
        <f>IFERROR(INDEX('Fluxos de Recebimento'!$I$7:$BH$58, MATCH(Curvas!$AB36, 'Fluxos de Recebimento'!$F$7:$F$58, 0), MATCH(Curvas!BA$2,'Fluxos de Recebimento'!$I$5:$BH$5, 0))+INDEX('Fluxos de Recebimento'!$I$65:$BH$116, MATCH(Curvas!$AB36, 'Fluxos de Recebimento'!$F$65:$F$116, 0), MATCH(Curvas!BA$2, 'Fluxos de Recebimento'!$I$63:$BH$63, 0)),0)*INDEX($E:$E, MATCH(BA$2, $B:$B, 0))</f>
        <v>4.3103448275862077E-3</v>
      </c>
      <c r="BB36" s="193">
        <f>IFERROR(INDEX('Fluxos de Recebimento'!$I$7:$BH$58, MATCH(Curvas!$AB36, 'Fluxos de Recebimento'!$F$7:$F$58, 0), MATCH(Curvas!BB$2,'Fluxos de Recebimento'!$I$5:$BH$5, 0))+INDEX('Fluxos de Recebimento'!$I$65:$BH$116, MATCH(Curvas!$AB36, 'Fluxos de Recebimento'!$F$65:$F$116, 0), MATCH(Curvas!BB$2, 'Fluxos de Recebimento'!$I$63:$BH$63, 0)),0)*INDEX($E:$E, MATCH(BB$2, $B:$B, 0))</f>
        <v>4.3103448275862077E-3</v>
      </c>
      <c r="BC36" s="193">
        <f>IFERROR(INDEX('Fluxos de Recebimento'!$I$7:$BH$58, MATCH(Curvas!$AB36, 'Fluxos de Recebimento'!$F$7:$F$58, 0), MATCH(Curvas!BC$2,'Fluxos de Recebimento'!$I$5:$BH$5, 0))+INDEX('Fluxos de Recebimento'!$I$65:$BH$116, MATCH(Curvas!$AB36, 'Fluxos de Recebimento'!$F$65:$F$116, 0), MATCH(Curvas!BC$2, 'Fluxos de Recebimento'!$I$63:$BH$63, 0)),0)*INDEX($E:$E, MATCH(BC$2, $B:$B, 0))</f>
        <v>4.3103448275862077E-3</v>
      </c>
      <c r="BD36" s="193">
        <f>IFERROR(INDEX('Fluxos de Recebimento'!$I$7:$BH$58, MATCH(Curvas!$AB36, 'Fluxos de Recebimento'!$F$7:$F$58, 0), MATCH(Curvas!BD$2,'Fluxos de Recebimento'!$I$5:$BH$5, 0))+INDEX('Fluxos de Recebimento'!$I$65:$BH$116, MATCH(Curvas!$AB36, 'Fluxos de Recebimento'!$F$65:$F$116, 0), MATCH(Curvas!BD$2, 'Fluxos de Recebimento'!$I$63:$BH$63, 0)),0)*INDEX($E:$E, MATCH(BD$2, $B:$B, 0))</f>
        <v>4.3103448275862077E-3</v>
      </c>
      <c r="BE36" s="193">
        <f>IFERROR(INDEX('Fluxos de Recebimento'!$I$7:$BH$58, MATCH(Curvas!$AB36, 'Fluxos de Recebimento'!$F$7:$F$58, 0), MATCH(Curvas!BE$2,'Fluxos de Recebimento'!$I$5:$BH$5, 0))+INDEX('Fluxos de Recebimento'!$I$65:$BH$116, MATCH(Curvas!$AB36, 'Fluxos de Recebimento'!$F$65:$F$116, 0), MATCH(Curvas!BE$2, 'Fluxos de Recebimento'!$I$63:$BH$63, 0)),0)*INDEX($E:$E, MATCH(BE$2, $B:$B, 0))</f>
        <v>4.3103448275862077E-3</v>
      </c>
      <c r="BF36" s="193">
        <f>IFERROR(INDEX('Fluxos de Recebimento'!$I$7:$BH$58, MATCH(Curvas!$AB36, 'Fluxos de Recebimento'!$F$7:$F$58, 0), MATCH(Curvas!BF$2,'Fluxos de Recebimento'!$I$5:$BH$5, 0))+INDEX('Fluxos de Recebimento'!$I$65:$BH$116, MATCH(Curvas!$AB36, 'Fluxos de Recebimento'!$F$65:$F$116, 0), MATCH(Curvas!BF$2, 'Fluxos de Recebimento'!$I$63:$BH$63, 0)),0)*INDEX($E:$E, MATCH(BF$2, $B:$B, 0))</f>
        <v>4.3103448275862077E-3</v>
      </c>
      <c r="BG36" s="193">
        <f>IFERROR(INDEX('Fluxos de Recebimento'!$I$7:$BH$58, MATCH(Curvas!$AB36, 'Fluxos de Recebimento'!$F$7:$F$58, 0), MATCH(Curvas!BG$2,'Fluxos de Recebimento'!$I$5:$BH$5, 0))+INDEX('Fluxos de Recebimento'!$I$65:$BH$116, MATCH(Curvas!$AB36, 'Fluxos de Recebimento'!$F$65:$F$116, 0), MATCH(Curvas!BG$2, 'Fluxos de Recebimento'!$I$63:$BH$63, 0)),0)*INDEX($E:$E, MATCH(BG$2, $B:$B, 0))</f>
        <v>2.9166666666666667E-2</v>
      </c>
      <c r="BH36" s="193">
        <f>IFERROR(INDEX('Fluxos de Recebimento'!$I$7:$BH$58, MATCH(Curvas!$AB36, 'Fluxos de Recebimento'!$F$7:$F$58, 0), MATCH(Curvas!BH$2,'Fluxos de Recebimento'!$I$5:$BH$5, 0))+INDEX('Fluxos de Recebimento'!$I$65:$BH$116, MATCH(Curvas!$AB36, 'Fluxos de Recebimento'!$F$65:$F$116, 0), MATCH(Curvas!BH$2, 'Fluxos de Recebimento'!$I$63:$BH$63, 0)),0)*INDEX($E:$E, MATCH(BH$2, $B:$B, 0))</f>
        <v>3.1250000000000002E-3</v>
      </c>
      <c r="BI36" s="193">
        <f>IFERROR(INDEX('Fluxos de Recebimento'!$I$7:$BH$58, MATCH(Curvas!$AB36, 'Fluxos de Recebimento'!$F$7:$F$58, 0), MATCH(Curvas!BI$2,'Fluxos de Recebimento'!$I$5:$BH$5, 0))+INDEX('Fluxos de Recebimento'!$I$65:$BH$116, MATCH(Curvas!$AB36, 'Fluxos de Recebimento'!$F$65:$F$116, 0), MATCH(Curvas!BI$2, 'Fluxos de Recebimento'!$I$63:$BH$63, 0)),0)*INDEX($E:$E, MATCH(BI$2, $B:$B, 0))</f>
        <v>3.1250000000000002E-3</v>
      </c>
      <c r="BJ36" s="193">
        <f>IFERROR(INDEX('Fluxos de Recebimento'!$I$7:$BH$58, MATCH(Curvas!$AB36, 'Fluxos de Recebimento'!$F$7:$F$58, 0), MATCH(Curvas!BJ$2,'Fluxos de Recebimento'!$I$5:$BH$5, 0))+INDEX('Fluxos de Recebimento'!$I$65:$BH$116, MATCH(Curvas!$AB36, 'Fluxos de Recebimento'!$F$65:$F$116, 0), MATCH(Curvas!BJ$2, 'Fluxos de Recebimento'!$I$63:$BH$63, 0)),0)*INDEX($E:$E, MATCH(BJ$2, $B:$B, 0))</f>
        <v>6.2500000000000003E-3</v>
      </c>
      <c r="BK36" s="193">
        <f>IFERROR(INDEX('Fluxos de Recebimento'!$I$7:$BH$58, MATCH(Curvas!$AB36, 'Fluxos de Recebimento'!$F$7:$F$58, 0), MATCH(Curvas!BK$2,'Fluxos de Recebimento'!$I$5:$BH$5, 0))+INDEX('Fluxos de Recebimento'!$I$65:$BH$116, MATCH(Curvas!$AB36, 'Fluxos de Recebimento'!$F$65:$F$116, 0), MATCH(Curvas!BK$2, 'Fluxos de Recebimento'!$I$63:$BH$63, 0)),0)*INDEX($E:$E, MATCH(BK$2, $B:$B, 0))</f>
        <v>0</v>
      </c>
      <c r="BL36" s="193">
        <f>IFERROR(INDEX('Fluxos de Recebimento'!$I$7:$BH$58, MATCH(Curvas!$AB36, 'Fluxos de Recebimento'!$F$7:$F$58, 0), MATCH(Curvas!BL$2,'Fluxos de Recebimento'!$I$5:$BH$5, 0))+INDEX('Fluxos de Recebimento'!$I$65:$BH$116, MATCH(Curvas!$AB36, 'Fluxos de Recebimento'!$F$65:$F$116, 0), MATCH(Curvas!BL$2, 'Fluxos de Recebimento'!$I$63:$BH$63, 0)),0)*INDEX($E:$E, MATCH(BL$2, $B:$B, 0))</f>
        <v>0</v>
      </c>
      <c r="BM36" s="193">
        <f>IFERROR(INDEX('Fluxos de Recebimento'!$I$7:$BH$58, MATCH(Curvas!$AB36, 'Fluxos de Recebimento'!$F$7:$F$58, 0), MATCH(Curvas!BM$2,'Fluxos de Recebimento'!$I$5:$BH$5, 0))+INDEX('Fluxos de Recebimento'!$I$65:$BH$116, MATCH(Curvas!$AB36, 'Fluxos de Recebimento'!$F$65:$F$116, 0), MATCH(Curvas!BM$2, 'Fluxos de Recebimento'!$I$63:$BH$63, 0)),0)*INDEX($E:$E, MATCH(BM$2, $B:$B, 0))</f>
        <v>0</v>
      </c>
      <c r="BN36" s="193">
        <f>IFERROR(INDEX('Fluxos de Recebimento'!$I$7:$BH$58, MATCH(Curvas!$AB36, 'Fluxos de Recebimento'!$F$7:$F$58, 0), MATCH(Curvas!BN$2,'Fluxos de Recebimento'!$I$5:$BH$5, 0))+INDEX('Fluxos de Recebimento'!$I$65:$BH$116, MATCH(Curvas!$AB36, 'Fluxos de Recebimento'!$F$65:$F$116, 0), MATCH(Curvas!BN$2, 'Fluxos de Recebimento'!$I$63:$BH$63, 0)),0)*INDEX($E:$E, MATCH(BN$2, $B:$B, 0))</f>
        <v>0</v>
      </c>
      <c r="BO36" s="193">
        <f>IFERROR(INDEX('Fluxos de Recebimento'!$I$7:$BH$58, MATCH(Curvas!$AB36, 'Fluxos de Recebimento'!$F$7:$F$58, 0), MATCH(Curvas!BO$2,'Fluxos de Recebimento'!$I$5:$BH$5, 0))+INDEX('Fluxos de Recebimento'!$I$65:$BH$116, MATCH(Curvas!$AB36, 'Fluxos de Recebimento'!$F$65:$F$116, 0), MATCH(Curvas!BO$2, 'Fluxos de Recebimento'!$I$63:$BH$63, 0)),0)*INDEX($E:$E, MATCH(BO$2, $B:$B, 0))</f>
        <v>0</v>
      </c>
      <c r="BP36" s="193">
        <f>IFERROR(INDEX('Fluxos de Recebimento'!$I$7:$BH$58, MATCH(Curvas!$AB36, 'Fluxos de Recebimento'!$F$7:$F$58, 0), MATCH(Curvas!BP$2,'Fluxos de Recebimento'!$I$5:$BH$5, 0))+INDEX('Fluxos de Recebimento'!$I$65:$BH$116, MATCH(Curvas!$AB36, 'Fluxos de Recebimento'!$F$65:$F$116, 0), MATCH(Curvas!BP$2, 'Fluxos de Recebimento'!$I$63:$BH$63, 0)),0)*INDEX($E:$E, MATCH(BP$2, $B:$B, 0))</f>
        <v>0</v>
      </c>
      <c r="BQ36" s="193">
        <f>IFERROR(INDEX('Fluxos de Recebimento'!$I$7:$BH$58, MATCH(Curvas!$AB36, 'Fluxos de Recebimento'!$F$7:$F$58, 0), MATCH(Curvas!BQ$2,'Fluxos de Recebimento'!$I$5:$BH$5, 0))+INDEX('Fluxos de Recebimento'!$I$65:$BH$116, MATCH(Curvas!$AB36, 'Fluxos de Recebimento'!$F$65:$F$116, 0), MATCH(Curvas!BQ$2, 'Fluxos de Recebimento'!$I$63:$BH$63, 0)),0)*INDEX($E:$E, MATCH(BQ$2, $B:$B, 0))</f>
        <v>0</v>
      </c>
      <c r="BR36" s="193">
        <f>IFERROR(INDEX('Fluxos de Recebimento'!$I$7:$BH$58, MATCH(Curvas!$AB36, 'Fluxos de Recebimento'!$F$7:$F$58, 0), MATCH(Curvas!BR$2,'Fluxos de Recebimento'!$I$5:$BH$5, 0))+INDEX('Fluxos de Recebimento'!$I$65:$BH$116, MATCH(Curvas!$AB36, 'Fluxos de Recebimento'!$F$65:$F$116, 0), MATCH(Curvas!BR$2, 'Fluxos de Recebimento'!$I$63:$BH$63, 0)),0)*INDEX($E:$E, MATCH(BR$2, $B:$B, 0))</f>
        <v>0</v>
      </c>
      <c r="BS36" s="193">
        <f>IFERROR(INDEX('Fluxos de Recebimento'!$I$7:$BH$58, MATCH(Curvas!$AB36, 'Fluxos de Recebimento'!$F$7:$F$58, 0), MATCH(Curvas!BS$2,'Fluxos de Recebimento'!$I$5:$BH$5, 0))+INDEX('Fluxos de Recebimento'!$I$65:$BH$116, MATCH(Curvas!$AB36, 'Fluxos de Recebimento'!$F$65:$F$116, 0), MATCH(Curvas!BS$2, 'Fluxos de Recebimento'!$I$63:$BH$63, 0)),0)*INDEX($E:$E, MATCH(BS$2, $B:$B, 0))</f>
        <v>0</v>
      </c>
      <c r="BT36" s="193">
        <f>IFERROR(INDEX('Fluxos de Recebimento'!$I$7:$BH$58, MATCH(Curvas!$AB36, 'Fluxos de Recebimento'!$F$7:$F$58, 0), MATCH(Curvas!BT$2,'Fluxos de Recebimento'!$I$5:$BH$5, 0))+INDEX('Fluxos de Recebimento'!$I$65:$BH$116, MATCH(Curvas!$AB36, 'Fluxos de Recebimento'!$F$65:$F$116, 0), MATCH(Curvas!BT$2, 'Fluxos de Recebimento'!$I$63:$BH$63, 0)),0)*INDEX($E:$E, MATCH(BT$2, $B:$B, 0))</f>
        <v>0</v>
      </c>
      <c r="BU36" s="193">
        <f>IFERROR(INDEX('Fluxos de Recebimento'!$I$7:$BH$58, MATCH(Curvas!$AB36, 'Fluxos de Recebimento'!$F$7:$F$58, 0), MATCH(Curvas!BU$2,'Fluxos de Recebimento'!$I$5:$BH$5, 0))+INDEX('Fluxos de Recebimento'!$I$65:$BH$116, MATCH(Curvas!$AB36, 'Fluxos de Recebimento'!$F$65:$F$116, 0), MATCH(Curvas!BU$2, 'Fluxos de Recebimento'!$I$63:$BH$63, 0)),0)*INDEX($E:$E, MATCH(BU$2, $B:$B, 0))</f>
        <v>0</v>
      </c>
      <c r="BV36" s="193">
        <f>IFERROR(INDEX('Fluxos de Recebimento'!$I$7:$BH$58, MATCH(Curvas!$AB36, 'Fluxos de Recebimento'!$F$7:$F$58, 0), MATCH(Curvas!BV$2,'Fluxos de Recebimento'!$I$5:$BH$5, 0))+INDEX('Fluxos de Recebimento'!$I$65:$BH$116, MATCH(Curvas!$AB36, 'Fluxos de Recebimento'!$F$65:$F$116, 0), MATCH(Curvas!BV$2, 'Fluxos de Recebimento'!$I$63:$BH$63, 0)),0)*INDEX($E:$E, MATCH(BV$2, $B:$B, 0))</f>
        <v>0</v>
      </c>
      <c r="BW36" s="193">
        <f>IFERROR(INDEX('Fluxos de Recebimento'!$I$7:$BH$58, MATCH(Curvas!$AB36, 'Fluxos de Recebimento'!$F$7:$F$58, 0), MATCH(Curvas!BW$2,'Fluxos de Recebimento'!$I$5:$BH$5, 0))+INDEX('Fluxos de Recebimento'!$I$65:$BH$116, MATCH(Curvas!$AB36, 'Fluxos de Recebimento'!$F$65:$F$116, 0), MATCH(Curvas!BW$2, 'Fluxos de Recebimento'!$I$63:$BH$63, 0)),0)*INDEX($E:$E, MATCH(BW$2, $B:$B, 0))</f>
        <v>0</v>
      </c>
      <c r="BX36" s="193">
        <f>IFERROR(INDEX('Fluxos de Recebimento'!$I$7:$BH$58, MATCH(Curvas!$AB36, 'Fluxos de Recebimento'!$F$7:$F$58, 0), MATCH(Curvas!BX$2,'Fluxos de Recebimento'!$I$5:$BH$5, 0))+INDEX('Fluxos de Recebimento'!$I$65:$BH$116, MATCH(Curvas!$AB36, 'Fluxos de Recebimento'!$F$65:$F$116, 0), MATCH(Curvas!BX$2, 'Fluxos de Recebimento'!$I$63:$BH$63, 0)),0)*INDEX($E:$E, MATCH(BX$2, $B:$B, 0))</f>
        <v>0</v>
      </c>
      <c r="BY36" s="193">
        <f>IFERROR(INDEX('Fluxos de Recebimento'!$I$7:$BH$58, MATCH(Curvas!$AB36, 'Fluxos de Recebimento'!$F$7:$F$58, 0), MATCH(Curvas!BY$2,'Fluxos de Recebimento'!$I$5:$BH$5, 0))+INDEX('Fluxos de Recebimento'!$I$65:$BH$116, MATCH(Curvas!$AB36, 'Fluxos de Recebimento'!$F$65:$F$116, 0), MATCH(Curvas!BY$2, 'Fluxos de Recebimento'!$I$63:$BH$63, 0)),0)*INDEX($E:$E, MATCH(BY$2, $B:$B, 0))</f>
        <v>0</v>
      </c>
      <c r="BZ36" s="193">
        <f>IFERROR(INDEX('Fluxos de Recebimento'!$I$7:$BH$58, MATCH(Curvas!$AB36, 'Fluxos de Recebimento'!$F$7:$F$58, 0), MATCH(Curvas!BZ$2,'Fluxos de Recebimento'!$I$5:$BH$5, 0))+INDEX('Fluxos de Recebimento'!$I$65:$BH$116, MATCH(Curvas!$AB36, 'Fluxos de Recebimento'!$F$65:$F$116, 0), MATCH(Curvas!BZ$2, 'Fluxos de Recebimento'!$I$63:$BH$63, 0)),0)*INDEX($E:$E, MATCH(BZ$2, $B:$B, 0))</f>
        <v>0</v>
      </c>
      <c r="CA36" s="193">
        <f>IFERROR(INDEX('Fluxos de Recebimento'!$I$7:$BH$58, MATCH(Curvas!$AB36, 'Fluxos de Recebimento'!$F$7:$F$58, 0), MATCH(Curvas!CA$2,'Fluxos de Recebimento'!$I$5:$BH$5, 0))+INDEX('Fluxos de Recebimento'!$I$65:$BH$116, MATCH(Curvas!$AB36, 'Fluxos de Recebimento'!$F$65:$F$116, 0), MATCH(Curvas!CA$2, 'Fluxos de Recebimento'!$I$63:$BH$63, 0)),0)*INDEX($E:$E, MATCH(CA$2, $B:$B, 0))</f>
        <v>0</v>
      </c>
      <c r="CB36" s="193">
        <f>IFERROR(INDEX('Fluxos de Recebimento'!$I$7:$BH$58, MATCH(Curvas!$AB36, 'Fluxos de Recebimento'!$F$7:$F$58, 0), MATCH(Curvas!CB$2,'Fluxos de Recebimento'!$I$5:$BH$5, 0))+INDEX('Fluxos de Recebimento'!$I$65:$BH$116, MATCH(Curvas!$AB36, 'Fluxos de Recebimento'!$F$65:$F$116, 0), MATCH(Curvas!CB$2, 'Fluxos de Recebimento'!$I$63:$BH$63, 0)),0)*INDEX($E:$E, MATCH(CB$2, $B:$B, 0))</f>
        <v>0</v>
      </c>
      <c r="CC36" s="193">
        <f>IFERROR(INDEX('Fluxos de Recebimento'!$I$7:$BH$58, MATCH(Curvas!$AB36, 'Fluxos de Recebimento'!$F$7:$F$58, 0), MATCH(Curvas!CC$2,'Fluxos de Recebimento'!$I$5:$BH$5, 0))+INDEX('Fluxos de Recebimento'!$I$65:$BH$116, MATCH(Curvas!$AB36, 'Fluxos de Recebimento'!$F$65:$F$116, 0), MATCH(Curvas!CC$2, 'Fluxos de Recebimento'!$I$63:$BH$63, 0)),0)*INDEX($E:$E, MATCH(CC$2, $B:$B, 0))</f>
        <v>0</v>
      </c>
    </row>
    <row r="37" spans="1:81" x14ac:dyDescent="0.25">
      <c r="A37" s="2"/>
      <c r="B37" s="477">
        <f t="shared" ref="B37:B59" si="34">EDATE(B36, 1)</f>
        <v>45170</v>
      </c>
      <c r="C37" s="52">
        <f t="shared" ref="C37:C59" si="35">C36+1</f>
        <v>34</v>
      </c>
      <c r="D37" s="2"/>
      <c r="E37" s="187">
        <f t="shared" si="22"/>
        <v>4.1666666666666671E-2</v>
      </c>
      <c r="F37" s="48">
        <f t="shared" ref="F37:F68" si="36">F36+E37</f>
        <v>0.87499999999999989</v>
      </c>
      <c r="G37" s="46">
        <f t="shared" ca="1" si="23"/>
        <v>0.1875</v>
      </c>
      <c r="H37" s="48">
        <f t="shared" ref="H37:H68" ca="1" si="37">H36+G37</f>
        <v>0.5625</v>
      </c>
      <c r="I37" s="2"/>
      <c r="J37" s="69">
        <f t="shared" ca="1" si="24"/>
        <v>10</v>
      </c>
      <c r="K37" s="479">
        <f t="shared" ca="1" si="25"/>
        <v>-3</v>
      </c>
      <c r="L37" s="70">
        <f t="shared" ca="1" si="26"/>
        <v>7</v>
      </c>
      <c r="M37" s="2"/>
      <c r="N37" s="69">
        <f t="shared" si="27"/>
        <v>11</v>
      </c>
      <c r="O37" s="479">
        <f t="shared" si="28"/>
        <v>-5</v>
      </c>
      <c r="P37" s="70">
        <f t="shared" si="29"/>
        <v>6</v>
      </c>
      <c r="Q37" s="2"/>
      <c r="R37" s="71">
        <f t="shared" ca="1" si="30"/>
        <v>21</v>
      </c>
      <c r="S37" s="196"/>
      <c r="T37" s="46">
        <v>2.7501815433476542E-3</v>
      </c>
      <c r="U37" s="48">
        <f t="shared" ref="U37:U68" si="38">U36+T37</f>
        <v>0.99999999999999978</v>
      </c>
      <c r="V37" s="2"/>
      <c r="W37" s="56"/>
      <c r="X37" s="48"/>
      <c r="Y37" s="2"/>
      <c r="Z37" s="194">
        <f t="shared" si="31"/>
        <v>0.1666666666666666</v>
      </c>
      <c r="AA37" s="2"/>
      <c r="AB37" s="477">
        <f t="shared" si="32"/>
        <v>45170</v>
      </c>
      <c r="AC37" s="52">
        <f t="shared" si="33"/>
        <v>34</v>
      </c>
      <c r="AD37" s="193">
        <f>IFERROR(INDEX('Fluxos de Recebimento'!$I$7:$BH$58, MATCH(Curvas!$AB37, 'Fluxos de Recebimento'!$F$7:$F$58, 0), MATCH(Curvas!AD$2,'Fluxos de Recebimento'!$I$5:$BH$5, 0))+INDEX('Fluxos de Recebimento'!$I$65:$BH$116, MATCH(Curvas!$AB37, 'Fluxos de Recebimento'!$F$65:$F$116, 0), MATCH(Curvas!AD$2, 'Fluxos de Recebimento'!$I$63:$BH$63, 0)),0)*INDEX($E:$E, MATCH(AD$2, $B:$B, 0))</f>
        <v>4.3103448275862077E-3</v>
      </c>
      <c r="AE37" s="193">
        <f>IFERROR(INDEX('Fluxos de Recebimento'!$I$7:$BH$58, MATCH(Curvas!$AB37, 'Fluxos de Recebimento'!$F$7:$F$58, 0), MATCH(Curvas!AE$2,'Fluxos de Recebimento'!$I$5:$BH$5, 0))+INDEX('Fluxos de Recebimento'!$I$65:$BH$116, MATCH(Curvas!$AB37, 'Fluxos de Recebimento'!$F$65:$F$116, 0), MATCH(Curvas!AE$2, 'Fluxos de Recebimento'!$I$63:$BH$63, 0)),0)*INDEX($E:$E, MATCH(AE$2, $B:$B, 0))</f>
        <v>4.3103448275862077E-3</v>
      </c>
      <c r="AF37" s="193">
        <f>IFERROR(INDEX('Fluxos de Recebimento'!$I$7:$BH$58, MATCH(Curvas!$AB37, 'Fluxos de Recebimento'!$F$7:$F$58, 0), MATCH(Curvas!AF$2,'Fluxos de Recebimento'!$I$5:$BH$5, 0))+INDEX('Fluxos de Recebimento'!$I$65:$BH$116, MATCH(Curvas!$AB37, 'Fluxos de Recebimento'!$F$65:$F$116, 0), MATCH(Curvas!AF$2, 'Fluxos de Recebimento'!$I$63:$BH$63, 0)),0)*INDEX($E:$E, MATCH(AF$2, $B:$B, 0))</f>
        <v>4.3103448275862077E-3</v>
      </c>
      <c r="AG37" s="193">
        <f>IFERROR(INDEX('Fluxos de Recebimento'!$I$7:$BH$58, MATCH(Curvas!$AB37, 'Fluxos de Recebimento'!$F$7:$F$58, 0), MATCH(Curvas!AG$2,'Fluxos de Recebimento'!$I$5:$BH$5, 0))+INDEX('Fluxos de Recebimento'!$I$65:$BH$116, MATCH(Curvas!$AB37, 'Fluxos de Recebimento'!$F$65:$F$116, 0), MATCH(Curvas!AG$2, 'Fluxos de Recebimento'!$I$63:$BH$63, 0)),0)*INDEX($E:$E, MATCH(AG$2, $B:$B, 0))</f>
        <v>4.3103448275862077E-3</v>
      </c>
      <c r="AH37" s="193">
        <f>IFERROR(INDEX('Fluxos de Recebimento'!$I$7:$BH$58, MATCH(Curvas!$AB37, 'Fluxos de Recebimento'!$F$7:$F$58, 0), MATCH(Curvas!AH$2,'Fluxos de Recebimento'!$I$5:$BH$5, 0))+INDEX('Fluxos de Recebimento'!$I$65:$BH$116, MATCH(Curvas!$AB37, 'Fluxos de Recebimento'!$F$65:$F$116, 0), MATCH(Curvas!AH$2, 'Fluxos de Recebimento'!$I$63:$BH$63, 0)),0)*INDEX($E:$E, MATCH(AH$2, $B:$B, 0))</f>
        <v>4.3103448275862077E-3</v>
      </c>
      <c r="AI37" s="193">
        <f>IFERROR(INDEX('Fluxos de Recebimento'!$I$7:$BH$58, MATCH(Curvas!$AB37, 'Fluxos de Recebimento'!$F$7:$F$58, 0), MATCH(Curvas!AI$2,'Fluxos de Recebimento'!$I$5:$BH$5, 0))+INDEX('Fluxos de Recebimento'!$I$65:$BH$116, MATCH(Curvas!$AB37, 'Fluxos de Recebimento'!$F$65:$F$116, 0), MATCH(Curvas!AI$2, 'Fluxos de Recebimento'!$I$63:$BH$63, 0)),0)*INDEX($E:$E, MATCH(AI$2, $B:$B, 0))</f>
        <v>4.3103448275862077E-3</v>
      </c>
      <c r="AJ37" s="193">
        <f>IFERROR(INDEX('Fluxos de Recebimento'!$I$7:$BH$58, MATCH(Curvas!$AB37, 'Fluxos de Recebimento'!$F$7:$F$58, 0), MATCH(Curvas!AJ$2,'Fluxos de Recebimento'!$I$5:$BH$5, 0))+INDEX('Fluxos de Recebimento'!$I$65:$BH$116, MATCH(Curvas!$AB37, 'Fluxos de Recebimento'!$F$65:$F$116, 0), MATCH(Curvas!AJ$2, 'Fluxos de Recebimento'!$I$63:$BH$63, 0)),0)*INDEX($E:$E, MATCH(AJ$2, $B:$B, 0))</f>
        <v>4.3103448275862077E-3</v>
      </c>
      <c r="AK37" s="193">
        <f>IFERROR(INDEX('Fluxos de Recebimento'!$I$7:$BH$58, MATCH(Curvas!$AB37, 'Fluxos de Recebimento'!$F$7:$F$58, 0), MATCH(Curvas!AK$2,'Fluxos de Recebimento'!$I$5:$BH$5, 0))+INDEX('Fluxos de Recebimento'!$I$65:$BH$116, MATCH(Curvas!$AB37, 'Fluxos de Recebimento'!$F$65:$F$116, 0), MATCH(Curvas!AK$2, 'Fluxos de Recebimento'!$I$63:$BH$63, 0)),0)*INDEX($E:$E, MATCH(AK$2, $B:$B, 0))</f>
        <v>4.3103448275862077E-3</v>
      </c>
      <c r="AL37" s="193">
        <f>IFERROR(INDEX('Fluxos de Recebimento'!$I$7:$BH$58, MATCH(Curvas!$AB37, 'Fluxos de Recebimento'!$F$7:$F$58, 0), MATCH(Curvas!AL$2,'Fluxos de Recebimento'!$I$5:$BH$5, 0))+INDEX('Fluxos de Recebimento'!$I$65:$BH$116, MATCH(Curvas!$AB37, 'Fluxos de Recebimento'!$F$65:$F$116, 0), MATCH(Curvas!AL$2, 'Fluxos de Recebimento'!$I$63:$BH$63, 0)),0)*INDEX($E:$E, MATCH(AL$2, $B:$B, 0))</f>
        <v>4.3103448275862077E-3</v>
      </c>
      <c r="AM37" s="193">
        <f>IFERROR(INDEX('Fluxos de Recebimento'!$I$7:$BH$58, MATCH(Curvas!$AB37, 'Fluxos de Recebimento'!$F$7:$F$58, 0), MATCH(Curvas!AM$2,'Fluxos de Recebimento'!$I$5:$BH$5, 0))+INDEX('Fluxos de Recebimento'!$I$65:$BH$116, MATCH(Curvas!$AB37, 'Fluxos de Recebimento'!$F$65:$F$116, 0), MATCH(Curvas!AM$2, 'Fluxos de Recebimento'!$I$63:$BH$63, 0)),0)*INDEX($E:$E, MATCH(AM$2, $B:$B, 0))</f>
        <v>4.3103448275862077E-3</v>
      </c>
      <c r="AN37" s="193">
        <f>IFERROR(INDEX('Fluxos de Recebimento'!$I$7:$BH$58, MATCH(Curvas!$AB37, 'Fluxos de Recebimento'!$F$7:$F$58, 0), MATCH(Curvas!AN$2,'Fluxos de Recebimento'!$I$5:$BH$5, 0))+INDEX('Fluxos de Recebimento'!$I$65:$BH$116, MATCH(Curvas!$AB37, 'Fluxos de Recebimento'!$F$65:$F$116, 0), MATCH(Curvas!AN$2, 'Fluxos de Recebimento'!$I$63:$BH$63, 0)),0)*INDEX($E:$E, MATCH(AN$2, $B:$B, 0))</f>
        <v>4.3103448275862077E-3</v>
      </c>
      <c r="AO37" s="193">
        <f>IFERROR(INDEX('Fluxos de Recebimento'!$I$7:$BH$58, MATCH(Curvas!$AB37, 'Fluxos de Recebimento'!$F$7:$F$58, 0), MATCH(Curvas!AO$2,'Fluxos de Recebimento'!$I$5:$BH$5, 0))+INDEX('Fluxos de Recebimento'!$I$65:$BH$116, MATCH(Curvas!$AB37, 'Fluxos de Recebimento'!$F$65:$F$116, 0), MATCH(Curvas!AO$2, 'Fluxos de Recebimento'!$I$63:$BH$63, 0)),0)*INDEX($E:$E, MATCH(AO$2, $B:$B, 0))</f>
        <v>4.3103448275862077E-3</v>
      </c>
      <c r="AP37" s="193">
        <f>IFERROR(INDEX('Fluxos de Recebimento'!$I$7:$BH$58, MATCH(Curvas!$AB37, 'Fluxos de Recebimento'!$F$7:$F$58, 0), MATCH(Curvas!AP$2,'Fluxos de Recebimento'!$I$5:$BH$5, 0))+INDEX('Fluxos de Recebimento'!$I$65:$BH$116, MATCH(Curvas!$AB37, 'Fluxos de Recebimento'!$F$65:$F$116, 0), MATCH(Curvas!AP$2, 'Fluxos de Recebimento'!$I$63:$BH$63, 0)),0)*INDEX($E:$E, MATCH(AP$2, $B:$B, 0))</f>
        <v>4.3103448275862077E-3</v>
      </c>
      <c r="AQ37" s="193">
        <f>IFERROR(INDEX('Fluxos de Recebimento'!$I$7:$BH$58, MATCH(Curvas!$AB37, 'Fluxos de Recebimento'!$F$7:$F$58, 0), MATCH(Curvas!AQ$2,'Fluxos de Recebimento'!$I$5:$BH$5, 0))+INDEX('Fluxos de Recebimento'!$I$65:$BH$116, MATCH(Curvas!$AB37, 'Fluxos de Recebimento'!$F$65:$F$116, 0), MATCH(Curvas!AQ$2, 'Fluxos de Recebimento'!$I$63:$BH$63, 0)),0)*INDEX($E:$E, MATCH(AQ$2, $B:$B, 0))</f>
        <v>4.3103448275862077E-3</v>
      </c>
      <c r="AR37" s="193">
        <f>IFERROR(INDEX('Fluxos de Recebimento'!$I$7:$BH$58, MATCH(Curvas!$AB37, 'Fluxos de Recebimento'!$F$7:$F$58, 0), MATCH(Curvas!AR$2,'Fluxos de Recebimento'!$I$5:$BH$5, 0))+INDEX('Fluxos de Recebimento'!$I$65:$BH$116, MATCH(Curvas!$AB37, 'Fluxos de Recebimento'!$F$65:$F$116, 0), MATCH(Curvas!AR$2, 'Fluxos de Recebimento'!$I$63:$BH$63, 0)),0)*INDEX($E:$E, MATCH(AR$2, $B:$B, 0))</f>
        <v>4.3103448275862077E-3</v>
      </c>
      <c r="AS37" s="193">
        <f>IFERROR(INDEX('Fluxos de Recebimento'!$I$7:$BH$58, MATCH(Curvas!$AB37, 'Fluxos de Recebimento'!$F$7:$F$58, 0), MATCH(Curvas!AS$2,'Fluxos de Recebimento'!$I$5:$BH$5, 0))+INDEX('Fluxos de Recebimento'!$I$65:$BH$116, MATCH(Curvas!$AB37, 'Fluxos de Recebimento'!$F$65:$F$116, 0), MATCH(Curvas!AS$2, 'Fluxos de Recebimento'!$I$63:$BH$63, 0)),0)*INDEX($E:$E, MATCH(AS$2, $B:$B, 0))</f>
        <v>4.3103448275862077E-3</v>
      </c>
      <c r="AT37" s="193">
        <f>IFERROR(INDEX('Fluxos de Recebimento'!$I$7:$BH$58, MATCH(Curvas!$AB37, 'Fluxos de Recebimento'!$F$7:$F$58, 0), MATCH(Curvas!AT$2,'Fluxos de Recebimento'!$I$5:$BH$5, 0))+INDEX('Fluxos de Recebimento'!$I$65:$BH$116, MATCH(Curvas!$AB37, 'Fluxos de Recebimento'!$F$65:$F$116, 0), MATCH(Curvas!AT$2, 'Fluxos de Recebimento'!$I$63:$BH$63, 0)),0)*INDEX($E:$E, MATCH(AT$2, $B:$B, 0))</f>
        <v>4.3103448275862077E-3</v>
      </c>
      <c r="AU37" s="193">
        <f>IFERROR(INDEX('Fluxos de Recebimento'!$I$7:$BH$58, MATCH(Curvas!$AB37, 'Fluxos de Recebimento'!$F$7:$F$58, 0), MATCH(Curvas!AU$2,'Fluxos de Recebimento'!$I$5:$BH$5, 0))+INDEX('Fluxos de Recebimento'!$I$65:$BH$116, MATCH(Curvas!$AB37, 'Fluxos de Recebimento'!$F$65:$F$116, 0), MATCH(Curvas!AU$2, 'Fluxos de Recebimento'!$I$63:$BH$63, 0)),0)*INDEX($E:$E, MATCH(AU$2, $B:$B, 0))</f>
        <v>4.3103448275862077E-3</v>
      </c>
      <c r="AV37" s="193">
        <f>IFERROR(INDEX('Fluxos de Recebimento'!$I$7:$BH$58, MATCH(Curvas!$AB37, 'Fluxos de Recebimento'!$F$7:$F$58, 0), MATCH(Curvas!AV$2,'Fluxos de Recebimento'!$I$5:$BH$5, 0))+INDEX('Fluxos de Recebimento'!$I$65:$BH$116, MATCH(Curvas!$AB37, 'Fluxos de Recebimento'!$F$65:$F$116, 0), MATCH(Curvas!AV$2, 'Fluxos de Recebimento'!$I$63:$BH$63, 0)),0)*INDEX($E:$E, MATCH(AV$2, $B:$B, 0))</f>
        <v>4.3103448275862077E-3</v>
      </c>
      <c r="AW37" s="193">
        <f>IFERROR(INDEX('Fluxos de Recebimento'!$I$7:$BH$58, MATCH(Curvas!$AB37, 'Fluxos de Recebimento'!$F$7:$F$58, 0), MATCH(Curvas!AW$2,'Fluxos de Recebimento'!$I$5:$BH$5, 0))+INDEX('Fluxos de Recebimento'!$I$65:$BH$116, MATCH(Curvas!$AB37, 'Fluxos de Recebimento'!$F$65:$F$116, 0), MATCH(Curvas!AW$2, 'Fluxos de Recebimento'!$I$63:$BH$63, 0)),0)*INDEX($E:$E, MATCH(AW$2, $B:$B, 0))</f>
        <v>4.3103448275862077E-3</v>
      </c>
      <c r="AX37" s="193">
        <f>IFERROR(INDEX('Fluxos de Recebimento'!$I$7:$BH$58, MATCH(Curvas!$AB37, 'Fluxos de Recebimento'!$F$7:$F$58, 0), MATCH(Curvas!AX$2,'Fluxos de Recebimento'!$I$5:$BH$5, 0))+INDEX('Fluxos de Recebimento'!$I$65:$BH$116, MATCH(Curvas!$AB37, 'Fluxos de Recebimento'!$F$65:$F$116, 0), MATCH(Curvas!AX$2, 'Fluxos de Recebimento'!$I$63:$BH$63, 0)),0)*INDEX($E:$E, MATCH(AX$2, $B:$B, 0))</f>
        <v>4.3103448275862077E-3</v>
      </c>
      <c r="AY37" s="193">
        <f>IFERROR(INDEX('Fluxos de Recebimento'!$I$7:$BH$58, MATCH(Curvas!$AB37, 'Fluxos de Recebimento'!$F$7:$F$58, 0), MATCH(Curvas!AY$2,'Fluxos de Recebimento'!$I$5:$BH$5, 0))+INDEX('Fluxos de Recebimento'!$I$65:$BH$116, MATCH(Curvas!$AB37, 'Fluxos de Recebimento'!$F$65:$F$116, 0), MATCH(Curvas!AY$2, 'Fluxos de Recebimento'!$I$63:$BH$63, 0)),0)*INDEX($E:$E, MATCH(AY$2, $B:$B, 0))</f>
        <v>4.3103448275862077E-3</v>
      </c>
      <c r="AZ37" s="193">
        <f>IFERROR(INDEX('Fluxos de Recebimento'!$I$7:$BH$58, MATCH(Curvas!$AB37, 'Fluxos de Recebimento'!$F$7:$F$58, 0), MATCH(Curvas!AZ$2,'Fluxos de Recebimento'!$I$5:$BH$5, 0))+INDEX('Fluxos de Recebimento'!$I$65:$BH$116, MATCH(Curvas!$AB37, 'Fluxos de Recebimento'!$F$65:$F$116, 0), MATCH(Curvas!AZ$2, 'Fluxos de Recebimento'!$I$63:$BH$63, 0)),0)*INDEX($E:$E, MATCH(AZ$2, $B:$B, 0))</f>
        <v>4.3103448275862077E-3</v>
      </c>
      <c r="BA37" s="193">
        <f>IFERROR(INDEX('Fluxos de Recebimento'!$I$7:$BH$58, MATCH(Curvas!$AB37, 'Fluxos de Recebimento'!$F$7:$F$58, 0), MATCH(Curvas!BA$2,'Fluxos de Recebimento'!$I$5:$BH$5, 0))+INDEX('Fluxos de Recebimento'!$I$65:$BH$116, MATCH(Curvas!$AB37, 'Fluxos de Recebimento'!$F$65:$F$116, 0), MATCH(Curvas!BA$2, 'Fluxos de Recebimento'!$I$63:$BH$63, 0)),0)*INDEX($E:$E, MATCH(BA$2, $B:$B, 0))</f>
        <v>4.3103448275862077E-3</v>
      </c>
      <c r="BB37" s="193">
        <f>IFERROR(INDEX('Fluxos de Recebimento'!$I$7:$BH$58, MATCH(Curvas!$AB37, 'Fluxos de Recebimento'!$F$7:$F$58, 0), MATCH(Curvas!BB$2,'Fluxos de Recebimento'!$I$5:$BH$5, 0))+INDEX('Fluxos de Recebimento'!$I$65:$BH$116, MATCH(Curvas!$AB37, 'Fluxos de Recebimento'!$F$65:$F$116, 0), MATCH(Curvas!BB$2, 'Fluxos de Recebimento'!$I$63:$BH$63, 0)),0)*INDEX($E:$E, MATCH(BB$2, $B:$B, 0))</f>
        <v>4.3103448275862077E-3</v>
      </c>
      <c r="BC37" s="193">
        <f>IFERROR(INDEX('Fluxos de Recebimento'!$I$7:$BH$58, MATCH(Curvas!$AB37, 'Fluxos de Recebimento'!$F$7:$F$58, 0), MATCH(Curvas!BC$2,'Fluxos de Recebimento'!$I$5:$BH$5, 0))+INDEX('Fluxos de Recebimento'!$I$65:$BH$116, MATCH(Curvas!$AB37, 'Fluxos de Recebimento'!$F$65:$F$116, 0), MATCH(Curvas!BC$2, 'Fluxos de Recebimento'!$I$63:$BH$63, 0)),0)*INDEX($E:$E, MATCH(BC$2, $B:$B, 0))</f>
        <v>4.3103448275862077E-3</v>
      </c>
      <c r="BD37" s="193">
        <f>IFERROR(INDEX('Fluxos de Recebimento'!$I$7:$BH$58, MATCH(Curvas!$AB37, 'Fluxos de Recebimento'!$F$7:$F$58, 0), MATCH(Curvas!BD$2,'Fluxos de Recebimento'!$I$5:$BH$5, 0))+INDEX('Fluxos de Recebimento'!$I$65:$BH$116, MATCH(Curvas!$AB37, 'Fluxos de Recebimento'!$F$65:$F$116, 0), MATCH(Curvas!BD$2, 'Fluxos de Recebimento'!$I$63:$BH$63, 0)),0)*INDEX($E:$E, MATCH(BD$2, $B:$B, 0))</f>
        <v>4.3103448275862077E-3</v>
      </c>
      <c r="BE37" s="193">
        <f>IFERROR(INDEX('Fluxos de Recebimento'!$I$7:$BH$58, MATCH(Curvas!$AB37, 'Fluxos de Recebimento'!$F$7:$F$58, 0), MATCH(Curvas!BE$2,'Fluxos de Recebimento'!$I$5:$BH$5, 0))+INDEX('Fluxos de Recebimento'!$I$65:$BH$116, MATCH(Curvas!$AB37, 'Fluxos de Recebimento'!$F$65:$F$116, 0), MATCH(Curvas!BE$2, 'Fluxos de Recebimento'!$I$63:$BH$63, 0)),0)*INDEX($E:$E, MATCH(BE$2, $B:$B, 0))</f>
        <v>4.3103448275862077E-3</v>
      </c>
      <c r="BF37" s="193">
        <f>IFERROR(INDEX('Fluxos de Recebimento'!$I$7:$BH$58, MATCH(Curvas!$AB37, 'Fluxos de Recebimento'!$F$7:$F$58, 0), MATCH(Curvas!BF$2,'Fluxos de Recebimento'!$I$5:$BH$5, 0))+INDEX('Fluxos de Recebimento'!$I$65:$BH$116, MATCH(Curvas!$AB37, 'Fluxos de Recebimento'!$F$65:$F$116, 0), MATCH(Curvas!BF$2, 'Fluxos de Recebimento'!$I$63:$BH$63, 0)),0)*INDEX($E:$E, MATCH(BF$2, $B:$B, 0))</f>
        <v>4.3103448275862077E-3</v>
      </c>
      <c r="BG37" s="193">
        <f>IFERROR(INDEX('Fluxos de Recebimento'!$I$7:$BH$58, MATCH(Curvas!$AB37, 'Fluxos de Recebimento'!$F$7:$F$58, 0), MATCH(Curvas!BG$2,'Fluxos de Recebimento'!$I$5:$BH$5, 0))+INDEX('Fluxos de Recebimento'!$I$65:$BH$116, MATCH(Curvas!$AB37, 'Fluxos de Recebimento'!$F$65:$F$116, 0), MATCH(Curvas!BG$2, 'Fluxos de Recebimento'!$I$63:$BH$63, 0)),0)*INDEX($E:$E, MATCH(BG$2, $B:$B, 0))</f>
        <v>0</v>
      </c>
      <c r="BH37" s="193">
        <f>IFERROR(INDEX('Fluxos de Recebimento'!$I$7:$BH$58, MATCH(Curvas!$AB37, 'Fluxos de Recebimento'!$F$7:$F$58, 0), MATCH(Curvas!BH$2,'Fluxos de Recebimento'!$I$5:$BH$5, 0))+INDEX('Fluxos de Recebimento'!$I$65:$BH$116, MATCH(Curvas!$AB37, 'Fluxos de Recebimento'!$F$65:$F$116, 0), MATCH(Curvas!BH$2, 'Fluxos de Recebimento'!$I$63:$BH$63, 0)),0)*INDEX($E:$E, MATCH(BH$2, $B:$B, 0))</f>
        <v>2.9166666666666667E-2</v>
      </c>
      <c r="BI37" s="193">
        <f>IFERROR(INDEX('Fluxos de Recebimento'!$I$7:$BH$58, MATCH(Curvas!$AB37, 'Fluxos de Recebimento'!$F$7:$F$58, 0), MATCH(Curvas!BI$2,'Fluxos de Recebimento'!$I$5:$BH$5, 0))+INDEX('Fluxos de Recebimento'!$I$65:$BH$116, MATCH(Curvas!$AB37, 'Fluxos de Recebimento'!$F$65:$F$116, 0), MATCH(Curvas!BI$2, 'Fluxos de Recebimento'!$I$63:$BH$63, 0)),0)*INDEX($E:$E, MATCH(BI$2, $B:$B, 0))</f>
        <v>3.1250000000000002E-3</v>
      </c>
      <c r="BJ37" s="193">
        <f>IFERROR(INDEX('Fluxos de Recebimento'!$I$7:$BH$58, MATCH(Curvas!$AB37, 'Fluxos de Recebimento'!$F$7:$F$58, 0), MATCH(Curvas!BJ$2,'Fluxos de Recebimento'!$I$5:$BH$5, 0))+INDEX('Fluxos de Recebimento'!$I$65:$BH$116, MATCH(Curvas!$AB37, 'Fluxos de Recebimento'!$F$65:$F$116, 0), MATCH(Curvas!BJ$2, 'Fluxos de Recebimento'!$I$63:$BH$63, 0)),0)*INDEX($E:$E, MATCH(BJ$2, $B:$B, 0))</f>
        <v>3.1250000000000002E-3</v>
      </c>
      <c r="BK37" s="193">
        <f>IFERROR(INDEX('Fluxos de Recebimento'!$I$7:$BH$58, MATCH(Curvas!$AB37, 'Fluxos de Recebimento'!$F$7:$F$58, 0), MATCH(Curvas!BK$2,'Fluxos de Recebimento'!$I$5:$BH$5, 0))+INDEX('Fluxos de Recebimento'!$I$65:$BH$116, MATCH(Curvas!$AB37, 'Fluxos de Recebimento'!$F$65:$F$116, 0), MATCH(Curvas!BK$2, 'Fluxos de Recebimento'!$I$63:$BH$63, 0)),0)*INDEX($E:$E, MATCH(BK$2, $B:$B, 0))</f>
        <v>6.2500000000000003E-3</v>
      </c>
      <c r="BL37" s="193">
        <f>IFERROR(INDEX('Fluxos de Recebimento'!$I$7:$BH$58, MATCH(Curvas!$AB37, 'Fluxos de Recebimento'!$F$7:$F$58, 0), MATCH(Curvas!BL$2,'Fluxos de Recebimento'!$I$5:$BH$5, 0))+INDEX('Fluxos de Recebimento'!$I$65:$BH$116, MATCH(Curvas!$AB37, 'Fluxos de Recebimento'!$F$65:$F$116, 0), MATCH(Curvas!BL$2, 'Fluxos de Recebimento'!$I$63:$BH$63, 0)),0)*INDEX($E:$E, MATCH(BL$2, $B:$B, 0))</f>
        <v>0</v>
      </c>
      <c r="BM37" s="193">
        <f>IFERROR(INDEX('Fluxos de Recebimento'!$I$7:$BH$58, MATCH(Curvas!$AB37, 'Fluxos de Recebimento'!$F$7:$F$58, 0), MATCH(Curvas!BM$2,'Fluxos de Recebimento'!$I$5:$BH$5, 0))+INDEX('Fluxos de Recebimento'!$I$65:$BH$116, MATCH(Curvas!$AB37, 'Fluxos de Recebimento'!$F$65:$F$116, 0), MATCH(Curvas!BM$2, 'Fluxos de Recebimento'!$I$63:$BH$63, 0)),0)*INDEX($E:$E, MATCH(BM$2, $B:$B, 0))</f>
        <v>0</v>
      </c>
      <c r="BN37" s="193">
        <f>IFERROR(INDEX('Fluxos de Recebimento'!$I$7:$BH$58, MATCH(Curvas!$AB37, 'Fluxos de Recebimento'!$F$7:$F$58, 0), MATCH(Curvas!BN$2,'Fluxos de Recebimento'!$I$5:$BH$5, 0))+INDEX('Fluxos de Recebimento'!$I$65:$BH$116, MATCH(Curvas!$AB37, 'Fluxos de Recebimento'!$F$65:$F$116, 0), MATCH(Curvas!BN$2, 'Fluxos de Recebimento'!$I$63:$BH$63, 0)),0)*INDEX($E:$E, MATCH(BN$2, $B:$B, 0))</f>
        <v>0</v>
      </c>
      <c r="BO37" s="193">
        <f>IFERROR(INDEX('Fluxos de Recebimento'!$I$7:$BH$58, MATCH(Curvas!$AB37, 'Fluxos de Recebimento'!$F$7:$F$58, 0), MATCH(Curvas!BO$2,'Fluxos de Recebimento'!$I$5:$BH$5, 0))+INDEX('Fluxos de Recebimento'!$I$65:$BH$116, MATCH(Curvas!$AB37, 'Fluxos de Recebimento'!$F$65:$F$116, 0), MATCH(Curvas!BO$2, 'Fluxos de Recebimento'!$I$63:$BH$63, 0)),0)*INDEX($E:$E, MATCH(BO$2, $B:$B, 0))</f>
        <v>0</v>
      </c>
      <c r="BP37" s="193">
        <f>IFERROR(INDEX('Fluxos de Recebimento'!$I$7:$BH$58, MATCH(Curvas!$AB37, 'Fluxos de Recebimento'!$F$7:$F$58, 0), MATCH(Curvas!BP$2,'Fluxos de Recebimento'!$I$5:$BH$5, 0))+INDEX('Fluxos de Recebimento'!$I$65:$BH$116, MATCH(Curvas!$AB37, 'Fluxos de Recebimento'!$F$65:$F$116, 0), MATCH(Curvas!BP$2, 'Fluxos de Recebimento'!$I$63:$BH$63, 0)),0)*INDEX($E:$E, MATCH(BP$2, $B:$B, 0))</f>
        <v>0</v>
      </c>
      <c r="BQ37" s="193">
        <f>IFERROR(INDEX('Fluxos de Recebimento'!$I$7:$BH$58, MATCH(Curvas!$AB37, 'Fluxos de Recebimento'!$F$7:$F$58, 0), MATCH(Curvas!BQ$2,'Fluxos de Recebimento'!$I$5:$BH$5, 0))+INDEX('Fluxos de Recebimento'!$I$65:$BH$116, MATCH(Curvas!$AB37, 'Fluxos de Recebimento'!$F$65:$F$116, 0), MATCH(Curvas!BQ$2, 'Fluxos de Recebimento'!$I$63:$BH$63, 0)),0)*INDEX($E:$E, MATCH(BQ$2, $B:$B, 0))</f>
        <v>0</v>
      </c>
      <c r="BR37" s="193">
        <f>IFERROR(INDEX('Fluxos de Recebimento'!$I$7:$BH$58, MATCH(Curvas!$AB37, 'Fluxos de Recebimento'!$F$7:$F$58, 0), MATCH(Curvas!BR$2,'Fluxos de Recebimento'!$I$5:$BH$5, 0))+INDEX('Fluxos de Recebimento'!$I$65:$BH$116, MATCH(Curvas!$AB37, 'Fluxos de Recebimento'!$F$65:$F$116, 0), MATCH(Curvas!BR$2, 'Fluxos de Recebimento'!$I$63:$BH$63, 0)),0)*INDEX($E:$E, MATCH(BR$2, $B:$B, 0))</f>
        <v>0</v>
      </c>
      <c r="BS37" s="193">
        <f>IFERROR(INDEX('Fluxos de Recebimento'!$I$7:$BH$58, MATCH(Curvas!$AB37, 'Fluxos de Recebimento'!$F$7:$F$58, 0), MATCH(Curvas!BS$2,'Fluxos de Recebimento'!$I$5:$BH$5, 0))+INDEX('Fluxos de Recebimento'!$I$65:$BH$116, MATCH(Curvas!$AB37, 'Fluxos de Recebimento'!$F$65:$F$116, 0), MATCH(Curvas!BS$2, 'Fluxos de Recebimento'!$I$63:$BH$63, 0)),0)*INDEX($E:$E, MATCH(BS$2, $B:$B, 0))</f>
        <v>0</v>
      </c>
      <c r="BT37" s="193">
        <f>IFERROR(INDEX('Fluxos de Recebimento'!$I$7:$BH$58, MATCH(Curvas!$AB37, 'Fluxos de Recebimento'!$F$7:$F$58, 0), MATCH(Curvas!BT$2,'Fluxos de Recebimento'!$I$5:$BH$5, 0))+INDEX('Fluxos de Recebimento'!$I$65:$BH$116, MATCH(Curvas!$AB37, 'Fluxos de Recebimento'!$F$65:$F$116, 0), MATCH(Curvas!BT$2, 'Fluxos de Recebimento'!$I$63:$BH$63, 0)),0)*INDEX($E:$E, MATCH(BT$2, $B:$B, 0))</f>
        <v>0</v>
      </c>
      <c r="BU37" s="193">
        <f>IFERROR(INDEX('Fluxos de Recebimento'!$I$7:$BH$58, MATCH(Curvas!$AB37, 'Fluxos de Recebimento'!$F$7:$F$58, 0), MATCH(Curvas!BU$2,'Fluxos de Recebimento'!$I$5:$BH$5, 0))+INDEX('Fluxos de Recebimento'!$I$65:$BH$116, MATCH(Curvas!$AB37, 'Fluxos de Recebimento'!$F$65:$F$116, 0), MATCH(Curvas!BU$2, 'Fluxos de Recebimento'!$I$63:$BH$63, 0)),0)*INDEX($E:$E, MATCH(BU$2, $B:$B, 0))</f>
        <v>0</v>
      </c>
      <c r="BV37" s="193">
        <f>IFERROR(INDEX('Fluxos de Recebimento'!$I$7:$BH$58, MATCH(Curvas!$AB37, 'Fluxos de Recebimento'!$F$7:$F$58, 0), MATCH(Curvas!BV$2,'Fluxos de Recebimento'!$I$5:$BH$5, 0))+INDEX('Fluxos de Recebimento'!$I$65:$BH$116, MATCH(Curvas!$AB37, 'Fluxos de Recebimento'!$F$65:$F$116, 0), MATCH(Curvas!BV$2, 'Fluxos de Recebimento'!$I$63:$BH$63, 0)),0)*INDEX($E:$E, MATCH(BV$2, $B:$B, 0))</f>
        <v>0</v>
      </c>
      <c r="BW37" s="193">
        <f>IFERROR(INDEX('Fluxos de Recebimento'!$I$7:$BH$58, MATCH(Curvas!$AB37, 'Fluxos de Recebimento'!$F$7:$F$58, 0), MATCH(Curvas!BW$2,'Fluxos de Recebimento'!$I$5:$BH$5, 0))+INDEX('Fluxos de Recebimento'!$I$65:$BH$116, MATCH(Curvas!$AB37, 'Fluxos de Recebimento'!$F$65:$F$116, 0), MATCH(Curvas!BW$2, 'Fluxos de Recebimento'!$I$63:$BH$63, 0)),0)*INDEX($E:$E, MATCH(BW$2, $B:$B, 0))</f>
        <v>0</v>
      </c>
      <c r="BX37" s="193">
        <f>IFERROR(INDEX('Fluxos de Recebimento'!$I$7:$BH$58, MATCH(Curvas!$AB37, 'Fluxos de Recebimento'!$F$7:$F$58, 0), MATCH(Curvas!BX$2,'Fluxos de Recebimento'!$I$5:$BH$5, 0))+INDEX('Fluxos de Recebimento'!$I$65:$BH$116, MATCH(Curvas!$AB37, 'Fluxos de Recebimento'!$F$65:$F$116, 0), MATCH(Curvas!BX$2, 'Fluxos de Recebimento'!$I$63:$BH$63, 0)),0)*INDEX($E:$E, MATCH(BX$2, $B:$B, 0))</f>
        <v>0</v>
      </c>
      <c r="BY37" s="193">
        <f>IFERROR(INDEX('Fluxos de Recebimento'!$I$7:$BH$58, MATCH(Curvas!$AB37, 'Fluxos de Recebimento'!$F$7:$F$58, 0), MATCH(Curvas!BY$2,'Fluxos de Recebimento'!$I$5:$BH$5, 0))+INDEX('Fluxos de Recebimento'!$I$65:$BH$116, MATCH(Curvas!$AB37, 'Fluxos de Recebimento'!$F$65:$F$116, 0), MATCH(Curvas!BY$2, 'Fluxos de Recebimento'!$I$63:$BH$63, 0)),0)*INDEX($E:$E, MATCH(BY$2, $B:$B, 0))</f>
        <v>0</v>
      </c>
      <c r="BZ37" s="193">
        <f>IFERROR(INDEX('Fluxos de Recebimento'!$I$7:$BH$58, MATCH(Curvas!$AB37, 'Fluxos de Recebimento'!$F$7:$F$58, 0), MATCH(Curvas!BZ$2,'Fluxos de Recebimento'!$I$5:$BH$5, 0))+INDEX('Fluxos de Recebimento'!$I$65:$BH$116, MATCH(Curvas!$AB37, 'Fluxos de Recebimento'!$F$65:$F$116, 0), MATCH(Curvas!BZ$2, 'Fluxos de Recebimento'!$I$63:$BH$63, 0)),0)*INDEX($E:$E, MATCH(BZ$2, $B:$B, 0))</f>
        <v>0</v>
      </c>
      <c r="CA37" s="193">
        <f>IFERROR(INDEX('Fluxos de Recebimento'!$I$7:$BH$58, MATCH(Curvas!$AB37, 'Fluxos de Recebimento'!$F$7:$F$58, 0), MATCH(Curvas!CA$2,'Fluxos de Recebimento'!$I$5:$BH$5, 0))+INDEX('Fluxos de Recebimento'!$I$65:$BH$116, MATCH(Curvas!$AB37, 'Fluxos de Recebimento'!$F$65:$F$116, 0), MATCH(Curvas!CA$2, 'Fluxos de Recebimento'!$I$63:$BH$63, 0)),0)*INDEX($E:$E, MATCH(CA$2, $B:$B, 0))</f>
        <v>0</v>
      </c>
      <c r="CB37" s="193">
        <f>IFERROR(INDEX('Fluxos de Recebimento'!$I$7:$BH$58, MATCH(Curvas!$AB37, 'Fluxos de Recebimento'!$F$7:$F$58, 0), MATCH(Curvas!CB$2,'Fluxos de Recebimento'!$I$5:$BH$5, 0))+INDEX('Fluxos de Recebimento'!$I$65:$BH$116, MATCH(Curvas!$AB37, 'Fluxos de Recebimento'!$F$65:$F$116, 0), MATCH(Curvas!CB$2, 'Fluxos de Recebimento'!$I$63:$BH$63, 0)),0)*INDEX($E:$E, MATCH(CB$2, $B:$B, 0))</f>
        <v>0</v>
      </c>
      <c r="CC37" s="193">
        <f>IFERROR(INDEX('Fluxos de Recebimento'!$I$7:$BH$58, MATCH(Curvas!$AB37, 'Fluxos de Recebimento'!$F$7:$F$58, 0), MATCH(Curvas!CC$2,'Fluxos de Recebimento'!$I$5:$BH$5, 0))+INDEX('Fluxos de Recebimento'!$I$65:$BH$116, MATCH(Curvas!$AB37, 'Fluxos de Recebimento'!$F$65:$F$116, 0), MATCH(Curvas!CC$2, 'Fluxos de Recebimento'!$I$63:$BH$63, 0)),0)*INDEX($E:$E, MATCH(CC$2, $B:$B, 0))</f>
        <v>0</v>
      </c>
    </row>
    <row r="38" spans="1:81" x14ac:dyDescent="0.25">
      <c r="A38" s="2"/>
      <c r="B38" s="477">
        <f t="shared" si="34"/>
        <v>45200</v>
      </c>
      <c r="C38" s="52">
        <f t="shared" si="35"/>
        <v>35</v>
      </c>
      <c r="D38" s="2"/>
      <c r="E38" s="187">
        <f t="shared" si="22"/>
        <v>4.1666666666666671E-2</v>
      </c>
      <c r="F38" s="48">
        <f t="shared" si="36"/>
        <v>0.91666666666666652</v>
      </c>
      <c r="G38" s="46">
        <f t="shared" ca="1" si="23"/>
        <v>0.22916666666666669</v>
      </c>
      <c r="H38" s="48">
        <f t="shared" ca="1" si="37"/>
        <v>0.79166666666666674</v>
      </c>
      <c r="I38" s="2"/>
      <c r="J38" s="69">
        <f t="shared" ca="1" si="24"/>
        <v>7</v>
      </c>
      <c r="K38" s="479">
        <f t="shared" ca="1" si="25"/>
        <v>-4</v>
      </c>
      <c r="L38" s="70">
        <f t="shared" ca="1" si="26"/>
        <v>3</v>
      </c>
      <c r="M38" s="2"/>
      <c r="N38" s="69">
        <f t="shared" si="27"/>
        <v>6</v>
      </c>
      <c r="O38" s="479">
        <f t="shared" si="28"/>
        <v>-5</v>
      </c>
      <c r="P38" s="70">
        <f t="shared" si="29"/>
        <v>1</v>
      </c>
      <c r="Q38" s="2"/>
      <c r="R38" s="71">
        <f t="shared" ca="1" si="30"/>
        <v>13</v>
      </c>
      <c r="S38" s="196"/>
      <c r="T38" s="46">
        <v>0</v>
      </c>
      <c r="U38" s="48">
        <f t="shared" si="38"/>
        <v>0.99999999999999978</v>
      </c>
      <c r="V38" s="2"/>
      <c r="W38" s="56"/>
      <c r="X38" s="48"/>
      <c r="Y38" s="2"/>
      <c r="Z38" s="194">
        <f t="shared" si="31"/>
        <v>0.1666666666666666</v>
      </c>
      <c r="AA38" s="2"/>
      <c r="AB38" s="477">
        <f t="shared" si="32"/>
        <v>45200</v>
      </c>
      <c r="AC38" s="52">
        <f t="shared" si="33"/>
        <v>35</v>
      </c>
      <c r="AD38" s="193">
        <f>IFERROR(INDEX('Fluxos de Recebimento'!$I$7:$BH$58, MATCH(Curvas!$AB38, 'Fluxos de Recebimento'!$F$7:$F$58, 0), MATCH(Curvas!AD$2,'Fluxos de Recebimento'!$I$5:$BH$5, 0))+INDEX('Fluxos de Recebimento'!$I$65:$BH$116, MATCH(Curvas!$AB38, 'Fluxos de Recebimento'!$F$65:$F$116, 0), MATCH(Curvas!AD$2, 'Fluxos de Recebimento'!$I$63:$BH$63, 0)),0)*INDEX($E:$E, MATCH(AD$2, $B:$B, 0))</f>
        <v>4.3103448275862077E-3</v>
      </c>
      <c r="AE38" s="193">
        <f>IFERROR(INDEX('Fluxos de Recebimento'!$I$7:$BH$58, MATCH(Curvas!$AB38, 'Fluxos de Recebimento'!$F$7:$F$58, 0), MATCH(Curvas!AE$2,'Fluxos de Recebimento'!$I$5:$BH$5, 0))+INDEX('Fluxos de Recebimento'!$I$65:$BH$116, MATCH(Curvas!$AB38, 'Fluxos de Recebimento'!$F$65:$F$116, 0), MATCH(Curvas!AE$2, 'Fluxos de Recebimento'!$I$63:$BH$63, 0)),0)*INDEX($E:$E, MATCH(AE$2, $B:$B, 0))</f>
        <v>4.3103448275862077E-3</v>
      </c>
      <c r="AF38" s="193">
        <f>IFERROR(INDEX('Fluxos de Recebimento'!$I$7:$BH$58, MATCH(Curvas!$AB38, 'Fluxos de Recebimento'!$F$7:$F$58, 0), MATCH(Curvas!AF$2,'Fluxos de Recebimento'!$I$5:$BH$5, 0))+INDEX('Fluxos de Recebimento'!$I$65:$BH$116, MATCH(Curvas!$AB38, 'Fluxos de Recebimento'!$F$65:$F$116, 0), MATCH(Curvas!AF$2, 'Fluxos de Recebimento'!$I$63:$BH$63, 0)),0)*INDEX($E:$E, MATCH(AF$2, $B:$B, 0))</f>
        <v>4.3103448275862077E-3</v>
      </c>
      <c r="AG38" s="193">
        <f>IFERROR(INDEX('Fluxos de Recebimento'!$I$7:$BH$58, MATCH(Curvas!$AB38, 'Fluxos de Recebimento'!$F$7:$F$58, 0), MATCH(Curvas!AG$2,'Fluxos de Recebimento'!$I$5:$BH$5, 0))+INDEX('Fluxos de Recebimento'!$I$65:$BH$116, MATCH(Curvas!$AB38, 'Fluxos de Recebimento'!$F$65:$F$116, 0), MATCH(Curvas!AG$2, 'Fluxos de Recebimento'!$I$63:$BH$63, 0)),0)*INDEX($E:$E, MATCH(AG$2, $B:$B, 0))</f>
        <v>4.3103448275862077E-3</v>
      </c>
      <c r="AH38" s="193">
        <f>IFERROR(INDEX('Fluxos de Recebimento'!$I$7:$BH$58, MATCH(Curvas!$AB38, 'Fluxos de Recebimento'!$F$7:$F$58, 0), MATCH(Curvas!AH$2,'Fluxos de Recebimento'!$I$5:$BH$5, 0))+INDEX('Fluxos de Recebimento'!$I$65:$BH$116, MATCH(Curvas!$AB38, 'Fluxos de Recebimento'!$F$65:$F$116, 0), MATCH(Curvas!AH$2, 'Fluxos de Recebimento'!$I$63:$BH$63, 0)),0)*INDEX($E:$E, MATCH(AH$2, $B:$B, 0))</f>
        <v>4.3103448275862077E-3</v>
      </c>
      <c r="AI38" s="193">
        <f>IFERROR(INDEX('Fluxos de Recebimento'!$I$7:$BH$58, MATCH(Curvas!$AB38, 'Fluxos de Recebimento'!$F$7:$F$58, 0), MATCH(Curvas!AI$2,'Fluxos de Recebimento'!$I$5:$BH$5, 0))+INDEX('Fluxos de Recebimento'!$I$65:$BH$116, MATCH(Curvas!$AB38, 'Fluxos de Recebimento'!$F$65:$F$116, 0), MATCH(Curvas!AI$2, 'Fluxos de Recebimento'!$I$63:$BH$63, 0)),0)*INDEX($E:$E, MATCH(AI$2, $B:$B, 0))</f>
        <v>4.3103448275862077E-3</v>
      </c>
      <c r="AJ38" s="193">
        <f>IFERROR(INDEX('Fluxos de Recebimento'!$I$7:$BH$58, MATCH(Curvas!$AB38, 'Fluxos de Recebimento'!$F$7:$F$58, 0), MATCH(Curvas!AJ$2,'Fluxos de Recebimento'!$I$5:$BH$5, 0))+INDEX('Fluxos de Recebimento'!$I$65:$BH$116, MATCH(Curvas!$AB38, 'Fluxos de Recebimento'!$F$65:$F$116, 0), MATCH(Curvas!AJ$2, 'Fluxos de Recebimento'!$I$63:$BH$63, 0)),0)*INDEX($E:$E, MATCH(AJ$2, $B:$B, 0))</f>
        <v>4.3103448275862077E-3</v>
      </c>
      <c r="AK38" s="193">
        <f>IFERROR(INDEX('Fluxos de Recebimento'!$I$7:$BH$58, MATCH(Curvas!$AB38, 'Fluxos de Recebimento'!$F$7:$F$58, 0), MATCH(Curvas!AK$2,'Fluxos de Recebimento'!$I$5:$BH$5, 0))+INDEX('Fluxos de Recebimento'!$I$65:$BH$116, MATCH(Curvas!$AB38, 'Fluxos de Recebimento'!$F$65:$F$116, 0), MATCH(Curvas!AK$2, 'Fluxos de Recebimento'!$I$63:$BH$63, 0)),0)*INDEX($E:$E, MATCH(AK$2, $B:$B, 0))</f>
        <v>4.3103448275862077E-3</v>
      </c>
      <c r="AL38" s="193">
        <f>IFERROR(INDEX('Fluxos de Recebimento'!$I$7:$BH$58, MATCH(Curvas!$AB38, 'Fluxos de Recebimento'!$F$7:$F$58, 0), MATCH(Curvas!AL$2,'Fluxos de Recebimento'!$I$5:$BH$5, 0))+INDEX('Fluxos de Recebimento'!$I$65:$BH$116, MATCH(Curvas!$AB38, 'Fluxos de Recebimento'!$F$65:$F$116, 0), MATCH(Curvas!AL$2, 'Fluxos de Recebimento'!$I$63:$BH$63, 0)),0)*INDEX($E:$E, MATCH(AL$2, $B:$B, 0))</f>
        <v>4.3103448275862077E-3</v>
      </c>
      <c r="AM38" s="193">
        <f>IFERROR(INDEX('Fluxos de Recebimento'!$I$7:$BH$58, MATCH(Curvas!$AB38, 'Fluxos de Recebimento'!$F$7:$F$58, 0), MATCH(Curvas!AM$2,'Fluxos de Recebimento'!$I$5:$BH$5, 0))+INDEX('Fluxos de Recebimento'!$I$65:$BH$116, MATCH(Curvas!$AB38, 'Fluxos de Recebimento'!$F$65:$F$116, 0), MATCH(Curvas!AM$2, 'Fluxos de Recebimento'!$I$63:$BH$63, 0)),0)*INDEX($E:$E, MATCH(AM$2, $B:$B, 0))</f>
        <v>4.3103448275862077E-3</v>
      </c>
      <c r="AN38" s="193">
        <f>IFERROR(INDEX('Fluxos de Recebimento'!$I$7:$BH$58, MATCH(Curvas!$AB38, 'Fluxos de Recebimento'!$F$7:$F$58, 0), MATCH(Curvas!AN$2,'Fluxos de Recebimento'!$I$5:$BH$5, 0))+INDEX('Fluxos de Recebimento'!$I$65:$BH$116, MATCH(Curvas!$AB38, 'Fluxos de Recebimento'!$F$65:$F$116, 0), MATCH(Curvas!AN$2, 'Fluxos de Recebimento'!$I$63:$BH$63, 0)),0)*INDEX($E:$E, MATCH(AN$2, $B:$B, 0))</f>
        <v>4.3103448275862077E-3</v>
      </c>
      <c r="AO38" s="193">
        <f>IFERROR(INDEX('Fluxos de Recebimento'!$I$7:$BH$58, MATCH(Curvas!$AB38, 'Fluxos de Recebimento'!$F$7:$F$58, 0), MATCH(Curvas!AO$2,'Fluxos de Recebimento'!$I$5:$BH$5, 0))+INDEX('Fluxos de Recebimento'!$I$65:$BH$116, MATCH(Curvas!$AB38, 'Fluxos de Recebimento'!$F$65:$F$116, 0), MATCH(Curvas!AO$2, 'Fluxos de Recebimento'!$I$63:$BH$63, 0)),0)*INDEX($E:$E, MATCH(AO$2, $B:$B, 0))</f>
        <v>4.3103448275862077E-3</v>
      </c>
      <c r="AP38" s="193">
        <f>IFERROR(INDEX('Fluxos de Recebimento'!$I$7:$BH$58, MATCH(Curvas!$AB38, 'Fluxos de Recebimento'!$F$7:$F$58, 0), MATCH(Curvas!AP$2,'Fluxos de Recebimento'!$I$5:$BH$5, 0))+INDEX('Fluxos de Recebimento'!$I$65:$BH$116, MATCH(Curvas!$AB38, 'Fluxos de Recebimento'!$F$65:$F$116, 0), MATCH(Curvas!AP$2, 'Fluxos de Recebimento'!$I$63:$BH$63, 0)),0)*INDEX($E:$E, MATCH(AP$2, $B:$B, 0))</f>
        <v>4.3103448275862077E-3</v>
      </c>
      <c r="AQ38" s="193">
        <f>IFERROR(INDEX('Fluxos de Recebimento'!$I$7:$BH$58, MATCH(Curvas!$AB38, 'Fluxos de Recebimento'!$F$7:$F$58, 0), MATCH(Curvas!AQ$2,'Fluxos de Recebimento'!$I$5:$BH$5, 0))+INDEX('Fluxos de Recebimento'!$I$65:$BH$116, MATCH(Curvas!$AB38, 'Fluxos de Recebimento'!$F$65:$F$116, 0), MATCH(Curvas!AQ$2, 'Fluxos de Recebimento'!$I$63:$BH$63, 0)),0)*INDEX($E:$E, MATCH(AQ$2, $B:$B, 0))</f>
        <v>4.3103448275862077E-3</v>
      </c>
      <c r="AR38" s="193">
        <f>IFERROR(INDEX('Fluxos de Recebimento'!$I$7:$BH$58, MATCH(Curvas!$AB38, 'Fluxos de Recebimento'!$F$7:$F$58, 0), MATCH(Curvas!AR$2,'Fluxos de Recebimento'!$I$5:$BH$5, 0))+INDEX('Fluxos de Recebimento'!$I$65:$BH$116, MATCH(Curvas!$AB38, 'Fluxos de Recebimento'!$F$65:$F$116, 0), MATCH(Curvas!AR$2, 'Fluxos de Recebimento'!$I$63:$BH$63, 0)),0)*INDEX($E:$E, MATCH(AR$2, $B:$B, 0))</f>
        <v>4.3103448275862077E-3</v>
      </c>
      <c r="AS38" s="193">
        <f>IFERROR(INDEX('Fluxos de Recebimento'!$I$7:$BH$58, MATCH(Curvas!$AB38, 'Fluxos de Recebimento'!$F$7:$F$58, 0), MATCH(Curvas!AS$2,'Fluxos de Recebimento'!$I$5:$BH$5, 0))+INDEX('Fluxos de Recebimento'!$I$65:$BH$116, MATCH(Curvas!$AB38, 'Fluxos de Recebimento'!$F$65:$F$116, 0), MATCH(Curvas!AS$2, 'Fluxos de Recebimento'!$I$63:$BH$63, 0)),0)*INDEX($E:$E, MATCH(AS$2, $B:$B, 0))</f>
        <v>4.3103448275862077E-3</v>
      </c>
      <c r="AT38" s="193">
        <f>IFERROR(INDEX('Fluxos de Recebimento'!$I$7:$BH$58, MATCH(Curvas!$AB38, 'Fluxos de Recebimento'!$F$7:$F$58, 0), MATCH(Curvas!AT$2,'Fluxos de Recebimento'!$I$5:$BH$5, 0))+INDEX('Fluxos de Recebimento'!$I$65:$BH$116, MATCH(Curvas!$AB38, 'Fluxos de Recebimento'!$F$65:$F$116, 0), MATCH(Curvas!AT$2, 'Fluxos de Recebimento'!$I$63:$BH$63, 0)),0)*INDEX($E:$E, MATCH(AT$2, $B:$B, 0))</f>
        <v>4.3103448275862077E-3</v>
      </c>
      <c r="AU38" s="193">
        <f>IFERROR(INDEX('Fluxos de Recebimento'!$I$7:$BH$58, MATCH(Curvas!$AB38, 'Fluxos de Recebimento'!$F$7:$F$58, 0), MATCH(Curvas!AU$2,'Fluxos de Recebimento'!$I$5:$BH$5, 0))+INDEX('Fluxos de Recebimento'!$I$65:$BH$116, MATCH(Curvas!$AB38, 'Fluxos de Recebimento'!$F$65:$F$116, 0), MATCH(Curvas!AU$2, 'Fluxos de Recebimento'!$I$63:$BH$63, 0)),0)*INDEX($E:$E, MATCH(AU$2, $B:$B, 0))</f>
        <v>4.3103448275862077E-3</v>
      </c>
      <c r="AV38" s="193">
        <f>IFERROR(INDEX('Fluxos de Recebimento'!$I$7:$BH$58, MATCH(Curvas!$AB38, 'Fluxos de Recebimento'!$F$7:$F$58, 0), MATCH(Curvas!AV$2,'Fluxos de Recebimento'!$I$5:$BH$5, 0))+INDEX('Fluxos de Recebimento'!$I$65:$BH$116, MATCH(Curvas!$AB38, 'Fluxos de Recebimento'!$F$65:$F$116, 0), MATCH(Curvas!AV$2, 'Fluxos de Recebimento'!$I$63:$BH$63, 0)),0)*INDEX($E:$E, MATCH(AV$2, $B:$B, 0))</f>
        <v>4.3103448275862077E-3</v>
      </c>
      <c r="AW38" s="193">
        <f>IFERROR(INDEX('Fluxos de Recebimento'!$I$7:$BH$58, MATCH(Curvas!$AB38, 'Fluxos de Recebimento'!$F$7:$F$58, 0), MATCH(Curvas!AW$2,'Fluxos de Recebimento'!$I$5:$BH$5, 0))+INDEX('Fluxos de Recebimento'!$I$65:$BH$116, MATCH(Curvas!$AB38, 'Fluxos de Recebimento'!$F$65:$F$116, 0), MATCH(Curvas!AW$2, 'Fluxos de Recebimento'!$I$63:$BH$63, 0)),0)*INDEX($E:$E, MATCH(AW$2, $B:$B, 0))</f>
        <v>4.3103448275862077E-3</v>
      </c>
      <c r="AX38" s="193">
        <f>IFERROR(INDEX('Fluxos de Recebimento'!$I$7:$BH$58, MATCH(Curvas!$AB38, 'Fluxos de Recebimento'!$F$7:$F$58, 0), MATCH(Curvas!AX$2,'Fluxos de Recebimento'!$I$5:$BH$5, 0))+INDEX('Fluxos de Recebimento'!$I$65:$BH$116, MATCH(Curvas!$AB38, 'Fluxos de Recebimento'!$F$65:$F$116, 0), MATCH(Curvas!AX$2, 'Fluxos de Recebimento'!$I$63:$BH$63, 0)),0)*INDEX($E:$E, MATCH(AX$2, $B:$B, 0))</f>
        <v>4.3103448275862077E-3</v>
      </c>
      <c r="AY38" s="193">
        <f>IFERROR(INDEX('Fluxos de Recebimento'!$I$7:$BH$58, MATCH(Curvas!$AB38, 'Fluxos de Recebimento'!$F$7:$F$58, 0), MATCH(Curvas!AY$2,'Fluxos de Recebimento'!$I$5:$BH$5, 0))+INDEX('Fluxos de Recebimento'!$I$65:$BH$116, MATCH(Curvas!$AB38, 'Fluxos de Recebimento'!$F$65:$F$116, 0), MATCH(Curvas!AY$2, 'Fluxos de Recebimento'!$I$63:$BH$63, 0)),0)*INDEX($E:$E, MATCH(AY$2, $B:$B, 0))</f>
        <v>4.3103448275862077E-3</v>
      </c>
      <c r="AZ38" s="193">
        <f>IFERROR(INDEX('Fluxos de Recebimento'!$I$7:$BH$58, MATCH(Curvas!$AB38, 'Fluxos de Recebimento'!$F$7:$F$58, 0), MATCH(Curvas!AZ$2,'Fluxos de Recebimento'!$I$5:$BH$5, 0))+INDEX('Fluxos de Recebimento'!$I$65:$BH$116, MATCH(Curvas!$AB38, 'Fluxos de Recebimento'!$F$65:$F$116, 0), MATCH(Curvas!AZ$2, 'Fluxos de Recebimento'!$I$63:$BH$63, 0)),0)*INDEX($E:$E, MATCH(AZ$2, $B:$B, 0))</f>
        <v>4.3103448275862077E-3</v>
      </c>
      <c r="BA38" s="193">
        <f>IFERROR(INDEX('Fluxos de Recebimento'!$I$7:$BH$58, MATCH(Curvas!$AB38, 'Fluxos de Recebimento'!$F$7:$F$58, 0), MATCH(Curvas!BA$2,'Fluxos de Recebimento'!$I$5:$BH$5, 0))+INDEX('Fluxos de Recebimento'!$I$65:$BH$116, MATCH(Curvas!$AB38, 'Fluxos de Recebimento'!$F$65:$F$116, 0), MATCH(Curvas!BA$2, 'Fluxos de Recebimento'!$I$63:$BH$63, 0)),0)*INDEX($E:$E, MATCH(BA$2, $B:$B, 0))</f>
        <v>4.3103448275862077E-3</v>
      </c>
      <c r="BB38" s="193">
        <f>IFERROR(INDEX('Fluxos de Recebimento'!$I$7:$BH$58, MATCH(Curvas!$AB38, 'Fluxos de Recebimento'!$F$7:$F$58, 0), MATCH(Curvas!BB$2,'Fluxos de Recebimento'!$I$5:$BH$5, 0))+INDEX('Fluxos de Recebimento'!$I$65:$BH$116, MATCH(Curvas!$AB38, 'Fluxos de Recebimento'!$F$65:$F$116, 0), MATCH(Curvas!BB$2, 'Fluxos de Recebimento'!$I$63:$BH$63, 0)),0)*INDEX($E:$E, MATCH(BB$2, $B:$B, 0))</f>
        <v>4.3103448275862077E-3</v>
      </c>
      <c r="BC38" s="193">
        <f>IFERROR(INDEX('Fluxos de Recebimento'!$I$7:$BH$58, MATCH(Curvas!$AB38, 'Fluxos de Recebimento'!$F$7:$F$58, 0), MATCH(Curvas!BC$2,'Fluxos de Recebimento'!$I$5:$BH$5, 0))+INDEX('Fluxos de Recebimento'!$I$65:$BH$116, MATCH(Curvas!$AB38, 'Fluxos de Recebimento'!$F$65:$F$116, 0), MATCH(Curvas!BC$2, 'Fluxos de Recebimento'!$I$63:$BH$63, 0)),0)*INDEX($E:$E, MATCH(BC$2, $B:$B, 0))</f>
        <v>4.3103448275862077E-3</v>
      </c>
      <c r="BD38" s="193">
        <f>IFERROR(INDEX('Fluxos de Recebimento'!$I$7:$BH$58, MATCH(Curvas!$AB38, 'Fluxos de Recebimento'!$F$7:$F$58, 0), MATCH(Curvas!BD$2,'Fluxos de Recebimento'!$I$5:$BH$5, 0))+INDEX('Fluxos de Recebimento'!$I$65:$BH$116, MATCH(Curvas!$AB38, 'Fluxos de Recebimento'!$F$65:$F$116, 0), MATCH(Curvas!BD$2, 'Fluxos de Recebimento'!$I$63:$BH$63, 0)),0)*INDEX($E:$E, MATCH(BD$2, $B:$B, 0))</f>
        <v>4.3103448275862077E-3</v>
      </c>
      <c r="BE38" s="193">
        <f>IFERROR(INDEX('Fluxos de Recebimento'!$I$7:$BH$58, MATCH(Curvas!$AB38, 'Fluxos de Recebimento'!$F$7:$F$58, 0), MATCH(Curvas!BE$2,'Fluxos de Recebimento'!$I$5:$BH$5, 0))+INDEX('Fluxos de Recebimento'!$I$65:$BH$116, MATCH(Curvas!$AB38, 'Fluxos de Recebimento'!$F$65:$F$116, 0), MATCH(Curvas!BE$2, 'Fluxos de Recebimento'!$I$63:$BH$63, 0)),0)*INDEX($E:$E, MATCH(BE$2, $B:$B, 0))</f>
        <v>4.3103448275862077E-3</v>
      </c>
      <c r="BF38" s="193">
        <f>IFERROR(INDEX('Fluxos de Recebimento'!$I$7:$BH$58, MATCH(Curvas!$AB38, 'Fluxos de Recebimento'!$F$7:$F$58, 0), MATCH(Curvas!BF$2,'Fluxos de Recebimento'!$I$5:$BH$5, 0))+INDEX('Fluxos de Recebimento'!$I$65:$BH$116, MATCH(Curvas!$AB38, 'Fluxos de Recebimento'!$F$65:$F$116, 0), MATCH(Curvas!BF$2, 'Fluxos de Recebimento'!$I$63:$BH$63, 0)),0)*INDEX($E:$E, MATCH(BF$2, $B:$B, 0))</f>
        <v>4.3103448275862077E-3</v>
      </c>
      <c r="BG38" s="193">
        <f>IFERROR(INDEX('Fluxos de Recebimento'!$I$7:$BH$58, MATCH(Curvas!$AB38, 'Fluxos de Recebimento'!$F$7:$F$58, 0), MATCH(Curvas!BG$2,'Fluxos de Recebimento'!$I$5:$BH$5, 0))+INDEX('Fluxos de Recebimento'!$I$65:$BH$116, MATCH(Curvas!$AB38, 'Fluxos de Recebimento'!$F$65:$F$116, 0), MATCH(Curvas!BG$2, 'Fluxos de Recebimento'!$I$63:$BH$63, 0)),0)*INDEX($E:$E, MATCH(BG$2, $B:$B, 0))</f>
        <v>0</v>
      </c>
      <c r="BH38" s="193">
        <f>IFERROR(INDEX('Fluxos de Recebimento'!$I$7:$BH$58, MATCH(Curvas!$AB38, 'Fluxos de Recebimento'!$F$7:$F$58, 0), MATCH(Curvas!BH$2,'Fluxos de Recebimento'!$I$5:$BH$5, 0))+INDEX('Fluxos de Recebimento'!$I$65:$BH$116, MATCH(Curvas!$AB38, 'Fluxos de Recebimento'!$F$65:$F$116, 0), MATCH(Curvas!BH$2, 'Fluxos de Recebimento'!$I$63:$BH$63, 0)),0)*INDEX($E:$E, MATCH(BH$2, $B:$B, 0))</f>
        <v>0</v>
      </c>
      <c r="BI38" s="193">
        <f>IFERROR(INDEX('Fluxos de Recebimento'!$I$7:$BH$58, MATCH(Curvas!$AB38, 'Fluxos de Recebimento'!$F$7:$F$58, 0), MATCH(Curvas!BI$2,'Fluxos de Recebimento'!$I$5:$BH$5, 0))+INDEX('Fluxos de Recebimento'!$I$65:$BH$116, MATCH(Curvas!$AB38, 'Fluxos de Recebimento'!$F$65:$F$116, 0), MATCH(Curvas!BI$2, 'Fluxos de Recebimento'!$I$63:$BH$63, 0)),0)*INDEX($E:$E, MATCH(BI$2, $B:$B, 0))</f>
        <v>2.9166666666666667E-2</v>
      </c>
      <c r="BJ38" s="193">
        <f>IFERROR(INDEX('Fluxos de Recebimento'!$I$7:$BH$58, MATCH(Curvas!$AB38, 'Fluxos de Recebimento'!$F$7:$F$58, 0), MATCH(Curvas!BJ$2,'Fluxos de Recebimento'!$I$5:$BH$5, 0))+INDEX('Fluxos de Recebimento'!$I$65:$BH$116, MATCH(Curvas!$AB38, 'Fluxos de Recebimento'!$F$65:$F$116, 0), MATCH(Curvas!BJ$2, 'Fluxos de Recebimento'!$I$63:$BH$63, 0)),0)*INDEX($E:$E, MATCH(BJ$2, $B:$B, 0))</f>
        <v>3.1250000000000002E-3</v>
      </c>
      <c r="BK38" s="193">
        <f>IFERROR(INDEX('Fluxos de Recebimento'!$I$7:$BH$58, MATCH(Curvas!$AB38, 'Fluxos de Recebimento'!$F$7:$F$58, 0), MATCH(Curvas!BK$2,'Fluxos de Recebimento'!$I$5:$BH$5, 0))+INDEX('Fluxos de Recebimento'!$I$65:$BH$116, MATCH(Curvas!$AB38, 'Fluxos de Recebimento'!$F$65:$F$116, 0), MATCH(Curvas!BK$2, 'Fluxos de Recebimento'!$I$63:$BH$63, 0)),0)*INDEX($E:$E, MATCH(BK$2, $B:$B, 0))</f>
        <v>3.1250000000000002E-3</v>
      </c>
      <c r="BL38" s="193">
        <f>IFERROR(INDEX('Fluxos de Recebimento'!$I$7:$BH$58, MATCH(Curvas!$AB38, 'Fluxos de Recebimento'!$F$7:$F$58, 0), MATCH(Curvas!BL$2,'Fluxos de Recebimento'!$I$5:$BH$5, 0))+INDEX('Fluxos de Recebimento'!$I$65:$BH$116, MATCH(Curvas!$AB38, 'Fluxos de Recebimento'!$F$65:$F$116, 0), MATCH(Curvas!BL$2, 'Fluxos de Recebimento'!$I$63:$BH$63, 0)),0)*INDEX($E:$E, MATCH(BL$2, $B:$B, 0))</f>
        <v>6.2500000000000003E-3</v>
      </c>
      <c r="BM38" s="193">
        <f>IFERROR(INDEX('Fluxos de Recebimento'!$I$7:$BH$58, MATCH(Curvas!$AB38, 'Fluxos de Recebimento'!$F$7:$F$58, 0), MATCH(Curvas!BM$2,'Fluxos de Recebimento'!$I$5:$BH$5, 0))+INDEX('Fluxos de Recebimento'!$I$65:$BH$116, MATCH(Curvas!$AB38, 'Fluxos de Recebimento'!$F$65:$F$116, 0), MATCH(Curvas!BM$2, 'Fluxos de Recebimento'!$I$63:$BH$63, 0)),0)*INDEX($E:$E, MATCH(BM$2, $B:$B, 0))</f>
        <v>0</v>
      </c>
      <c r="BN38" s="193">
        <f>IFERROR(INDEX('Fluxos de Recebimento'!$I$7:$BH$58, MATCH(Curvas!$AB38, 'Fluxos de Recebimento'!$F$7:$F$58, 0), MATCH(Curvas!BN$2,'Fluxos de Recebimento'!$I$5:$BH$5, 0))+INDEX('Fluxos de Recebimento'!$I$65:$BH$116, MATCH(Curvas!$AB38, 'Fluxos de Recebimento'!$F$65:$F$116, 0), MATCH(Curvas!BN$2, 'Fluxos de Recebimento'!$I$63:$BH$63, 0)),0)*INDEX($E:$E, MATCH(BN$2, $B:$B, 0))</f>
        <v>0</v>
      </c>
      <c r="BO38" s="193">
        <f>IFERROR(INDEX('Fluxos de Recebimento'!$I$7:$BH$58, MATCH(Curvas!$AB38, 'Fluxos de Recebimento'!$F$7:$F$58, 0), MATCH(Curvas!BO$2,'Fluxos de Recebimento'!$I$5:$BH$5, 0))+INDEX('Fluxos de Recebimento'!$I$65:$BH$116, MATCH(Curvas!$AB38, 'Fluxos de Recebimento'!$F$65:$F$116, 0), MATCH(Curvas!BO$2, 'Fluxos de Recebimento'!$I$63:$BH$63, 0)),0)*INDEX($E:$E, MATCH(BO$2, $B:$B, 0))</f>
        <v>0</v>
      </c>
      <c r="BP38" s="193">
        <f>IFERROR(INDEX('Fluxos de Recebimento'!$I$7:$BH$58, MATCH(Curvas!$AB38, 'Fluxos de Recebimento'!$F$7:$F$58, 0), MATCH(Curvas!BP$2,'Fluxos de Recebimento'!$I$5:$BH$5, 0))+INDEX('Fluxos de Recebimento'!$I$65:$BH$116, MATCH(Curvas!$AB38, 'Fluxos de Recebimento'!$F$65:$F$116, 0), MATCH(Curvas!BP$2, 'Fluxos de Recebimento'!$I$63:$BH$63, 0)),0)*INDEX($E:$E, MATCH(BP$2, $B:$B, 0))</f>
        <v>0</v>
      </c>
      <c r="BQ38" s="193">
        <f>IFERROR(INDEX('Fluxos de Recebimento'!$I$7:$BH$58, MATCH(Curvas!$AB38, 'Fluxos de Recebimento'!$F$7:$F$58, 0), MATCH(Curvas!BQ$2,'Fluxos de Recebimento'!$I$5:$BH$5, 0))+INDEX('Fluxos de Recebimento'!$I$65:$BH$116, MATCH(Curvas!$AB38, 'Fluxos de Recebimento'!$F$65:$F$116, 0), MATCH(Curvas!BQ$2, 'Fluxos de Recebimento'!$I$63:$BH$63, 0)),0)*INDEX($E:$E, MATCH(BQ$2, $B:$B, 0))</f>
        <v>0</v>
      </c>
      <c r="BR38" s="193">
        <f>IFERROR(INDEX('Fluxos de Recebimento'!$I$7:$BH$58, MATCH(Curvas!$AB38, 'Fluxos de Recebimento'!$F$7:$F$58, 0), MATCH(Curvas!BR$2,'Fluxos de Recebimento'!$I$5:$BH$5, 0))+INDEX('Fluxos de Recebimento'!$I$65:$BH$116, MATCH(Curvas!$AB38, 'Fluxos de Recebimento'!$F$65:$F$116, 0), MATCH(Curvas!BR$2, 'Fluxos de Recebimento'!$I$63:$BH$63, 0)),0)*INDEX($E:$E, MATCH(BR$2, $B:$B, 0))</f>
        <v>0</v>
      </c>
      <c r="BS38" s="193">
        <f>IFERROR(INDEX('Fluxos de Recebimento'!$I$7:$BH$58, MATCH(Curvas!$AB38, 'Fluxos de Recebimento'!$F$7:$F$58, 0), MATCH(Curvas!BS$2,'Fluxos de Recebimento'!$I$5:$BH$5, 0))+INDEX('Fluxos de Recebimento'!$I$65:$BH$116, MATCH(Curvas!$AB38, 'Fluxos de Recebimento'!$F$65:$F$116, 0), MATCH(Curvas!BS$2, 'Fluxos de Recebimento'!$I$63:$BH$63, 0)),0)*INDEX($E:$E, MATCH(BS$2, $B:$B, 0))</f>
        <v>0</v>
      </c>
      <c r="BT38" s="193">
        <f>IFERROR(INDEX('Fluxos de Recebimento'!$I$7:$BH$58, MATCH(Curvas!$AB38, 'Fluxos de Recebimento'!$F$7:$F$58, 0), MATCH(Curvas!BT$2,'Fluxos de Recebimento'!$I$5:$BH$5, 0))+INDEX('Fluxos de Recebimento'!$I$65:$BH$116, MATCH(Curvas!$AB38, 'Fluxos de Recebimento'!$F$65:$F$116, 0), MATCH(Curvas!BT$2, 'Fluxos de Recebimento'!$I$63:$BH$63, 0)),0)*INDEX($E:$E, MATCH(BT$2, $B:$B, 0))</f>
        <v>0</v>
      </c>
      <c r="BU38" s="193">
        <f>IFERROR(INDEX('Fluxos de Recebimento'!$I$7:$BH$58, MATCH(Curvas!$AB38, 'Fluxos de Recebimento'!$F$7:$F$58, 0), MATCH(Curvas!BU$2,'Fluxos de Recebimento'!$I$5:$BH$5, 0))+INDEX('Fluxos de Recebimento'!$I$65:$BH$116, MATCH(Curvas!$AB38, 'Fluxos de Recebimento'!$F$65:$F$116, 0), MATCH(Curvas!BU$2, 'Fluxos de Recebimento'!$I$63:$BH$63, 0)),0)*INDEX($E:$E, MATCH(BU$2, $B:$B, 0))</f>
        <v>0</v>
      </c>
      <c r="BV38" s="193">
        <f>IFERROR(INDEX('Fluxos de Recebimento'!$I$7:$BH$58, MATCH(Curvas!$AB38, 'Fluxos de Recebimento'!$F$7:$F$58, 0), MATCH(Curvas!BV$2,'Fluxos de Recebimento'!$I$5:$BH$5, 0))+INDEX('Fluxos de Recebimento'!$I$65:$BH$116, MATCH(Curvas!$AB38, 'Fluxos de Recebimento'!$F$65:$F$116, 0), MATCH(Curvas!BV$2, 'Fluxos de Recebimento'!$I$63:$BH$63, 0)),0)*INDEX($E:$E, MATCH(BV$2, $B:$B, 0))</f>
        <v>0</v>
      </c>
      <c r="BW38" s="193">
        <f>IFERROR(INDEX('Fluxos de Recebimento'!$I$7:$BH$58, MATCH(Curvas!$AB38, 'Fluxos de Recebimento'!$F$7:$F$58, 0), MATCH(Curvas!BW$2,'Fluxos de Recebimento'!$I$5:$BH$5, 0))+INDEX('Fluxos de Recebimento'!$I$65:$BH$116, MATCH(Curvas!$AB38, 'Fluxos de Recebimento'!$F$65:$F$116, 0), MATCH(Curvas!BW$2, 'Fluxos de Recebimento'!$I$63:$BH$63, 0)),0)*INDEX($E:$E, MATCH(BW$2, $B:$B, 0))</f>
        <v>0</v>
      </c>
      <c r="BX38" s="193">
        <f>IFERROR(INDEX('Fluxos de Recebimento'!$I$7:$BH$58, MATCH(Curvas!$AB38, 'Fluxos de Recebimento'!$F$7:$F$58, 0), MATCH(Curvas!BX$2,'Fluxos de Recebimento'!$I$5:$BH$5, 0))+INDEX('Fluxos de Recebimento'!$I$65:$BH$116, MATCH(Curvas!$AB38, 'Fluxos de Recebimento'!$F$65:$F$116, 0), MATCH(Curvas!BX$2, 'Fluxos de Recebimento'!$I$63:$BH$63, 0)),0)*INDEX($E:$E, MATCH(BX$2, $B:$B, 0))</f>
        <v>0</v>
      </c>
      <c r="BY38" s="193">
        <f>IFERROR(INDEX('Fluxos de Recebimento'!$I$7:$BH$58, MATCH(Curvas!$AB38, 'Fluxos de Recebimento'!$F$7:$F$58, 0), MATCH(Curvas!BY$2,'Fluxos de Recebimento'!$I$5:$BH$5, 0))+INDEX('Fluxos de Recebimento'!$I$65:$BH$116, MATCH(Curvas!$AB38, 'Fluxos de Recebimento'!$F$65:$F$116, 0), MATCH(Curvas!BY$2, 'Fluxos de Recebimento'!$I$63:$BH$63, 0)),0)*INDEX($E:$E, MATCH(BY$2, $B:$B, 0))</f>
        <v>0</v>
      </c>
      <c r="BZ38" s="193">
        <f>IFERROR(INDEX('Fluxos de Recebimento'!$I$7:$BH$58, MATCH(Curvas!$AB38, 'Fluxos de Recebimento'!$F$7:$F$58, 0), MATCH(Curvas!BZ$2,'Fluxos de Recebimento'!$I$5:$BH$5, 0))+INDEX('Fluxos de Recebimento'!$I$65:$BH$116, MATCH(Curvas!$AB38, 'Fluxos de Recebimento'!$F$65:$F$116, 0), MATCH(Curvas!BZ$2, 'Fluxos de Recebimento'!$I$63:$BH$63, 0)),0)*INDEX($E:$E, MATCH(BZ$2, $B:$B, 0))</f>
        <v>0</v>
      </c>
      <c r="CA38" s="193">
        <f>IFERROR(INDEX('Fluxos de Recebimento'!$I$7:$BH$58, MATCH(Curvas!$AB38, 'Fluxos de Recebimento'!$F$7:$F$58, 0), MATCH(Curvas!CA$2,'Fluxos de Recebimento'!$I$5:$BH$5, 0))+INDEX('Fluxos de Recebimento'!$I$65:$BH$116, MATCH(Curvas!$AB38, 'Fluxos de Recebimento'!$F$65:$F$116, 0), MATCH(Curvas!CA$2, 'Fluxos de Recebimento'!$I$63:$BH$63, 0)),0)*INDEX($E:$E, MATCH(CA$2, $B:$B, 0))</f>
        <v>0</v>
      </c>
      <c r="CB38" s="193">
        <f>IFERROR(INDEX('Fluxos de Recebimento'!$I$7:$BH$58, MATCH(Curvas!$AB38, 'Fluxos de Recebimento'!$F$7:$F$58, 0), MATCH(Curvas!CB$2,'Fluxos de Recebimento'!$I$5:$BH$5, 0))+INDEX('Fluxos de Recebimento'!$I$65:$BH$116, MATCH(Curvas!$AB38, 'Fluxos de Recebimento'!$F$65:$F$116, 0), MATCH(Curvas!CB$2, 'Fluxos de Recebimento'!$I$63:$BH$63, 0)),0)*INDEX($E:$E, MATCH(CB$2, $B:$B, 0))</f>
        <v>0</v>
      </c>
      <c r="CC38" s="193">
        <f>IFERROR(INDEX('Fluxos de Recebimento'!$I$7:$BH$58, MATCH(Curvas!$AB38, 'Fluxos de Recebimento'!$F$7:$F$58, 0), MATCH(Curvas!CC$2,'Fluxos de Recebimento'!$I$5:$BH$5, 0))+INDEX('Fluxos de Recebimento'!$I$65:$BH$116, MATCH(Curvas!$AB38, 'Fluxos de Recebimento'!$F$65:$F$116, 0), MATCH(Curvas!CC$2, 'Fluxos de Recebimento'!$I$63:$BH$63, 0)),0)*INDEX($E:$E, MATCH(CC$2, $B:$B, 0))</f>
        <v>0</v>
      </c>
    </row>
    <row r="39" spans="1:81" x14ac:dyDescent="0.25">
      <c r="A39" s="2"/>
      <c r="B39" s="477">
        <f t="shared" si="34"/>
        <v>45231</v>
      </c>
      <c r="C39" s="52">
        <f t="shared" si="35"/>
        <v>36</v>
      </c>
      <c r="D39" s="2"/>
      <c r="E39" s="187">
        <f t="shared" si="22"/>
        <v>4.1666666666666671E-2</v>
      </c>
      <c r="F39" s="48">
        <f t="shared" si="36"/>
        <v>0.95833333333333315</v>
      </c>
      <c r="G39" s="46">
        <f t="shared" ca="1" si="23"/>
        <v>4.1666666666666671E-2</v>
      </c>
      <c r="H39" s="48">
        <f t="shared" ca="1" si="37"/>
        <v>0.83333333333333337</v>
      </c>
      <c r="I39" s="2"/>
      <c r="J39" s="69">
        <f t="shared" ca="1" si="24"/>
        <v>3</v>
      </c>
      <c r="K39" s="479">
        <f t="shared" ca="1" si="25"/>
        <v>-1</v>
      </c>
      <c r="L39" s="70">
        <f t="shared" ca="1" si="26"/>
        <v>2</v>
      </c>
      <c r="M39" s="2"/>
      <c r="N39" s="69">
        <f t="shared" si="27"/>
        <v>1</v>
      </c>
      <c r="O39" s="479">
        <f t="shared" si="28"/>
        <v>0</v>
      </c>
      <c r="P39" s="70">
        <f t="shared" si="29"/>
        <v>1</v>
      </c>
      <c r="Q39" s="2"/>
      <c r="R39" s="71">
        <f t="shared" ca="1" si="30"/>
        <v>4</v>
      </c>
      <c r="S39" s="196"/>
      <c r="T39" s="46">
        <v>0</v>
      </c>
      <c r="U39" s="48">
        <f t="shared" si="38"/>
        <v>0.99999999999999978</v>
      </c>
      <c r="V39" s="2"/>
      <c r="W39" s="56"/>
      <c r="X39" s="48"/>
      <c r="Y39" s="2"/>
      <c r="Z39" s="194">
        <f t="shared" si="31"/>
        <v>4.1666666666666671E-2</v>
      </c>
      <c r="AA39" s="2"/>
      <c r="AB39" s="477">
        <f t="shared" si="32"/>
        <v>45231</v>
      </c>
      <c r="AC39" s="52">
        <f t="shared" si="33"/>
        <v>36</v>
      </c>
      <c r="AD39" s="193">
        <f>IFERROR(INDEX('Fluxos de Recebimento'!$I$7:$BH$58, MATCH(Curvas!$AB39, 'Fluxos de Recebimento'!$F$7:$F$58, 0), MATCH(Curvas!AD$2,'Fluxos de Recebimento'!$I$5:$BH$5, 0))+INDEX('Fluxos de Recebimento'!$I$65:$BH$116, MATCH(Curvas!$AB39, 'Fluxos de Recebimento'!$F$65:$F$116, 0), MATCH(Curvas!AD$2, 'Fluxos de Recebimento'!$I$63:$BH$63, 0)),0)*INDEX($E:$E, MATCH(AD$2, $B:$B, 0))</f>
        <v>0</v>
      </c>
      <c r="AE39" s="193">
        <f>IFERROR(INDEX('Fluxos de Recebimento'!$I$7:$BH$58, MATCH(Curvas!$AB39, 'Fluxos de Recebimento'!$F$7:$F$58, 0), MATCH(Curvas!AE$2,'Fluxos de Recebimento'!$I$5:$BH$5, 0))+INDEX('Fluxos de Recebimento'!$I$65:$BH$116, MATCH(Curvas!$AB39, 'Fluxos de Recebimento'!$F$65:$F$116, 0), MATCH(Curvas!AE$2, 'Fluxos de Recebimento'!$I$63:$BH$63, 0)),0)*INDEX($E:$E, MATCH(AE$2, $B:$B, 0))</f>
        <v>0</v>
      </c>
      <c r="AF39" s="193">
        <f>IFERROR(INDEX('Fluxos de Recebimento'!$I$7:$BH$58, MATCH(Curvas!$AB39, 'Fluxos de Recebimento'!$F$7:$F$58, 0), MATCH(Curvas!AF$2,'Fluxos de Recebimento'!$I$5:$BH$5, 0))+INDEX('Fluxos de Recebimento'!$I$65:$BH$116, MATCH(Curvas!$AB39, 'Fluxos de Recebimento'!$F$65:$F$116, 0), MATCH(Curvas!AF$2, 'Fluxos de Recebimento'!$I$63:$BH$63, 0)),0)*INDEX($E:$E, MATCH(AF$2, $B:$B, 0))</f>
        <v>0</v>
      </c>
      <c r="AG39" s="193">
        <f>IFERROR(INDEX('Fluxos de Recebimento'!$I$7:$BH$58, MATCH(Curvas!$AB39, 'Fluxos de Recebimento'!$F$7:$F$58, 0), MATCH(Curvas!AG$2,'Fluxos de Recebimento'!$I$5:$BH$5, 0))+INDEX('Fluxos de Recebimento'!$I$65:$BH$116, MATCH(Curvas!$AB39, 'Fluxos de Recebimento'!$F$65:$F$116, 0), MATCH(Curvas!AG$2, 'Fluxos de Recebimento'!$I$63:$BH$63, 0)),0)*INDEX($E:$E, MATCH(AG$2, $B:$B, 0))</f>
        <v>0</v>
      </c>
      <c r="AH39" s="193">
        <f>IFERROR(INDEX('Fluxos de Recebimento'!$I$7:$BH$58, MATCH(Curvas!$AB39, 'Fluxos de Recebimento'!$F$7:$F$58, 0), MATCH(Curvas!AH$2,'Fluxos de Recebimento'!$I$5:$BH$5, 0))+INDEX('Fluxos de Recebimento'!$I$65:$BH$116, MATCH(Curvas!$AB39, 'Fluxos de Recebimento'!$F$65:$F$116, 0), MATCH(Curvas!AH$2, 'Fluxos de Recebimento'!$I$63:$BH$63, 0)),0)*INDEX($E:$E, MATCH(AH$2, $B:$B, 0))</f>
        <v>0</v>
      </c>
      <c r="AI39" s="193">
        <f>IFERROR(INDEX('Fluxos de Recebimento'!$I$7:$BH$58, MATCH(Curvas!$AB39, 'Fluxos de Recebimento'!$F$7:$F$58, 0), MATCH(Curvas!AI$2,'Fluxos de Recebimento'!$I$5:$BH$5, 0))+INDEX('Fluxos de Recebimento'!$I$65:$BH$116, MATCH(Curvas!$AB39, 'Fluxos de Recebimento'!$F$65:$F$116, 0), MATCH(Curvas!AI$2, 'Fluxos de Recebimento'!$I$63:$BH$63, 0)),0)*INDEX($E:$E, MATCH(AI$2, $B:$B, 0))</f>
        <v>0</v>
      </c>
      <c r="AJ39" s="193">
        <f>IFERROR(INDEX('Fluxos de Recebimento'!$I$7:$BH$58, MATCH(Curvas!$AB39, 'Fluxos de Recebimento'!$F$7:$F$58, 0), MATCH(Curvas!AJ$2,'Fluxos de Recebimento'!$I$5:$BH$5, 0))+INDEX('Fluxos de Recebimento'!$I$65:$BH$116, MATCH(Curvas!$AB39, 'Fluxos de Recebimento'!$F$65:$F$116, 0), MATCH(Curvas!AJ$2, 'Fluxos de Recebimento'!$I$63:$BH$63, 0)),0)*INDEX($E:$E, MATCH(AJ$2, $B:$B, 0))</f>
        <v>0</v>
      </c>
      <c r="AK39" s="193">
        <f>IFERROR(INDEX('Fluxos de Recebimento'!$I$7:$BH$58, MATCH(Curvas!$AB39, 'Fluxos de Recebimento'!$F$7:$F$58, 0), MATCH(Curvas!AK$2,'Fluxos de Recebimento'!$I$5:$BH$5, 0))+INDEX('Fluxos de Recebimento'!$I$65:$BH$116, MATCH(Curvas!$AB39, 'Fluxos de Recebimento'!$F$65:$F$116, 0), MATCH(Curvas!AK$2, 'Fluxos de Recebimento'!$I$63:$BH$63, 0)),0)*INDEX($E:$E, MATCH(AK$2, $B:$B, 0))</f>
        <v>0</v>
      </c>
      <c r="AL39" s="193">
        <f>IFERROR(INDEX('Fluxos de Recebimento'!$I$7:$BH$58, MATCH(Curvas!$AB39, 'Fluxos de Recebimento'!$F$7:$F$58, 0), MATCH(Curvas!AL$2,'Fluxos de Recebimento'!$I$5:$BH$5, 0))+INDEX('Fluxos de Recebimento'!$I$65:$BH$116, MATCH(Curvas!$AB39, 'Fluxos de Recebimento'!$F$65:$F$116, 0), MATCH(Curvas!AL$2, 'Fluxos de Recebimento'!$I$63:$BH$63, 0)),0)*INDEX($E:$E, MATCH(AL$2, $B:$B, 0))</f>
        <v>0</v>
      </c>
      <c r="AM39" s="193">
        <f>IFERROR(INDEX('Fluxos de Recebimento'!$I$7:$BH$58, MATCH(Curvas!$AB39, 'Fluxos de Recebimento'!$F$7:$F$58, 0), MATCH(Curvas!AM$2,'Fluxos de Recebimento'!$I$5:$BH$5, 0))+INDEX('Fluxos de Recebimento'!$I$65:$BH$116, MATCH(Curvas!$AB39, 'Fluxos de Recebimento'!$F$65:$F$116, 0), MATCH(Curvas!AM$2, 'Fluxos de Recebimento'!$I$63:$BH$63, 0)),0)*INDEX($E:$E, MATCH(AM$2, $B:$B, 0))</f>
        <v>0</v>
      </c>
      <c r="AN39" s="193">
        <f>IFERROR(INDEX('Fluxos de Recebimento'!$I$7:$BH$58, MATCH(Curvas!$AB39, 'Fluxos de Recebimento'!$F$7:$F$58, 0), MATCH(Curvas!AN$2,'Fluxos de Recebimento'!$I$5:$BH$5, 0))+INDEX('Fluxos de Recebimento'!$I$65:$BH$116, MATCH(Curvas!$AB39, 'Fluxos de Recebimento'!$F$65:$F$116, 0), MATCH(Curvas!AN$2, 'Fluxos de Recebimento'!$I$63:$BH$63, 0)),0)*INDEX($E:$E, MATCH(AN$2, $B:$B, 0))</f>
        <v>0</v>
      </c>
      <c r="AO39" s="193">
        <f>IFERROR(INDEX('Fluxos de Recebimento'!$I$7:$BH$58, MATCH(Curvas!$AB39, 'Fluxos de Recebimento'!$F$7:$F$58, 0), MATCH(Curvas!AO$2,'Fluxos de Recebimento'!$I$5:$BH$5, 0))+INDEX('Fluxos de Recebimento'!$I$65:$BH$116, MATCH(Curvas!$AB39, 'Fluxos de Recebimento'!$F$65:$F$116, 0), MATCH(Curvas!AO$2, 'Fluxos de Recebimento'!$I$63:$BH$63, 0)),0)*INDEX($E:$E, MATCH(AO$2, $B:$B, 0))</f>
        <v>0</v>
      </c>
      <c r="AP39" s="193">
        <f>IFERROR(INDEX('Fluxos de Recebimento'!$I$7:$BH$58, MATCH(Curvas!$AB39, 'Fluxos de Recebimento'!$F$7:$F$58, 0), MATCH(Curvas!AP$2,'Fluxos de Recebimento'!$I$5:$BH$5, 0))+INDEX('Fluxos de Recebimento'!$I$65:$BH$116, MATCH(Curvas!$AB39, 'Fluxos de Recebimento'!$F$65:$F$116, 0), MATCH(Curvas!AP$2, 'Fluxos de Recebimento'!$I$63:$BH$63, 0)),0)*INDEX($E:$E, MATCH(AP$2, $B:$B, 0))</f>
        <v>0</v>
      </c>
      <c r="AQ39" s="193">
        <f>IFERROR(INDEX('Fluxos de Recebimento'!$I$7:$BH$58, MATCH(Curvas!$AB39, 'Fluxos de Recebimento'!$F$7:$F$58, 0), MATCH(Curvas!AQ$2,'Fluxos de Recebimento'!$I$5:$BH$5, 0))+INDEX('Fluxos de Recebimento'!$I$65:$BH$116, MATCH(Curvas!$AB39, 'Fluxos de Recebimento'!$F$65:$F$116, 0), MATCH(Curvas!AQ$2, 'Fluxos de Recebimento'!$I$63:$BH$63, 0)),0)*INDEX($E:$E, MATCH(AQ$2, $B:$B, 0))</f>
        <v>0</v>
      </c>
      <c r="AR39" s="193">
        <f>IFERROR(INDEX('Fluxos de Recebimento'!$I$7:$BH$58, MATCH(Curvas!$AB39, 'Fluxos de Recebimento'!$F$7:$F$58, 0), MATCH(Curvas!AR$2,'Fluxos de Recebimento'!$I$5:$BH$5, 0))+INDEX('Fluxos de Recebimento'!$I$65:$BH$116, MATCH(Curvas!$AB39, 'Fluxos de Recebimento'!$F$65:$F$116, 0), MATCH(Curvas!AR$2, 'Fluxos de Recebimento'!$I$63:$BH$63, 0)),0)*INDEX($E:$E, MATCH(AR$2, $B:$B, 0))</f>
        <v>0</v>
      </c>
      <c r="AS39" s="193">
        <f>IFERROR(INDEX('Fluxos de Recebimento'!$I$7:$BH$58, MATCH(Curvas!$AB39, 'Fluxos de Recebimento'!$F$7:$F$58, 0), MATCH(Curvas!AS$2,'Fluxos de Recebimento'!$I$5:$BH$5, 0))+INDEX('Fluxos de Recebimento'!$I$65:$BH$116, MATCH(Curvas!$AB39, 'Fluxos de Recebimento'!$F$65:$F$116, 0), MATCH(Curvas!AS$2, 'Fluxos de Recebimento'!$I$63:$BH$63, 0)),0)*INDEX($E:$E, MATCH(AS$2, $B:$B, 0))</f>
        <v>0</v>
      </c>
      <c r="AT39" s="193">
        <f>IFERROR(INDEX('Fluxos de Recebimento'!$I$7:$BH$58, MATCH(Curvas!$AB39, 'Fluxos de Recebimento'!$F$7:$F$58, 0), MATCH(Curvas!AT$2,'Fluxos de Recebimento'!$I$5:$BH$5, 0))+INDEX('Fluxos de Recebimento'!$I$65:$BH$116, MATCH(Curvas!$AB39, 'Fluxos de Recebimento'!$F$65:$F$116, 0), MATCH(Curvas!AT$2, 'Fluxos de Recebimento'!$I$63:$BH$63, 0)),0)*INDEX($E:$E, MATCH(AT$2, $B:$B, 0))</f>
        <v>0</v>
      </c>
      <c r="AU39" s="193">
        <f>IFERROR(INDEX('Fluxos de Recebimento'!$I$7:$BH$58, MATCH(Curvas!$AB39, 'Fluxos de Recebimento'!$F$7:$F$58, 0), MATCH(Curvas!AU$2,'Fluxos de Recebimento'!$I$5:$BH$5, 0))+INDEX('Fluxos de Recebimento'!$I$65:$BH$116, MATCH(Curvas!$AB39, 'Fluxos de Recebimento'!$F$65:$F$116, 0), MATCH(Curvas!AU$2, 'Fluxos de Recebimento'!$I$63:$BH$63, 0)),0)*INDEX($E:$E, MATCH(AU$2, $B:$B, 0))</f>
        <v>0</v>
      </c>
      <c r="AV39" s="193">
        <f>IFERROR(INDEX('Fluxos de Recebimento'!$I$7:$BH$58, MATCH(Curvas!$AB39, 'Fluxos de Recebimento'!$F$7:$F$58, 0), MATCH(Curvas!AV$2,'Fluxos de Recebimento'!$I$5:$BH$5, 0))+INDEX('Fluxos de Recebimento'!$I$65:$BH$116, MATCH(Curvas!$AB39, 'Fluxos de Recebimento'!$F$65:$F$116, 0), MATCH(Curvas!AV$2, 'Fluxos de Recebimento'!$I$63:$BH$63, 0)),0)*INDEX($E:$E, MATCH(AV$2, $B:$B, 0))</f>
        <v>0</v>
      </c>
      <c r="AW39" s="193">
        <f>IFERROR(INDEX('Fluxos de Recebimento'!$I$7:$BH$58, MATCH(Curvas!$AB39, 'Fluxos de Recebimento'!$F$7:$F$58, 0), MATCH(Curvas!AW$2,'Fluxos de Recebimento'!$I$5:$BH$5, 0))+INDEX('Fluxos de Recebimento'!$I$65:$BH$116, MATCH(Curvas!$AB39, 'Fluxos de Recebimento'!$F$65:$F$116, 0), MATCH(Curvas!AW$2, 'Fluxos de Recebimento'!$I$63:$BH$63, 0)),0)*INDEX($E:$E, MATCH(AW$2, $B:$B, 0))</f>
        <v>0</v>
      </c>
      <c r="AX39" s="193">
        <f>IFERROR(INDEX('Fluxos de Recebimento'!$I$7:$BH$58, MATCH(Curvas!$AB39, 'Fluxos de Recebimento'!$F$7:$F$58, 0), MATCH(Curvas!AX$2,'Fluxos de Recebimento'!$I$5:$BH$5, 0))+INDEX('Fluxos de Recebimento'!$I$65:$BH$116, MATCH(Curvas!$AB39, 'Fluxos de Recebimento'!$F$65:$F$116, 0), MATCH(Curvas!AX$2, 'Fluxos de Recebimento'!$I$63:$BH$63, 0)),0)*INDEX($E:$E, MATCH(AX$2, $B:$B, 0))</f>
        <v>0</v>
      </c>
      <c r="AY39" s="193">
        <f>IFERROR(INDEX('Fluxos de Recebimento'!$I$7:$BH$58, MATCH(Curvas!$AB39, 'Fluxos de Recebimento'!$F$7:$F$58, 0), MATCH(Curvas!AY$2,'Fluxos de Recebimento'!$I$5:$BH$5, 0))+INDEX('Fluxos de Recebimento'!$I$65:$BH$116, MATCH(Curvas!$AB39, 'Fluxos de Recebimento'!$F$65:$F$116, 0), MATCH(Curvas!AY$2, 'Fluxos de Recebimento'!$I$63:$BH$63, 0)),0)*INDEX($E:$E, MATCH(AY$2, $B:$B, 0))</f>
        <v>0</v>
      </c>
      <c r="AZ39" s="193">
        <f>IFERROR(INDEX('Fluxos de Recebimento'!$I$7:$BH$58, MATCH(Curvas!$AB39, 'Fluxos de Recebimento'!$F$7:$F$58, 0), MATCH(Curvas!AZ$2,'Fluxos de Recebimento'!$I$5:$BH$5, 0))+INDEX('Fluxos de Recebimento'!$I$65:$BH$116, MATCH(Curvas!$AB39, 'Fluxos de Recebimento'!$F$65:$F$116, 0), MATCH(Curvas!AZ$2, 'Fluxos de Recebimento'!$I$63:$BH$63, 0)),0)*INDEX($E:$E, MATCH(AZ$2, $B:$B, 0))</f>
        <v>0</v>
      </c>
      <c r="BA39" s="193">
        <f>IFERROR(INDEX('Fluxos de Recebimento'!$I$7:$BH$58, MATCH(Curvas!$AB39, 'Fluxos de Recebimento'!$F$7:$F$58, 0), MATCH(Curvas!BA$2,'Fluxos de Recebimento'!$I$5:$BH$5, 0))+INDEX('Fluxos de Recebimento'!$I$65:$BH$116, MATCH(Curvas!$AB39, 'Fluxos de Recebimento'!$F$65:$F$116, 0), MATCH(Curvas!BA$2, 'Fluxos de Recebimento'!$I$63:$BH$63, 0)),0)*INDEX($E:$E, MATCH(BA$2, $B:$B, 0))</f>
        <v>0</v>
      </c>
      <c r="BB39" s="193">
        <f>IFERROR(INDEX('Fluxos de Recebimento'!$I$7:$BH$58, MATCH(Curvas!$AB39, 'Fluxos de Recebimento'!$F$7:$F$58, 0), MATCH(Curvas!BB$2,'Fluxos de Recebimento'!$I$5:$BH$5, 0))+INDEX('Fluxos de Recebimento'!$I$65:$BH$116, MATCH(Curvas!$AB39, 'Fluxos de Recebimento'!$F$65:$F$116, 0), MATCH(Curvas!BB$2, 'Fluxos de Recebimento'!$I$63:$BH$63, 0)),0)*INDEX($E:$E, MATCH(BB$2, $B:$B, 0))</f>
        <v>0</v>
      </c>
      <c r="BC39" s="193">
        <f>IFERROR(INDEX('Fluxos de Recebimento'!$I$7:$BH$58, MATCH(Curvas!$AB39, 'Fluxos de Recebimento'!$F$7:$F$58, 0), MATCH(Curvas!BC$2,'Fluxos de Recebimento'!$I$5:$BH$5, 0))+INDEX('Fluxos de Recebimento'!$I$65:$BH$116, MATCH(Curvas!$AB39, 'Fluxos de Recebimento'!$F$65:$F$116, 0), MATCH(Curvas!BC$2, 'Fluxos de Recebimento'!$I$63:$BH$63, 0)),0)*INDEX($E:$E, MATCH(BC$2, $B:$B, 0))</f>
        <v>0</v>
      </c>
      <c r="BD39" s="193">
        <f>IFERROR(INDEX('Fluxos de Recebimento'!$I$7:$BH$58, MATCH(Curvas!$AB39, 'Fluxos de Recebimento'!$F$7:$F$58, 0), MATCH(Curvas!BD$2,'Fluxos de Recebimento'!$I$5:$BH$5, 0))+INDEX('Fluxos de Recebimento'!$I$65:$BH$116, MATCH(Curvas!$AB39, 'Fluxos de Recebimento'!$F$65:$F$116, 0), MATCH(Curvas!BD$2, 'Fluxos de Recebimento'!$I$63:$BH$63, 0)),0)*INDEX($E:$E, MATCH(BD$2, $B:$B, 0))</f>
        <v>0</v>
      </c>
      <c r="BE39" s="193">
        <f>IFERROR(INDEX('Fluxos de Recebimento'!$I$7:$BH$58, MATCH(Curvas!$AB39, 'Fluxos de Recebimento'!$F$7:$F$58, 0), MATCH(Curvas!BE$2,'Fluxos de Recebimento'!$I$5:$BH$5, 0))+INDEX('Fluxos de Recebimento'!$I$65:$BH$116, MATCH(Curvas!$AB39, 'Fluxos de Recebimento'!$F$65:$F$116, 0), MATCH(Curvas!BE$2, 'Fluxos de Recebimento'!$I$63:$BH$63, 0)),0)*INDEX($E:$E, MATCH(BE$2, $B:$B, 0))</f>
        <v>0</v>
      </c>
      <c r="BF39" s="193">
        <f>IFERROR(INDEX('Fluxos de Recebimento'!$I$7:$BH$58, MATCH(Curvas!$AB39, 'Fluxos de Recebimento'!$F$7:$F$58, 0), MATCH(Curvas!BF$2,'Fluxos de Recebimento'!$I$5:$BH$5, 0))+INDEX('Fluxos de Recebimento'!$I$65:$BH$116, MATCH(Curvas!$AB39, 'Fluxos de Recebimento'!$F$65:$F$116, 0), MATCH(Curvas!BF$2, 'Fluxos de Recebimento'!$I$63:$BH$63, 0)),0)*INDEX($E:$E, MATCH(BF$2, $B:$B, 0))</f>
        <v>0</v>
      </c>
      <c r="BG39" s="193">
        <f>IFERROR(INDEX('Fluxos de Recebimento'!$I$7:$BH$58, MATCH(Curvas!$AB39, 'Fluxos de Recebimento'!$F$7:$F$58, 0), MATCH(Curvas!BG$2,'Fluxos de Recebimento'!$I$5:$BH$5, 0))+INDEX('Fluxos de Recebimento'!$I$65:$BH$116, MATCH(Curvas!$AB39, 'Fluxos de Recebimento'!$F$65:$F$116, 0), MATCH(Curvas!BG$2, 'Fluxos de Recebimento'!$I$63:$BH$63, 0)),0)*INDEX($E:$E, MATCH(BG$2, $B:$B, 0))</f>
        <v>0</v>
      </c>
      <c r="BH39" s="193">
        <f>IFERROR(INDEX('Fluxos de Recebimento'!$I$7:$BH$58, MATCH(Curvas!$AB39, 'Fluxos de Recebimento'!$F$7:$F$58, 0), MATCH(Curvas!BH$2,'Fluxos de Recebimento'!$I$5:$BH$5, 0))+INDEX('Fluxos de Recebimento'!$I$65:$BH$116, MATCH(Curvas!$AB39, 'Fluxos de Recebimento'!$F$65:$F$116, 0), MATCH(Curvas!BH$2, 'Fluxos de Recebimento'!$I$63:$BH$63, 0)),0)*INDEX($E:$E, MATCH(BH$2, $B:$B, 0))</f>
        <v>0</v>
      </c>
      <c r="BI39" s="193">
        <f>IFERROR(INDEX('Fluxos de Recebimento'!$I$7:$BH$58, MATCH(Curvas!$AB39, 'Fluxos de Recebimento'!$F$7:$F$58, 0), MATCH(Curvas!BI$2,'Fluxos de Recebimento'!$I$5:$BH$5, 0))+INDEX('Fluxos de Recebimento'!$I$65:$BH$116, MATCH(Curvas!$AB39, 'Fluxos de Recebimento'!$F$65:$F$116, 0), MATCH(Curvas!BI$2, 'Fluxos de Recebimento'!$I$63:$BH$63, 0)),0)*INDEX($E:$E, MATCH(BI$2, $B:$B, 0))</f>
        <v>0</v>
      </c>
      <c r="BJ39" s="193">
        <f>IFERROR(INDEX('Fluxos de Recebimento'!$I$7:$BH$58, MATCH(Curvas!$AB39, 'Fluxos de Recebimento'!$F$7:$F$58, 0), MATCH(Curvas!BJ$2,'Fluxos de Recebimento'!$I$5:$BH$5, 0))+INDEX('Fluxos de Recebimento'!$I$65:$BH$116, MATCH(Curvas!$AB39, 'Fluxos de Recebimento'!$F$65:$F$116, 0), MATCH(Curvas!BJ$2, 'Fluxos de Recebimento'!$I$63:$BH$63, 0)),0)*INDEX($E:$E, MATCH(BJ$2, $B:$B, 0))</f>
        <v>2.9166666666666667E-2</v>
      </c>
      <c r="BK39" s="193">
        <f>IFERROR(INDEX('Fluxos de Recebimento'!$I$7:$BH$58, MATCH(Curvas!$AB39, 'Fluxos de Recebimento'!$F$7:$F$58, 0), MATCH(Curvas!BK$2,'Fluxos de Recebimento'!$I$5:$BH$5, 0))+INDEX('Fluxos de Recebimento'!$I$65:$BH$116, MATCH(Curvas!$AB39, 'Fluxos de Recebimento'!$F$65:$F$116, 0), MATCH(Curvas!BK$2, 'Fluxos de Recebimento'!$I$63:$BH$63, 0)),0)*INDEX($E:$E, MATCH(BK$2, $B:$B, 0))</f>
        <v>3.1250000000000002E-3</v>
      </c>
      <c r="BL39" s="193">
        <f>IFERROR(INDEX('Fluxos de Recebimento'!$I$7:$BH$58, MATCH(Curvas!$AB39, 'Fluxos de Recebimento'!$F$7:$F$58, 0), MATCH(Curvas!BL$2,'Fluxos de Recebimento'!$I$5:$BH$5, 0))+INDEX('Fluxos de Recebimento'!$I$65:$BH$116, MATCH(Curvas!$AB39, 'Fluxos de Recebimento'!$F$65:$F$116, 0), MATCH(Curvas!BL$2, 'Fluxos de Recebimento'!$I$63:$BH$63, 0)),0)*INDEX($E:$E, MATCH(BL$2, $B:$B, 0))</f>
        <v>3.1250000000000002E-3</v>
      </c>
      <c r="BM39" s="193">
        <f>IFERROR(INDEX('Fluxos de Recebimento'!$I$7:$BH$58, MATCH(Curvas!$AB39, 'Fluxos de Recebimento'!$F$7:$F$58, 0), MATCH(Curvas!BM$2,'Fluxos de Recebimento'!$I$5:$BH$5, 0))+INDEX('Fluxos de Recebimento'!$I$65:$BH$116, MATCH(Curvas!$AB39, 'Fluxos de Recebimento'!$F$65:$F$116, 0), MATCH(Curvas!BM$2, 'Fluxos de Recebimento'!$I$63:$BH$63, 0)),0)*INDEX($E:$E, MATCH(BM$2, $B:$B, 0))</f>
        <v>6.2500000000000003E-3</v>
      </c>
      <c r="BN39" s="193">
        <f>IFERROR(INDEX('Fluxos de Recebimento'!$I$7:$BH$58, MATCH(Curvas!$AB39, 'Fluxos de Recebimento'!$F$7:$F$58, 0), MATCH(Curvas!BN$2,'Fluxos de Recebimento'!$I$5:$BH$5, 0))+INDEX('Fluxos de Recebimento'!$I$65:$BH$116, MATCH(Curvas!$AB39, 'Fluxos de Recebimento'!$F$65:$F$116, 0), MATCH(Curvas!BN$2, 'Fluxos de Recebimento'!$I$63:$BH$63, 0)),0)*INDEX($E:$E, MATCH(BN$2, $B:$B, 0))</f>
        <v>0</v>
      </c>
      <c r="BO39" s="193">
        <f>IFERROR(INDEX('Fluxos de Recebimento'!$I$7:$BH$58, MATCH(Curvas!$AB39, 'Fluxos de Recebimento'!$F$7:$F$58, 0), MATCH(Curvas!BO$2,'Fluxos de Recebimento'!$I$5:$BH$5, 0))+INDEX('Fluxos de Recebimento'!$I$65:$BH$116, MATCH(Curvas!$AB39, 'Fluxos de Recebimento'!$F$65:$F$116, 0), MATCH(Curvas!BO$2, 'Fluxos de Recebimento'!$I$63:$BH$63, 0)),0)*INDEX($E:$E, MATCH(BO$2, $B:$B, 0))</f>
        <v>0</v>
      </c>
      <c r="BP39" s="193">
        <f>IFERROR(INDEX('Fluxos de Recebimento'!$I$7:$BH$58, MATCH(Curvas!$AB39, 'Fluxos de Recebimento'!$F$7:$F$58, 0), MATCH(Curvas!BP$2,'Fluxos de Recebimento'!$I$5:$BH$5, 0))+INDEX('Fluxos de Recebimento'!$I$65:$BH$116, MATCH(Curvas!$AB39, 'Fluxos de Recebimento'!$F$65:$F$116, 0), MATCH(Curvas!BP$2, 'Fluxos de Recebimento'!$I$63:$BH$63, 0)),0)*INDEX($E:$E, MATCH(BP$2, $B:$B, 0))</f>
        <v>0</v>
      </c>
      <c r="BQ39" s="193">
        <f>IFERROR(INDEX('Fluxos de Recebimento'!$I$7:$BH$58, MATCH(Curvas!$AB39, 'Fluxos de Recebimento'!$F$7:$F$58, 0), MATCH(Curvas!BQ$2,'Fluxos de Recebimento'!$I$5:$BH$5, 0))+INDEX('Fluxos de Recebimento'!$I$65:$BH$116, MATCH(Curvas!$AB39, 'Fluxos de Recebimento'!$F$65:$F$116, 0), MATCH(Curvas!BQ$2, 'Fluxos de Recebimento'!$I$63:$BH$63, 0)),0)*INDEX($E:$E, MATCH(BQ$2, $B:$B, 0))</f>
        <v>0</v>
      </c>
      <c r="BR39" s="193">
        <f>IFERROR(INDEX('Fluxos de Recebimento'!$I$7:$BH$58, MATCH(Curvas!$AB39, 'Fluxos de Recebimento'!$F$7:$F$58, 0), MATCH(Curvas!BR$2,'Fluxos de Recebimento'!$I$5:$BH$5, 0))+INDEX('Fluxos de Recebimento'!$I$65:$BH$116, MATCH(Curvas!$AB39, 'Fluxos de Recebimento'!$F$65:$F$116, 0), MATCH(Curvas!BR$2, 'Fluxos de Recebimento'!$I$63:$BH$63, 0)),0)*INDEX($E:$E, MATCH(BR$2, $B:$B, 0))</f>
        <v>0</v>
      </c>
      <c r="BS39" s="193">
        <f>IFERROR(INDEX('Fluxos de Recebimento'!$I$7:$BH$58, MATCH(Curvas!$AB39, 'Fluxos de Recebimento'!$F$7:$F$58, 0), MATCH(Curvas!BS$2,'Fluxos de Recebimento'!$I$5:$BH$5, 0))+INDEX('Fluxos de Recebimento'!$I$65:$BH$116, MATCH(Curvas!$AB39, 'Fluxos de Recebimento'!$F$65:$F$116, 0), MATCH(Curvas!BS$2, 'Fluxos de Recebimento'!$I$63:$BH$63, 0)),0)*INDEX($E:$E, MATCH(BS$2, $B:$B, 0))</f>
        <v>0</v>
      </c>
      <c r="BT39" s="193">
        <f>IFERROR(INDEX('Fluxos de Recebimento'!$I$7:$BH$58, MATCH(Curvas!$AB39, 'Fluxos de Recebimento'!$F$7:$F$58, 0), MATCH(Curvas!BT$2,'Fluxos de Recebimento'!$I$5:$BH$5, 0))+INDEX('Fluxos de Recebimento'!$I$65:$BH$116, MATCH(Curvas!$AB39, 'Fluxos de Recebimento'!$F$65:$F$116, 0), MATCH(Curvas!BT$2, 'Fluxos de Recebimento'!$I$63:$BH$63, 0)),0)*INDEX($E:$E, MATCH(BT$2, $B:$B, 0))</f>
        <v>0</v>
      </c>
      <c r="BU39" s="193">
        <f>IFERROR(INDEX('Fluxos de Recebimento'!$I$7:$BH$58, MATCH(Curvas!$AB39, 'Fluxos de Recebimento'!$F$7:$F$58, 0), MATCH(Curvas!BU$2,'Fluxos de Recebimento'!$I$5:$BH$5, 0))+INDEX('Fluxos de Recebimento'!$I$65:$BH$116, MATCH(Curvas!$AB39, 'Fluxos de Recebimento'!$F$65:$F$116, 0), MATCH(Curvas!BU$2, 'Fluxos de Recebimento'!$I$63:$BH$63, 0)),0)*INDEX($E:$E, MATCH(BU$2, $B:$B, 0))</f>
        <v>0</v>
      </c>
      <c r="BV39" s="193">
        <f>IFERROR(INDEX('Fluxos de Recebimento'!$I$7:$BH$58, MATCH(Curvas!$AB39, 'Fluxos de Recebimento'!$F$7:$F$58, 0), MATCH(Curvas!BV$2,'Fluxos de Recebimento'!$I$5:$BH$5, 0))+INDEX('Fluxos de Recebimento'!$I$65:$BH$116, MATCH(Curvas!$AB39, 'Fluxos de Recebimento'!$F$65:$F$116, 0), MATCH(Curvas!BV$2, 'Fluxos de Recebimento'!$I$63:$BH$63, 0)),0)*INDEX($E:$E, MATCH(BV$2, $B:$B, 0))</f>
        <v>0</v>
      </c>
      <c r="BW39" s="193">
        <f>IFERROR(INDEX('Fluxos de Recebimento'!$I$7:$BH$58, MATCH(Curvas!$AB39, 'Fluxos de Recebimento'!$F$7:$F$58, 0), MATCH(Curvas!BW$2,'Fluxos de Recebimento'!$I$5:$BH$5, 0))+INDEX('Fluxos de Recebimento'!$I$65:$BH$116, MATCH(Curvas!$AB39, 'Fluxos de Recebimento'!$F$65:$F$116, 0), MATCH(Curvas!BW$2, 'Fluxos de Recebimento'!$I$63:$BH$63, 0)),0)*INDEX($E:$E, MATCH(BW$2, $B:$B, 0))</f>
        <v>0</v>
      </c>
      <c r="BX39" s="193">
        <f>IFERROR(INDEX('Fluxos de Recebimento'!$I$7:$BH$58, MATCH(Curvas!$AB39, 'Fluxos de Recebimento'!$F$7:$F$58, 0), MATCH(Curvas!BX$2,'Fluxos de Recebimento'!$I$5:$BH$5, 0))+INDEX('Fluxos de Recebimento'!$I$65:$BH$116, MATCH(Curvas!$AB39, 'Fluxos de Recebimento'!$F$65:$F$116, 0), MATCH(Curvas!BX$2, 'Fluxos de Recebimento'!$I$63:$BH$63, 0)),0)*INDEX($E:$E, MATCH(BX$2, $B:$B, 0))</f>
        <v>0</v>
      </c>
      <c r="BY39" s="193">
        <f>IFERROR(INDEX('Fluxos de Recebimento'!$I$7:$BH$58, MATCH(Curvas!$AB39, 'Fluxos de Recebimento'!$F$7:$F$58, 0), MATCH(Curvas!BY$2,'Fluxos de Recebimento'!$I$5:$BH$5, 0))+INDEX('Fluxos de Recebimento'!$I$65:$BH$116, MATCH(Curvas!$AB39, 'Fluxos de Recebimento'!$F$65:$F$116, 0), MATCH(Curvas!BY$2, 'Fluxos de Recebimento'!$I$63:$BH$63, 0)),0)*INDEX($E:$E, MATCH(BY$2, $B:$B, 0))</f>
        <v>0</v>
      </c>
      <c r="BZ39" s="193">
        <f>IFERROR(INDEX('Fluxos de Recebimento'!$I$7:$BH$58, MATCH(Curvas!$AB39, 'Fluxos de Recebimento'!$F$7:$F$58, 0), MATCH(Curvas!BZ$2,'Fluxos de Recebimento'!$I$5:$BH$5, 0))+INDEX('Fluxos de Recebimento'!$I$65:$BH$116, MATCH(Curvas!$AB39, 'Fluxos de Recebimento'!$F$65:$F$116, 0), MATCH(Curvas!BZ$2, 'Fluxos de Recebimento'!$I$63:$BH$63, 0)),0)*INDEX($E:$E, MATCH(BZ$2, $B:$B, 0))</f>
        <v>0</v>
      </c>
      <c r="CA39" s="193">
        <f>IFERROR(INDEX('Fluxos de Recebimento'!$I$7:$BH$58, MATCH(Curvas!$AB39, 'Fluxos de Recebimento'!$F$7:$F$58, 0), MATCH(Curvas!CA$2,'Fluxos de Recebimento'!$I$5:$BH$5, 0))+INDEX('Fluxos de Recebimento'!$I$65:$BH$116, MATCH(Curvas!$AB39, 'Fluxos de Recebimento'!$F$65:$F$116, 0), MATCH(Curvas!CA$2, 'Fluxos de Recebimento'!$I$63:$BH$63, 0)),0)*INDEX($E:$E, MATCH(CA$2, $B:$B, 0))</f>
        <v>0</v>
      </c>
      <c r="CB39" s="193">
        <f>IFERROR(INDEX('Fluxos de Recebimento'!$I$7:$BH$58, MATCH(Curvas!$AB39, 'Fluxos de Recebimento'!$F$7:$F$58, 0), MATCH(Curvas!CB$2,'Fluxos de Recebimento'!$I$5:$BH$5, 0))+INDEX('Fluxos de Recebimento'!$I$65:$BH$116, MATCH(Curvas!$AB39, 'Fluxos de Recebimento'!$F$65:$F$116, 0), MATCH(Curvas!CB$2, 'Fluxos de Recebimento'!$I$63:$BH$63, 0)),0)*INDEX($E:$E, MATCH(CB$2, $B:$B, 0))</f>
        <v>0</v>
      </c>
      <c r="CC39" s="193">
        <f>IFERROR(INDEX('Fluxos de Recebimento'!$I$7:$BH$58, MATCH(Curvas!$AB39, 'Fluxos de Recebimento'!$F$7:$F$58, 0), MATCH(Curvas!CC$2,'Fluxos de Recebimento'!$I$5:$BH$5, 0))+INDEX('Fluxos de Recebimento'!$I$65:$BH$116, MATCH(Curvas!$AB39, 'Fluxos de Recebimento'!$F$65:$F$116, 0), MATCH(Curvas!CC$2, 'Fluxos de Recebimento'!$I$63:$BH$63, 0)),0)*INDEX($E:$E, MATCH(CC$2, $B:$B, 0))</f>
        <v>0</v>
      </c>
    </row>
    <row r="40" spans="1:81" x14ac:dyDescent="0.25">
      <c r="A40" s="2"/>
      <c r="B40" s="477">
        <f t="shared" si="34"/>
        <v>45261</v>
      </c>
      <c r="C40" s="52">
        <f t="shared" si="35"/>
        <v>37</v>
      </c>
      <c r="D40" s="2"/>
      <c r="E40" s="187">
        <f t="shared" si="22"/>
        <v>4.1666666666666671E-2</v>
      </c>
      <c r="F40" s="48">
        <f t="shared" si="36"/>
        <v>0.99999999999999978</v>
      </c>
      <c r="G40" s="46">
        <f t="shared" ca="1" si="23"/>
        <v>4.1666666666666671E-2</v>
      </c>
      <c r="H40" s="48">
        <f t="shared" ca="1" si="37"/>
        <v>0.875</v>
      </c>
      <c r="I40" s="2"/>
      <c r="J40" s="69">
        <f t="shared" ca="1" si="24"/>
        <v>2</v>
      </c>
      <c r="K40" s="479">
        <f t="shared" ca="1" si="25"/>
        <v>-1</v>
      </c>
      <c r="L40" s="70">
        <f t="shared" ca="1" si="26"/>
        <v>1</v>
      </c>
      <c r="M40" s="2"/>
      <c r="N40" s="69">
        <f t="shared" si="27"/>
        <v>1</v>
      </c>
      <c r="O40" s="479">
        <f t="shared" si="28"/>
        <v>0</v>
      </c>
      <c r="P40" s="70">
        <f t="shared" si="29"/>
        <v>1</v>
      </c>
      <c r="Q40" s="2"/>
      <c r="R40" s="71">
        <f t="shared" ca="1" si="30"/>
        <v>3</v>
      </c>
      <c r="S40" s="196"/>
      <c r="T40" s="46">
        <v>0</v>
      </c>
      <c r="U40" s="48">
        <f t="shared" si="38"/>
        <v>0.99999999999999978</v>
      </c>
      <c r="V40" s="2"/>
      <c r="W40" s="56"/>
      <c r="X40" s="48"/>
      <c r="Y40" s="2"/>
      <c r="Z40" s="194">
        <f t="shared" si="31"/>
        <v>4.1666666666666671E-2</v>
      </c>
      <c r="AA40" s="2"/>
      <c r="AB40" s="477">
        <f t="shared" si="32"/>
        <v>45261</v>
      </c>
      <c r="AC40" s="52">
        <f t="shared" si="33"/>
        <v>37</v>
      </c>
      <c r="AD40" s="193">
        <f>IFERROR(INDEX('Fluxos de Recebimento'!$I$7:$BH$58, MATCH(Curvas!$AB40, 'Fluxos de Recebimento'!$F$7:$F$58, 0), MATCH(Curvas!AD$2,'Fluxos de Recebimento'!$I$5:$BH$5, 0))+INDEX('Fluxos de Recebimento'!$I$65:$BH$116, MATCH(Curvas!$AB40, 'Fluxos de Recebimento'!$F$65:$F$116, 0), MATCH(Curvas!AD$2, 'Fluxos de Recebimento'!$I$63:$BH$63, 0)),0)*INDEX($E:$E, MATCH(AD$2, $B:$B, 0))</f>
        <v>0</v>
      </c>
      <c r="AE40" s="193">
        <f>IFERROR(INDEX('Fluxos de Recebimento'!$I$7:$BH$58, MATCH(Curvas!$AB40, 'Fluxos de Recebimento'!$F$7:$F$58, 0), MATCH(Curvas!AE$2,'Fluxos de Recebimento'!$I$5:$BH$5, 0))+INDEX('Fluxos de Recebimento'!$I$65:$BH$116, MATCH(Curvas!$AB40, 'Fluxos de Recebimento'!$F$65:$F$116, 0), MATCH(Curvas!AE$2, 'Fluxos de Recebimento'!$I$63:$BH$63, 0)),0)*INDEX($E:$E, MATCH(AE$2, $B:$B, 0))</f>
        <v>0</v>
      </c>
      <c r="AF40" s="193">
        <f>IFERROR(INDEX('Fluxos de Recebimento'!$I$7:$BH$58, MATCH(Curvas!$AB40, 'Fluxos de Recebimento'!$F$7:$F$58, 0), MATCH(Curvas!AF$2,'Fluxos de Recebimento'!$I$5:$BH$5, 0))+INDEX('Fluxos de Recebimento'!$I$65:$BH$116, MATCH(Curvas!$AB40, 'Fluxos de Recebimento'!$F$65:$F$116, 0), MATCH(Curvas!AF$2, 'Fluxos de Recebimento'!$I$63:$BH$63, 0)),0)*INDEX($E:$E, MATCH(AF$2, $B:$B, 0))</f>
        <v>0</v>
      </c>
      <c r="AG40" s="193">
        <f>IFERROR(INDEX('Fluxos de Recebimento'!$I$7:$BH$58, MATCH(Curvas!$AB40, 'Fluxos de Recebimento'!$F$7:$F$58, 0), MATCH(Curvas!AG$2,'Fluxos de Recebimento'!$I$5:$BH$5, 0))+INDEX('Fluxos de Recebimento'!$I$65:$BH$116, MATCH(Curvas!$AB40, 'Fluxos de Recebimento'!$F$65:$F$116, 0), MATCH(Curvas!AG$2, 'Fluxos de Recebimento'!$I$63:$BH$63, 0)),0)*INDEX($E:$E, MATCH(AG$2, $B:$B, 0))</f>
        <v>0</v>
      </c>
      <c r="AH40" s="193">
        <f>IFERROR(INDEX('Fluxos de Recebimento'!$I$7:$BH$58, MATCH(Curvas!$AB40, 'Fluxos de Recebimento'!$F$7:$F$58, 0), MATCH(Curvas!AH$2,'Fluxos de Recebimento'!$I$5:$BH$5, 0))+INDEX('Fluxos de Recebimento'!$I$65:$BH$116, MATCH(Curvas!$AB40, 'Fluxos de Recebimento'!$F$65:$F$116, 0), MATCH(Curvas!AH$2, 'Fluxos de Recebimento'!$I$63:$BH$63, 0)),0)*INDEX($E:$E, MATCH(AH$2, $B:$B, 0))</f>
        <v>0</v>
      </c>
      <c r="AI40" s="193">
        <f>IFERROR(INDEX('Fluxos de Recebimento'!$I$7:$BH$58, MATCH(Curvas!$AB40, 'Fluxos de Recebimento'!$F$7:$F$58, 0), MATCH(Curvas!AI$2,'Fluxos de Recebimento'!$I$5:$BH$5, 0))+INDEX('Fluxos de Recebimento'!$I$65:$BH$116, MATCH(Curvas!$AB40, 'Fluxos de Recebimento'!$F$65:$F$116, 0), MATCH(Curvas!AI$2, 'Fluxos de Recebimento'!$I$63:$BH$63, 0)),0)*INDEX($E:$E, MATCH(AI$2, $B:$B, 0))</f>
        <v>0</v>
      </c>
      <c r="AJ40" s="193">
        <f>IFERROR(INDEX('Fluxos de Recebimento'!$I$7:$BH$58, MATCH(Curvas!$AB40, 'Fluxos de Recebimento'!$F$7:$F$58, 0), MATCH(Curvas!AJ$2,'Fluxos de Recebimento'!$I$5:$BH$5, 0))+INDEX('Fluxos de Recebimento'!$I$65:$BH$116, MATCH(Curvas!$AB40, 'Fluxos de Recebimento'!$F$65:$F$116, 0), MATCH(Curvas!AJ$2, 'Fluxos de Recebimento'!$I$63:$BH$63, 0)),0)*INDEX($E:$E, MATCH(AJ$2, $B:$B, 0))</f>
        <v>0</v>
      </c>
      <c r="AK40" s="193">
        <f>IFERROR(INDEX('Fluxos de Recebimento'!$I$7:$BH$58, MATCH(Curvas!$AB40, 'Fluxos de Recebimento'!$F$7:$F$58, 0), MATCH(Curvas!AK$2,'Fluxos de Recebimento'!$I$5:$BH$5, 0))+INDEX('Fluxos de Recebimento'!$I$65:$BH$116, MATCH(Curvas!$AB40, 'Fluxos de Recebimento'!$F$65:$F$116, 0), MATCH(Curvas!AK$2, 'Fluxos de Recebimento'!$I$63:$BH$63, 0)),0)*INDEX($E:$E, MATCH(AK$2, $B:$B, 0))</f>
        <v>0</v>
      </c>
      <c r="AL40" s="193">
        <f>IFERROR(INDEX('Fluxos de Recebimento'!$I$7:$BH$58, MATCH(Curvas!$AB40, 'Fluxos de Recebimento'!$F$7:$F$58, 0), MATCH(Curvas!AL$2,'Fluxos de Recebimento'!$I$5:$BH$5, 0))+INDEX('Fluxos de Recebimento'!$I$65:$BH$116, MATCH(Curvas!$AB40, 'Fluxos de Recebimento'!$F$65:$F$116, 0), MATCH(Curvas!AL$2, 'Fluxos de Recebimento'!$I$63:$BH$63, 0)),0)*INDEX($E:$E, MATCH(AL$2, $B:$B, 0))</f>
        <v>0</v>
      </c>
      <c r="AM40" s="193">
        <f>IFERROR(INDEX('Fluxos de Recebimento'!$I$7:$BH$58, MATCH(Curvas!$AB40, 'Fluxos de Recebimento'!$F$7:$F$58, 0), MATCH(Curvas!AM$2,'Fluxos de Recebimento'!$I$5:$BH$5, 0))+INDEX('Fluxos de Recebimento'!$I$65:$BH$116, MATCH(Curvas!$AB40, 'Fluxos de Recebimento'!$F$65:$F$116, 0), MATCH(Curvas!AM$2, 'Fluxos de Recebimento'!$I$63:$BH$63, 0)),0)*INDEX($E:$E, MATCH(AM$2, $B:$B, 0))</f>
        <v>0</v>
      </c>
      <c r="AN40" s="193">
        <f>IFERROR(INDEX('Fluxos de Recebimento'!$I$7:$BH$58, MATCH(Curvas!$AB40, 'Fluxos de Recebimento'!$F$7:$F$58, 0), MATCH(Curvas!AN$2,'Fluxos de Recebimento'!$I$5:$BH$5, 0))+INDEX('Fluxos de Recebimento'!$I$65:$BH$116, MATCH(Curvas!$AB40, 'Fluxos de Recebimento'!$F$65:$F$116, 0), MATCH(Curvas!AN$2, 'Fluxos de Recebimento'!$I$63:$BH$63, 0)),0)*INDEX($E:$E, MATCH(AN$2, $B:$B, 0))</f>
        <v>0</v>
      </c>
      <c r="AO40" s="193">
        <f>IFERROR(INDEX('Fluxos de Recebimento'!$I$7:$BH$58, MATCH(Curvas!$AB40, 'Fluxos de Recebimento'!$F$7:$F$58, 0), MATCH(Curvas!AO$2,'Fluxos de Recebimento'!$I$5:$BH$5, 0))+INDEX('Fluxos de Recebimento'!$I$65:$BH$116, MATCH(Curvas!$AB40, 'Fluxos de Recebimento'!$F$65:$F$116, 0), MATCH(Curvas!AO$2, 'Fluxos de Recebimento'!$I$63:$BH$63, 0)),0)*INDEX($E:$E, MATCH(AO$2, $B:$B, 0))</f>
        <v>0</v>
      </c>
      <c r="AP40" s="193">
        <f>IFERROR(INDEX('Fluxos de Recebimento'!$I$7:$BH$58, MATCH(Curvas!$AB40, 'Fluxos de Recebimento'!$F$7:$F$58, 0), MATCH(Curvas!AP$2,'Fluxos de Recebimento'!$I$5:$BH$5, 0))+INDEX('Fluxos de Recebimento'!$I$65:$BH$116, MATCH(Curvas!$AB40, 'Fluxos de Recebimento'!$F$65:$F$116, 0), MATCH(Curvas!AP$2, 'Fluxos de Recebimento'!$I$63:$BH$63, 0)),0)*INDEX($E:$E, MATCH(AP$2, $B:$B, 0))</f>
        <v>0</v>
      </c>
      <c r="AQ40" s="193">
        <f>IFERROR(INDEX('Fluxos de Recebimento'!$I$7:$BH$58, MATCH(Curvas!$AB40, 'Fluxos de Recebimento'!$F$7:$F$58, 0), MATCH(Curvas!AQ$2,'Fluxos de Recebimento'!$I$5:$BH$5, 0))+INDEX('Fluxos de Recebimento'!$I$65:$BH$116, MATCH(Curvas!$AB40, 'Fluxos de Recebimento'!$F$65:$F$116, 0), MATCH(Curvas!AQ$2, 'Fluxos de Recebimento'!$I$63:$BH$63, 0)),0)*INDEX($E:$E, MATCH(AQ$2, $B:$B, 0))</f>
        <v>0</v>
      </c>
      <c r="AR40" s="193">
        <f>IFERROR(INDEX('Fluxos de Recebimento'!$I$7:$BH$58, MATCH(Curvas!$AB40, 'Fluxos de Recebimento'!$F$7:$F$58, 0), MATCH(Curvas!AR$2,'Fluxos de Recebimento'!$I$5:$BH$5, 0))+INDEX('Fluxos de Recebimento'!$I$65:$BH$116, MATCH(Curvas!$AB40, 'Fluxos de Recebimento'!$F$65:$F$116, 0), MATCH(Curvas!AR$2, 'Fluxos de Recebimento'!$I$63:$BH$63, 0)),0)*INDEX($E:$E, MATCH(AR$2, $B:$B, 0))</f>
        <v>0</v>
      </c>
      <c r="AS40" s="193">
        <f>IFERROR(INDEX('Fluxos de Recebimento'!$I$7:$BH$58, MATCH(Curvas!$AB40, 'Fluxos de Recebimento'!$F$7:$F$58, 0), MATCH(Curvas!AS$2,'Fluxos de Recebimento'!$I$5:$BH$5, 0))+INDEX('Fluxos de Recebimento'!$I$65:$BH$116, MATCH(Curvas!$AB40, 'Fluxos de Recebimento'!$F$65:$F$116, 0), MATCH(Curvas!AS$2, 'Fluxos de Recebimento'!$I$63:$BH$63, 0)),0)*INDEX($E:$E, MATCH(AS$2, $B:$B, 0))</f>
        <v>0</v>
      </c>
      <c r="AT40" s="193">
        <f>IFERROR(INDEX('Fluxos de Recebimento'!$I$7:$BH$58, MATCH(Curvas!$AB40, 'Fluxos de Recebimento'!$F$7:$F$58, 0), MATCH(Curvas!AT$2,'Fluxos de Recebimento'!$I$5:$BH$5, 0))+INDEX('Fluxos de Recebimento'!$I$65:$BH$116, MATCH(Curvas!$AB40, 'Fluxos de Recebimento'!$F$65:$F$116, 0), MATCH(Curvas!AT$2, 'Fluxos de Recebimento'!$I$63:$BH$63, 0)),0)*INDEX($E:$E, MATCH(AT$2, $B:$B, 0))</f>
        <v>0</v>
      </c>
      <c r="AU40" s="193">
        <f>IFERROR(INDEX('Fluxos de Recebimento'!$I$7:$BH$58, MATCH(Curvas!$AB40, 'Fluxos de Recebimento'!$F$7:$F$58, 0), MATCH(Curvas!AU$2,'Fluxos de Recebimento'!$I$5:$BH$5, 0))+INDEX('Fluxos de Recebimento'!$I$65:$BH$116, MATCH(Curvas!$AB40, 'Fluxos de Recebimento'!$F$65:$F$116, 0), MATCH(Curvas!AU$2, 'Fluxos de Recebimento'!$I$63:$BH$63, 0)),0)*INDEX($E:$E, MATCH(AU$2, $B:$B, 0))</f>
        <v>0</v>
      </c>
      <c r="AV40" s="193">
        <f>IFERROR(INDEX('Fluxos de Recebimento'!$I$7:$BH$58, MATCH(Curvas!$AB40, 'Fluxos de Recebimento'!$F$7:$F$58, 0), MATCH(Curvas!AV$2,'Fluxos de Recebimento'!$I$5:$BH$5, 0))+INDEX('Fluxos de Recebimento'!$I$65:$BH$116, MATCH(Curvas!$AB40, 'Fluxos de Recebimento'!$F$65:$F$116, 0), MATCH(Curvas!AV$2, 'Fluxos de Recebimento'!$I$63:$BH$63, 0)),0)*INDEX($E:$E, MATCH(AV$2, $B:$B, 0))</f>
        <v>0</v>
      </c>
      <c r="AW40" s="193">
        <f>IFERROR(INDEX('Fluxos de Recebimento'!$I$7:$BH$58, MATCH(Curvas!$AB40, 'Fluxos de Recebimento'!$F$7:$F$58, 0), MATCH(Curvas!AW$2,'Fluxos de Recebimento'!$I$5:$BH$5, 0))+INDEX('Fluxos de Recebimento'!$I$65:$BH$116, MATCH(Curvas!$AB40, 'Fluxos de Recebimento'!$F$65:$F$116, 0), MATCH(Curvas!AW$2, 'Fluxos de Recebimento'!$I$63:$BH$63, 0)),0)*INDEX($E:$E, MATCH(AW$2, $B:$B, 0))</f>
        <v>0</v>
      </c>
      <c r="AX40" s="193">
        <f>IFERROR(INDEX('Fluxos de Recebimento'!$I$7:$BH$58, MATCH(Curvas!$AB40, 'Fluxos de Recebimento'!$F$7:$F$58, 0), MATCH(Curvas!AX$2,'Fluxos de Recebimento'!$I$5:$BH$5, 0))+INDEX('Fluxos de Recebimento'!$I$65:$BH$116, MATCH(Curvas!$AB40, 'Fluxos de Recebimento'!$F$65:$F$116, 0), MATCH(Curvas!AX$2, 'Fluxos de Recebimento'!$I$63:$BH$63, 0)),0)*INDEX($E:$E, MATCH(AX$2, $B:$B, 0))</f>
        <v>0</v>
      </c>
      <c r="AY40" s="193">
        <f>IFERROR(INDEX('Fluxos de Recebimento'!$I$7:$BH$58, MATCH(Curvas!$AB40, 'Fluxos de Recebimento'!$F$7:$F$58, 0), MATCH(Curvas!AY$2,'Fluxos de Recebimento'!$I$5:$BH$5, 0))+INDEX('Fluxos de Recebimento'!$I$65:$BH$116, MATCH(Curvas!$AB40, 'Fluxos de Recebimento'!$F$65:$F$116, 0), MATCH(Curvas!AY$2, 'Fluxos de Recebimento'!$I$63:$BH$63, 0)),0)*INDEX($E:$E, MATCH(AY$2, $B:$B, 0))</f>
        <v>0</v>
      </c>
      <c r="AZ40" s="193">
        <f>IFERROR(INDEX('Fluxos de Recebimento'!$I$7:$BH$58, MATCH(Curvas!$AB40, 'Fluxos de Recebimento'!$F$7:$F$58, 0), MATCH(Curvas!AZ$2,'Fluxos de Recebimento'!$I$5:$BH$5, 0))+INDEX('Fluxos de Recebimento'!$I$65:$BH$116, MATCH(Curvas!$AB40, 'Fluxos de Recebimento'!$F$65:$F$116, 0), MATCH(Curvas!AZ$2, 'Fluxos de Recebimento'!$I$63:$BH$63, 0)),0)*INDEX($E:$E, MATCH(AZ$2, $B:$B, 0))</f>
        <v>0</v>
      </c>
      <c r="BA40" s="193">
        <f>IFERROR(INDEX('Fluxos de Recebimento'!$I$7:$BH$58, MATCH(Curvas!$AB40, 'Fluxos de Recebimento'!$F$7:$F$58, 0), MATCH(Curvas!BA$2,'Fluxos de Recebimento'!$I$5:$BH$5, 0))+INDEX('Fluxos de Recebimento'!$I$65:$BH$116, MATCH(Curvas!$AB40, 'Fluxos de Recebimento'!$F$65:$F$116, 0), MATCH(Curvas!BA$2, 'Fluxos de Recebimento'!$I$63:$BH$63, 0)),0)*INDEX($E:$E, MATCH(BA$2, $B:$B, 0))</f>
        <v>0</v>
      </c>
      <c r="BB40" s="193">
        <f>IFERROR(INDEX('Fluxos de Recebimento'!$I$7:$BH$58, MATCH(Curvas!$AB40, 'Fluxos de Recebimento'!$F$7:$F$58, 0), MATCH(Curvas!BB$2,'Fluxos de Recebimento'!$I$5:$BH$5, 0))+INDEX('Fluxos de Recebimento'!$I$65:$BH$116, MATCH(Curvas!$AB40, 'Fluxos de Recebimento'!$F$65:$F$116, 0), MATCH(Curvas!BB$2, 'Fluxos de Recebimento'!$I$63:$BH$63, 0)),0)*INDEX($E:$E, MATCH(BB$2, $B:$B, 0))</f>
        <v>0</v>
      </c>
      <c r="BC40" s="193">
        <f>IFERROR(INDEX('Fluxos de Recebimento'!$I$7:$BH$58, MATCH(Curvas!$AB40, 'Fluxos de Recebimento'!$F$7:$F$58, 0), MATCH(Curvas!BC$2,'Fluxos de Recebimento'!$I$5:$BH$5, 0))+INDEX('Fluxos de Recebimento'!$I$65:$BH$116, MATCH(Curvas!$AB40, 'Fluxos de Recebimento'!$F$65:$F$116, 0), MATCH(Curvas!BC$2, 'Fluxos de Recebimento'!$I$63:$BH$63, 0)),0)*INDEX($E:$E, MATCH(BC$2, $B:$B, 0))</f>
        <v>0</v>
      </c>
      <c r="BD40" s="193">
        <f>IFERROR(INDEX('Fluxos de Recebimento'!$I$7:$BH$58, MATCH(Curvas!$AB40, 'Fluxos de Recebimento'!$F$7:$F$58, 0), MATCH(Curvas!BD$2,'Fluxos de Recebimento'!$I$5:$BH$5, 0))+INDEX('Fluxos de Recebimento'!$I$65:$BH$116, MATCH(Curvas!$AB40, 'Fluxos de Recebimento'!$F$65:$F$116, 0), MATCH(Curvas!BD$2, 'Fluxos de Recebimento'!$I$63:$BH$63, 0)),0)*INDEX($E:$E, MATCH(BD$2, $B:$B, 0))</f>
        <v>0</v>
      </c>
      <c r="BE40" s="193">
        <f>IFERROR(INDEX('Fluxos de Recebimento'!$I$7:$BH$58, MATCH(Curvas!$AB40, 'Fluxos de Recebimento'!$F$7:$F$58, 0), MATCH(Curvas!BE$2,'Fluxos de Recebimento'!$I$5:$BH$5, 0))+INDEX('Fluxos de Recebimento'!$I$65:$BH$116, MATCH(Curvas!$AB40, 'Fluxos de Recebimento'!$F$65:$F$116, 0), MATCH(Curvas!BE$2, 'Fluxos de Recebimento'!$I$63:$BH$63, 0)),0)*INDEX($E:$E, MATCH(BE$2, $B:$B, 0))</f>
        <v>0</v>
      </c>
      <c r="BF40" s="193">
        <f>IFERROR(INDEX('Fluxos de Recebimento'!$I$7:$BH$58, MATCH(Curvas!$AB40, 'Fluxos de Recebimento'!$F$7:$F$58, 0), MATCH(Curvas!BF$2,'Fluxos de Recebimento'!$I$5:$BH$5, 0))+INDEX('Fluxos de Recebimento'!$I$65:$BH$116, MATCH(Curvas!$AB40, 'Fluxos de Recebimento'!$F$65:$F$116, 0), MATCH(Curvas!BF$2, 'Fluxos de Recebimento'!$I$63:$BH$63, 0)),0)*INDEX($E:$E, MATCH(BF$2, $B:$B, 0))</f>
        <v>0</v>
      </c>
      <c r="BG40" s="193">
        <f>IFERROR(INDEX('Fluxos de Recebimento'!$I$7:$BH$58, MATCH(Curvas!$AB40, 'Fluxos de Recebimento'!$F$7:$F$58, 0), MATCH(Curvas!BG$2,'Fluxos de Recebimento'!$I$5:$BH$5, 0))+INDEX('Fluxos de Recebimento'!$I$65:$BH$116, MATCH(Curvas!$AB40, 'Fluxos de Recebimento'!$F$65:$F$116, 0), MATCH(Curvas!BG$2, 'Fluxos de Recebimento'!$I$63:$BH$63, 0)),0)*INDEX($E:$E, MATCH(BG$2, $B:$B, 0))</f>
        <v>0</v>
      </c>
      <c r="BH40" s="193">
        <f>IFERROR(INDEX('Fluxos de Recebimento'!$I$7:$BH$58, MATCH(Curvas!$AB40, 'Fluxos de Recebimento'!$F$7:$F$58, 0), MATCH(Curvas!BH$2,'Fluxos de Recebimento'!$I$5:$BH$5, 0))+INDEX('Fluxos de Recebimento'!$I$65:$BH$116, MATCH(Curvas!$AB40, 'Fluxos de Recebimento'!$F$65:$F$116, 0), MATCH(Curvas!BH$2, 'Fluxos de Recebimento'!$I$63:$BH$63, 0)),0)*INDEX($E:$E, MATCH(BH$2, $B:$B, 0))</f>
        <v>0</v>
      </c>
      <c r="BI40" s="193">
        <f>IFERROR(INDEX('Fluxos de Recebimento'!$I$7:$BH$58, MATCH(Curvas!$AB40, 'Fluxos de Recebimento'!$F$7:$F$58, 0), MATCH(Curvas!BI$2,'Fluxos de Recebimento'!$I$5:$BH$5, 0))+INDEX('Fluxos de Recebimento'!$I$65:$BH$116, MATCH(Curvas!$AB40, 'Fluxos de Recebimento'!$F$65:$F$116, 0), MATCH(Curvas!BI$2, 'Fluxos de Recebimento'!$I$63:$BH$63, 0)),0)*INDEX($E:$E, MATCH(BI$2, $B:$B, 0))</f>
        <v>0</v>
      </c>
      <c r="BJ40" s="193">
        <f>IFERROR(INDEX('Fluxos de Recebimento'!$I$7:$BH$58, MATCH(Curvas!$AB40, 'Fluxos de Recebimento'!$F$7:$F$58, 0), MATCH(Curvas!BJ$2,'Fluxos de Recebimento'!$I$5:$BH$5, 0))+INDEX('Fluxos de Recebimento'!$I$65:$BH$116, MATCH(Curvas!$AB40, 'Fluxos de Recebimento'!$F$65:$F$116, 0), MATCH(Curvas!BJ$2, 'Fluxos de Recebimento'!$I$63:$BH$63, 0)),0)*INDEX($E:$E, MATCH(BJ$2, $B:$B, 0))</f>
        <v>0</v>
      </c>
      <c r="BK40" s="193">
        <f>IFERROR(INDEX('Fluxos de Recebimento'!$I$7:$BH$58, MATCH(Curvas!$AB40, 'Fluxos de Recebimento'!$F$7:$F$58, 0), MATCH(Curvas!BK$2,'Fluxos de Recebimento'!$I$5:$BH$5, 0))+INDEX('Fluxos de Recebimento'!$I$65:$BH$116, MATCH(Curvas!$AB40, 'Fluxos de Recebimento'!$F$65:$F$116, 0), MATCH(Curvas!BK$2, 'Fluxos de Recebimento'!$I$63:$BH$63, 0)),0)*INDEX($E:$E, MATCH(BK$2, $B:$B, 0))</f>
        <v>2.9166666666666667E-2</v>
      </c>
      <c r="BL40" s="193">
        <f>IFERROR(INDEX('Fluxos de Recebimento'!$I$7:$BH$58, MATCH(Curvas!$AB40, 'Fluxos de Recebimento'!$F$7:$F$58, 0), MATCH(Curvas!BL$2,'Fluxos de Recebimento'!$I$5:$BH$5, 0))+INDEX('Fluxos de Recebimento'!$I$65:$BH$116, MATCH(Curvas!$AB40, 'Fluxos de Recebimento'!$F$65:$F$116, 0), MATCH(Curvas!BL$2, 'Fluxos de Recebimento'!$I$63:$BH$63, 0)),0)*INDEX($E:$E, MATCH(BL$2, $B:$B, 0))</f>
        <v>3.1250000000000002E-3</v>
      </c>
      <c r="BM40" s="193">
        <f>IFERROR(INDEX('Fluxos de Recebimento'!$I$7:$BH$58, MATCH(Curvas!$AB40, 'Fluxos de Recebimento'!$F$7:$F$58, 0), MATCH(Curvas!BM$2,'Fluxos de Recebimento'!$I$5:$BH$5, 0))+INDEX('Fluxos de Recebimento'!$I$65:$BH$116, MATCH(Curvas!$AB40, 'Fluxos de Recebimento'!$F$65:$F$116, 0), MATCH(Curvas!BM$2, 'Fluxos de Recebimento'!$I$63:$BH$63, 0)),0)*INDEX($E:$E, MATCH(BM$2, $B:$B, 0))</f>
        <v>3.1250000000000002E-3</v>
      </c>
      <c r="BN40" s="193">
        <f>IFERROR(INDEX('Fluxos de Recebimento'!$I$7:$BH$58, MATCH(Curvas!$AB40, 'Fluxos de Recebimento'!$F$7:$F$58, 0), MATCH(Curvas!BN$2,'Fluxos de Recebimento'!$I$5:$BH$5, 0))+INDEX('Fluxos de Recebimento'!$I$65:$BH$116, MATCH(Curvas!$AB40, 'Fluxos de Recebimento'!$F$65:$F$116, 0), MATCH(Curvas!BN$2, 'Fluxos de Recebimento'!$I$63:$BH$63, 0)),0)*INDEX($E:$E, MATCH(BN$2, $B:$B, 0))</f>
        <v>6.2500000000000003E-3</v>
      </c>
      <c r="BO40" s="193">
        <f>IFERROR(INDEX('Fluxos de Recebimento'!$I$7:$BH$58, MATCH(Curvas!$AB40, 'Fluxos de Recebimento'!$F$7:$F$58, 0), MATCH(Curvas!BO$2,'Fluxos de Recebimento'!$I$5:$BH$5, 0))+INDEX('Fluxos de Recebimento'!$I$65:$BH$116, MATCH(Curvas!$AB40, 'Fluxos de Recebimento'!$F$65:$F$116, 0), MATCH(Curvas!BO$2, 'Fluxos de Recebimento'!$I$63:$BH$63, 0)),0)*INDEX($E:$E, MATCH(BO$2, $B:$B, 0))</f>
        <v>0</v>
      </c>
      <c r="BP40" s="193">
        <f>IFERROR(INDEX('Fluxos de Recebimento'!$I$7:$BH$58, MATCH(Curvas!$AB40, 'Fluxos de Recebimento'!$F$7:$F$58, 0), MATCH(Curvas!BP$2,'Fluxos de Recebimento'!$I$5:$BH$5, 0))+INDEX('Fluxos de Recebimento'!$I$65:$BH$116, MATCH(Curvas!$AB40, 'Fluxos de Recebimento'!$F$65:$F$116, 0), MATCH(Curvas!BP$2, 'Fluxos de Recebimento'!$I$63:$BH$63, 0)),0)*INDEX($E:$E, MATCH(BP$2, $B:$B, 0))</f>
        <v>0</v>
      </c>
      <c r="BQ40" s="193">
        <f>IFERROR(INDEX('Fluxos de Recebimento'!$I$7:$BH$58, MATCH(Curvas!$AB40, 'Fluxos de Recebimento'!$F$7:$F$58, 0), MATCH(Curvas!BQ$2,'Fluxos de Recebimento'!$I$5:$BH$5, 0))+INDEX('Fluxos de Recebimento'!$I$65:$BH$116, MATCH(Curvas!$AB40, 'Fluxos de Recebimento'!$F$65:$F$116, 0), MATCH(Curvas!BQ$2, 'Fluxos de Recebimento'!$I$63:$BH$63, 0)),0)*INDEX($E:$E, MATCH(BQ$2, $B:$B, 0))</f>
        <v>0</v>
      </c>
      <c r="BR40" s="193">
        <f>IFERROR(INDEX('Fluxos de Recebimento'!$I$7:$BH$58, MATCH(Curvas!$AB40, 'Fluxos de Recebimento'!$F$7:$F$58, 0), MATCH(Curvas!BR$2,'Fluxos de Recebimento'!$I$5:$BH$5, 0))+INDEX('Fluxos de Recebimento'!$I$65:$BH$116, MATCH(Curvas!$AB40, 'Fluxos de Recebimento'!$F$65:$F$116, 0), MATCH(Curvas!BR$2, 'Fluxos de Recebimento'!$I$63:$BH$63, 0)),0)*INDEX($E:$E, MATCH(BR$2, $B:$B, 0))</f>
        <v>0</v>
      </c>
      <c r="BS40" s="193">
        <f>IFERROR(INDEX('Fluxos de Recebimento'!$I$7:$BH$58, MATCH(Curvas!$AB40, 'Fluxos de Recebimento'!$F$7:$F$58, 0), MATCH(Curvas!BS$2,'Fluxos de Recebimento'!$I$5:$BH$5, 0))+INDEX('Fluxos de Recebimento'!$I$65:$BH$116, MATCH(Curvas!$AB40, 'Fluxos de Recebimento'!$F$65:$F$116, 0), MATCH(Curvas!BS$2, 'Fluxos de Recebimento'!$I$63:$BH$63, 0)),0)*INDEX($E:$E, MATCH(BS$2, $B:$B, 0))</f>
        <v>0</v>
      </c>
      <c r="BT40" s="193">
        <f>IFERROR(INDEX('Fluxos de Recebimento'!$I$7:$BH$58, MATCH(Curvas!$AB40, 'Fluxos de Recebimento'!$F$7:$F$58, 0), MATCH(Curvas!BT$2,'Fluxos de Recebimento'!$I$5:$BH$5, 0))+INDEX('Fluxos de Recebimento'!$I$65:$BH$116, MATCH(Curvas!$AB40, 'Fluxos de Recebimento'!$F$65:$F$116, 0), MATCH(Curvas!BT$2, 'Fluxos de Recebimento'!$I$63:$BH$63, 0)),0)*INDEX($E:$E, MATCH(BT$2, $B:$B, 0))</f>
        <v>0</v>
      </c>
      <c r="BU40" s="193">
        <f>IFERROR(INDEX('Fluxos de Recebimento'!$I$7:$BH$58, MATCH(Curvas!$AB40, 'Fluxos de Recebimento'!$F$7:$F$58, 0), MATCH(Curvas!BU$2,'Fluxos de Recebimento'!$I$5:$BH$5, 0))+INDEX('Fluxos de Recebimento'!$I$65:$BH$116, MATCH(Curvas!$AB40, 'Fluxos de Recebimento'!$F$65:$F$116, 0), MATCH(Curvas!BU$2, 'Fluxos de Recebimento'!$I$63:$BH$63, 0)),0)*INDEX($E:$E, MATCH(BU$2, $B:$B, 0))</f>
        <v>0</v>
      </c>
      <c r="BV40" s="193">
        <f>IFERROR(INDEX('Fluxos de Recebimento'!$I$7:$BH$58, MATCH(Curvas!$AB40, 'Fluxos de Recebimento'!$F$7:$F$58, 0), MATCH(Curvas!BV$2,'Fluxos de Recebimento'!$I$5:$BH$5, 0))+INDEX('Fluxos de Recebimento'!$I$65:$BH$116, MATCH(Curvas!$AB40, 'Fluxos de Recebimento'!$F$65:$F$116, 0), MATCH(Curvas!BV$2, 'Fluxos de Recebimento'!$I$63:$BH$63, 0)),0)*INDEX($E:$E, MATCH(BV$2, $B:$B, 0))</f>
        <v>0</v>
      </c>
      <c r="BW40" s="193">
        <f>IFERROR(INDEX('Fluxos de Recebimento'!$I$7:$BH$58, MATCH(Curvas!$AB40, 'Fluxos de Recebimento'!$F$7:$F$58, 0), MATCH(Curvas!BW$2,'Fluxos de Recebimento'!$I$5:$BH$5, 0))+INDEX('Fluxos de Recebimento'!$I$65:$BH$116, MATCH(Curvas!$AB40, 'Fluxos de Recebimento'!$F$65:$F$116, 0), MATCH(Curvas!BW$2, 'Fluxos de Recebimento'!$I$63:$BH$63, 0)),0)*INDEX($E:$E, MATCH(BW$2, $B:$B, 0))</f>
        <v>0</v>
      </c>
      <c r="BX40" s="193">
        <f>IFERROR(INDEX('Fluxos de Recebimento'!$I$7:$BH$58, MATCH(Curvas!$AB40, 'Fluxos de Recebimento'!$F$7:$F$58, 0), MATCH(Curvas!BX$2,'Fluxos de Recebimento'!$I$5:$BH$5, 0))+INDEX('Fluxos de Recebimento'!$I$65:$BH$116, MATCH(Curvas!$AB40, 'Fluxos de Recebimento'!$F$65:$F$116, 0), MATCH(Curvas!BX$2, 'Fluxos de Recebimento'!$I$63:$BH$63, 0)),0)*INDEX($E:$E, MATCH(BX$2, $B:$B, 0))</f>
        <v>0</v>
      </c>
      <c r="BY40" s="193">
        <f>IFERROR(INDEX('Fluxos de Recebimento'!$I$7:$BH$58, MATCH(Curvas!$AB40, 'Fluxos de Recebimento'!$F$7:$F$58, 0), MATCH(Curvas!BY$2,'Fluxos de Recebimento'!$I$5:$BH$5, 0))+INDEX('Fluxos de Recebimento'!$I$65:$BH$116, MATCH(Curvas!$AB40, 'Fluxos de Recebimento'!$F$65:$F$116, 0), MATCH(Curvas!BY$2, 'Fluxos de Recebimento'!$I$63:$BH$63, 0)),0)*INDEX($E:$E, MATCH(BY$2, $B:$B, 0))</f>
        <v>0</v>
      </c>
      <c r="BZ40" s="193">
        <f>IFERROR(INDEX('Fluxos de Recebimento'!$I$7:$BH$58, MATCH(Curvas!$AB40, 'Fluxos de Recebimento'!$F$7:$F$58, 0), MATCH(Curvas!BZ$2,'Fluxos de Recebimento'!$I$5:$BH$5, 0))+INDEX('Fluxos de Recebimento'!$I$65:$BH$116, MATCH(Curvas!$AB40, 'Fluxos de Recebimento'!$F$65:$F$116, 0), MATCH(Curvas!BZ$2, 'Fluxos de Recebimento'!$I$63:$BH$63, 0)),0)*INDEX($E:$E, MATCH(BZ$2, $B:$B, 0))</f>
        <v>0</v>
      </c>
      <c r="CA40" s="193">
        <f>IFERROR(INDEX('Fluxos de Recebimento'!$I$7:$BH$58, MATCH(Curvas!$AB40, 'Fluxos de Recebimento'!$F$7:$F$58, 0), MATCH(Curvas!CA$2,'Fluxos de Recebimento'!$I$5:$BH$5, 0))+INDEX('Fluxos de Recebimento'!$I$65:$BH$116, MATCH(Curvas!$AB40, 'Fluxos de Recebimento'!$F$65:$F$116, 0), MATCH(Curvas!CA$2, 'Fluxos de Recebimento'!$I$63:$BH$63, 0)),0)*INDEX($E:$E, MATCH(CA$2, $B:$B, 0))</f>
        <v>0</v>
      </c>
      <c r="CB40" s="193">
        <f>IFERROR(INDEX('Fluxos de Recebimento'!$I$7:$BH$58, MATCH(Curvas!$AB40, 'Fluxos de Recebimento'!$F$7:$F$58, 0), MATCH(Curvas!CB$2,'Fluxos de Recebimento'!$I$5:$BH$5, 0))+INDEX('Fluxos de Recebimento'!$I$65:$BH$116, MATCH(Curvas!$AB40, 'Fluxos de Recebimento'!$F$65:$F$116, 0), MATCH(Curvas!CB$2, 'Fluxos de Recebimento'!$I$63:$BH$63, 0)),0)*INDEX($E:$E, MATCH(CB$2, $B:$B, 0))</f>
        <v>0</v>
      </c>
      <c r="CC40" s="193">
        <f>IFERROR(INDEX('Fluxos de Recebimento'!$I$7:$BH$58, MATCH(Curvas!$AB40, 'Fluxos de Recebimento'!$F$7:$F$58, 0), MATCH(Curvas!CC$2,'Fluxos de Recebimento'!$I$5:$BH$5, 0))+INDEX('Fluxos de Recebimento'!$I$65:$BH$116, MATCH(Curvas!$AB40, 'Fluxos de Recebimento'!$F$65:$F$116, 0), MATCH(Curvas!CC$2, 'Fluxos de Recebimento'!$I$63:$BH$63, 0)),0)*INDEX($E:$E, MATCH(CC$2, $B:$B, 0))</f>
        <v>0</v>
      </c>
    </row>
    <row r="41" spans="1:81" x14ac:dyDescent="0.25">
      <c r="A41" s="2"/>
      <c r="B41" s="477">
        <f t="shared" si="34"/>
        <v>45292</v>
      </c>
      <c r="C41" s="52">
        <f t="shared" si="35"/>
        <v>38</v>
      </c>
      <c r="D41" s="2"/>
      <c r="E41" s="187">
        <f t="shared" si="22"/>
        <v>0</v>
      </c>
      <c r="F41" s="48">
        <f t="shared" si="36"/>
        <v>0.99999999999999978</v>
      </c>
      <c r="G41" s="46">
        <f t="shared" ca="1" si="23"/>
        <v>4.1666666666666671E-2</v>
      </c>
      <c r="H41" s="48">
        <f t="shared" ca="1" si="37"/>
        <v>0.91666666666666663</v>
      </c>
      <c r="I41" s="2"/>
      <c r="J41" s="69">
        <f t="shared" ca="1" si="24"/>
        <v>1</v>
      </c>
      <c r="K41" s="479">
        <f t="shared" ca="1" si="25"/>
        <v>-1</v>
      </c>
      <c r="L41" s="70">
        <f t="shared" ca="1" si="26"/>
        <v>0</v>
      </c>
      <c r="M41" s="2"/>
      <c r="N41" s="69">
        <f t="shared" si="27"/>
        <v>1</v>
      </c>
      <c r="O41" s="479">
        <f t="shared" si="28"/>
        <v>0</v>
      </c>
      <c r="P41" s="70">
        <f t="shared" si="29"/>
        <v>1</v>
      </c>
      <c r="Q41" s="2"/>
      <c r="R41" s="71">
        <f t="shared" ca="1" si="30"/>
        <v>2</v>
      </c>
      <c r="S41" s="196"/>
      <c r="T41" s="46">
        <v>0</v>
      </c>
      <c r="U41" s="48">
        <f t="shared" si="38"/>
        <v>0.99999999999999978</v>
      </c>
      <c r="V41" s="2"/>
      <c r="W41" s="56"/>
      <c r="X41" s="48"/>
      <c r="Y41" s="2"/>
      <c r="Z41" s="194">
        <f t="shared" si="31"/>
        <v>3.5416666666666673E-2</v>
      </c>
      <c r="AA41" s="2"/>
      <c r="AB41" s="477">
        <f t="shared" si="32"/>
        <v>45292</v>
      </c>
      <c r="AC41" s="52">
        <f t="shared" si="33"/>
        <v>38</v>
      </c>
      <c r="AD41" s="193">
        <f>IFERROR(INDEX('Fluxos de Recebimento'!$I$7:$BH$58, MATCH(Curvas!$AB41, 'Fluxos de Recebimento'!$F$7:$F$58, 0), MATCH(Curvas!AD$2,'Fluxos de Recebimento'!$I$5:$BH$5, 0))+INDEX('Fluxos de Recebimento'!$I$65:$BH$116, MATCH(Curvas!$AB41, 'Fluxos de Recebimento'!$F$65:$F$116, 0), MATCH(Curvas!AD$2, 'Fluxos de Recebimento'!$I$63:$BH$63, 0)),0)*INDEX($E:$E, MATCH(AD$2, $B:$B, 0))</f>
        <v>0</v>
      </c>
      <c r="AE41" s="193">
        <f>IFERROR(INDEX('Fluxos de Recebimento'!$I$7:$BH$58, MATCH(Curvas!$AB41, 'Fluxos de Recebimento'!$F$7:$F$58, 0), MATCH(Curvas!AE$2,'Fluxos de Recebimento'!$I$5:$BH$5, 0))+INDEX('Fluxos de Recebimento'!$I$65:$BH$116, MATCH(Curvas!$AB41, 'Fluxos de Recebimento'!$F$65:$F$116, 0), MATCH(Curvas!AE$2, 'Fluxos de Recebimento'!$I$63:$BH$63, 0)),0)*INDEX($E:$E, MATCH(AE$2, $B:$B, 0))</f>
        <v>0</v>
      </c>
      <c r="AF41" s="193">
        <f>IFERROR(INDEX('Fluxos de Recebimento'!$I$7:$BH$58, MATCH(Curvas!$AB41, 'Fluxos de Recebimento'!$F$7:$F$58, 0), MATCH(Curvas!AF$2,'Fluxos de Recebimento'!$I$5:$BH$5, 0))+INDEX('Fluxos de Recebimento'!$I$65:$BH$116, MATCH(Curvas!$AB41, 'Fluxos de Recebimento'!$F$65:$F$116, 0), MATCH(Curvas!AF$2, 'Fluxos de Recebimento'!$I$63:$BH$63, 0)),0)*INDEX($E:$E, MATCH(AF$2, $B:$B, 0))</f>
        <v>0</v>
      </c>
      <c r="AG41" s="193">
        <f>IFERROR(INDEX('Fluxos de Recebimento'!$I$7:$BH$58, MATCH(Curvas!$AB41, 'Fluxos de Recebimento'!$F$7:$F$58, 0), MATCH(Curvas!AG$2,'Fluxos de Recebimento'!$I$5:$BH$5, 0))+INDEX('Fluxos de Recebimento'!$I$65:$BH$116, MATCH(Curvas!$AB41, 'Fluxos de Recebimento'!$F$65:$F$116, 0), MATCH(Curvas!AG$2, 'Fluxos de Recebimento'!$I$63:$BH$63, 0)),0)*INDEX($E:$E, MATCH(AG$2, $B:$B, 0))</f>
        <v>0</v>
      </c>
      <c r="AH41" s="193">
        <f>IFERROR(INDEX('Fluxos de Recebimento'!$I$7:$BH$58, MATCH(Curvas!$AB41, 'Fluxos de Recebimento'!$F$7:$F$58, 0), MATCH(Curvas!AH$2,'Fluxos de Recebimento'!$I$5:$BH$5, 0))+INDEX('Fluxos de Recebimento'!$I$65:$BH$116, MATCH(Curvas!$AB41, 'Fluxos de Recebimento'!$F$65:$F$116, 0), MATCH(Curvas!AH$2, 'Fluxos de Recebimento'!$I$63:$BH$63, 0)),0)*INDEX($E:$E, MATCH(AH$2, $B:$B, 0))</f>
        <v>0</v>
      </c>
      <c r="AI41" s="193">
        <f>IFERROR(INDEX('Fluxos de Recebimento'!$I$7:$BH$58, MATCH(Curvas!$AB41, 'Fluxos de Recebimento'!$F$7:$F$58, 0), MATCH(Curvas!AI$2,'Fluxos de Recebimento'!$I$5:$BH$5, 0))+INDEX('Fluxos de Recebimento'!$I$65:$BH$116, MATCH(Curvas!$AB41, 'Fluxos de Recebimento'!$F$65:$F$116, 0), MATCH(Curvas!AI$2, 'Fluxos de Recebimento'!$I$63:$BH$63, 0)),0)*INDEX($E:$E, MATCH(AI$2, $B:$B, 0))</f>
        <v>0</v>
      </c>
      <c r="AJ41" s="193">
        <f>IFERROR(INDEX('Fluxos de Recebimento'!$I$7:$BH$58, MATCH(Curvas!$AB41, 'Fluxos de Recebimento'!$F$7:$F$58, 0), MATCH(Curvas!AJ$2,'Fluxos de Recebimento'!$I$5:$BH$5, 0))+INDEX('Fluxos de Recebimento'!$I$65:$BH$116, MATCH(Curvas!$AB41, 'Fluxos de Recebimento'!$F$65:$F$116, 0), MATCH(Curvas!AJ$2, 'Fluxos de Recebimento'!$I$63:$BH$63, 0)),0)*INDEX($E:$E, MATCH(AJ$2, $B:$B, 0))</f>
        <v>0</v>
      </c>
      <c r="AK41" s="193">
        <f>IFERROR(INDEX('Fluxos de Recebimento'!$I$7:$BH$58, MATCH(Curvas!$AB41, 'Fluxos de Recebimento'!$F$7:$F$58, 0), MATCH(Curvas!AK$2,'Fluxos de Recebimento'!$I$5:$BH$5, 0))+INDEX('Fluxos de Recebimento'!$I$65:$BH$116, MATCH(Curvas!$AB41, 'Fluxos de Recebimento'!$F$65:$F$116, 0), MATCH(Curvas!AK$2, 'Fluxos de Recebimento'!$I$63:$BH$63, 0)),0)*INDEX($E:$E, MATCH(AK$2, $B:$B, 0))</f>
        <v>0</v>
      </c>
      <c r="AL41" s="193">
        <f>IFERROR(INDEX('Fluxos de Recebimento'!$I$7:$BH$58, MATCH(Curvas!$AB41, 'Fluxos de Recebimento'!$F$7:$F$58, 0), MATCH(Curvas!AL$2,'Fluxos de Recebimento'!$I$5:$BH$5, 0))+INDEX('Fluxos de Recebimento'!$I$65:$BH$116, MATCH(Curvas!$AB41, 'Fluxos de Recebimento'!$F$65:$F$116, 0), MATCH(Curvas!AL$2, 'Fluxos de Recebimento'!$I$63:$BH$63, 0)),0)*INDEX($E:$E, MATCH(AL$2, $B:$B, 0))</f>
        <v>0</v>
      </c>
      <c r="AM41" s="193">
        <f>IFERROR(INDEX('Fluxos de Recebimento'!$I$7:$BH$58, MATCH(Curvas!$AB41, 'Fluxos de Recebimento'!$F$7:$F$58, 0), MATCH(Curvas!AM$2,'Fluxos de Recebimento'!$I$5:$BH$5, 0))+INDEX('Fluxos de Recebimento'!$I$65:$BH$116, MATCH(Curvas!$AB41, 'Fluxos de Recebimento'!$F$65:$F$116, 0), MATCH(Curvas!AM$2, 'Fluxos de Recebimento'!$I$63:$BH$63, 0)),0)*INDEX($E:$E, MATCH(AM$2, $B:$B, 0))</f>
        <v>0</v>
      </c>
      <c r="AN41" s="193">
        <f>IFERROR(INDEX('Fluxos de Recebimento'!$I$7:$BH$58, MATCH(Curvas!$AB41, 'Fluxos de Recebimento'!$F$7:$F$58, 0), MATCH(Curvas!AN$2,'Fluxos de Recebimento'!$I$5:$BH$5, 0))+INDEX('Fluxos de Recebimento'!$I$65:$BH$116, MATCH(Curvas!$AB41, 'Fluxos de Recebimento'!$F$65:$F$116, 0), MATCH(Curvas!AN$2, 'Fluxos de Recebimento'!$I$63:$BH$63, 0)),0)*INDEX($E:$E, MATCH(AN$2, $B:$B, 0))</f>
        <v>0</v>
      </c>
      <c r="AO41" s="193">
        <f>IFERROR(INDEX('Fluxos de Recebimento'!$I$7:$BH$58, MATCH(Curvas!$AB41, 'Fluxos de Recebimento'!$F$7:$F$58, 0), MATCH(Curvas!AO$2,'Fluxos de Recebimento'!$I$5:$BH$5, 0))+INDEX('Fluxos de Recebimento'!$I$65:$BH$116, MATCH(Curvas!$AB41, 'Fluxos de Recebimento'!$F$65:$F$116, 0), MATCH(Curvas!AO$2, 'Fluxos de Recebimento'!$I$63:$BH$63, 0)),0)*INDEX($E:$E, MATCH(AO$2, $B:$B, 0))</f>
        <v>0</v>
      </c>
      <c r="AP41" s="193">
        <f>IFERROR(INDEX('Fluxos de Recebimento'!$I$7:$BH$58, MATCH(Curvas!$AB41, 'Fluxos de Recebimento'!$F$7:$F$58, 0), MATCH(Curvas!AP$2,'Fluxos de Recebimento'!$I$5:$BH$5, 0))+INDEX('Fluxos de Recebimento'!$I$65:$BH$116, MATCH(Curvas!$AB41, 'Fluxos de Recebimento'!$F$65:$F$116, 0), MATCH(Curvas!AP$2, 'Fluxos de Recebimento'!$I$63:$BH$63, 0)),0)*INDEX($E:$E, MATCH(AP$2, $B:$B, 0))</f>
        <v>0</v>
      </c>
      <c r="AQ41" s="193">
        <f>IFERROR(INDEX('Fluxos de Recebimento'!$I$7:$BH$58, MATCH(Curvas!$AB41, 'Fluxos de Recebimento'!$F$7:$F$58, 0), MATCH(Curvas!AQ$2,'Fluxos de Recebimento'!$I$5:$BH$5, 0))+INDEX('Fluxos de Recebimento'!$I$65:$BH$116, MATCH(Curvas!$AB41, 'Fluxos de Recebimento'!$F$65:$F$116, 0), MATCH(Curvas!AQ$2, 'Fluxos de Recebimento'!$I$63:$BH$63, 0)),0)*INDEX($E:$E, MATCH(AQ$2, $B:$B, 0))</f>
        <v>0</v>
      </c>
      <c r="AR41" s="193">
        <f>IFERROR(INDEX('Fluxos de Recebimento'!$I$7:$BH$58, MATCH(Curvas!$AB41, 'Fluxos de Recebimento'!$F$7:$F$58, 0), MATCH(Curvas!AR$2,'Fluxos de Recebimento'!$I$5:$BH$5, 0))+INDEX('Fluxos de Recebimento'!$I$65:$BH$116, MATCH(Curvas!$AB41, 'Fluxos de Recebimento'!$F$65:$F$116, 0), MATCH(Curvas!AR$2, 'Fluxos de Recebimento'!$I$63:$BH$63, 0)),0)*INDEX($E:$E, MATCH(AR$2, $B:$B, 0))</f>
        <v>0</v>
      </c>
      <c r="AS41" s="193">
        <f>IFERROR(INDEX('Fluxos de Recebimento'!$I$7:$BH$58, MATCH(Curvas!$AB41, 'Fluxos de Recebimento'!$F$7:$F$58, 0), MATCH(Curvas!AS$2,'Fluxos de Recebimento'!$I$5:$BH$5, 0))+INDEX('Fluxos de Recebimento'!$I$65:$BH$116, MATCH(Curvas!$AB41, 'Fluxos de Recebimento'!$F$65:$F$116, 0), MATCH(Curvas!AS$2, 'Fluxos de Recebimento'!$I$63:$BH$63, 0)),0)*INDEX($E:$E, MATCH(AS$2, $B:$B, 0))</f>
        <v>0</v>
      </c>
      <c r="AT41" s="193">
        <f>IFERROR(INDEX('Fluxos de Recebimento'!$I$7:$BH$58, MATCH(Curvas!$AB41, 'Fluxos de Recebimento'!$F$7:$F$58, 0), MATCH(Curvas!AT$2,'Fluxos de Recebimento'!$I$5:$BH$5, 0))+INDEX('Fluxos de Recebimento'!$I$65:$BH$116, MATCH(Curvas!$AB41, 'Fluxos de Recebimento'!$F$65:$F$116, 0), MATCH(Curvas!AT$2, 'Fluxos de Recebimento'!$I$63:$BH$63, 0)),0)*INDEX($E:$E, MATCH(AT$2, $B:$B, 0))</f>
        <v>0</v>
      </c>
      <c r="AU41" s="193">
        <f>IFERROR(INDEX('Fluxos de Recebimento'!$I$7:$BH$58, MATCH(Curvas!$AB41, 'Fluxos de Recebimento'!$F$7:$F$58, 0), MATCH(Curvas!AU$2,'Fluxos de Recebimento'!$I$5:$BH$5, 0))+INDEX('Fluxos de Recebimento'!$I$65:$BH$116, MATCH(Curvas!$AB41, 'Fluxos de Recebimento'!$F$65:$F$116, 0), MATCH(Curvas!AU$2, 'Fluxos de Recebimento'!$I$63:$BH$63, 0)),0)*INDEX($E:$E, MATCH(AU$2, $B:$B, 0))</f>
        <v>0</v>
      </c>
      <c r="AV41" s="193">
        <f>IFERROR(INDEX('Fluxos de Recebimento'!$I$7:$BH$58, MATCH(Curvas!$AB41, 'Fluxos de Recebimento'!$F$7:$F$58, 0), MATCH(Curvas!AV$2,'Fluxos de Recebimento'!$I$5:$BH$5, 0))+INDEX('Fluxos de Recebimento'!$I$65:$BH$116, MATCH(Curvas!$AB41, 'Fluxos de Recebimento'!$F$65:$F$116, 0), MATCH(Curvas!AV$2, 'Fluxos de Recebimento'!$I$63:$BH$63, 0)),0)*INDEX($E:$E, MATCH(AV$2, $B:$B, 0))</f>
        <v>0</v>
      </c>
      <c r="AW41" s="193">
        <f>IFERROR(INDEX('Fluxos de Recebimento'!$I$7:$BH$58, MATCH(Curvas!$AB41, 'Fluxos de Recebimento'!$F$7:$F$58, 0), MATCH(Curvas!AW$2,'Fluxos de Recebimento'!$I$5:$BH$5, 0))+INDEX('Fluxos de Recebimento'!$I$65:$BH$116, MATCH(Curvas!$AB41, 'Fluxos de Recebimento'!$F$65:$F$116, 0), MATCH(Curvas!AW$2, 'Fluxos de Recebimento'!$I$63:$BH$63, 0)),0)*INDEX($E:$E, MATCH(AW$2, $B:$B, 0))</f>
        <v>0</v>
      </c>
      <c r="AX41" s="193">
        <f>IFERROR(INDEX('Fluxos de Recebimento'!$I$7:$BH$58, MATCH(Curvas!$AB41, 'Fluxos de Recebimento'!$F$7:$F$58, 0), MATCH(Curvas!AX$2,'Fluxos de Recebimento'!$I$5:$BH$5, 0))+INDEX('Fluxos de Recebimento'!$I$65:$BH$116, MATCH(Curvas!$AB41, 'Fluxos de Recebimento'!$F$65:$F$116, 0), MATCH(Curvas!AX$2, 'Fluxos de Recebimento'!$I$63:$BH$63, 0)),0)*INDEX($E:$E, MATCH(AX$2, $B:$B, 0))</f>
        <v>0</v>
      </c>
      <c r="AY41" s="193">
        <f>IFERROR(INDEX('Fluxos de Recebimento'!$I$7:$BH$58, MATCH(Curvas!$AB41, 'Fluxos de Recebimento'!$F$7:$F$58, 0), MATCH(Curvas!AY$2,'Fluxos de Recebimento'!$I$5:$BH$5, 0))+INDEX('Fluxos de Recebimento'!$I$65:$BH$116, MATCH(Curvas!$AB41, 'Fluxos de Recebimento'!$F$65:$F$116, 0), MATCH(Curvas!AY$2, 'Fluxos de Recebimento'!$I$63:$BH$63, 0)),0)*INDEX($E:$E, MATCH(AY$2, $B:$B, 0))</f>
        <v>0</v>
      </c>
      <c r="AZ41" s="193">
        <f>IFERROR(INDEX('Fluxos de Recebimento'!$I$7:$BH$58, MATCH(Curvas!$AB41, 'Fluxos de Recebimento'!$F$7:$F$58, 0), MATCH(Curvas!AZ$2,'Fluxos de Recebimento'!$I$5:$BH$5, 0))+INDEX('Fluxos de Recebimento'!$I$65:$BH$116, MATCH(Curvas!$AB41, 'Fluxos de Recebimento'!$F$65:$F$116, 0), MATCH(Curvas!AZ$2, 'Fluxos de Recebimento'!$I$63:$BH$63, 0)),0)*INDEX($E:$E, MATCH(AZ$2, $B:$B, 0))</f>
        <v>0</v>
      </c>
      <c r="BA41" s="193">
        <f>IFERROR(INDEX('Fluxos de Recebimento'!$I$7:$BH$58, MATCH(Curvas!$AB41, 'Fluxos de Recebimento'!$F$7:$F$58, 0), MATCH(Curvas!BA$2,'Fluxos de Recebimento'!$I$5:$BH$5, 0))+INDEX('Fluxos de Recebimento'!$I$65:$BH$116, MATCH(Curvas!$AB41, 'Fluxos de Recebimento'!$F$65:$F$116, 0), MATCH(Curvas!BA$2, 'Fluxos de Recebimento'!$I$63:$BH$63, 0)),0)*INDEX($E:$E, MATCH(BA$2, $B:$B, 0))</f>
        <v>0</v>
      </c>
      <c r="BB41" s="193">
        <f>IFERROR(INDEX('Fluxos de Recebimento'!$I$7:$BH$58, MATCH(Curvas!$AB41, 'Fluxos de Recebimento'!$F$7:$F$58, 0), MATCH(Curvas!BB$2,'Fluxos de Recebimento'!$I$5:$BH$5, 0))+INDEX('Fluxos de Recebimento'!$I$65:$BH$116, MATCH(Curvas!$AB41, 'Fluxos de Recebimento'!$F$65:$F$116, 0), MATCH(Curvas!BB$2, 'Fluxos de Recebimento'!$I$63:$BH$63, 0)),0)*INDEX($E:$E, MATCH(BB$2, $B:$B, 0))</f>
        <v>0</v>
      </c>
      <c r="BC41" s="193">
        <f>IFERROR(INDEX('Fluxos de Recebimento'!$I$7:$BH$58, MATCH(Curvas!$AB41, 'Fluxos de Recebimento'!$F$7:$F$58, 0), MATCH(Curvas!BC$2,'Fluxos de Recebimento'!$I$5:$BH$5, 0))+INDEX('Fluxos de Recebimento'!$I$65:$BH$116, MATCH(Curvas!$AB41, 'Fluxos de Recebimento'!$F$65:$F$116, 0), MATCH(Curvas!BC$2, 'Fluxos de Recebimento'!$I$63:$BH$63, 0)),0)*INDEX($E:$E, MATCH(BC$2, $B:$B, 0))</f>
        <v>0</v>
      </c>
      <c r="BD41" s="193">
        <f>IFERROR(INDEX('Fluxos de Recebimento'!$I$7:$BH$58, MATCH(Curvas!$AB41, 'Fluxos de Recebimento'!$F$7:$F$58, 0), MATCH(Curvas!BD$2,'Fluxos de Recebimento'!$I$5:$BH$5, 0))+INDEX('Fluxos de Recebimento'!$I$65:$BH$116, MATCH(Curvas!$AB41, 'Fluxos de Recebimento'!$F$65:$F$116, 0), MATCH(Curvas!BD$2, 'Fluxos de Recebimento'!$I$63:$BH$63, 0)),0)*INDEX($E:$E, MATCH(BD$2, $B:$B, 0))</f>
        <v>0</v>
      </c>
      <c r="BE41" s="193">
        <f>IFERROR(INDEX('Fluxos de Recebimento'!$I$7:$BH$58, MATCH(Curvas!$AB41, 'Fluxos de Recebimento'!$F$7:$F$58, 0), MATCH(Curvas!BE$2,'Fluxos de Recebimento'!$I$5:$BH$5, 0))+INDEX('Fluxos de Recebimento'!$I$65:$BH$116, MATCH(Curvas!$AB41, 'Fluxos de Recebimento'!$F$65:$F$116, 0), MATCH(Curvas!BE$2, 'Fluxos de Recebimento'!$I$63:$BH$63, 0)),0)*INDEX($E:$E, MATCH(BE$2, $B:$B, 0))</f>
        <v>0</v>
      </c>
      <c r="BF41" s="193">
        <f>IFERROR(INDEX('Fluxos de Recebimento'!$I$7:$BH$58, MATCH(Curvas!$AB41, 'Fluxos de Recebimento'!$F$7:$F$58, 0), MATCH(Curvas!BF$2,'Fluxos de Recebimento'!$I$5:$BH$5, 0))+INDEX('Fluxos de Recebimento'!$I$65:$BH$116, MATCH(Curvas!$AB41, 'Fluxos de Recebimento'!$F$65:$F$116, 0), MATCH(Curvas!BF$2, 'Fluxos de Recebimento'!$I$63:$BH$63, 0)),0)*INDEX($E:$E, MATCH(BF$2, $B:$B, 0))</f>
        <v>0</v>
      </c>
      <c r="BG41" s="193">
        <f>IFERROR(INDEX('Fluxos de Recebimento'!$I$7:$BH$58, MATCH(Curvas!$AB41, 'Fluxos de Recebimento'!$F$7:$F$58, 0), MATCH(Curvas!BG$2,'Fluxos de Recebimento'!$I$5:$BH$5, 0))+INDEX('Fluxos de Recebimento'!$I$65:$BH$116, MATCH(Curvas!$AB41, 'Fluxos de Recebimento'!$F$65:$F$116, 0), MATCH(Curvas!BG$2, 'Fluxos de Recebimento'!$I$63:$BH$63, 0)),0)*INDEX($E:$E, MATCH(BG$2, $B:$B, 0))</f>
        <v>0</v>
      </c>
      <c r="BH41" s="193">
        <f>IFERROR(INDEX('Fluxos de Recebimento'!$I$7:$BH$58, MATCH(Curvas!$AB41, 'Fluxos de Recebimento'!$F$7:$F$58, 0), MATCH(Curvas!BH$2,'Fluxos de Recebimento'!$I$5:$BH$5, 0))+INDEX('Fluxos de Recebimento'!$I$65:$BH$116, MATCH(Curvas!$AB41, 'Fluxos de Recebimento'!$F$65:$F$116, 0), MATCH(Curvas!BH$2, 'Fluxos de Recebimento'!$I$63:$BH$63, 0)),0)*INDEX($E:$E, MATCH(BH$2, $B:$B, 0))</f>
        <v>0</v>
      </c>
      <c r="BI41" s="193">
        <f>IFERROR(INDEX('Fluxos de Recebimento'!$I$7:$BH$58, MATCH(Curvas!$AB41, 'Fluxos de Recebimento'!$F$7:$F$58, 0), MATCH(Curvas!BI$2,'Fluxos de Recebimento'!$I$5:$BH$5, 0))+INDEX('Fluxos de Recebimento'!$I$65:$BH$116, MATCH(Curvas!$AB41, 'Fluxos de Recebimento'!$F$65:$F$116, 0), MATCH(Curvas!BI$2, 'Fluxos de Recebimento'!$I$63:$BH$63, 0)),0)*INDEX($E:$E, MATCH(BI$2, $B:$B, 0))</f>
        <v>0</v>
      </c>
      <c r="BJ41" s="193">
        <f>IFERROR(INDEX('Fluxos de Recebimento'!$I$7:$BH$58, MATCH(Curvas!$AB41, 'Fluxos de Recebimento'!$F$7:$F$58, 0), MATCH(Curvas!BJ$2,'Fluxos de Recebimento'!$I$5:$BH$5, 0))+INDEX('Fluxos de Recebimento'!$I$65:$BH$116, MATCH(Curvas!$AB41, 'Fluxos de Recebimento'!$F$65:$F$116, 0), MATCH(Curvas!BJ$2, 'Fluxos de Recebimento'!$I$63:$BH$63, 0)),0)*INDEX($E:$E, MATCH(BJ$2, $B:$B, 0))</f>
        <v>0</v>
      </c>
      <c r="BK41" s="193">
        <f>IFERROR(INDEX('Fluxos de Recebimento'!$I$7:$BH$58, MATCH(Curvas!$AB41, 'Fluxos de Recebimento'!$F$7:$F$58, 0), MATCH(Curvas!BK$2,'Fluxos de Recebimento'!$I$5:$BH$5, 0))+INDEX('Fluxos de Recebimento'!$I$65:$BH$116, MATCH(Curvas!$AB41, 'Fluxos de Recebimento'!$F$65:$F$116, 0), MATCH(Curvas!BK$2, 'Fluxos de Recebimento'!$I$63:$BH$63, 0)),0)*INDEX($E:$E, MATCH(BK$2, $B:$B, 0))</f>
        <v>0</v>
      </c>
      <c r="BL41" s="193">
        <f>IFERROR(INDEX('Fluxos de Recebimento'!$I$7:$BH$58, MATCH(Curvas!$AB41, 'Fluxos de Recebimento'!$F$7:$F$58, 0), MATCH(Curvas!BL$2,'Fluxos de Recebimento'!$I$5:$BH$5, 0))+INDEX('Fluxos de Recebimento'!$I$65:$BH$116, MATCH(Curvas!$AB41, 'Fluxos de Recebimento'!$F$65:$F$116, 0), MATCH(Curvas!BL$2, 'Fluxos de Recebimento'!$I$63:$BH$63, 0)),0)*INDEX($E:$E, MATCH(BL$2, $B:$B, 0))</f>
        <v>2.9166666666666667E-2</v>
      </c>
      <c r="BM41" s="193">
        <f>IFERROR(INDEX('Fluxos de Recebimento'!$I$7:$BH$58, MATCH(Curvas!$AB41, 'Fluxos de Recebimento'!$F$7:$F$58, 0), MATCH(Curvas!BM$2,'Fluxos de Recebimento'!$I$5:$BH$5, 0))+INDEX('Fluxos de Recebimento'!$I$65:$BH$116, MATCH(Curvas!$AB41, 'Fluxos de Recebimento'!$F$65:$F$116, 0), MATCH(Curvas!BM$2, 'Fluxos de Recebimento'!$I$63:$BH$63, 0)),0)*INDEX($E:$E, MATCH(BM$2, $B:$B, 0))</f>
        <v>3.1250000000000002E-3</v>
      </c>
      <c r="BN41" s="193">
        <f>IFERROR(INDEX('Fluxos de Recebimento'!$I$7:$BH$58, MATCH(Curvas!$AB41, 'Fluxos de Recebimento'!$F$7:$F$58, 0), MATCH(Curvas!BN$2,'Fluxos de Recebimento'!$I$5:$BH$5, 0))+INDEX('Fluxos de Recebimento'!$I$65:$BH$116, MATCH(Curvas!$AB41, 'Fluxos de Recebimento'!$F$65:$F$116, 0), MATCH(Curvas!BN$2, 'Fluxos de Recebimento'!$I$63:$BH$63, 0)),0)*INDEX($E:$E, MATCH(BN$2, $B:$B, 0))</f>
        <v>3.1250000000000002E-3</v>
      </c>
      <c r="BO41" s="193">
        <f>IFERROR(INDEX('Fluxos de Recebimento'!$I$7:$BH$58, MATCH(Curvas!$AB41, 'Fluxos de Recebimento'!$F$7:$F$58, 0), MATCH(Curvas!BO$2,'Fluxos de Recebimento'!$I$5:$BH$5, 0))+INDEX('Fluxos de Recebimento'!$I$65:$BH$116, MATCH(Curvas!$AB41, 'Fluxos de Recebimento'!$F$65:$F$116, 0), MATCH(Curvas!BO$2, 'Fluxos de Recebimento'!$I$63:$BH$63, 0)),0)*INDEX($E:$E, MATCH(BO$2, $B:$B, 0))</f>
        <v>0</v>
      </c>
      <c r="BP41" s="193">
        <f>IFERROR(INDEX('Fluxos de Recebimento'!$I$7:$BH$58, MATCH(Curvas!$AB41, 'Fluxos de Recebimento'!$F$7:$F$58, 0), MATCH(Curvas!BP$2,'Fluxos de Recebimento'!$I$5:$BH$5, 0))+INDEX('Fluxos de Recebimento'!$I$65:$BH$116, MATCH(Curvas!$AB41, 'Fluxos de Recebimento'!$F$65:$F$116, 0), MATCH(Curvas!BP$2, 'Fluxos de Recebimento'!$I$63:$BH$63, 0)),0)*INDEX($E:$E, MATCH(BP$2, $B:$B, 0))</f>
        <v>0</v>
      </c>
      <c r="BQ41" s="193">
        <f>IFERROR(INDEX('Fluxos de Recebimento'!$I$7:$BH$58, MATCH(Curvas!$AB41, 'Fluxos de Recebimento'!$F$7:$F$58, 0), MATCH(Curvas!BQ$2,'Fluxos de Recebimento'!$I$5:$BH$5, 0))+INDEX('Fluxos de Recebimento'!$I$65:$BH$116, MATCH(Curvas!$AB41, 'Fluxos de Recebimento'!$F$65:$F$116, 0), MATCH(Curvas!BQ$2, 'Fluxos de Recebimento'!$I$63:$BH$63, 0)),0)*INDEX($E:$E, MATCH(BQ$2, $B:$B, 0))</f>
        <v>0</v>
      </c>
      <c r="BR41" s="193">
        <f>IFERROR(INDEX('Fluxos de Recebimento'!$I$7:$BH$58, MATCH(Curvas!$AB41, 'Fluxos de Recebimento'!$F$7:$F$58, 0), MATCH(Curvas!BR$2,'Fluxos de Recebimento'!$I$5:$BH$5, 0))+INDEX('Fluxos de Recebimento'!$I$65:$BH$116, MATCH(Curvas!$AB41, 'Fluxos de Recebimento'!$F$65:$F$116, 0), MATCH(Curvas!BR$2, 'Fluxos de Recebimento'!$I$63:$BH$63, 0)),0)*INDEX($E:$E, MATCH(BR$2, $B:$B, 0))</f>
        <v>0</v>
      </c>
      <c r="BS41" s="193">
        <f>IFERROR(INDEX('Fluxos de Recebimento'!$I$7:$BH$58, MATCH(Curvas!$AB41, 'Fluxos de Recebimento'!$F$7:$F$58, 0), MATCH(Curvas!BS$2,'Fluxos de Recebimento'!$I$5:$BH$5, 0))+INDEX('Fluxos de Recebimento'!$I$65:$BH$116, MATCH(Curvas!$AB41, 'Fluxos de Recebimento'!$F$65:$F$116, 0), MATCH(Curvas!BS$2, 'Fluxos de Recebimento'!$I$63:$BH$63, 0)),0)*INDEX($E:$E, MATCH(BS$2, $B:$B, 0))</f>
        <v>0</v>
      </c>
      <c r="BT41" s="193">
        <f>IFERROR(INDEX('Fluxos de Recebimento'!$I$7:$BH$58, MATCH(Curvas!$AB41, 'Fluxos de Recebimento'!$F$7:$F$58, 0), MATCH(Curvas!BT$2,'Fluxos de Recebimento'!$I$5:$BH$5, 0))+INDEX('Fluxos de Recebimento'!$I$65:$BH$116, MATCH(Curvas!$AB41, 'Fluxos de Recebimento'!$F$65:$F$116, 0), MATCH(Curvas!BT$2, 'Fluxos de Recebimento'!$I$63:$BH$63, 0)),0)*INDEX($E:$E, MATCH(BT$2, $B:$B, 0))</f>
        <v>0</v>
      </c>
      <c r="BU41" s="193">
        <f>IFERROR(INDEX('Fluxos de Recebimento'!$I$7:$BH$58, MATCH(Curvas!$AB41, 'Fluxos de Recebimento'!$F$7:$F$58, 0), MATCH(Curvas!BU$2,'Fluxos de Recebimento'!$I$5:$BH$5, 0))+INDEX('Fluxos de Recebimento'!$I$65:$BH$116, MATCH(Curvas!$AB41, 'Fluxos de Recebimento'!$F$65:$F$116, 0), MATCH(Curvas!BU$2, 'Fluxos de Recebimento'!$I$63:$BH$63, 0)),0)*INDEX($E:$E, MATCH(BU$2, $B:$B, 0))</f>
        <v>0</v>
      </c>
      <c r="BV41" s="193">
        <f>IFERROR(INDEX('Fluxos de Recebimento'!$I$7:$BH$58, MATCH(Curvas!$AB41, 'Fluxos de Recebimento'!$F$7:$F$58, 0), MATCH(Curvas!BV$2,'Fluxos de Recebimento'!$I$5:$BH$5, 0))+INDEX('Fluxos de Recebimento'!$I$65:$BH$116, MATCH(Curvas!$AB41, 'Fluxos de Recebimento'!$F$65:$F$116, 0), MATCH(Curvas!BV$2, 'Fluxos de Recebimento'!$I$63:$BH$63, 0)),0)*INDEX($E:$E, MATCH(BV$2, $B:$B, 0))</f>
        <v>0</v>
      </c>
      <c r="BW41" s="193">
        <f>IFERROR(INDEX('Fluxos de Recebimento'!$I$7:$BH$58, MATCH(Curvas!$AB41, 'Fluxos de Recebimento'!$F$7:$F$58, 0), MATCH(Curvas!BW$2,'Fluxos de Recebimento'!$I$5:$BH$5, 0))+INDEX('Fluxos de Recebimento'!$I$65:$BH$116, MATCH(Curvas!$AB41, 'Fluxos de Recebimento'!$F$65:$F$116, 0), MATCH(Curvas!BW$2, 'Fluxos de Recebimento'!$I$63:$BH$63, 0)),0)*INDEX($E:$E, MATCH(BW$2, $B:$B, 0))</f>
        <v>0</v>
      </c>
      <c r="BX41" s="193">
        <f>IFERROR(INDEX('Fluxos de Recebimento'!$I$7:$BH$58, MATCH(Curvas!$AB41, 'Fluxos de Recebimento'!$F$7:$F$58, 0), MATCH(Curvas!BX$2,'Fluxos de Recebimento'!$I$5:$BH$5, 0))+INDEX('Fluxos de Recebimento'!$I$65:$BH$116, MATCH(Curvas!$AB41, 'Fluxos de Recebimento'!$F$65:$F$116, 0), MATCH(Curvas!BX$2, 'Fluxos de Recebimento'!$I$63:$BH$63, 0)),0)*INDEX($E:$E, MATCH(BX$2, $B:$B, 0))</f>
        <v>0</v>
      </c>
      <c r="BY41" s="193">
        <f>IFERROR(INDEX('Fluxos de Recebimento'!$I$7:$BH$58, MATCH(Curvas!$AB41, 'Fluxos de Recebimento'!$F$7:$F$58, 0), MATCH(Curvas!BY$2,'Fluxos de Recebimento'!$I$5:$BH$5, 0))+INDEX('Fluxos de Recebimento'!$I$65:$BH$116, MATCH(Curvas!$AB41, 'Fluxos de Recebimento'!$F$65:$F$116, 0), MATCH(Curvas!BY$2, 'Fluxos de Recebimento'!$I$63:$BH$63, 0)),0)*INDEX($E:$E, MATCH(BY$2, $B:$B, 0))</f>
        <v>0</v>
      </c>
      <c r="BZ41" s="193">
        <f>IFERROR(INDEX('Fluxos de Recebimento'!$I$7:$BH$58, MATCH(Curvas!$AB41, 'Fluxos de Recebimento'!$F$7:$F$58, 0), MATCH(Curvas!BZ$2,'Fluxos de Recebimento'!$I$5:$BH$5, 0))+INDEX('Fluxos de Recebimento'!$I$65:$BH$116, MATCH(Curvas!$AB41, 'Fluxos de Recebimento'!$F$65:$F$116, 0), MATCH(Curvas!BZ$2, 'Fluxos de Recebimento'!$I$63:$BH$63, 0)),0)*INDEX($E:$E, MATCH(BZ$2, $B:$B, 0))</f>
        <v>0</v>
      </c>
      <c r="CA41" s="193">
        <f>IFERROR(INDEX('Fluxos de Recebimento'!$I$7:$BH$58, MATCH(Curvas!$AB41, 'Fluxos de Recebimento'!$F$7:$F$58, 0), MATCH(Curvas!CA$2,'Fluxos de Recebimento'!$I$5:$BH$5, 0))+INDEX('Fluxos de Recebimento'!$I$65:$BH$116, MATCH(Curvas!$AB41, 'Fluxos de Recebimento'!$F$65:$F$116, 0), MATCH(Curvas!CA$2, 'Fluxos de Recebimento'!$I$63:$BH$63, 0)),0)*INDEX($E:$E, MATCH(CA$2, $B:$B, 0))</f>
        <v>0</v>
      </c>
      <c r="CB41" s="193">
        <f>IFERROR(INDEX('Fluxos de Recebimento'!$I$7:$BH$58, MATCH(Curvas!$AB41, 'Fluxos de Recebimento'!$F$7:$F$58, 0), MATCH(Curvas!CB$2,'Fluxos de Recebimento'!$I$5:$BH$5, 0))+INDEX('Fluxos de Recebimento'!$I$65:$BH$116, MATCH(Curvas!$AB41, 'Fluxos de Recebimento'!$F$65:$F$116, 0), MATCH(Curvas!CB$2, 'Fluxos de Recebimento'!$I$63:$BH$63, 0)),0)*INDEX($E:$E, MATCH(CB$2, $B:$B, 0))</f>
        <v>0</v>
      </c>
      <c r="CC41" s="193">
        <f>IFERROR(INDEX('Fluxos de Recebimento'!$I$7:$BH$58, MATCH(Curvas!$AB41, 'Fluxos de Recebimento'!$F$7:$F$58, 0), MATCH(Curvas!CC$2,'Fluxos de Recebimento'!$I$5:$BH$5, 0))+INDEX('Fluxos de Recebimento'!$I$65:$BH$116, MATCH(Curvas!$AB41, 'Fluxos de Recebimento'!$F$65:$F$116, 0), MATCH(Curvas!CC$2, 'Fluxos de Recebimento'!$I$63:$BH$63, 0)),0)*INDEX($E:$E, MATCH(CC$2, $B:$B, 0))</f>
        <v>0</v>
      </c>
    </row>
    <row r="42" spans="1:81" x14ac:dyDescent="0.25">
      <c r="A42" s="2"/>
      <c r="B42" s="477">
        <f t="shared" si="34"/>
        <v>45323</v>
      </c>
      <c r="C42" s="52">
        <f t="shared" si="35"/>
        <v>39</v>
      </c>
      <c r="D42" s="2"/>
      <c r="E42" s="187">
        <f t="shared" si="22"/>
        <v>0</v>
      </c>
      <c r="F42" s="48">
        <f t="shared" si="36"/>
        <v>0.99999999999999978</v>
      </c>
      <c r="G42" s="46">
        <f t="shared" ca="1" si="23"/>
        <v>4.1666666666666671E-2</v>
      </c>
      <c r="H42" s="48">
        <f t="shared" ca="1" si="37"/>
        <v>0.95833333333333326</v>
      </c>
      <c r="I42" s="2"/>
      <c r="J42" s="69">
        <f t="shared" ca="1" si="24"/>
        <v>0</v>
      </c>
      <c r="K42" s="479">
        <f t="shared" ca="1" si="25"/>
        <v>0</v>
      </c>
      <c r="L42" s="70">
        <f t="shared" ca="1" si="26"/>
        <v>0</v>
      </c>
      <c r="M42" s="2"/>
      <c r="N42" s="69">
        <f t="shared" si="27"/>
        <v>1</v>
      </c>
      <c r="O42" s="479">
        <f t="shared" si="28"/>
        <v>0</v>
      </c>
      <c r="P42" s="70">
        <f t="shared" si="29"/>
        <v>1</v>
      </c>
      <c r="Q42" s="2"/>
      <c r="R42" s="71">
        <f t="shared" ca="1" si="30"/>
        <v>1</v>
      </c>
      <c r="S42" s="196"/>
      <c r="T42" s="46">
        <v>0</v>
      </c>
      <c r="U42" s="48">
        <f t="shared" si="38"/>
        <v>0.99999999999999978</v>
      </c>
      <c r="V42" s="2"/>
      <c r="W42" s="56"/>
      <c r="X42" s="48"/>
      <c r="Y42" s="2"/>
      <c r="Z42" s="194">
        <f t="shared" si="31"/>
        <v>3.229166666666667E-2</v>
      </c>
      <c r="AA42" s="2"/>
      <c r="AB42" s="477">
        <f t="shared" si="32"/>
        <v>45323</v>
      </c>
      <c r="AC42" s="52">
        <f t="shared" si="33"/>
        <v>39</v>
      </c>
      <c r="AD42" s="193">
        <f>IFERROR(INDEX('Fluxos de Recebimento'!$I$7:$BH$58, MATCH(Curvas!$AB42, 'Fluxos de Recebimento'!$F$7:$F$58, 0), MATCH(Curvas!AD$2,'Fluxos de Recebimento'!$I$5:$BH$5, 0))+INDEX('Fluxos de Recebimento'!$I$65:$BH$116, MATCH(Curvas!$AB42, 'Fluxos de Recebimento'!$F$65:$F$116, 0), MATCH(Curvas!AD$2, 'Fluxos de Recebimento'!$I$63:$BH$63, 0)),0)*INDEX($E:$E, MATCH(AD$2, $B:$B, 0))</f>
        <v>0</v>
      </c>
      <c r="AE42" s="193">
        <f>IFERROR(INDEX('Fluxos de Recebimento'!$I$7:$BH$58, MATCH(Curvas!$AB42, 'Fluxos de Recebimento'!$F$7:$F$58, 0), MATCH(Curvas!AE$2,'Fluxos de Recebimento'!$I$5:$BH$5, 0))+INDEX('Fluxos de Recebimento'!$I$65:$BH$116, MATCH(Curvas!$AB42, 'Fluxos de Recebimento'!$F$65:$F$116, 0), MATCH(Curvas!AE$2, 'Fluxos de Recebimento'!$I$63:$BH$63, 0)),0)*INDEX($E:$E, MATCH(AE$2, $B:$B, 0))</f>
        <v>0</v>
      </c>
      <c r="AF42" s="193">
        <f>IFERROR(INDEX('Fluxos de Recebimento'!$I$7:$BH$58, MATCH(Curvas!$AB42, 'Fluxos de Recebimento'!$F$7:$F$58, 0), MATCH(Curvas!AF$2,'Fluxos de Recebimento'!$I$5:$BH$5, 0))+INDEX('Fluxos de Recebimento'!$I$65:$BH$116, MATCH(Curvas!$AB42, 'Fluxos de Recebimento'!$F$65:$F$116, 0), MATCH(Curvas!AF$2, 'Fluxos de Recebimento'!$I$63:$BH$63, 0)),0)*INDEX($E:$E, MATCH(AF$2, $B:$B, 0))</f>
        <v>0</v>
      </c>
      <c r="AG42" s="193">
        <f>IFERROR(INDEX('Fluxos de Recebimento'!$I$7:$BH$58, MATCH(Curvas!$AB42, 'Fluxos de Recebimento'!$F$7:$F$58, 0), MATCH(Curvas!AG$2,'Fluxos de Recebimento'!$I$5:$BH$5, 0))+INDEX('Fluxos de Recebimento'!$I$65:$BH$116, MATCH(Curvas!$AB42, 'Fluxos de Recebimento'!$F$65:$F$116, 0), MATCH(Curvas!AG$2, 'Fluxos de Recebimento'!$I$63:$BH$63, 0)),0)*INDEX($E:$E, MATCH(AG$2, $B:$B, 0))</f>
        <v>0</v>
      </c>
      <c r="AH42" s="193">
        <f>IFERROR(INDEX('Fluxos de Recebimento'!$I$7:$BH$58, MATCH(Curvas!$AB42, 'Fluxos de Recebimento'!$F$7:$F$58, 0), MATCH(Curvas!AH$2,'Fluxos de Recebimento'!$I$5:$BH$5, 0))+INDEX('Fluxos de Recebimento'!$I$65:$BH$116, MATCH(Curvas!$AB42, 'Fluxos de Recebimento'!$F$65:$F$116, 0), MATCH(Curvas!AH$2, 'Fluxos de Recebimento'!$I$63:$BH$63, 0)),0)*INDEX($E:$E, MATCH(AH$2, $B:$B, 0))</f>
        <v>0</v>
      </c>
      <c r="AI42" s="193">
        <f>IFERROR(INDEX('Fluxos de Recebimento'!$I$7:$BH$58, MATCH(Curvas!$AB42, 'Fluxos de Recebimento'!$F$7:$F$58, 0), MATCH(Curvas!AI$2,'Fluxos de Recebimento'!$I$5:$BH$5, 0))+INDEX('Fluxos de Recebimento'!$I$65:$BH$116, MATCH(Curvas!$AB42, 'Fluxos de Recebimento'!$F$65:$F$116, 0), MATCH(Curvas!AI$2, 'Fluxos de Recebimento'!$I$63:$BH$63, 0)),0)*INDEX($E:$E, MATCH(AI$2, $B:$B, 0))</f>
        <v>0</v>
      </c>
      <c r="AJ42" s="193">
        <f>IFERROR(INDEX('Fluxos de Recebimento'!$I$7:$BH$58, MATCH(Curvas!$AB42, 'Fluxos de Recebimento'!$F$7:$F$58, 0), MATCH(Curvas!AJ$2,'Fluxos de Recebimento'!$I$5:$BH$5, 0))+INDEX('Fluxos de Recebimento'!$I$65:$BH$116, MATCH(Curvas!$AB42, 'Fluxos de Recebimento'!$F$65:$F$116, 0), MATCH(Curvas!AJ$2, 'Fluxos de Recebimento'!$I$63:$BH$63, 0)),0)*INDEX($E:$E, MATCH(AJ$2, $B:$B, 0))</f>
        <v>0</v>
      </c>
      <c r="AK42" s="193">
        <f>IFERROR(INDEX('Fluxos de Recebimento'!$I$7:$BH$58, MATCH(Curvas!$AB42, 'Fluxos de Recebimento'!$F$7:$F$58, 0), MATCH(Curvas!AK$2,'Fluxos de Recebimento'!$I$5:$BH$5, 0))+INDEX('Fluxos de Recebimento'!$I$65:$BH$116, MATCH(Curvas!$AB42, 'Fluxos de Recebimento'!$F$65:$F$116, 0), MATCH(Curvas!AK$2, 'Fluxos de Recebimento'!$I$63:$BH$63, 0)),0)*INDEX($E:$E, MATCH(AK$2, $B:$B, 0))</f>
        <v>0</v>
      </c>
      <c r="AL42" s="193">
        <f>IFERROR(INDEX('Fluxos de Recebimento'!$I$7:$BH$58, MATCH(Curvas!$AB42, 'Fluxos de Recebimento'!$F$7:$F$58, 0), MATCH(Curvas!AL$2,'Fluxos de Recebimento'!$I$5:$BH$5, 0))+INDEX('Fluxos de Recebimento'!$I$65:$BH$116, MATCH(Curvas!$AB42, 'Fluxos de Recebimento'!$F$65:$F$116, 0), MATCH(Curvas!AL$2, 'Fluxos de Recebimento'!$I$63:$BH$63, 0)),0)*INDEX($E:$E, MATCH(AL$2, $B:$B, 0))</f>
        <v>0</v>
      </c>
      <c r="AM42" s="193">
        <f>IFERROR(INDEX('Fluxos de Recebimento'!$I$7:$BH$58, MATCH(Curvas!$AB42, 'Fluxos de Recebimento'!$F$7:$F$58, 0), MATCH(Curvas!AM$2,'Fluxos de Recebimento'!$I$5:$BH$5, 0))+INDEX('Fluxos de Recebimento'!$I$65:$BH$116, MATCH(Curvas!$AB42, 'Fluxos de Recebimento'!$F$65:$F$116, 0), MATCH(Curvas!AM$2, 'Fluxos de Recebimento'!$I$63:$BH$63, 0)),0)*INDEX($E:$E, MATCH(AM$2, $B:$B, 0))</f>
        <v>0</v>
      </c>
      <c r="AN42" s="193">
        <f>IFERROR(INDEX('Fluxos de Recebimento'!$I$7:$BH$58, MATCH(Curvas!$AB42, 'Fluxos de Recebimento'!$F$7:$F$58, 0), MATCH(Curvas!AN$2,'Fluxos de Recebimento'!$I$5:$BH$5, 0))+INDEX('Fluxos de Recebimento'!$I$65:$BH$116, MATCH(Curvas!$AB42, 'Fluxos de Recebimento'!$F$65:$F$116, 0), MATCH(Curvas!AN$2, 'Fluxos de Recebimento'!$I$63:$BH$63, 0)),0)*INDEX($E:$E, MATCH(AN$2, $B:$B, 0))</f>
        <v>0</v>
      </c>
      <c r="AO42" s="193">
        <f>IFERROR(INDEX('Fluxos de Recebimento'!$I$7:$BH$58, MATCH(Curvas!$AB42, 'Fluxos de Recebimento'!$F$7:$F$58, 0), MATCH(Curvas!AO$2,'Fluxos de Recebimento'!$I$5:$BH$5, 0))+INDEX('Fluxos de Recebimento'!$I$65:$BH$116, MATCH(Curvas!$AB42, 'Fluxos de Recebimento'!$F$65:$F$116, 0), MATCH(Curvas!AO$2, 'Fluxos de Recebimento'!$I$63:$BH$63, 0)),0)*INDEX($E:$E, MATCH(AO$2, $B:$B, 0))</f>
        <v>0</v>
      </c>
      <c r="AP42" s="193">
        <f>IFERROR(INDEX('Fluxos de Recebimento'!$I$7:$BH$58, MATCH(Curvas!$AB42, 'Fluxos de Recebimento'!$F$7:$F$58, 0), MATCH(Curvas!AP$2,'Fluxos de Recebimento'!$I$5:$BH$5, 0))+INDEX('Fluxos de Recebimento'!$I$65:$BH$116, MATCH(Curvas!$AB42, 'Fluxos de Recebimento'!$F$65:$F$116, 0), MATCH(Curvas!AP$2, 'Fluxos de Recebimento'!$I$63:$BH$63, 0)),0)*INDEX($E:$E, MATCH(AP$2, $B:$B, 0))</f>
        <v>0</v>
      </c>
      <c r="AQ42" s="193">
        <f>IFERROR(INDEX('Fluxos de Recebimento'!$I$7:$BH$58, MATCH(Curvas!$AB42, 'Fluxos de Recebimento'!$F$7:$F$58, 0), MATCH(Curvas!AQ$2,'Fluxos de Recebimento'!$I$5:$BH$5, 0))+INDEX('Fluxos de Recebimento'!$I$65:$BH$116, MATCH(Curvas!$AB42, 'Fluxos de Recebimento'!$F$65:$F$116, 0), MATCH(Curvas!AQ$2, 'Fluxos de Recebimento'!$I$63:$BH$63, 0)),0)*INDEX($E:$E, MATCH(AQ$2, $B:$B, 0))</f>
        <v>0</v>
      </c>
      <c r="AR42" s="193">
        <f>IFERROR(INDEX('Fluxos de Recebimento'!$I$7:$BH$58, MATCH(Curvas!$AB42, 'Fluxos de Recebimento'!$F$7:$F$58, 0), MATCH(Curvas!AR$2,'Fluxos de Recebimento'!$I$5:$BH$5, 0))+INDEX('Fluxos de Recebimento'!$I$65:$BH$116, MATCH(Curvas!$AB42, 'Fluxos de Recebimento'!$F$65:$F$116, 0), MATCH(Curvas!AR$2, 'Fluxos de Recebimento'!$I$63:$BH$63, 0)),0)*INDEX($E:$E, MATCH(AR$2, $B:$B, 0))</f>
        <v>0</v>
      </c>
      <c r="AS42" s="193">
        <f>IFERROR(INDEX('Fluxos de Recebimento'!$I$7:$BH$58, MATCH(Curvas!$AB42, 'Fluxos de Recebimento'!$F$7:$F$58, 0), MATCH(Curvas!AS$2,'Fluxos de Recebimento'!$I$5:$BH$5, 0))+INDEX('Fluxos de Recebimento'!$I$65:$BH$116, MATCH(Curvas!$AB42, 'Fluxos de Recebimento'!$F$65:$F$116, 0), MATCH(Curvas!AS$2, 'Fluxos de Recebimento'!$I$63:$BH$63, 0)),0)*INDEX($E:$E, MATCH(AS$2, $B:$B, 0))</f>
        <v>0</v>
      </c>
      <c r="AT42" s="193">
        <f>IFERROR(INDEX('Fluxos de Recebimento'!$I$7:$BH$58, MATCH(Curvas!$AB42, 'Fluxos de Recebimento'!$F$7:$F$58, 0), MATCH(Curvas!AT$2,'Fluxos de Recebimento'!$I$5:$BH$5, 0))+INDEX('Fluxos de Recebimento'!$I$65:$BH$116, MATCH(Curvas!$AB42, 'Fluxos de Recebimento'!$F$65:$F$116, 0), MATCH(Curvas!AT$2, 'Fluxos de Recebimento'!$I$63:$BH$63, 0)),0)*INDEX($E:$E, MATCH(AT$2, $B:$B, 0))</f>
        <v>0</v>
      </c>
      <c r="AU42" s="193">
        <f>IFERROR(INDEX('Fluxos de Recebimento'!$I$7:$BH$58, MATCH(Curvas!$AB42, 'Fluxos de Recebimento'!$F$7:$F$58, 0), MATCH(Curvas!AU$2,'Fluxos de Recebimento'!$I$5:$BH$5, 0))+INDEX('Fluxos de Recebimento'!$I$65:$BH$116, MATCH(Curvas!$AB42, 'Fluxos de Recebimento'!$F$65:$F$116, 0), MATCH(Curvas!AU$2, 'Fluxos de Recebimento'!$I$63:$BH$63, 0)),0)*INDEX($E:$E, MATCH(AU$2, $B:$B, 0))</f>
        <v>0</v>
      </c>
      <c r="AV42" s="193">
        <f>IFERROR(INDEX('Fluxos de Recebimento'!$I$7:$BH$58, MATCH(Curvas!$AB42, 'Fluxos de Recebimento'!$F$7:$F$58, 0), MATCH(Curvas!AV$2,'Fluxos de Recebimento'!$I$5:$BH$5, 0))+INDEX('Fluxos de Recebimento'!$I$65:$BH$116, MATCH(Curvas!$AB42, 'Fluxos de Recebimento'!$F$65:$F$116, 0), MATCH(Curvas!AV$2, 'Fluxos de Recebimento'!$I$63:$BH$63, 0)),0)*INDEX($E:$E, MATCH(AV$2, $B:$B, 0))</f>
        <v>0</v>
      </c>
      <c r="AW42" s="193">
        <f>IFERROR(INDEX('Fluxos de Recebimento'!$I$7:$BH$58, MATCH(Curvas!$AB42, 'Fluxos de Recebimento'!$F$7:$F$58, 0), MATCH(Curvas!AW$2,'Fluxos de Recebimento'!$I$5:$BH$5, 0))+INDEX('Fluxos de Recebimento'!$I$65:$BH$116, MATCH(Curvas!$AB42, 'Fluxos de Recebimento'!$F$65:$F$116, 0), MATCH(Curvas!AW$2, 'Fluxos de Recebimento'!$I$63:$BH$63, 0)),0)*INDEX($E:$E, MATCH(AW$2, $B:$B, 0))</f>
        <v>0</v>
      </c>
      <c r="AX42" s="193">
        <f>IFERROR(INDEX('Fluxos de Recebimento'!$I$7:$BH$58, MATCH(Curvas!$AB42, 'Fluxos de Recebimento'!$F$7:$F$58, 0), MATCH(Curvas!AX$2,'Fluxos de Recebimento'!$I$5:$BH$5, 0))+INDEX('Fluxos de Recebimento'!$I$65:$BH$116, MATCH(Curvas!$AB42, 'Fluxos de Recebimento'!$F$65:$F$116, 0), MATCH(Curvas!AX$2, 'Fluxos de Recebimento'!$I$63:$BH$63, 0)),0)*INDEX($E:$E, MATCH(AX$2, $B:$B, 0))</f>
        <v>0</v>
      </c>
      <c r="AY42" s="193">
        <f>IFERROR(INDEX('Fluxos de Recebimento'!$I$7:$BH$58, MATCH(Curvas!$AB42, 'Fluxos de Recebimento'!$F$7:$F$58, 0), MATCH(Curvas!AY$2,'Fluxos de Recebimento'!$I$5:$BH$5, 0))+INDEX('Fluxos de Recebimento'!$I$65:$BH$116, MATCH(Curvas!$AB42, 'Fluxos de Recebimento'!$F$65:$F$116, 0), MATCH(Curvas!AY$2, 'Fluxos de Recebimento'!$I$63:$BH$63, 0)),0)*INDEX($E:$E, MATCH(AY$2, $B:$B, 0))</f>
        <v>0</v>
      </c>
      <c r="AZ42" s="193">
        <f>IFERROR(INDEX('Fluxos de Recebimento'!$I$7:$BH$58, MATCH(Curvas!$AB42, 'Fluxos de Recebimento'!$F$7:$F$58, 0), MATCH(Curvas!AZ$2,'Fluxos de Recebimento'!$I$5:$BH$5, 0))+INDEX('Fluxos de Recebimento'!$I$65:$BH$116, MATCH(Curvas!$AB42, 'Fluxos de Recebimento'!$F$65:$F$116, 0), MATCH(Curvas!AZ$2, 'Fluxos de Recebimento'!$I$63:$BH$63, 0)),0)*INDEX($E:$E, MATCH(AZ$2, $B:$B, 0))</f>
        <v>0</v>
      </c>
      <c r="BA42" s="193">
        <f>IFERROR(INDEX('Fluxos de Recebimento'!$I$7:$BH$58, MATCH(Curvas!$AB42, 'Fluxos de Recebimento'!$F$7:$F$58, 0), MATCH(Curvas!BA$2,'Fluxos de Recebimento'!$I$5:$BH$5, 0))+INDEX('Fluxos de Recebimento'!$I$65:$BH$116, MATCH(Curvas!$AB42, 'Fluxos de Recebimento'!$F$65:$F$116, 0), MATCH(Curvas!BA$2, 'Fluxos de Recebimento'!$I$63:$BH$63, 0)),0)*INDEX($E:$E, MATCH(BA$2, $B:$B, 0))</f>
        <v>0</v>
      </c>
      <c r="BB42" s="193">
        <f>IFERROR(INDEX('Fluxos de Recebimento'!$I$7:$BH$58, MATCH(Curvas!$AB42, 'Fluxos de Recebimento'!$F$7:$F$58, 0), MATCH(Curvas!BB$2,'Fluxos de Recebimento'!$I$5:$BH$5, 0))+INDEX('Fluxos de Recebimento'!$I$65:$BH$116, MATCH(Curvas!$AB42, 'Fluxos de Recebimento'!$F$65:$F$116, 0), MATCH(Curvas!BB$2, 'Fluxos de Recebimento'!$I$63:$BH$63, 0)),0)*INDEX($E:$E, MATCH(BB$2, $B:$B, 0))</f>
        <v>0</v>
      </c>
      <c r="BC42" s="193">
        <f>IFERROR(INDEX('Fluxos de Recebimento'!$I$7:$BH$58, MATCH(Curvas!$AB42, 'Fluxos de Recebimento'!$F$7:$F$58, 0), MATCH(Curvas!BC$2,'Fluxos de Recebimento'!$I$5:$BH$5, 0))+INDEX('Fluxos de Recebimento'!$I$65:$BH$116, MATCH(Curvas!$AB42, 'Fluxos de Recebimento'!$F$65:$F$116, 0), MATCH(Curvas!BC$2, 'Fluxos de Recebimento'!$I$63:$BH$63, 0)),0)*INDEX($E:$E, MATCH(BC$2, $B:$B, 0))</f>
        <v>0</v>
      </c>
      <c r="BD42" s="193">
        <f>IFERROR(INDEX('Fluxos de Recebimento'!$I$7:$BH$58, MATCH(Curvas!$AB42, 'Fluxos de Recebimento'!$F$7:$F$58, 0), MATCH(Curvas!BD$2,'Fluxos de Recebimento'!$I$5:$BH$5, 0))+INDEX('Fluxos de Recebimento'!$I$65:$BH$116, MATCH(Curvas!$AB42, 'Fluxos de Recebimento'!$F$65:$F$116, 0), MATCH(Curvas!BD$2, 'Fluxos de Recebimento'!$I$63:$BH$63, 0)),0)*INDEX($E:$E, MATCH(BD$2, $B:$B, 0))</f>
        <v>0</v>
      </c>
      <c r="BE42" s="193">
        <f>IFERROR(INDEX('Fluxos de Recebimento'!$I$7:$BH$58, MATCH(Curvas!$AB42, 'Fluxos de Recebimento'!$F$7:$F$58, 0), MATCH(Curvas!BE$2,'Fluxos de Recebimento'!$I$5:$BH$5, 0))+INDEX('Fluxos de Recebimento'!$I$65:$BH$116, MATCH(Curvas!$AB42, 'Fluxos de Recebimento'!$F$65:$F$116, 0), MATCH(Curvas!BE$2, 'Fluxos de Recebimento'!$I$63:$BH$63, 0)),0)*INDEX($E:$E, MATCH(BE$2, $B:$B, 0))</f>
        <v>0</v>
      </c>
      <c r="BF42" s="193">
        <f>IFERROR(INDEX('Fluxos de Recebimento'!$I$7:$BH$58, MATCH(Curvas!$AB42, 'Fluxos de Recebimento'!$F$7:$F$58, 0), MATCH(Curvas!BF$2,'Fluxos de Recebimento'!$I$5:$BH$5, 0))+INDEX('Fluxos de Recebimento'!$I$65:$BH$116, MATCH(Curvas!$AB42, 'Fluxos de Recebimento'!$F$65:$F$116, 0), MATCH(Curvas!BF$2, 'Fluxos de Recebimento'!$I$63:$BH$63, 0)),0)*INDEX($E:$E, MATCH(BF$2, $B:$B, 0))</f>
        <v>0</v>
      </c>
      <c r="BG42" s="193">
        <f>IFERROR(INDEX('Fluxos de Recebimento'!$I$7:$BH$58, MATCH(Curvas!$AB42, 'Fluxos de Recebimento'!$F$7:$F$58, 0), MATCH(Curvas!BG$2,'Fluxos de Recebimento'!$I$5:$BH$5, 0))+INDEX('Fluxos de Recebimento'!$I$65:$BH$116, MATCH(Curvas!$AB42, 'Fluxos de Recebimento'!$F$65:$F$116, 0), MATCH(Curvas!BG$2, 'Fluxos de Recebimento'!$I$63:$BH$63, 0)),0)*INDEX($E:$E, MATCH(BG$2, $B:$B, 0))</f>
        <v>0</v>
      </c>
      <c r="BH42" s="193">
        <f>IFERROR(INDEX('Fluxos de Recebimento'!$I$7:$BH$58, MATCH(Curvas!$AB42, 'Fluxos de Recebimento'!$F$7:$F$58, 0), MATCH(Curvas!BH$2,'Fluxos de Recebimento'!$I$5:$BH$5, 0))+INDEX('Fluxos de Recebimento'!$I$65:$BH$116, MATCH(Curvas!$AB42, 'Fluxos de Recebimento'!$F$65:$F$116, 0), MATCH(Curvas!BH$2, 'Fluxos de Recebimento'!$I$63:$BH$63, 0)),0)*INDEX($E:$E, MATCH(BH$2, $B:$B, 0))</f>
        <v>0</v>
      </c>
      <c r="BI42" s="193">
        <f>IFERROR(INDEX('Fluxos de Recebimento'!$I$7:$BH$58, MATCH(Curvas!$AB42, 'Fluxos de Recebimento'!$F$7:$F$58, 0), MATCH(Curvas!BI$2,'Fluxos de Recebimento'!$I$5:$BH$5, 0))+INDEX('Fluxos de Recebimento'!$I$65:$BH$116, MATCH(Curvas!$AB42, 'Fluxos de Recebimento'!$F$65:$F$116, 0), MATCH(Curvas!BI$2, 'Fluxos de Recebimento'!$I$63:$BH$63, 0)),0)*INDEX($E:$E, MATCH(BI$2, $B:$B, 0))</f>
        <v>0</v>
      </c>
      <c r="BJ42" s="193">
        <f>IFERROR(INDEX('Fluxos de Recebimento'!$I$7:$BH$58, MATCH(Curvas!$AB42, 'Fluxos de Recebimento'!$F$7:$F$58, 0), MATCH(Curvas!BJ$2,'Fluxos de Recebimento'!$I$5:$BH$5, 0))+INDEX('Fluxos de Recebimento'!$I$65:$BH$116, MATCH(Curvas!$AB42, 'Fluxos de Recebimento'!$F$65:$F$116, 0), MATCH(Curvas!BJ$2, 'Fluxos de Recebimento'!$I$63:$BH$63, 0)),0)*INDEX($E:$E, MATCH(BJ$2, $B:$B, 0))</f>
        <v>0</v>
      </c>
      <c r="BK42" s="193">
        <f>IFERROR(INDEX('Fluxos de Recebimento'!$I$7:$BH$58, MATCH(Curvas!$AB42, 'Fluxos de Recebimento'!$F$7:$F$58, 0), MATCH(Curvas!BK$2,'Fluxos de Recebimento'!$I$5:$BH$5, 0))+INDEX('Fluxos de Recebimento'!$I$65:$BH$116, MATCH(Curvas!$AB42, 'Fluxos de Recebimento'!$F$65:$F$116, 0), MATCH(Curvas!BK$2, 'Fluxos de Recebimento'!$I$63:$BH$63, 0)),0)*INDEX($E:$E, MATCH(BK$2, $B:$B, 0))</f>
        <v>0</v>
      </c>
      <c r="BL42" s="193">
        <f>IFERROR(INDEX('Fluxos de Recebimento'!$I$7:$BH$58, MATCH(Curvas!$AB42, 'Fluxos de Recebimento'!$F$7:$F$58, 0), MATCH(Curvas!BL$2,'Fluxos de Recebimento'!$I$5:$BH$5, 0))+INDEX('Fluxos de Recebimento'!$I$65:$BH$116, MATCH(Curvas!$AB42, 'Fluxos de Recebimento'!$F$65:$F$116, 0), MATCH(Curvas!BL$2, 'Fluxos de Recebimento'!$I$63:$BH$63, 0)),0)*INDEX($E:$E, MATCH(BL$2, $B:$B, 0))</f>
        <v>0</v>
      </c>
      <c r="BM42" s="193">
        <f>IFERROR(INDEX('Fluxos de Recebimento'!$I$7:$BH$58, MATCH(Curvas!$AB42, 'Fluxos de Recebimento'!$F$7:$F$58, 0), MATCH(Curvas!BM$2,'Fluxos de Recebimento'!$I$5:$BH$5, 0))+INDEX('Fluxos de Recebimento'!$I$65:$BH$116, MATCH(Curvas!$AB42, 'Fluxos de Recebimento'!$F$65:$F$116, 0), MATCH(Curvas!BM$2, 'Fluxos de Recebimento'!$I$63:$BH$63, 0)),0)*INDEX($E:$E, MATCH(BM$2, $B:$B, 0))</f>
        <v>2.9166666666666667E-2</v>
      </c>
      <c r="BN42" s="193">
        <f>IFERROR(INDEX('Fluxos de Recebimento'!$I$7:$BH$58, MATCH(Curvas!$AB42, 'Fluxos de Recebimento'!$F$7:$F$58, 0), MATCH(Curvas!BN$2,'Fluxos de Recebimento'!$I$5:$BH$5, 0))+INDEX('Fluxos de Recebimento'!$I$65:$BH$116, MATCH(Curvas!$AB42, 'Fluxos de Recebimento'!$F$65:$F$116, 0), MATCH(Curvas!BN$2, 'Fluxos de Recebimento'!$I$63:$BH$63, 0)),0)*INDEX($E:$E, MATCH(BN$2, $B:$B, 0))</f>
        <v>3.1250000000000002E-3</v>
      </c>
      <c r="BO42" s="193">
        <f>IFERROR(INDEX('Fluxos de Recebimento'!$I$7:$BH$58, MATCH(Curvas!$AB42, 'Fluxos de Recebimento'!$F$7:$F$58, 0), MATCH(Curvas!BO$2,'Fluxos de Recebimento'!$I$5:$BH$5, 0))+INDEX('Fluxos de Recebimento'!$I$65:$BH$116, MATCH(Curvas!$AB42, 'Fluxos de Recebimento'!$F$65:$F$116, 0), MATCH(Curvas!BO$2, 'Fluxos de Recebimento'!$I$63:$BH$63, 0)),0)*INDEX($E:$E, MATCH(BO$2, $B:$B, 0))</f>
        <v>0</v>
      </c>
      <c r="BP42" s="193">
        <f>IFERROR(INDEX('Fluxos de Recebimento'!$I$7:$BH$58, MATCH(Curvas!$AB42, 'Fluxos de Recebimento'!$F$7:$F$58, 0), MATCH(Curvas!BP$2,'Fluxos de Recebimento'!$I$5:$BH$5, 0))+INDEX('Fluxos de Recebimento'!$I$65:$BH$116, MATCH(Curvas!$AB42, 'Fluxos de Recebimento'!$F$65:$F$116, 0), MATCH(Curvas!BP$2, 'Fluxos de Recebimento'!$I$63:$BH$63, 0)),0)*INDEX($E:$E, MATCH(BP$2, $B:$B, 0))</f>
        <v>0</v>
      </c>
      <c r="BQ42" s="193">
        <f>IFERROR(INDEX('Fluxos de Recebimento'!$I$7:$BH$58, MATCH(Curvas!$AB42, 'Fluxos de Recebimento'!$F$7:$F$58, 0), MATCH(Curvas!BQ$2,'Fluxos de Recebimento'!$I$5:$BH$5, 0))+INDEX('Fluxos de Recebimento'!$I$65:$BH$116, MATCH(Curvas!$AB42, 'Fluxos de Recebimento'!$F$65:$F$116, 0), MATCH(Curvas!BQ$2, 'Fluxos de Recebimento'!$I$63:$BH$63, 0)),0)*INDEX($E:$E, MATCH(BQ$2, $B:$B, 0))</f>
        <v>0</v>
      </c>
      <c r="BR42" s="193">
        <f>IFERROR(INDEX('Fluxos de Recebimento'!$I$7:$BH$58, MATCH(Curvas!$AB42, 'Fluxos de Recebimento'!$F$7:$F$58, 0), MATCH(Curvas!BR$2,'Fluxos de Recebimento'!$I$5:$BH$5, 0))+INDEX('Fluxos de Recebimento'!$I$65:$BH$116, MATCH(Curvas!$AB42, 'Fluxos de Recebimento'!$F$65:$F$116, 0), MATCH(Curvas!BR$2, 'Fluxos de Recebimento'!$I$63:$BH$63, 0)),0)*INDEX($E:$E, MATCH(BR$2, $B:$B, 0))</f>
        <v>0</v>
      </c>
      <c r="BS42" s="193">
        <f>IFERROR(INDEX('Fluxos de Recebimento'!$I$7:$BH$58, MATCH(Curvas!$AB42, 'Fluxos de Recebimento'!$F$7:$F$58, 0), MATCH(Curvas!BS$2,'Fluxos de Recebimento'!$I$5:$BH$5, 0))+INDEX('Fluxos de Recebimento'!$I$65:$BH$116, MATCH(Curvas!$AB42, 'Fluxos de Recebimento'!$F$65:$F$116, 0), MATCH(Curvas!BS$2, 'Fluxos de Recebimento'!$I$63:$BH$63, 0)),0)*INDEX($E:$E, MATCH(BS$2, $B:$B, 0))</f>
        <v>0</v>
      </c>
      <c r="BT42" s="193">
        <f>IFERROR(INDEX('Fluxos de Recebimento'!$I$7:$BH$58, MATCH(Curvas!$AB42, 'Fluxos de Recebimento'!$F$7:$F$58, 0), MATCH(Curvas!BT$2,'Fluxos de Recebimento'!$I$5:$BH$5, 0))+INDEX('Fluxos de Recebimento'!$I$65:$BH$116, MATCH(Curvas!$AB42, 'Fluxos de Recebimento'!$F$65:$F$116, 0), MATCH(Curvas!BT$2, 'Fluxos de Recebimento'!$I$63:$BH$63, 0)),0)*INDEX($E:$E, MATCH(BT$2, $B:$B, 0))</f>
        <v>0</v>
      </c>
      <c r="BU42" s="193">
        <f>IFERROR(INDEX('Fluxos de Recebimento'!$I$7:$BH$58, MATCH(Curvas!$AB42, 'Fluxos de Recebimento'!$F$7:$F$58, 0), MATCH(Curvas!BU$2,'Fluxos de Recebimento'!$I$5:$BH$5, 0))+INDEX('Fluxos de Recebimento'!$I$65:$BH$116, MATCH(Curvas!$AB42, 'Fluxos de Recebimento'!$F$65:$F$116, 0), MATCH(Curvas!BU$2, 'Fluxos de Recebimento'!$I$63:$BH$63, 0)),0)*INDEX($E:$E, MATCH(BU$2, $B:$B, 0))</f>
        <v>0</v>
      </c>
      <c r="BV42" s="193">
        <f>IFERROR(INDEX('Fluxos de Recebimento'!$I$7:$BH$58, MATCH(Curvas!$AB42, 'Fluxos de Recebimento'!$F$7:$F$58, 0), MATCH(Curvas!BV$2,'Fluxos de Recebimento'!$I$5:$BH$5, 0))+INDEX('Fluxos de Recebimento'!$I$65:$BH$116, MATCH(Curvas!$AB42, 'Fluxos de Recebimento'!$F$65:$F$116, 0), MATCH(Curvas!BV$2, 'Fluxos de Recebimento'!$I$63:$BH$63, 0)),0)*INDEX($E:$E, MATCH(BV$2, $B:$B, 0))</f>
        <v>0</v>
      </c>
      <c r="BW42" s="193">
        <f>IFERROR(INDEX('Fluxos de Recebimento'!$I$7:$BH$58, MATCH(Curvas!$AB42, 'Fluxos de Recebimento'!$F$7:$F$58, 0), MATCH(Curvas!BW$2,'Fluxos de Recebimento'!$I$5:$BH$5, 0))+INDEX('Fluxos de Recebimento'!$I$65:$BH$116, MATCH(Curvas!$AB42, 'Fluxos de Recebimento'!$F$65:$F$116, 0), MATCH(Curvas!BW$2, 'Fluxos de Recebimento'!$I$63:$BH$63, 0)),0)*INDEX($E:$E, MATCH(BW$2, $B:$B, 0))</f>
        <v>0</v>
      </c>
      <c r="BX42" s="193">
        <f>IFERROR(INDEX('Fluxos de Recebimento'!$I$7:$BH$58, MATCH(Curvas!$AB42, 'Fluxos de Recebimento'!$F$7:$F$58, 0), MATCH(Curvas!BX$2,'Fluxos de Recebimento'!$I$5:$BH$5, 0))+INDEX('Fluxos de Recebimento'!$I$65:$BH$116, MATCH(Curvas!$AB42, 'Fluxos de Recebimento'!$F$65:$F$116, 0), MATCH(Curvas!BX$2, 'Fluxos de Recebimento'!$I$63:$BH$63, 0)),0)*INDEX($E:$E, MATCH(BX$2, $B:$B, 0))</f>
        <v>0</v>
      </c>
      <c r="BY42" s="193">
        <f>IFERROR(INDEX('Fluxos de Recebimento'!$I$7:$BH$58, MATCH(Curvas!$AB42, 'Fluxos de Recebimento'!$F$7:$F$58, 0), MATCH(Curvas!BY$2,'Fluxos de Recebimento'!$I$5:$BH$5, 0))+INDEX('Fluxos de Recebimento'!$I$65:$BH$116, MATCH(Curvas!$AB42, 'Fluxos de Recebimento'!$F$65:$F$116, 0), MATCH(Curvas!BY$2, 'Fluxos de Recebimento'!$I$63:$BH$63, 0)),0)*INDEX($E:$E, MATCH(BY$2, $B:$B, 0))</f>
        <v>0</v>
      </c>
      <c r="BZ42" s="193">
        <f>IFERROR(INDEX('Fluxos de Recebimento'!$I$7:$BH$58, MATCH(Curvas!$AB42, 'Fluxos de Recebimento'!$F$7:$F$58, 0), MATCH(Curvas!BZ$2,'Fluxos de Recebimento'!$I$5:$BH$5, 0))+INDEX('Fluxos de Recebimento'!$I$65:$BH$116, MATCH(Curvas!$AB42, 'Fluxos de Recebimento'!$F$65:$F$116, 0), MATCH(Curvas!BZ$2, 'Fluxos de Recebimento'!$I$63:$BH$63, 0)),0)*INDEX($E:$E, MATCH(BZ$2, $B:$B, 0))</f>
        <v>0</v>
      </c>
      <c r="CA42" s="193">
        <f>IFERROR(INDEX('Fluxos de Recebimento'!$I$7:$BH$58, MATCH(Curvas!$AB42, 'Fluxos de Recebimento'!$F$7:$F$58, 0), MATCH(Curvas!CA$2,'Fluxos de Recebimento'!$I$5:$BH$5, 0))+INDEX('Fluxos de Recebimento'!$I$65:$BH$116, MATCH(Curvas!$AB42, 'Fluxos de Recebimento'!$F$65:$F$116, 0), MATCH(Curvas!CA$2, 'Fluxos de Recebimento'!$I$63:$BH$63, 0)),0)*INDEX($E:$E, MATCH(CA$2, $B:$B, 0))</f>
        <v>0</v>
      </c>
      <c r="CB42" s="193">
        <f>IFERROR(INDEX('Fluxos de Recebimento'!$I$7:$BH$58, MATCH(Curvas!$AB42, 'Fluxos de Recebimento'!$F$7:$F$58, 0), MATCH(Curvas!CB$2,'Fluxos de Recebimento'!$I$5:$BH$5, 0))+INDEX('Fluxos de Recebimento'!$I$65:$BH$116, MATCH(Curvas!$AB42, 'Fluxos de Recebimento'!$F$65:$F$116, 0), MATCH(Curvas!CB$2, 'Fluxos de Recebimento'!$I$63:$BH$63, 0)),0)*INDEX($E:$E, MATCH(CB$2, $B:$B, 0))</f>
        <v>0</v>
      </c>
      <c r="CC42" s="193">
        <f>IFERROR(INDEX('Fluxos de Recebimento'!$I$7:$BH$58, MATCH(Curvas!$AB42, 'Fluxos de Recebimento'!$F$7:$F$58, 0), MATCH(Curvas!CC$2,'Fluxos de Recebimento'!$I$5:$BH$5, 0))+INDEX('Fluxos de Recebimento'!$I$65:$BH$116, MATCH(Curvas!$AB42, 'Fluxos de Recebimento'!$F$65:$F$116, 0), MATCH(Curvas!CC$2, 'Fluxos de Recebimento'!$I$63:$BH$63, 0)),0)*INDEX($E:$E, MATCH(CC$2, $B:$B, 0))</f>
        <v>0</v>
      </c>
    </row>
    <row r="43" spans="1:81" x14ac:dyDescent="0.25">
      <c r="A43" s="2"/>
      <c r="B43" s="477">
        <f t="shared" si="34"/>
        <v>45352</v>
      </c>
      <c r="C43" s="52">
        <f t="shared" si="35"/>
        <v>40</v>
      </c>
      <c r="D43" s="2"/>
      <c r="E43" s="187">
        <f t="shared" si="22"/>
        <v>0</v>
      </c>
      <c r="F43" s="48">
        <f t="shared" si="36"/>
        <v>0.99999999999999978</v>
      </c>
      <c r="G43" s="46">
        <f t="shared" ca="1" si="23"/>
        <v>4.1666666666666671E-2</v>
      </c>
      <c r="H43" s="48">
        <f t="shared" ca="1" si="37"/>
        <v>0.99999999999999989</v>
      </c>
      <c r="I43" s="2"/>
      <c r="J43" s="69">
        <f t="shared" ca="1" si="24"/>
        <v>0</v>
      </c>
      <c r="K43" s="479">
        <f t="shared" ca="1" si="25"/>
        <v>0</v>
      </c>
      <c r="L43" s="70">
        <f t="shared" ca="1" si="26"/>
        <v>0</v>
      </c>
      <c r="M43" s="2"/>
      <c r="N43" s="69">
        <f t="shared" si="27"/>
        <v>1</v>
      </c>
      <c r="O43" s="479">
        <f t="shared" si="28"/>
        <v>0</v>
      </c>
      <c r="P43" s="70">
        <f t="shared" si="29"/>
        <v>1</v>
      </c>
      <c r="Q43" s="2"/>
      <c r="R43" s="71">
        <f t="shared" ca="1" si="30"/>
        <v>1</v>
      </c>
      <c r="S43" s="196"/>
      <c r="T43" s="46">
        <v>0</v>
      </c>
      <c r="U43" s="48">
        <f t="shared" si="38"/>
        <v>0.99999999999999978</v>
      </c>
      <c r="V43" s="2"/>
      <c r="W43" s="56"/>
      <c r="X43" s="48"/>
      <c r="Y43" s="2"/>
      <c r="Z43" s="194">
        <f t="shared" si="31"/>
        <v>2.9166666666666667E-2</v>
      </c>
      <c r="AA43" s="2"/>
      <c r="AB43" s="477">
        <f t="shared" si="32"/>
        <v>45352</v>
      </c>
      <c r="AC43" s="52">
        <f t="shared" si="33"/>
        <v>40</v>
      </c>
      <c r="AD43" s="193">
        <f>IFERROR(INDEX('Fluxos de Recebimento'!$I$7:$BH$58, MATCH(Curvas!$AB43, 'Fluxos de Recebimento'!$F$7:$F$58, 0), MATCH(Curvas!AD$2,'Fluxos de Recebimento'!$I$5:$BH$5, 0))+INDEX('Fluxos de Recebimento'!$I$65:$BH$116, MATCH(Curvas!$AB43, 'Fluxos de Recebimento'!$F$65:$F$116, 0), MATCH(Curvas!AD$2, 'Fluxos de Recebimento'!$I$63:$BH$63, 0)),0)*INDEX($E:$E, MATCH(AD$2, $B:$B, 0))</f>
        <v>0</v>
      </c>
      <c r="AE43" s="193">
        <f>IFERROR(INDEX('Fluxos de Recebimento'!$I$7:$BH$58, MATCH(Curvas!$AB43, 'Fluxos de Recebimento'!$F$7:$F$58, 0), MATCH(Curvas!AE$2,'Fluxos de Recebimento'!$I$5:$BH$5, 0))+INDEX('Fluxos de Recebimento'!$I$65:$BH$116, MATCH(Curvas!$AB43, 'Fluxos de Recebimento'!$F$65:$F$116, 0), MATCH(Curvas!AE$2, 'Fluxos de Recebimento'!$I$63:$BH$63, 0)),0)*INDEX($E:$E, MATCH(AE$2, $B:$B, 0))</f>
        <v>0</v>
      </c>
      <c r="AF43" s="193">
        <f>IFERROR(INDEX('Fluxos de Recebimento'!$I$7:$BH$58, MATCH(Curvas!$AB43, 'Fluxos de Recebimento'!$F$7:$F$58, 0), MATCH(Curvas!AF$2,'Fluxos de Recebimento'!$I$5:$BH$5, 0))+INDEX('Fluxos de Recebimento'!$I$65:$BH$116, MATCH(Curvas!$AB43, 'Fluxos de Recebimento'!$F$65:$F$116, 0), MATCH(Curvas!AF$2, 'Fluxos de Recebimento'!$I$63:$BH$63, 0)),0)*INDEX($E:$E, MATCH(AF$2, $B:$B, 0))</f>
        <v>0</v>
      </c>
      <c r="AG43" s="193">
        <f>IFERROR(INDEX('Fluxos de Recebimento'!$I$7:$BH$58, MATCH(Curvas!$AB43, 'Fluxos de Recebimento'!$F$7:$F$58, 0), MATCH(Curvas!AG$2,'Fluxos de Recebimento'!$I$5:$BH$5, 0))+INDEX('Fluxos de Recebimento'!$I$65:$BH$116, MATCH(Curvas!$AB43, 'Fluxos de Recebimento'!$F$65:$F$116, 0), MATCH(Curvas!AG$2, 'Fluxos de Recebimento'!$I$63:$BH$63, 0)),0)*INDEX($E:$E, MATCH(AG$2, $B:$B, 0))</f>
        <v>0</v>
      </c>
      <c r="AH43" s="193">
        <f>IFERROR(INDEX('Fluxos de Recebimento'!$I$7:$BH$58, MATCH(Curvas!$AB43, 'Fluxos de Recebimento'!$F$7:$F$58, 0), MATCH(Curvas!AH$2,'Fluxos de Recebimento'!$I$5:$BH$5, 0))+INDEX('Fluxos de Recebimento'!$I$65:$BH$116, MATCH(Curvas!$AB43, 'Fluxos de Recebimento'!$F$65:$F$116, 0), MATCH(Curvas!AH$2, 'Fluxos de Recebimento'!$I$63:$BH$63, 0)),0)*INDEX($E:$E, MATCH(AH$2, $B:$B, 0))</f>
        <v>0</v>
      </c>
      <c r="AI43" s="193">
        <f>IFERROR(INDEX('Fluxos de Recebimento'!$I$7:$BH$58, MATCH(Curvas!$AB43, 'Fluxos de Recebimento'!$F$7:$F$58, 0), MATCH(Curvas!AI$2,'Fluxos de Recebimento'!$I$5:$BH$5, 0))+INDEX('Fluxos de Recebimento'!$I$65:$BH$116, MATCH(Curvas!$AB43, 'Fluxos de Recebimento'!$F$65:$F$116, 0), MATCH(Curvas!AI$2, 'Fluxos de Recebimento'!$I$63:$BH$63, 0)),0)*INDEX($E:$E, MATCH(AI$2, $B:$B, 0))</f>
        <v>0</v>
      </c>
      <c r="AJ43" s="193">
        <f>IFERROR(INDEX('Fluxos de Recebimento'!$I$7:$BH$58, MATCH(Curvas!$AB43, 'Fluxos de Recebimento'!$F$7:$F$58, 0), MATCH(Curvas!AJ$2,'Fluxos de Recebimento'!$I$5:$BH$5, 0))+INDEX('Fluxos de Recebimento'!$I$65:$BH$116, MATCH(Curvas!$AB43, 'Fluxos de Recebimento'!$F$65:$F$116, 0), MATCH(Curvas!AJ$2, 'Fluxos de Recebimento'!$I$63:$BH$63, 0)),0)*INDEX($E:$E, MATCH(AJ$2, $B:$B, 0))</f>
        <v>0</v>
      </c>
      <c r="AK43" s="193">
        <f>IFERROR(INDEX('Fluxos de Recebimento'!$I$7:$BH$58, MATCH(Curvas!$AB43, 'Fluxos de Recebimento'!$F$7:$F$58, 0), MATCH(Curvas!AK$2,'Fluxos de Recebimento'!$I$5:$BH$5, 0))+INDEX('Fluxos de Recebimento'!$I$65:$BH$116, MATCH(Curvas!$AB43, 'Fluxos de Recebimento'!$F$65:$F$116, 0), MATCH(Curvas!AK$2, 'Fluxos de Recebimento'!$I$63:$BH$63, 0)),0)*INDEX($E:$E, MATCH(AK$2, $B:$B, 0))</f>
        <v>0</v>
      </c>
      <c r="AL43" s="193">
        <f>IFERROR(INDEX('Fluxos de Recebimento'!$I$7:$BH$58, MATCH(Curvas!$AB43, 'Fluxos de Recebimento'!$F$7:$F$58, 0), MATCH(Curvas!AL$2,'Fluxos de Recebimento'!$I$5:$BH$5, 0))+INDEX('Fluxos de Recebimento'!$I$65:$BH$116, MATCH(Curvas!$AB43, 'Fluxos de Recebimento'!$F$65:$F$116, 0), MATCH(Curvas!AL$2, 'Fluxos de Recebimento'!$I$63:$BH$63, 0)),0)*INDEX($E:$E, MATCH(AL$2, $B:$B, 0))</f>
        <v>0</v>
      </c>
      <c r="AM43" s="193">
        <f>IFERROR(INDEX('Fluxos de Recebimento'!$I$7:$BH$58, MATCH(Curvas!$AB43, 'Fluxos de Recebimento'!$F$7:$F$58, 0), MATCH(Curvas!AM$2,'Fluxos de Recebimento'!$I$5:$BH$5, 0))+INDEX('Fluxos de Recebimento'!$I$65:$BH$116, MATCH(Curvas!$AB43, 'Fluxos de Recebimento'!$F$65:$F$116, 0), MATCH(Curvas!AM$2, 'Fluxos de Recebimento'!$I$63:$BH$63, 0)),0)*INDEX($E:$E, MATCH(AM$2, $B:$B, 0))</f>
        <v>0</v>
      </c>
      <c r="AN43" s="193">
        <f>IFERROR(INDEX('Fluxos de Recebimento'!$I$7:$BH$58, MATCH(Curvas!$AB43, 'Fluxos de Recebimento'!$F$7:$F$58, 0), MATCH(Curvas!AN$2,'Fluxos de Recebimento'!$I$5:$BH$5, 0))+INDEX('Fluxos de Recebimento'!$I$65:$BH$116, MATCH(Curvas!$AB43, 'Fluxos de Recebimento'!$F$65:$F$116, 0), MATCH(Curvas!AN$2, 'Fluxos de Recebimento'!$I$63:$BH$63, 0)),0)*INDEX($E:$E, MATCH(AN$2, $B:$B, 0))</f>
        <v>0</v>
      </c>
      <c r="AO43" s="193">
        <f>IFERROR(INDEX('Fluxos de Recebimento'!$I$7:$BH$58, MATCH(Curvas!$AB43, 'Fluxos de Recebimento'!$F$7:$F$58, 0), MATCH(Curvas!AO$2,'Fluxos de Recebimento'!$I$5:$BH$5, 0))+INDEX('Fluxos de Recebimento'!$I$65:$BH$116, MATCH(Curvas!$AB43, 'Fluxos de Recebimento'!$F$65:$F$116, 0), MATCH(Curvas!AO$2, 'Fluxos de Recebimento'!$I$63:$BH$63, 0)),0)*INDEX($E:$E, MATCH(AO$2, $B:$B, 0))</f>
        <v>0</v>
      </c>
      <c r="AP43" s="193">
        <f>IFERROR(INDEX('Fluxos de Recebimento'!$I$7:$BH$58, MATCH(Curvas!$AB43, 'Fluxos de Recebimento'!$F$7:$F$58, 0), MATCH(Curvas!AP$2,'Fluxos de Recebimento'!$I$5:$BH$5, 0))+INDEX('Fluxos de Recebimento'!$I$65:$BH$116, MATCH(Curvas!$AB43, 'Fluxos de Recebimento'!$F$65:$F$116, 0), MATCH(Curvas!AP$2, 'Fluxos de Recebimento'!$I$63:$BH$63, 0)),0)*INDEX($E:$E, MATCH(AP$2, $B:$B, 0))</f>
        <v>0</v>
      </c>
      <c r="AQ43" s="193">
        <f>IFERROR(INDEX('Fluxos de Recebimento'!$I$7:$BH$58, MATCH(Curvas!$AB43, 'Fluxos de Recebimento'!$F$7:$F$58, 0), MATCH(Curvas!AQ$2,'Fluxos de Recebimento'!$I$5:$BH$5, 0))+INDEX('Fluxos de Recebimento'!$I$65:$BH$116, MATCH(Curvas!$AB43, 'Fluxos de Recebimento'!$F$65:$F$116, 0), MATCH(Curvas!AQ$2, 'Fluxos de Recebimento'!$I$63:$BH$63, 0)),0)*INDEX($E:$E, MATCH(AQ$2, $B:$B, 0))</f>
        <v>0</v>
      </c>
      <c r="AR43" s="193">
        <f>IFERROR(INDEX('Fluxos de Recebimento'!$I$7:$BH$58, MATCH(Curvas!$AB43, 'Fluxos de Recebimento'!$F$7:$F$58, 0), MATCH(Curvas!AR$2,'Fluxos de Recebimento'!$I$5:$BH$5, 0))+INDEX('Fluxos de Recebimento'!$I$65:$BH$116, MATCH(Curvas!$AB43, 'Fluxos de Recebimento'!$F$65:$F$116, 0), MATCH(Curvas!AR$2, 'Fluxos de Recebimento'!$I$63:$BH$63, 0)),0)*INDEX($E:$E, MATCH(AR$2, $B:$B, 0))</f>
        <v>0</v>
      </c>
      <c r="AS43" s="193">
        <f>IFERROR(INDEX('Fluxos de Recebimento'!$I$7:$BH$58, MATCH(Curvas!$AB43, 'Fluxos de Recebimento'!$F$7:$F$58, 0), MATCH(Curvas!AS$2,'Fluxos de Recebimento'!$I$5:$BH$5, 0))+INDEX('Fluxos de Recebimento'!$I$65:$BH$116, MATCH(Curvas!$AB43, 'Fluxos de Recebimento'!$F$65:$F$116, 0), MATCH(Curvas!AS$2, 'Fluxos de Recebimento'!$I$63:$BH$63, 0)),0)*INDEX($E:$E, MATCH(AS$2, $B:$B, 0))</f>
        <v>0</v>
      </c>
      <c r="AT43" s="193">
        <f>IFERROR(INDEX('Fluxos de Recebimento'!$I$7:$BH$58, MATCH(Curvas!$AB43, 'Fluxos de Recebimento'!$F$7:$F$58, 0), MATCH(Curvas!AT$2,'Fluxos de Recebimento'!$I$5:$BH$5, 0))+INDEX('Fluxos de Recebimento'!$I$65:$BH$116, MATCH(Curvas!$AB43, 'Fluxos de Recebimento'!$F$65:$F$116, 0), MATCH(Curvas!AT$2, 'Fluxos de Recebimento'!$I$63:$BH$63, 0)),0)*INDEX($E:$E, MATCH(AT$2, $B:$B, 0))</f>
        <v>0</v>
      </c>
      <c r="AU43" s="193">
        <f>IFERROR(INDEX('Fluxos de Recebimento'!$I$7:$BH$58, MATCH(Curvas!$AB43, 'Fluxos de Recebimento'!$F$7:$F$58, 0), MATCH(Curvas!AU$2,'Fluxos de Recebimento'!$I$5:$BH$5, 0))+INDEX('Fluxos de Recebimento'!$I$65:$BH$116, MATCH(Curvas!$AB43, 'Fluxos de Recebimento'!$F$65:$F$116, 0), MATCH(Curvas!AU$2, 'Fluxos de Recebimento'!$I$63:$BH$63, 0)),0)*INDEX($E:$E, MATCH(AU$2, $B:$B, 0))</f>
        <v>0</v>
      </c>
      <c r="AV43" s="193">
        <f>IFERROR(INDEX('Fluxos de Recebimento'!$I$7:$BH$58, MATCH(Curvas!$AB43, 'Fluxos de Recebimento'!$F$7:$F$58, 0), MATCH(Curvas!AV$2,'Fluxos de Recebimento'!$I$5:$BH$5, 0))+INDEX('Fluxos de Recebimento'!$I$65:$BH$116, MATCH(Curvas!$AB43, 'Fluxos de Recebimento'!$F$65:$F$116, 0), MATCH(Curvas!AV$2, 'Fluxos de Recebimento'!$I$63:$BH$63, 0)),0)*INDEX($E:$E, MATCH(AV$2, $B:$B, 0))</f>
        <v>0</v>
      </c>
      <c r="AW43" s="193">
        <f>IFERROR(INDEX('Fluxos de Recebimento'!$I$7:$BH$58, MATCH(Curvas!$AB43, 'Fluxos de Recebimento'!$F$7:$F$58, 0), MATCH(Curvas!AW$2,'Fluxos de Recebimento'!$I$5:$BH$5, 0))+INDEX('Fluxos de Recebimento'!$I$65:$BH$116, MATCH(Curvas!$AB43, 'Fluxos de Recebimento'!$F$65:$F$116, 0), MATCH(Curvas!AW$2, 'Fluxos de Recebimento'!$I$63:$BH$63, 0)),0)*INDEX($E:$E, MATCH(AW$2, $B:$B, 0))</f>
        <v>0</v>
      </c>
      <c r="AX43" s="193">
        <f>IFERROR(INDEX('Fluxos de Recebimento'!$I$7:$BH$58, MATCH(Curvas!$AB43, 'Fluxos de Recebimento'!$F$7:$F$58, 0), MATCH(Curvas!AX$2,'Fluxos de Recebimento'!$I$5:$BH$5, 0))+INDEX('Fluxos de Recebimento'!$I$65:$BH$116, MATCH(Curvas!$AB43, 'Fluxos de Recebimento'!$F$65:$F$116, 0), MATCH(Curvas!AX$2, 'Fluxos de Recebimento'!$I$63:$BH$63, 0)),0)*INDEX($E:$E, MATCH(AX$2, $B:$B, 0))</f>
        <v>0</v>
      </c>
      <c r="AY43" s="193">
        <f>IFERROR(INDEX('Fluxos de Recebimento'!$I$7:$BH$58, MATCH(Curvas!$AB43, 'Fluxos de Recebimento'!$F$7:$F$58, 0), MATCH(Curvas!AY$2,'Fluxos de Recebimento'!$I$5:$BH$5, 0))+INDEX('Fluxos de Recebimento'!$I$65:$BH$116, MATCH(Curvas!$AB43, 'Fluxos de Recebimento'!$F$65:$F$116, 0), MATCH(Curvas!AY$2, 'Fluxos de Recebimento'!$I$63:$BH$63, 0)),0)*INDEX($E:$E, MATCH(AY$2, $B:$B, 0))</f>
        <v>0</v>
      </c>
      <c r="AZ43" s="193">
        <f>IFERROR(INDEX('Fluxos de Recebimento'!$I$7:$BH$58, MATCH(Curvas!$AB43, 'Fluxos de Recebimento'!$F$7:$F$58, 0), MATCH(Curvas!AZ$2,'Fluxos de Recebimento'!$I$5:$BH$5, 0))+INDEX('Fluxos de Recebimento'!$I$65:$BH$116, MATCH(Curvas!$AB43, 'Fluxos de Recebimento'!$F$65:$F$116, 0), MATCH(Curvas!AZ$2, 'Fluxos de Recebimento'!$I$63:$BH$63, 0)),0)*INDEX($E:$E, MATCH(AZ$2, $B:$B, 0))</f>
        <v>0</v>
      </c>
      <c r="BA43" s="193">
        <f>IFERROR(INDEX('Fluxos de Recebimento'!$I$7:$BH$58, MATCH(Curvas!$AB43, 'Fluxos de Recebimento'!$F$7:$F$58, 0), MATCH(Curvas!BA$2,'Fluxos de Recebimento'!$I$5:$BH$5, 0))+INDEX('Fluxos de Recebimento'!$I$65:$BH$116, MATCH(Curvas!$AB43, 'Fluxos de Recebimento'!$F$65:$F$116, 0), MATCH(Curvas!BA$2, 'Fluxos de Recebimento'!$I$63:$BH$63, 0)),0)*INDEX($E:$E, MATCH(BA$2, $B:$B, 0))</f>
        <v>0</v>
      </c>
      <c r="BB43" s="193">
        <f>IFERROR(INDEX('Fluxos de Recebimento'!$I$7:$BH$58, MATCH(Curvas!$AB43, 'Fluxos de Recebimento'!$F$7:$F$58, 0), MATCH(Curvas!BB$2,'Fluxos de Recebimento'!$I$5:$BH$5, 0))+INDEX('Fluxos de Recebimento'!$I$65:$BH$116, MATCH(Curvas!$AB43, 'Fluxos de Recebimento'!$F$65:$F$116, 0), MATCH(Curvas!BB$2, 'Fluxos de Recebimento'!$I$63:$BH$63, 0)),0)*INDEX($E:$E, MATCH(BB$2, $B:$B, 0))</f>
        <v>0</v>
      </c>
      <c r="BC43" s="193">
        <f>IFERROR(INDEX('Fluxos de Recebimento'!$I$7:$BH$58, MATCH(Curvas!$AB43, 'Fluxos de Recebimento'!$F$7:$F$58, 0), MATCH(Curvas!BC$2,'Fluxos de Recebimento'!$I$5:$BH$5, 0))+INDEX('Fluxos de Recebimento'!$I$65:$BH$116, MATCH(Curvas!$AB43, 'Fluxos de Recebimento'!$F$65:$F$116, 0), MATCH(Curvas!BC$2, 'Fluxos de Recebimento'!$I$63:$BH$63, 0)),0)*INDEX($E:$E, MATCH(BC$2, $B:$B, 0))</f>
        <v>0</v>
      </c>
      <c r="BD43" s="193">
        <f>IFERROR(INDEX('Fluxos de Recebimento'!$I$7:$BH$58, MATCH(Curvas!$AB43, 'Fluxos de Recebimento'!$F$7:$F$58, 0), MATCH(Curvas!BD$2,'Fluxos de Recebimento'!$I$5:$BH$5, 0))+INDEX('Fluxos de Recebimento'!$I$65:$BH$116, MATCH(Curvas!$AB43, 'Fluxos de Recebimento'!$F$65:$F$116, 0), MATCH(Curvas!BD$2, 'Fluxos de Recebimento'!$I$63:$BH$63, 0)),0)*INDEX($E:$E, MATCH(BD$2, $B:$B, 0))</f>
        <v>0</v>
      </c>
      <c r="BE43" s="193">
        <f>IFERROR(INDEX('Fluxos de Recebimento'!$I$7:$BH$58, MATCH(Curvas!$AB43, 'Fluxos de Recebimento'!$F$7:$F$58, 0), MATCH(Curvas!BE$2,'Fluxos de Recebimento'!$I$5:$BH$5, 0))+INDEX('Fluxos de Recebimento'!$I$65:$BH$116, MATCH(Curvas!$AB43, 'Fluxos de Recebimento'!$F$65:$F$116, 0), MATCH(Curvas!BE$2, 'Fluxos de Recebimento'!$I$63:$BH$63, 0)),0)*INDEX($E:$E, MATCH(BE$2, $B:$B, 0))</f>
        <v>0</v>
      </c>
      <c r="BF43" s="193">
        <f>IFERROR(INDEX('Fluxos de Recebimento'!$I$7:$BH$58, MATCH(Curvas!$AB43, 'Fluxos de Recebimento'!$F$7:$F$58, 0), MATCH(Curvas!BF$2,'Fluxos de Recebimento'!$I$5:$BH$5, 0))+INDEX('Fluxos de Recebimento'!$I$65:$BH$116, MATCH(Curvas!$AB43, 'Fluxos de Recebimento'!$F$65:$F$116, 0), MATCH(Curvas!BF$2, 'Fluxos de Recebimento'!$I$63:$BH$63, 0)),0)*INDEX($E:$E, MATCH(BF$2, $B:$B, 0))</f>
        <v>0</v>
      </c>
      <c r="BG43" s="193">
        <f>IFERROR(INDEX('Fluxos de Recebimento'!$I$7:$BH$58, MATCH(Curvas!$AB43, 'Fluxos de Recebimento'!$F$7:$F$58, 0), MATCH(Curvas!BG$2,'Fluxos de Recebimento'!$I$5:$BH$5, 0))+INDEX('Fluxos de Recebimento'!$I$65:$BH$116, MATCH(Curvas!$AB43, 'Fluxos de Recebimento'!$F$65:$F$116, 0), MATCH(Curvas!BG$2, 'Fluxos de Recebimento'!$I$63:$BH$63, 0)),0)*INDEX($E:$E, MATCH(BG$2, $B:$B, 0))</f>
        <v>0</v>
      </c>
      <c r="BH43" s="193">
        <f>IFERROR(INDEX('Fluxos de Recebimento'!$I$7:$BH$58, MATCH(Curvas!$AB43, 'Fluxos de Recebimento'!$F$7:$F$58, 0), MATCH(Curvas!BH$2,'Fluxos de Recebimento'!$I$5:$BH$5, 0))+INDEX('Fluxos de Recebimento'!$I$65:$BH$116, MATCH(Curvas!$AB43, 'Fluxos de Recebimento'!$F$65:$F$116, 0), MATCH(Curvas!BH$2, 'Fluxos de Recebimento'!$I$63:$BH$63, 0)),0)*INDEX($E:$E, MATCH(BH$2, $B:$B, 0))</f>
        <v>0</v>
      </c>
      <c r="BI43" s="193">
        <f>IFERROR(INDEX('Fluxos de Recebimento'!$I$7:$BH$58, MATCH(Curvas!$AB43, 'Fluxos de Recebimento'!$F$7:$F$58, 0), MATCH(Curvas!BI$2,'Fluxos de Recebimento'!$I$5:$BH$5, 0))+INDEX('Fluxos de Recebimento'!$I$65:$BH$116, MATCH(Curvas!$AB43, 'Fluxos de Recebimento'!$F$65:$F$116, 0), MATCH(Curvas!BI$2, 'Fluxos de Recebimento'!$I$63:$BH$63, 0)),0)*INDEX($E:$E, MATCH(BI$2, $B:$B, 0))</f>
        <v>0</v>
      </c>
      <c r="BJ43" s="193">
        <f>IFERROR(INDEX('Fluxos de Recebimento'!$I$7:$BH$58, MATCH(Curvas!$AB43, 'Fluxos de Recebimento'!$F$7:$F$58, 0), MATCH(Curvas!BJ$2,'Fluxos de Recebimento'!$I$5:$BH$5, 0))+INDEX('Fluxos de Recebimento'!$I$65:$BH$116, MATCH(Curvas!$AB43, 'Fluxos de Recebimento'!$F$65:$F$116, 0), MATCH(Curvas!BJ$2, 'Fluxos de Recebimento'!$I$63:$BH$63, 0)),0)*INDEX($E:$E, MATCH(BJ$2, $B:$B, 0))</f>
        <v>0</v>
      </c>
      <c r="BK43" s="193">
        <f>IFERROR(INDEX('Fluxos de Recebimento'!$I$7:$BH$58, MATCH(Curvas!$AB43, 'Fluxos de Recebimento'!$F$7:$F$58, 0), MATCH(Curvas!BK$2,'Fluxos de Recebimento'!$I$5:$BH$5, 0))+INDEX('Fluxos de Recebimento'!$I$65:$BH$116, MATCH(Curvas!$AB43, 'Fluxos de Recebimento'!$F$65:$F$116, 0), MATCH(Curvas!BK$2, 'Fluxos de Recebimento'!$I$63:$BH$63, 0)),0)*INDEX($E:$E, MATCH(BK$2, $B:$B, 0))</f>
        <v>0</v>
      </c>
      <c r="BL43" s="193">
        <f>IFERROR(INDEX('Fluxos de Recebimento'!$I$7:$BH$58, MATCH(Curvas!$AB43, 'Fluxos de Recebimento'!$F$7:$F$58, 0), MATCH(Curvas!BL$2,'Fluxos de Recebimento'!$I$5:$BH$5, 0))+INDEX('Fluxos de Recebimento'!$I$65:$BH$116, MATCH(Curvas!$AB43, 'Fluxos de Recebimento'!$F$65:$F$116, 0), MATCH(Curvas!BL$2, 'Fluxos de Recebimento'!$I$63:$BH$63, 0)),0)*INDEX($E:$E, MATCH(BL$2, $B:$B, 0))</f>
        <v>0</v>
      </c>
      <c r="BM43" s="193">
        <f>IFERROR(INDEX('Fluxos de Recebimento'!$I$7:$BH$58, MATCH(Curvas!$AB43, 'Fluxos de Recebimento'!$F$7:$F$58, 0), MATCH(Curvas!BM$2,'Fluxos de Recebimento'!$I$5:$BH$5, 0))+INDEX('Fluxos de Recebimento'!$I$65:$BH$116, MATCH(Curvas!$AB43, 'Fluxos de Recebimento'!$F$65:$F$116, 0), MATCH(Curvas!BM$2, 'Fluxos de Recebimento'!$I$63:$BH$63, 0)),0)*INDEX($E:$E, MATCH(BM$2, $B:$B, 0))</f>
        <v>0</v>
      </c>
      <c r="BN43" s="193">
        <f>IFERROR(INDEX('Fluxos de Recebimento'!$I$7:$BH$58, MATCH(Curvas!$AB43, 'Fluxos de Recebimento'!$F$7:$F$58, 0), MATCH(Curvas!BN$2,'Fluxos de Recebimento'!$I$5:$BH$5, 0))+INDEX('Fluxos de Recebimento'!$I$65:$BH$116, MATCH(Curvas!$AB43, 'Fluxos de Recebimento'!$F$65:$F$116, 0), MATCH(Curvas!BN$2, 'Fluxos de Recebimento'!$I$63:$BH$63, 0)),0)*INDEX($E:$E, MATCH(BN$2, $B:$B, 0))</f>
        <v>2.9166666666666667E-2</v>
      </c>
      <c r="BO43" s="193">
        <f>IFERROR(INDEX('Fluxos de Recebimento'!$I$7:$BH$58, MATCH(Curvas!$AB43, 'Fluxos de Recebimento'!$F$7:$F$58, 0), MATCH(Curvas!BO$2,'Fluxos de Recebimento'!$I$5:$BH$5, 0))+INDEX('Fluxos de Recebimento'!$I$65:$BH$116, MATCH(Curvas!$AB43, 'Fluxos de Recebimento'!$F$65:$F$116, 0), MATCH(Curvas!BO$2, 'Fluxos de Recebimento'!$I$63:$BH$63, 0)),0)*INDEX($E:$E, MATCH(BO$2, $B:$B, 0))</f>
        <v>0</v>
      </c>
      <c r="BP43" s="193">
        <f>IFERROR(INDEX('Fluxos de Recebimento'!$I$7:$BH$58, MATCH(Curvas!$AB43, 'Fluxos de Recebimento'!$F$7:$F$58, 0), MATCH(Curvas!BP$2,'Fluxos de Recebimento'!$I$5:$BH$5, 0))+INDEX('Fluxos de Recebimento'!$I$65:$BH$116, MATCH(Curvas!$AB43, 'Fluxos de Recebimento'!$F$65:$F$116, 0), MATCH(Curvas!BP$2, 'Fluxos de Recebimento'!$I$63:$BH$63, 0)),0)*INDEX($E:$E, MATCH(BP$2, $B:$B, 0))</f>
        <v>0</v>
      </c>
      <c r="BQ43" s="193">
        <f>IFERROR(INDEX('Fluxos de Recebimento'!$I$7:$BH$58, MATCH(Curvas!$AB43, 'Fluxos de Recebimento'!$F$7:$F$58, 0), MATCH(Curvas!BQ$2,'Fluxos de Recebimento'!$I$5:$BH$5, 0))+INDEX('Fluxos de Recebimento'!$I$65:$BH$116, MATCH(Curvas!$AB43, 'Fluxos de Recebimento'!$F$65:$F$116, 0), MATCH(Curvas!BQ$2, 'Fluxos de Recebimento'!$I$63:$BH$63, 0)),0)*INDEX($E:$E, MATCH(BQ$2, $B:$B, 0))</f>
        <v>0</v>
      </c>
      <c r="BR43" s="193">
        <f>IFERROR(INDEX('Fluxos de Recebimento'!$I$7:$BH$58, MATCH(Curvas!$AB43, 'Fluxos de Recebimento'!$F$7:$F$58, 0), MATCH(Curvas!BR$2,'Fluxos de Recebimento'!$I$5:$BH$5, 0))+INDEX('Fluxos de Recebimento'!$I$65:$BH$116, MATCH(Curvas!$AB43, 'Fluxos de Recebimento'!$F$65:$F$116, 0), MATCH(Curvas!BR$2, 'Fluxos de Recebimento'!$I$63:$BH$63, 0)),0)*INDEX($E:$E, MATCH(BR$2, $B:$B, 0))</f>
        <v>0</v>
      </c>
      <c r="BS43" s="193">
        <f>IFERROR(INDEX('Fluxos de Recebimento'!$I$7:$BH$58, MATCH(Curvas!$AB43, 'Fluxos de Recebimento'!$F$7:$F$58, 0), MATCH(Curvas!BS$2,'Fluxos de Recebimento'!$I$5:$BH$5, 0))+INDEX('Fluxos de Recebimento'!$I$65:$BH$116, MATCH(Curvas!$AB43, 'Fluxos de Recebimento'!$F$65:$F$116, 0), MATCH(Curvas!BS$2, 'Fluxos de Recebimento'!$I$63:$BH$63, 0)),0)*INDEX($E:$E, MATCH(BS$2, $B:$B, 0))</f>
        <v>0</v>
      </c>
      <c r="BT43" s="193">
        <f>IFERROR(INDEX('Fluxos de Recebimento'!$I$7:$BH$58, MATCH(Curvas!$AB43, 'Fluxos de Recebimento'!$F$7:$F$58, 0), MATCH(Curvas!BT$2,'Fluxos de Recebimento'!$I$5:$BH$5, 0))+INDEX('Fluxos de Recebimento'!$I$65:$BH$116, MATCH(Curvas!$AB43, 'Fluxos de Recebimento'!$F$65:$F$116, 0), MATCH(Curvas!BT$2, 'Fluxos de Recebimento'!$I$63:$BH$63, 0)),0)*INDEX($E:$E, MATCH(BT$2, $B:$B, 0))</f>
        <v>0</v>
      </c>
      <c r="BU43" s="193">
        <f>IFERROR(INDEX('Fluxos de Recebimento'!$I$7:$BH$58, MATCH(Curvas!$AB43, 'Fluxos de Recebimento'!$F$7:$F$58, 0), MATCH(Curvas!BU$2,'Fluxos de Recebimento'!$I$5:$BH$5, 0))+INDEX('Fluxos de Recebimento'!$I$65:$BH$116, MATCH(Curvas!$AB43, 'Fluxos de Recebimento'!$F$65:$F$116, 0), MATCH(Curvas!BU$2, 'Fluxos de Recebimento'!$I$63:$BH$63, 0)),0)*INDEX($E:$E, MATCH(BU$2, $B:$B, 0))</f>
        <v>0</v>
      </c>
      <c r="BV43" s="193">
        <f>IFERROR(INDEX('Fluxos de Recebimento'!$I$7:$BH$58, MATCH(Curvas!$AB43, 'Fluxos de Recebimento'!$F$7:$F$58, 0), MATCH(Curvas!BV$2,'Fluxos de Recebimento'!$I$5:$BH$5, 0))+INDEX('Fluxos de Recebimento'!$I$65:$BH$116, MATCH(Curvas!$AB43, 'Fluxos de Recebimento'!$F$65:$F$116, 0), MATCH(Curvas!BV$2, 'Fluxos de Recebimento'!$I$63:$BH$63, 0)),0)*INDEX($E:$E, MATCH(BV$2, $B:$B, 0))</f>
        <v>0</v>
      </c>
      <c r="BW43" s="193">
        <f>IFERROR(INDEX('Fluxos de Recebimento'!$I$7:$BH$58, MATCH(Curvas!$AB43, 'Fluxos de Recebimento'!$F$7:$F$58, 0), MATCH(Curvas!BW$2,'Fluxos de Recebimento'!$I$5:$BH$5, 0))+INDEX('Fluxos de Recebimento'!$I$65:$BH$116, MATCH(Curvas!$AB43, 'Fluxos de Recebimento'!$F$65:$F$116, 0), MATCH(Curvas!BW$2, 'Fluxos de Recebimento'!$I$63:$BH$63, 0)),0)*INDEX($E:$E, MATCH(BW$2, $B:$B, 0))</f>
        <v>0</v>
      </c>
      <c r="BX43" s="193">
        <f>IFERROR(INDEX('Fluxos de Recebimento'!$I$7:$BH$58, MATCH(Curvas!$AB43, 'Fluxos de Recebimento'!$F$7:$F$58, 0), MATCH(Curvas!BX$2,'Fluxos de Recebimento'!$I$5:$BH$5, 0))+INDEX('Fluxos de Recebimento'!$I$65:$BH$116, MATCH(Curvas!$AB43, 'Fluxos de Recebimento'!$F$65:$F$116, 0), MATCH(Curvas!BX$2, 'Fluxos de Recebimento'!$I$63:$BH$63, 0)),0)*INDEX($E:$E, MATCH(BX$2, $B:$B, 0))</f>
        <v>0</v>
      </c>
      <c r="BY43" s="193">
        <f>IFERROR(INDEX('Fluxos de Recebimento'!$I$7:$BH$58, MATCH(Curvas!$AB43, 'Fluxos de Recebimento'!$F$7:$F$58, 0), MATCH(Curvas!BY$2,'Fluxos de Recebimento'!$I$5:$BH$5, 0))+INDEX('Fluxos de Recebimento'!$I$65:$BH$116, MATCH(Curvas!$AB43, 'Fluxos de Recebimento'!$F$65:$F$116, 0), MATCH(Curvas!BY$2, 'Fluxos de Recebimento'!$I$63:$BH$63, 0)),0)*INDEX($E:$E, MATCH(BY$2, $B:$B, 0))</f>
        <v>0</v>
      </c>
      <c r="BZ43" s="193">
        <f>IFERROR(INDEX('Fluxos de Recebimento'!$I$7:$BH$58, MATCH(Curvas!$AB43, 'Fluxos de Recebimento'!$F$7:$F$58, 0), MATCH(Curvas!BZ$2,'Fluxos de Recebimento'!$I$5:$BH$5, 0))+INDEX('Fluxos de Recebimento'!$I$65:$BH$116, MATCH(Curvas!$AB43, 'Fluxos de Recebimento'!$F$65:$F$116, 0), MATCH(Curvas!BZ$2, 'Fluxos de Recebimento'!$I$63:$BH$63, 0)),0)*INDEX($E:$E, MATCH(BZ$2, $B:$B, 0))</f>
        <v>0</v>
      </c>
      <c r="CA43" s="193">
        <f>IFERROR(INDEX('Fluxos de Recebimento'!$I$7:$BH$58, MATCH(Curvas!$AB43, 'Fluxos de Recebimento'!$F$7:$F$58, 0), MATCH(Curvas!CA$2,'Fluxos de Recebimento'!$I$5:$BH$5, 0))+INDEX('Fluxos de Recebimento'!$I$65:$BH$116, MATCH(Curvas!$AB43, 'Fluxos de Recebimento'!$F$65:$F$116, 0), MATCH(Curvas!CA$2, 'Fluxos de Recebimento'!$I$63:$BH$63, 0)),0)*INDEX($E:$E, MATCH(CA$2, $B:$B, 0))</f>
        <v>0</v>
      </c>
      <c r="CB43" s="193">
        <f>IFERROR(INDEX('Fluxos de Recebimento'!$I$7:$BH$58, MATCH(Curvas!$AB43, 'Fluxos de Recebimento'!$F$7:$F$58, 0), MATCH(Curvas!CB$2,'Fluxos de Recebimento'!$I$5:$BH$5, 0))+INDEX('Fluxos de Recebimento'!$I$65:$BH$116, MATCH(Curvas!$AB43, 'Fluxos de Recebimento'!$F$65:$F$116, 0), MATCH(Curvas!CB$2, 'Fluxos de Recebimento'!$I$63:$BH$63, 0)),0)*INDEX($E:$E, MATCH(CB$2, $B:$B, 0))</f>
        <v>0</v>
      </c>
      <c r="CC43" s="193">
        <f>IFERROR(INDEX('Fluxos de Recebimento'!$I$7:$BH$58, MATCH(Curvas!$AB43, 'Fluxos de Recebimento'!$F$7:$F$58, 0), MATCH(Curvas!CC$2,'Fluxos de Recebimento'!$I$5:$BH$5, 0))+INDEX('Fluxos de Recebimento'!$I$65:$BH$116, MATCH(Curvas!$AB43, 'Fluxos de Recebimento'!$F$65:$F$116, 0), MATCH(Curvas!CC$2, 'Fluxos de Recebimento'!$I$63:$BH$63, 0)),0)*INDEX($E:$E, MATCH(CC$2, $B:$B, 0))</f>
        <v>0</v>
      </c>
    </row>
    <row r="44" spans="1:81" x14ac:dyDescent="0.25">
      <c r="A44" s="2"/>
      <c r="B44" s="477">
        <f t="shared" si="34"/>
        <v>45383</v>
      </c>
      <c r="C44" s="52">
        <f t="shared" si="35"/>
        <v>41</v>
      </c>
      <c r="D44" s="2"/>
      <c r="E44" s="187">
        <f t="shared" si="22"/>
        <v>0</v>
      </c>
      <c r="F44" s="48">
        <f t="shared" si="36"/>
        <v>0.99999999999999978</v>
      </c>
      <c r="G44" s="46">
        <f t="shared" ca="1" si="23"/>
        <v>0</v>
      </c>
      <c r="H44" s="48">
        <f t="shared" ca="1" si="37"/>
        <v>0.99999999999999989</v>
      </c>
      <c r="I44" s="2"/>
      <c r="J44" s="69">
        <f t="shared" ca="1" si="24"/>
        <v>0</v>
      </c>
      <c r="K44" s="479">
        <f t="shared" ca="1" si="25"/>
        <v>0</v>
      </c>
      <c r="L44" s="70">
        <f t="shared" ca="1" si="26"/>
        <v>0</v>
      </c>
      <c r="M44" s="2"/>
      <c r="N44" s="69">
        <f t="shared" si="27"/>
        <v>1</v>
      </c>
      <c r="O44" s="479">
        <f t="shared" si="28"/>
        <v>0</v>
      </c>
      <c r="P44" s="70">
        <f t="shared" si="29"/>
        <v>1</v>
      </c>
      <c r="Q44" s="2"/>
      <c r="R44" s="71">
        <f t="shared" ca="1" si="30"/>
        <v>1</v>
      </c>
      <c r="S44" s="196"/>
      <c r="T44" s="46">
        <v>0</v>
      </c>
      <c r="U44" s="48">
        <f t="shared" si="38"/>
        <v>0.99999999999999978</v>
      </c>
      <c r="V44" s="2"/>
      <c r="W44" s="56"/>
      <c r="X44" s="48"/>
      <c r="Y44" s="2"/>
      <c r="Z44" s="194">
        <f t="shared" si="31"/>
        <v>0</v>
      </c>
      <c r="AA44" s="2"/>
      <c r="AB44" s="477">
        <f t="shared" si="32"/>
        <v>45383</v>
      </c>
      <c r="AC44" s="52">
        <f t="shared" si="33"/>
        <v>41</v>
      </c>
      <c r="AD44" s="193">
        <f>IFERROR(INDEX('Fluxos de Recebimento'!$I$7:$BH$58, MATCH(Curvas!$AB44, 'Fluxos de Recebimento'!$F$7:$F$58, 0), MATCH(Curvas!AD$2,'Fluxos de Recebimento'!$I$5:$BH$5, 0))+INDEX('Fluxos de Recebimento'!$I$65:$BH$116, MATCH(Curvas!$AB44, 'Fluxos de Recebimento'!$F$65:$F$116, 0), MATCH(Curvas!AD$2, 'Fluxos de Recebimento'!$I$63:$BH$63, 0)),0)*INDEX($E:$E, MATCH(AD$2, $B:$B, 0))</f>
        <v>0</v>
      </c>
      <c r="AE44" s="193">
        <f>IFERROR(INDEX('Fluxos de Recebimento'!$I$7:$BH$58, MATCH(Curvas!$AB44, 'Fluxos de Recebimento'!$F$7:$F$58, 0), MATCH(Curvas!AE$2,'Fluxos de Recebimento'!$I$5:$BH$5, 0))+INDEX('Fluxos de Recebimento'!$I$65:$BH$116, MATCH(Curvas!$AB44, 'Fluxos de Recebimento'!$F$65:$F$116, 0), MATCH(Curvas!AE$2, 'Fluxos de Recebimento'!$I$63:$BH$63, 0)),0)*INDEX($E:$E, MATCH(AE$2, $B:$B, 0))</f>
        <v>0</v>
      </c>
      <c r="AF44" s="193">
        <f>IFERROR(INDEX('Fluxos de Recebimento'!$I$7:$BH$58, MATCH(Curvas!$AB44, 'Fluxos de Recebimento'!$F$7:$F$58, 0), MATCH(Curvas!AF$2,'Fluxos de Recebimento'!$I$5:$BH$5, 0))+INDEX('Fluxos de Recebimento'!$I$65:$BH$116, MATCH(Curvas!$AB44, 'Fluxos de Recebimento'!$F$65:$F$116, 0), MATCH(Curvas!AF$2, 'Fluxos de Recebimento'!$I$63:$BH$63, 0)),0)*INDEX($E:$E, MATCH(AF$2, $B:$B, 0))</f>
        <v>0</v>
      </c>
      <c r="AG44" s="193">
        <f>IFERROR(INDEX('Fluxos de Recebimento'!$I$7:$BH$58, MATCH(Curvas!$AB44, 'Fluxos de Recebimento'!$F$7:$F$58, 0), MATCH(Curvas!AG$2,'Fluxos de Recebimento'!$I$5:$BH$5, 0))+INDEX('Fluxos de Recebimento'!$I$65:$BH$116, MATCH(Curvas!$AB44, 'Fluxos de Recebimento'!$F$65:$F$116, 0), MATCH(Curvas!AG$2, 'Fluxos de Recebimento'!$I$63:$BH$63, 0)),0)*INDEX($E:$E, MATCH(AG$2, $B:$B, 0))</f>
        <v>0</v>
      </c>
      <c r="AH44" s="193">
        <f>IFERROR(INDEX('Fluxos de Recebimento'!$I$7:$BH$58, MATCH(Curvas!$AB44, 'Fluxos de Recebimento'!$F$7:$F$58, 0), MATCH(Curvas!AH$2,'Fluxos de Recebimento'!$I$5:$BH$5, 0))+INDEX('Fluxos de Recebimento'!$I$65:$BH$116, MATCH(Curvas!$AB44, 'Fluxos de Recebimento'!$F$65:$F$116, 0), MATCH(Curvas!AH$2, 'Fluxos de Recebimento'!$I$63:$BH$63, 0)),0)*INDEX($E:$E, MATCH(AH$2, $B:$B, 0))</f>
        <v>0</v>
      </c>
      <c r="AI44" s="193">
        <f>IFERROR(INDEX('Fluxos de Recebimento'!$I$7:$BH$58, MATCH(Curvas!$AB44, 'Fluxos de Recebimento'!$F$7:$F$58, 0), MATCH(Curvas!AI$2,'Fluxos de Recebimento'!$I$5:$BH$5, 0))+INDEX('Fluxos de Recebimento'!$I$65:$BH$116, MATCH(Curvas!$AB44, 'Fluxos de Recebimento'!$F$65:$F$116, 0), MATCH(Curvas!AI$2, 'Fluxos de Recebimento'!$I$63:$BH$63, 0)),0)*INDEX($E:$E, MATCH(AI$2, $B:$B, 0))</f>
        <v>0</v>
      </c>
      <c r="AJ44" s="193">
        <f>IFERROR(INDEX('Fluxos de Recebimento'!$I$7:$BH$58, MATCH(Curvas!$AB44, 'Fluxos de Recebimento'!$F$7:$F$58, 0), MATCH(Curvas!AJ$2,'Fluxos de Recebimento'!$I$5:$BH$5, 0))+INDEX('Fluxos de Recebimento'!$I$65:$BH$116, MATCH(Curvas!$AB44, 'Fluxos de Recebimento'!$F$65:$F$116, 0), MATCH(Curvas!AJ$2, 'Fluxos de Recebimento'!$I$63:$BH$63, 0)),0)*INDEX($E:$E, MATCH(AJ$2, $B:$B, 0))</f>
        <v>0</v>
      </c>
      <c r="AK44" s="193">
        <f>IFERROR(INDEX('Fluxos de Recebimento'!$I$7:$BH$58, MATCH(Curvas!$AB44, 'Fluxos de Recebimento'!$F$7:$F$58, 0), MATCH(Curvas!AK$2,'Fluxos de Recebimento'!$I$5:$BH$5, 0))+INDEX('Fluxos de Recebimento'!$I$65:$BH$116, MATCH(Curvas!$AB44, 'Fluxos de Recebimento'!$F$65:$F$116, 0), MATCH(Curvas!AK$2, 'Fluxos de Recebimento'!$I$63:$BH$63, 0)),0)*INDEX($E:$E, MATCH(AK$2, $B:$B, 0))</f>
        <v>0</v>
      </c>
      <c r="AL44" s="193">
        <f>IFERROR(INDEX('Fluxos de Recebimento'!$I$7:$BH$58, MATCH(Curvas!$AB44, 'Fluxos de Recebimento'!$F$7:$F$58, 0), MATCH(Curvas!AL$2,'Fluxos de Recebimento'!$I$5:$BH$5, 0))+INDEX('Fluxos de Recebimento'!$I$65:$BH$116, MATCH(Curvas!$AB44, 'Fluxos de Recebimento'!$F$65:$F$116, 0), MATCH(Curvas!AL$2, 'Fluxos de Recebimento'!$I$63:$BH$63, 0)),0)*INDEX($E:$E, MATCH(AL$2, $B:$B, 0))</f>
        <v>0</v>
      </c>
      <c r="AM44" s="193">
        <f>IFERROR(INDEX('Fluxos de Recebimento'!$I$7:$BH$58, MATCH(Curvas!$AB44, 'Fluxos de Recebimento'!$F$7:$F$58, 0), MATCH(Curvas!AM$2,'Fluxos de Recebimento'!$I$5:$BH$5, 0))+INDEX('Fluxos de Recebimento'!$I$65:$BH$116, MATCH(Curvas!$AB44, 'Fluxos de Recebimento'!$F$65:$F$116, 0), MATCH(Curvas!AM$2, 'Fluxos de Recebimento'!$I$63:$BH$63, 0)),0)*INDEX($E:$E, MATCH(AM$2, $B:$B, 0))</f>
        <v>0</v>
      </c>
      <c r="AN44" s="193">
        <f>IFERROR(INDEX('Fluxos de Recebimento'!$I$7:$BH$58, MATCH(Curvas!$AB44, 'Fluxos de Recebimento'!$F$7:$F$58, 0), MATCH(Curvas!AN$2,'Fluxos de Recebimento'!$I$5:$BH$5, 0))+INDEX('Fluxos de Recebimento'!$I$65:$BH$116, MATCH(Curvas!$AB44, 'Fluxos de Recebimento'!$F$65:$F$116, 0), MATCH(Curvas!AN$2, 'Fluxos de Recebimento'!$I$63:$BH$63, 0)),0)*INDEX($E:$E, MATCH(AN$2, $B:$B, 0))</f>
        <v>0</v>
      </c>
      <c r="AO44" s="193">
        <f>IFERROR(INDEX('Fluxos de Recebimento'!$I$7:$BH$58, MATCH(Curvas!$AB44, 'Fluxos de Recebimento'!$F$7:$F$58, 0), MATCH(Curvas!AO$2,'Fluxos de Recebimento'!$I$5:$BH$5, 0))+INDEX('Fluxos de Recebimento'!$I$65:$BH$116, MATCH(Curvas!$AB44, 'Fluxos de Recebimento'!$F$65:$F$116, 0), MATCH(Curvas!AO$2, 'Fluxos de Recebimento'!$I$63:$BH$63, 0)),0)*INDEX($E:$E, MATCH(AO$2, $B:$B, 0))</f>
        <v>0</v>
      </c>
      <c r="AP44" s="193">
        <f>IFERROR(INDEX('Fluxos de Recebimento'!$I$7:$BH$58, MATCH(Curvas!$AB44, 'Fluxos de Recebimento'!$F$7:$F$58, 0), MATCH(Curvas!AP$2,'Fluxos de Recebimento'!$I$5:$BH$5, 0))+INDEX('Fluxos de Recebimento'!$I$65:$BH$116, MATCH(Curvas!$AB44, 'Fluxos de Recebimento'!$F$65:$F$116, 0), MATCH(Curvas!AP$2, 'Fluxos de Recebimento'!$I$63:$BH$63, 0)),0)*INDEX($E:$E, MATCH(AP$2, $B:$B, 0))</f>
        <v>0</v>
      </c>
      <c r="AQ44" s="193">
        <f>IFERROR(INDEX('Fluxos de Recebimento'!$I$7:$BH$58, MATCH(Curvas!$AB44, 'Fluxos de Recebimento'!$F$7:$F$58, 0), MATCH(Curvas!AQ$2,'Fluxos de Recebimento'!$I$5:$BH$5, 0))+INDEX('Fluxos de Recebimento'!$I$65:$BH$116, MATCH(Curvas!$AB44, 'Fluxos de Recebimento'!$F$65:$F$116, 0), MATCH(Curvas!AQ$2, 'Fluxos de Recebimento'!$I$63:$BH$63, 0)),0)*INDEX($E:$E, MATCH(AQ$2, $B:$B, 0))</f>
        <v>0</v>
      </c>
      <c r="AR44" s="193">
        <f>IFERROR(INDEX('Fluxos de Recebimento'!$I$7:$BH$58, MATCH(Curvas!$AB44, 'Fluxos de Recebimento'!$F$7:$F$58, 0), MATCH(Curvas!AR$2,'Fluxos de Recebimento'!$I$5:$BH$5, 0))+INDEX('Fluxos de Recebimento'!$I$65:$BH$116, MATCH(Curvas!$AB44, 'Fluxos de Recebimento'!$F$65:$F$116, 0), MATCH(Curvas!AR$2, 'Fluxos de Recebimento'!$I$63:$BH$63, 0)),0)*INDEX($E:$E, MATCH(AR$2, $B:$B, 0))</f>
        <v>0</v>
      </c>
      <c r="AS44" s="193">
        <f>IFERROR(INDEX('Fluxos de Recebimento'!$I$7:$BH$58, MATCH(Curvas!$AB44, 'Fluxos de Recebimento'!$F$7:$F$58, 0), MATCH(Curvas!AS$2,'Fluxos de Recebimento'!$I$5:$BH$5, 0))+INDEX('Fluxos de Recebimento'!$I$65:$BH$116, MATCH(Curvas!$AB44, 'Fluxos de Recebimento'!$F$65:$F$116, 0), MATCH(Curvas!AS$2, 'Fluxos de Recebimento'!$I$63:$BH$63, 0)),0)*INDEX($E:$E, MATCH(AS$2, $B:$B, 0))</f>
        <v>0</v>
      </c>
      <c r="AT44" s="193">
        <f>IFERROR(INDEX('Fluxos de Recebimento'!$I$7:$BH$58, MATCH(Curvas!$AB44, 'Fluxos de Recebimento'!$F$7:$F$58, 0), MATCH(Curvas!AT$2,'Fluxos de Recebimento'!$I$5:$BH$5, 0))+INDEX('Fluxos de Recebimento'!$I$65:$BH$116, MATCH(Curvas!$AB44, 'Fluxos de Recebimento'!$F$65:$F$116, 0), MATCH(Curvas!AT$2, 'Fluxos de Recebimento'!$I$63:$BH$63, 0)),0)*INDEX($E:$E, MATCH(AT$2, $B:$B, 0))</f>
        <v>0</v>
      </c>
      <c r="AU44" s="193">
        <f>IFERROR(INDEX('Fluxos de Recebimento'!$I$7:$BH$58, MATCH(Curvas!$AB44, 'Fluxos de Recebimento'!$F$7:$F$58, 0), MATCH(Curvas!AU$2,'Fluxos de Recebimento'!$I$5:$BH$5, 0))+INDEX('Fluxos de Recebimento'!$I$65:$BH$116, MATCH(Curvas!$AB44, 'Fluxos de Recebimento'!$F$65:$F$116, 0), MATCH(Curvas!AU$2, 'Fluxos de Recebimento'!$I$63:$BH$63, 0)),0)*INDEX($E:$E, MATCH(AU$2, $B:$B, 0))</f>
        <v>0</v>
      </c>
      <c r="AV44" s="193">
        <f>IFERROR(INDEX('Fluxos de Recebimento'!$I$7:$BH$58, MATCH(Curvas!$AB44, 'Fluxos de Recebimento'!$F$7:$F$58, 0), MATCH(Curvas!AV$2,'Fluxos de Recebimento'!$I$5:$BH$5, 0))+INDEX('Fluxos de Recebimento'!$I$65:$BH$116, MATCH(Curvas!$AB44, 'Fluxos de Recebimento'!$F$65:$F$116, 0), MATCH(Curvas!AV$2, 'Fluxos de Recebimento'!$I$63:$BH$63, 0)),0)*INDEX($E:$E, MATCH(AV$2, $B:$B, 0))</f>
        <v>0</v>
      </c>
      <c r="AW44" s="193">
        <f>IFERROR(INDEX('Fluxos de Recebimento'!$I$7:$BH$58, MATCH(Curvas!$AB44, 'Fluxos de Recebimento'!$F$7:$F$58, 0), MATCH(Curvas!AW$2,'Fluxos de Recebimento'!$I$5:$BH$5, 0))+INDEX('Fluxos de Recebimento'!$I$65:$BH$116, MATCH(Curvas!$AB44, 'Fluxos de Recebimento'!$F$65:$F$116, 0), MATCH(Curvas!AW$2, 'Fluxos de Recebimento'!$I$63:$BH$63, 0)),0)*INDEX($E:$E, MATCH(AW$2, $B:$B, 0))</f>
        <v>0</v>
      </c>
      <c r="AX44" s="193">
        <f>IFERROR(INDEX('Fluxos de Recebimento'!$I$7:$BH$58, MATCH(Curvas!$AB44, 'Fluxos de Recebimento'!$F$7:$F$58, 0), MATCH(Curvas!AX$2,'Fluxos de Recebimento'!$I$5:$BH$5, 0))+INDEX('Fluxos de Recebimento'!$I$65:$BH$116, MATCH(Curvas!$AB44, 'Fluxos de Recebimento'!$F$65:$F$116, 0), MATCH(Curvas!AX$2, 'Fluxos de Recebimento'!$I$63:$BH$63, 0)),0)*INDEX($E:$E, MATCH(AX$2, $B:$B, 0))</f>
        <v>0</v>
      </c>
      <c r="AY44" s="193">
        <f>IFERROR(INDEX('Fluxos de Recebimento'!$I$7:$BH$58, MATCH(Curvas!$AB44, 'Fluxos de Recebimento'!$F$7:$F$58, 0), MATCH(Curvas!AY$2,'Fluxos de Recebimento'!$I$5:$BH$5, 0))+INDEX('Fluxos de Recebimento'!$I$65:$BH$116, MATCH(Curvas!$AB44, 'Fluxos de Recebimento'!$F$65:$F$116, 0), MATCH(Curvas!AY$2, 'Fluxos de Recebimento'!$I$63:$BH$63, 0)),0)*INDEX($E:$E, MATCH(AY$2, $B:$B, 0))</f>
        <v>0</v>
      </c>
      <c r="AZ44" s="193">
        <f>IFERROR(INDEX('Fluxos de Recebimento'!$I$7:$BH$58, MATCH(Curvas!$AB44, 'Fluxos de Recebimento'!$F$7:$F$58, 0), MATCH(Curvas!AZ$2,'Fluxos de Recebimento'!$I$5:$BH$5, 0))+INDEX('Fluxos de Recebimento'!$I$65:$BH$116, MATCH(Curvas!$AB44, 'Fluxos de Recebimento'!$F$65:$F$116, 0), MATCH(Curvas!AZ$2, 'Fluxos de Recebimento'!$I$63:$BH$63, 0)),0)*INDEX($E:$E, MATCH(AZ$2, $B:$B, 0))</f>
        <v>0</v>
      </c>
      <c r="BA44" s="193">
        <f>IFERROR(INDEX('Fluxos de Recebimento'!$I$7:$BH$58, MATCH(Curvas!$AB44, 'Fluxos de Recebimento'!$F$7:$F$58, 0), MATCH(Curvas!BA$2,'Fluxos de Recebimento'!$I$5:$BH$5, 0))+INDEX('Fluxos de Recebimento'!$I$65:$BH$116, MATCH(Curvas!$AB44, 'Fluxos de Recebimento'!$F$65:$F$116, 0), MATCH(Curvas!BA$2, 'Fluxos de Recebimento'!$I$63:$BH$63, 0)),0)*INDEX($E:$E, MATCH(BA$2, $B:$B, 0))</f>
        <v>0</v>
      </c>
      <c r="BB44" s="193">
        <f>IFERROR(INDEX('Fluxos de Recebimento'!$I$7:$BH$58, MATCH(Curvas!$AB44, 'Fluxos de Recebimento'!$F$7:$F$58, 0), MATCH(Curvas!BB$2,'Fluxos de Recebimento'!$I$5:$BH$5, 0))+INDEX('Fluxos de Recebimento'!$I$65:$BH$116, MATCH(Curvas!$AB44, 'Fluxos de Recebimento'!$F$65:$F$116, 0), MATCH(Curvas!BB$2, 'Fluxos de Recebimento'!$I$63:$BH$63, 0)),0)*INDEX($E:$E, MATCH(BB$2, $B:$B, 0))</f>
        <v>0</v>
      </c>
      <c r="BC44" s="193">
        <f>IFERROR(INDEX('Fluxos de Recebimento'!$I$7:$BH$58, MATCH(Curvas!$AB44, 'Fluxos de Recebimento'!$F$7:$F$58, 0), MATCH(Curvas!BC$2,'Fluxos de Recebimento'!$I$5:$BH$5, 0))+INDEX('Fluxos de Recebimento'!$I$65:$BH$116, MATCH(Curvas!$AB44, 'Fluxos de Recebimento'!$F$65:$F$116, 0), MATCH(Curvas!BC$2, 'Fluxos de Recebimento'!$I$63:$BH$63, 0)),0)*INDEX($E:$E, MATCH(BC$2, $B:$B, 0))</f>
        <v>0</v>
      </c>
      <c r="BD44" s="193">
        <f>IFERROR(INDEX('Fluxos de Recebimento'!$I$7:$BH$58, MATCH(Curvas!$AB44, 'Fluxos de Recebimento'!$F$7:$F$58, 0), MATCH(Curvas!BD$2,'Fluxos de Recebimento'!$I$5:$BH$5, 0))+INDEX('Fluxos de Recebimento'!$I$65:$BH$116, MATCH(Curvas!$AB44, 'Fluxos de Recebimento'!$F$65:$F$116, 0), MATCH(Curvas!BD$2, 'Fluxos de Recebimento'!$I$63:$BH$63, 0)),0)*INDEX($E:$E, MATCH(BD$2, $B:$B, 0))</f>
        <v>0</v>
      </c>
      <c r="BE44" s="193">
        <f>IFERROR(INDEX('Fluxos de Recebimento'!$I$7:$BH$58, MATCH(Curvas!$AB44, 'Fluxos de Recebimento'!$F$7:$F$58, 0), MATCH(Curvas!BE$2,'Fluxos de Recebimento'!$I$5:$BH$5, 0))+INDEX('Fluxos de Recebimento'!$I$65:$BH$116, MATCH(Curvas!$AB44, 'Fluxos de Recebimento'!$F$65:$F$116, 0), MATCH(Curvas!BE$2, 'Fluxos de Recebimento'!$I$63:$BH$63, 0)),0)*INDEX($E:$E, MATCH(BE$2, $B:$B, 0))</f>
        <v>0</v>
      </c>
      <c r="BF44" s="193">
        <f>IFERROR(INDEX('Fluxos de Recebimento'!$I$7:$BH$58, MATCH(Curvas!$AB44, 'Fluxos de Recebimento'!$F$7:$F$58, 0), MATCH(Curvas!BF$2,'Fluxos de Recebimento'!$I$5:$BH$5, 0))+INDEX('Fluxos de Recebimento'!$I$65:$BH$116, MATCH(Curvas!$AB44, 'Fluxos de Recebimento'!$F$65:$F$116, 0), MATCH(Curvas!BF$2, 'Fluxos de Recebimento'!$I$63:$BH$63, 0)),0)*INDEX($E:$E, MATCH(BF$2, $B:$B, 0))</f>
        <v>0</v>
      </c>
      <c r="BG44" s="193">
        <f>IFERROR(INDEX('Fluxos de Recebimento'!$I$7:$BH$58, MATCH(Curvas!$AB44, 'Fluxos de Recebimento'!$F$7:$F$58, 0), MATCH(Curvas!BG$2,'Fluxos de Recebimento'!$I$5:$BH$5, 0))+INDEX('Fluxos de Recebimento'!$I$65:$BH$116, MATCH(Curvas!$AB44, 'Fluxos de Recebimento'!$F$65:$F$116, 0), MATCH(Curvas!BG$2, 'Fluxos de Recebimento'!$I$63:$BH$63, 0)),0)*INDEX($E:$E, MATCH(BG$2, $B:$B, 0))</f>
        <v>0</v>
      </c>
      <c r="BH44" s="193">
        <f>IFERROR(INDEX('Fluxos de Recebimento'!$I$7:$BH$58, MATCH(Curvas!$AB44, 'Fluxos de Recebimento'!$F$7:$F$58, 0), MATCH(Curvas!BH$2,'Fluxos de Recebimento'!$I$5:$BH$5, 0))+INDEX('Fluxos de Recebimento'!$I$65:$BH$116, MATCH(Curvas!$AB44, 'Fluxos de Recebimento'!$F$65:$F$116, 0), MATCH(Curvas!BH$2, 'Fluxos de Recebimento'!$I$63:$BH$63, 0)),0)*INDEX($E:$E, MATCH(BH$2, $B:$B, 0))</f>
        <v>0</v>
      </c>
      <c r="BI44" s="193">
        <f>IFERROR(INDEX('Fluxos de Recebimento'!$I$7:$BH$58, MATCH(Curvas!$AB44, 'Fluxos de Recebimento'!$F$7:$F$58, 0), MATCH(Curvas!BI$2,'Fluxos de Recebimento'!$I$5:$BH$5, 0))+INDEX('Fluxos de Recebimento'!$I$65:$BH$116, MATCH(Curvas!$AB44, 'Fluxos de Recebimento'!$F$65:$F$116, 0), MATCH(Curvas!BI$2, 'Fluxos de Recebimento'!$I$63:$BH$63, 0)),0)*INDEX($E:$E, MATCH(BI$2, $B:$B, 0))</f>
        <v>0</v>
      </c>
      <c r="BJ44" s="193">
        <f>IFERROR(INDEX('Fluxos de Recebimento'!$I$7:$BH$58, MATCH(Curvas!$AB44, 'Fluxos de Recebimento'!$F$7:$F$58, 0), MATCH(Curvas!BJ$2,'Fluxos de Recebimento'!$I$5:$BH$5, 0))+INDEX('Fluxos de Recebimento'!$I$65:$BH$116, MATCH(Curvas!$AB44, 'Fluxos de Recebimento'!$F$65:$F$116, 0), MATCH(Curvas!BJ$2, 'Fluxos de Recebimento'!$I$63:$BH$63, 0)),0)*INDEX($E:$E, MATCH(BJ$2, $B:$B, 0))</f>
        <v>0</v>
      </c>
      <c r="BK44" s="193">
        <f>IFERROR(INDEX('Fluxos de Recebimento'!$I$7:$BH$58, MATCH(Curvas!$AB44, 'Fluxos de Recebimento'!$F$7:$F$58, 0), MATCH(Curvas!BK$2,'Fluxos de Recebimento'!$I$5:$BH$5, 0))+INDEX('Fluxos de Recebimento'!$I$65:$BH$116, MATCH(Curvas!$AB44, 'Fluxos de Recebimento'!$F$65:$F$116, 0), MATCH(Curvas!BK$2, 'Fluxos de Recebimento'!$I$63:$BH$63, 0)),0)*INDEX($E:$E, MATCH(BK$2, $B:$B, 0))</f>
        <v>0</v>
      </c>
      <c r="BL44" s="193">
        <f>IFERROR(INDEX('Fluxos de Recebimento'!$I$7:$BH$58, MATCH(Curvas!$AB44, 'Fluxos de Recebimento'!$F$7:$F$58, 0), MATCH(Curvas!BL$2,'Fluxos de Recebimento'!$I$5:$BH$5, 0))+INDEX('Fluxos de Recebimento'!$I$65:$BH$116, MATCH(Curvas!$AB44, 'Fluxos de Recebimento'!$F$65:$F$116, 0), MATCH(Curvas!BL$2, 'Fluxos de Recebimento'!$I$63:$BH$63, 0)),0)*INDEX($E:$E, MATCH(BL$2, $B:$B, 0))</f>
        <v>0</v>
      </c>
      <c r="BM44" s="193">
        <f>IFERROR(INDEX('Fluxos de Recebimento'!$I$7:$BH$58, MATCH(Curvas!$AB44, 'Fluxos de Recebimento'!$F$7:$F$58, 0), MATCH(Curvas!BM$2,'Fluxos de Recebimento'!$I$5:$BH$5, 0))+INDEX('Fluxos de Recebimento'!$I$65:$BH$116, MATCH(Curvas!$AB44, 'Fluxos de Recebimento'!$F$65:$F$116, 0), MATCH(Curvas!BM$2, 'Fluxos de Recebimento'!$I$63:$BH$63, 0)),0)*INDEX($E:$E, MATCH(BM$2, $B:$B, 0))</f>
        <v>0</v>
      </c>
      <c r="BN44" s="193">
        <f>IFERROR(INDEX('Fluxos de Recebimento'!$I$7:$BH$58, MATCH(Curvas!$AB44, 'Fluxos de Recebimento'!$F$7:$F$58, 0), MATCH(Curvas!BN$2,'Fluxos de Recebimento'!$I$5:$BH$5, 0))+INDEX('Fluxos de Recebimento'!$I$65:$BH$116, MATCH(Curvas!$AB44, 'Fluxos de Recebimento'!$F$65:$F$116, 0), MATCH(Curvas!BN$2, 'Fluxos de Recebimento'!$I$63:$BH$63, 0)),0)*INDEX($E:$E, MATCH(BN$2, $B:$B, 0))</f>
        <v>0</v>
      </c>
      <c r="BO44" s="193">
        <f>IFERROR(INDEX('Fluxos de Recebimento'!$I$7:$BH$58, MATCH(Curvas!$AB44, 'Fluxos de Recebimento'!$F$7:$F$58, 0), MATCH(Curvas!BO$2,'Fluxos de Recebimento'!$I$5:$BH$5, 0))+INDEX('Fluxos de Recebimento'!$I$65:$BH$116, MATCH(Curvas!$AB44, 'Fluxos de Recebimento'!$F$65:$F$116, 0), MATCH(Curvas!BO$2, 'Fluxos de Recebimento'!$I$63:$BH$63, 0)),0)*INDEX($E:$E, MATCH(BO$2, $B:$B, 0))</f>
        <v>0</v>
      </c>
      <c r="BP44" s="193">
        <f>IFERROR(INDEX('Fluxos de Recebimento'!$I$7:$BH$58, MATCH(Curvas!$AB44, 'Fluxos de Recebimento'!$F$7:$F$58, 0), MATCH(Curvas!BP$2,'Fluxos de Recebimento'!$I$5:$BH$5, 0))+INDEX('Fluxos de Recebimento'!$I$65:$BH$116, MATCH(Curvas!$AB44, 'Fluxos de Recebimento'!$F$65:$F$116, 0), MATCH(Curvas!BP$2, 'Fluxos de Recebimento'!$I$63:$BH$63, 0)),0)*INDEX($E:$E, MATCH(BP$2, $B:$B, 0))</f>
        <v>0</v>
      </c>
      <c r="BQ44" s="193">
        <f>IFERROR(INDEX('Fluxos de Recebimento'!$I$7:$BH$58, MATCH(Curvas!$AB44, 'Fluxos de Recebimento'!$F$7:$F$58, 0), MATCH(Curvas!BQ$2,'Fluxos de Recebimento'!$I$5:$BH$5, 0))+INDEX('Fluxos de Recebimento'!$I$65:$BH$116, MATCH(Curvas!$AB44, 'Fluxos de Recebimento'!$F$65:$F$116, 0), MATCH(Curvas!BQ$2, 'Fluxos de Recebimento'!$I$63:$BH$63, 0)),0)*INDEX($E:$E, MATCH(BQ$2, $B:$B, 0))</f>
        <v>0</v>
      </c>
      <c r="BR44" s="193">
        <f>IFERROR(INDEX('Fluxos de Recebimento'!$I$7:$BH$58, MATCH(Curvas!$AB44, 'Fluxos de Recebimento'!$F$7:$F$58, 0), MATCH(Curvas!BR$2,'Fluxos de Recebimento'!$I$5:$BH$5, 0))+INDEX('Fluxos de Recebimento'!$I$65:$BH$116, MATCH(Curvas!$AB44, 'Fluxos de Recebimento'!$F$65:$F$116, 0), MATCH(Curvas!BR$2, 'Fluxos de Recebimento'!$I$63:$BH$63, 0)),0)*INDEX($E:$E, MATCH(BR$2, $B:$B, 0))</f>
        <v>0</v>
      </c>
      <c r="BS44" s="193">
        <f>IFERROR(INDEX('Fluxos de Recebimento'!$I$7:$BH$58, MATCH(Curvas!$AB44, 'Fluxos de Recebimento'!$F$7:$F$58, 0), MATCH(Curvas!BS$2,'Fluxos de Recebimento'!$I$5:$BH$5, 0))+INDEX('Fluxos de Recebimento'!$I$65:$BH$116, MATCH(Curvas!$AB44, 'Fluxos de Recebimento'!$F$65:$F$116, 0), MATCH(Curvas!BS$2, 'Fluxos de Recebimento'!$I$63:$BH$63, 0)),0)*INDEX($E:$E, MATCH(BS$2, $B:$B, 0))</f>
        <v>0</v>
      </c>
      <c r="BT44" s="193">
        <f>IFERROR(INDEX('Fluxos de Recebimento'!$I$7:$BH$58, MATCH(Curvas!$AB44, 'Fluxos de Recebimento'!$F$7:$F$58, 0), MATCH(Curvas!BT$2,'Fluxos de Recebimento'!$I$5:$BH$5, 0))+INDEX('Fluxos de Recebimento'!$I$65:$BH$116, MATCH(Curvas!$AB44, 'Fluxos de Recebimento'!$F$65:$F$116, 0), MATCH(Curvas!BT$2, 'Fluxos de Recebimento'!$I$63:$BH$63, 0)),0)*INDEX($E:$E, MATCH(BT$2, $B:$B, 0))</f>
        <v>0</v>
      </c>
      <c r="BU44" s="193">
        <f>IFERROR(INDEX('Fluxos de Recebimento'!$I$7:$BH$58, MATCH(Curvas!$AB44, 'Fluxos de Recebimento'!$F$7:$F$58, 0), MATCH(Curvas!BU$2,'Fluxos de Recebimento'!$I$5:$BH$5, 0))+INDEX('Fluxos de Recebimento'!$I$65:$BH$116, MATCH(Curvas!$AB44, 'Fluxos de Recebimento'!$F$65:$F$116, 0), MATCH(Curvas!BU$2, 'Fluxos de Recebimento'!$I$63:$BH$63, 0)),0)*INDEX($E:$E, MATCH(BU$2, $B:$B, 0))</f>
        <v>0</v>
      </c>
      <c r="BV44" s="193">
        <f>IFERROR(INDEX('Fluxos de Recebimento'!$I$7:$BH$58, MATCH(Curvas!$AB44, 'Fluxos de Recebimento'!$F$7:$F$58, 0), MATCH(Curvas!BV$2,'Fluxos de Recebimento'!$I$5:$BH$5, 0))+INDEX('Fluxos de Recebimento'!$I$65:$BH$116, MATCH(Curvas!$AB44, 'Fluxos de Recebimento'!$F$65:$F$116, 0), MATCH(Curvas!BV$2, 'Fluxos de Recebimento'!$I$63:$BH$63, 0)),0)*INDEX($E:$E, MATCH(BV$2, $B:$B, 0))</f>
        <v>0</v>
      </c>
      <c r="BW44" s="193">
        <f>IFERROR(INDEX('Fluxos de Recebimento'!$I$7:$BH$58, MATCH(Curvas!$AB44, 'Fluxos de Recebimento'!$F$7:$F$58, 0), MATCH(Curvas!BW$2,'Fluxos de Recebimento'!$I$5:$BH$5, 0))+INDEX('Fluxos de Recebimento'!$I$65:$BH$116, MATCH(Curvas!$AB44, 'Fluxos de Recebimento'!$F$65:$F$116, 0), MATCH(Curvas!BW$2, 'Fluxos de Recebimento'!$I$63:$BH$63, 0)),0)*INDEX($E:$E, MATCH(BW$2, $B:$B, 0))</f>
        <v>0</v>
      </c>
      <c r="BX44" s="193">
        <f>IFERROR(INDEX('Fluxos de Recebimento'!$I$7:$BH$58, MATCH(Curvas!$AB44, 'Fluxos de Recebimento'!$F$7:$F$58, 0), MATCH(Curvas!BX$2,'Fluxos de Recebimento'!$I$5:$BH$5, 0))+INDEX('Fluxos de Recebimento'!$I$65:$BH$116, MATCH(Curvas!$AB44, 'Fluxos de Recebimento'!$F$65:$F$116, 0), MATCH(Curvas!BX$2, 'Fluxos de Recebimento'!$I$63:$BH$63, 0)),0)*INDEX($E:$E, MATCH(BX$2, $B:$B, 0))</f>
        <v>0</v>
      </c>
      <c r="BY44" s="193">
        <f>IFERROR(INDEX('Fluxos de Recebimento'!$I$7:$BH$58, MATCH(Curvas!$AB44, 'Fluxos de Recebimento'!$F$7:$F$58, 0), MATCH(Curvas!BY$2,'Fluxos de Recebimento'!$I$5:$BH$5, 0))+INDEX('Fluxos de Recebimento'!$I$65:$BH$116, MATCH(Curvas!$AB44, 'Fluxos de Recebimento'!$F$65:$F$116, 0), MATCH(Curvas!BY$2, 'Fluxos de Recebimento'!$I$63:$BH$63, 0)),0)*INDEX($E:$E, MATCH(BY$2, $B:$B, 0))</f>
        <v>0</v>
      </c>
      <c r="BZ44" s="193">
        <f>IFERROR(INDEX('Fluxos de Recebimento'!$I$7:$BH$58, MATCH(Curvas!$AB44, 'Fluxos de Recebimento'!$F$7:$F$58, 0), MATCH(Curvas!BZ$2,'Fluxos de Recebimento'!$I$5:$BH$5, 0))+INDEX('Fluxos de Recebimento'!$I$65:$BH$116, MATCH(Curvas!$AB44, 'Fluxos de Recebimento'!$F$65:$F$116, 0), MATCH(Curvas!BZ$2, 'Fluxos de Recebimento'!$I$63:$BH$63, 0)),0)*INDEX($E:$E, MATCH(BZ$2, $B:$B, 0))</f>
        <v>0</v>
      </c>
      <c r="CA44" s="193">
        <f>IFERROR(INDEX('Fluxos de Recebimento'!$I$7:$BH$58, MATCH(Curvas!$AB44, 'Fluxos de Recebimento'!$F$7:$F$58, 0), MATCH(Curvas!CA$2,'Fluxos de Recebimento'!$I$5:$BH$5, 0))+INDEX('Fluxos de Recebimento'!$I$65:$BH$116, MATCH(Curvas!$AB44, 'Fluxos de Recebimento'!$F$65:$F$116, 0), MATCH(Curvas!CA$2, 'Fluxos de Recebimento'!$I$63:$BH$63, 0)),0)*INDEX($E:$E, MATCH(CA$2, $B:$B, 0))</f>
        <v>0</v>
      </c>
      <c r="CB44" s="193">
        <f>IFERROR(INDEX('Fluxos de Recebimento'!$I$7:$BH$58, MATCH(Curvas!$AB44, 'Fluxos de Recebimento'!$F$7:$F$58, 0), MATCH(Curvas!CB$2,'Fluxos de Recebimento'!$I$5:$BH$5, 0))+INDEX('Fluxos de Recebimento'!$I$65:$BH$116, MATCH(Curvas!$AB44, 'Fluxos de Recebimento'!$F$65:$F$116, 0), MATCH(Curvas!CB$2, 'Fluxos de Recebimento'!$I$63:$BH$63, 0)),0)*INDEX($E:$E, MATCH(CB$2, $B:$B, 0))</f>
        <v>0</v>
      </c>
      <c r="CC44" s="193">
        <f>IFERROR(INDEX('Fluxos de Recebimento'!$I$7:$BH$58, MATCH(Curvas!$AB44, 'Fluxos de Recebimento'!$F$7:$F$58, 0), MATCH(Curvas!CC$2,'Fluxos de Recebimento'!$I$5:$BH$5, 0))+INDEX('Fluxos de Recebimento'!$I$65:$BH$116, MATCH(Curvas!$AB44, 'Fluxos de Recebimento'!$F$65:$F$116, 0), MATCH(Curvas!CC$2, 'Fluxos de Recebimento'!$I$63:$BH$63, 0)),0)*INDEX($E:$E, MATCH(CC$2, $B:$B, 0))</f>
        <v>0</v>
      </c>
    </row>
    <row r="45" spans="1:81" x14ac:dyDescent="0.25">
      <c r="A45" s="2"/>
      <c r="B45" s="477">
        <f t="shared" si="34"/>
        <v>45413</v>
      </c>
      <c r="C45" s="52">
        <f t="shared" si="35"/>
        <v>42</v>
      </c>
      <c r="D45" s="2"/>
      <c r="E45" s="187">
        <f t="shared" si="22"/>
        <v>0</v>
      </c>
      <c r="F45" s="48">
        <f t="shared" si="36"/>
        <v>0.99999999999999978</v>
      </c>
      <c r="G45" s="46">
        <f t="shared" ca="1" si="23"/>
        <v>0</v>
      </c>
      <c r="H45" s="48">
        <f t="shared" ca="1" si="37"/>
        <v>0.99999999999999989</v>
      </c>
      <c r="I45" s="2"/>
      <c r="J45" s="69">
        <f t="shared" ca="1" si="24"/>
        <v>0</v>
      </c>
      <c r="K45" s="479">
        <f t="shared" ca="1" si="25"/>
        <v>0</v>
      </c>
      <c r="L45" s="70">
        <f t="shared" ca="1" si="26"/>
        <v>0</v>
      </c>
      <c r="M45" s="2"/>
      <c r="N45" s="69">
        <f t="shared" si="27"/>
        <v>1</v>
      </c>
      <c r="O45" s="479">
        <f t="shared" si="28"/>
        <v>0</v>
      </c>
      <c r="P45" s="70">
        <f t="shared" si="29"/>
        <v>1</v>
      </c>
      <c r="Q45" s="2"/>
      <c r="R45" s="71">
        <f t="shared" ca="1" si="30"/>
        <v>1</v>
      </c>
      <c r="S45" s="196"/>
      <c r="T45" s="46">
        <v>0</v>
      </c>
      <c r="U45" s="48">
        <f t="shared" si="38"/>
        <v>0.99999999999999978</v>
      </c>
      <c r="V45" s="2"/>
      <c r="W45" s="56"/>
      <c r="X45" s="48"/>
      <c r="Y45" s="2"/>
      <c r="Z45" s="194">
        <f t="shared" si="31"/>
        <v>0</v>
      </c>
      <c r="AA45" s="2"/>
      <c r="AB45" s="477">
        <f t="shared" si="32"/>
        <v>45413</v>
      </c>
      <c r="AC45" s="52">
        <f t="shared" si="33"/>
        <v>42</v>
      </c>
      <c r="AD45" s="193">
        <f>IFERROR(INDEX('Fluxos de Recebimento'!$I$7:$BH$58, MATCH(Curvas!$AB45, 'Fluxos de Recebimento'!$F$7:$F$58, 0), MATCH(Curvas!AD$2,'Fluxos de Recebimento'!$I$5:$BH$5, 0))+INDEX('Fluxos de Recebimento'!$I$65:$BH$116, MATCH(Curvas!$AB45, 'Fluxos de Recebimento'!$F$65:$F$116, 0), MATCH(Curvas!AD$2, 'Fluxos de Recebimento'!$I$63:$BH$63, 0)),0)*INDEX($E:$E, MATCH(AD$2, $B:$B, 0))</f>
        <v>0</v>
      </c>
      <c r="AE45" s="193">
        <f>IFERROR(INDEX('Fluxos de Recebimento'!$I$7:$BH$58, MATCH(Curvas!$AB45, 'Fluxos de Recebimento'!$F$7:$F$58, 0), MATCH(Curvas!AE$2,'Fluxos de Recebimento'!$I$5:$BH$5, 0))+INDEX('Fluxos de Recebimento'!$I$65:$BH$116, MATCH(Curvas!$AB45, 'Fluxos de Recebimento'!$F$65:$F$116, 0), MATCH(Curvas!AE$2, 'Fluxos de Recebimento'!$I$63:$BH$63, 0)),0)*INDEX($E:$E, MATCH(AE$2, $B:$B, 0))</f>
        <v>0</v>
      </c>
      <c r="AF45" s="193">
        <f>IFERROR(INDEX('Fluxos de Recebimento'!$I$7:$BH$58, MATCH(Curvas!$AB45, 'Fluxos de Recebimento'!$F$7:$F$58, 0), MATCH(Curvas!AF$2,'Fluxos de Recebimento'!$I$5:$BH$5, 0))+INDEX('Fluxos de Recebimento'!$I$65:$BH$116, MATCH(Curvas!$AB45, 'Fluxos de Recebimento'!$F$65:$F$116, 0), MATCH(Curvas!AF$2, 'Fluxos de Recebimento'!$I$63:$BH$63, 0)),0)*INDEX($E:$E, MATCH(AF$2, $B:$B, 0))</f>
        <v>0</v>
      </c>
      <c r="AG45" s="193">
        <f>IFERROR(INDEX('Fluxos de Recebimento'!$I$7:$BH$58, MATCH(Curvas!$AB45, 'Fluxos de Recebimento'!$F$7:$F$58, 0), MATCH(Curvas!AG$2,'Fluxos de Recebimento'!$I$5:$BH$5, 0))+INDEX('Fluxos de Recebimento'!$I$65:$BH$116, MATCH(Curvas!$AB45, 'Fluxos de Recebimento'!$F$65:$F$116, 0), MATCH(Curvas!AG$2, 'Fluxos de Recebimento'!$I$63:$BH$63, 0)),0)*INDEX($E:$E, MATCH(AG$2, $B:$B, 0))</f>
        <v>0</v>
      </c>
      <c r="AH45" s="193">
        <f>IFERROR(INDEX('Fluxos de Recebimento'!$I$7:$BH$58, MATCH(Curvas!$AB45, 'Fluxos de Recebimento'!$F$7:$F$58, 0), MATCH(Curvas!AH$2,'Fluxos de Recebimento'!$I$5:$BH$5, 0))+INDEX('Fluxos de Recebimento'!$I$65:$BH$116, MATCH(Curvas!$AB45, 'Fluxos de Recebimento'!$F$65:$F$116, 0), MATCH(Curvas!AH$2, 'Fluxos de Recebimento'!$I$63:$BH$63, 0)),0)*INDEX($E:$E, MATCH(AH$2, $B:$B, 0))</f>
        <v>0</v>
      </c>
      <c r="AI45" s="193">
        <f>IFERROR(INDEX('Fluxos de Recebimento'!$I$7:$BH$58, MATCH(Curvas!$AB45, 'Fluxos de Recebimento'!$F$7:$F$58, 0), MATCH(Curvas!AI$2,'Fluxos de Recebimento'!$I$5:$BH$5, 0))+INDEX('Fluxos de Recebimento'!$I$65:$BH$116, MATCH(Curvas!$AB45, 'Fluxos de Recebimento'!$F$65:$F$116, 0), MATCH(Curvas!AI$2, 'Fluxos de Recebimento'!$I$63:$BH$63, 0)),0)*INDEX($E:$E, MATCH(AI$2, $B:$B, 0))</f>
        <v>0</v>
      </c>
      <c r="AJ45" s="193">
        <f>IFERROR(INDEX('Fluxos de Recebimento'!$I$7:$BH$58, MATCH(Curvas!$AB45, 'Fluxos de Recebimento'!$F$7:$F$58, 0), MATCH(Curvas!AJ$2,'Fluxos de Recebimento'!$I$5:$BH$5, 0))+INDEX('Fluxos de Recebimento'!$I$65:$BH$116, MATCH(Curvas!$AB45, 'Fluxos de Recebimento'!$F$65:$F$116, 0), MATCH(Curvas!AJ$2, 'Fluxos de Recebimento'!$I$63:$BH$63, 0)),0)*INDEX($E:$E, MATCH(AJ$2, $B:$B, 0))</f>
        <v>0</v>
      </c>
      <c r="AK45" s="193">
        <f>IFERROR(INDEX('Fluxos de Recebimento'!$I$7:$BH$58, MATCH(Curvas!$AB45, 'Fluxos de Recebimento'!$F$7:$F$58, 0), MATCH(Curvas!AK$2,'Fluxos de Recebimento'!$I$5:$BH$5, 0))+INDEX('Fluxos de Recebimento'!$I$65:$BH$116, MATCH(Curvas!$AB45, 'Fluxos de Recebimento'!$F$65:$F$116, 0), MATCH(Curvas!AK$2, 'Fluxos de Recebimento'!$I$63:$BH$63, 0)),0)*INDEX($E:$E, MATCH(AK$2, $B:$B, 0))</f>
        <v>0</v>
      </c>
      <c r="AL45" s="193">
        <f>IFERROR(INDEX('Fluxos de Recebimento'!$I$7:$BH$58, MATCH(Curvas!$AB45, 'Fluxos de Recebimento'!$F$7:$F$58, 0), MATCH(Curvas!AL$2,'Fluxos de Recebimento'!$I$5:$BH$5, 0))+INDEX('Fluxos de Recebimento'!$I$65:$BH$116, MATCH(Curvas!$AB45, 'Fluxos de Recebimento'!$F$65:$F$116, 0), MATCH(Curvas!AL$2, 'Fluxos de Recebimento'!$I$63:$BH$63, 0)),0)*INDEX($E:$E, MATCH(AL$2, $B:$B, 0))</f>
        <v>0</v>
      </c>
      <c r="AM45" s="193">
        <f>IFERROR(INDEX('Fluxos de Recebimento'!$I$7:$BH$58, MATCH(Curvas!$AB45, 'Fluxos de Recebimento'!$F$7:$F$58, 0), MATCH(Curvas!AM$2,'Fluxos de Recebimento'!$I$5:$BH$5, 0))+INDEX('Fluxos de Recebimento'!$I$65:$BH$116, MATCH(Curvas!$AB45, 'Fluxos de Recebimento'!$F$65:$F$116, 0), MATCH(Curvas!AM$2, 'Fluxos de Recebimento'!$I$63:$BH$63, 0)),0)*INDEX($E:$E, MATCH(AM$2, $B:$B, 0))</f>
        <v>0</v>
      </c>
      <c r="AN45" s="193">
        <f>IFERROR(INDEX('Fluxos de Recebimento'!$I$7:$BH$58, MATCH(Curvas!$AB45, 'Fluxos de Recebimento'!$F$7:$F$58, 0), MATCH(Curvas!AN$2,'Fluxos de Recebimento'!$I$5:$BH$5, 0))+INDEX('Fluxos de Recebimento'!$I$65:$BH$116, MATCH(Curvas!$AB45, 'Fluxos de Recebimento'!$F$65:$F$116, 0), MATCH(Curvas!AN$2, 'Fluxos de Recebimento'!$I$63:$BH$63, 0)),0)*INDEX($E:$E, MATCH(AN$2, $B:$B, 0))</f>
        <v>0</v>
      </c>
      <c r="AO45" s="193">
        <f>IFERROR(INDEX('Fluxos de Recebimento'!$I$7:$BH$58, MATCH(Curvas!$AB45, 'Fluxos de Recebimento'!$F$7:$F$58, 0), MATCH(Curvas!AO$2,'Fluxos de Recebimento'!$I$5:$BH$5, 0))+INDEX('Fluxos de Recebimento'!$I$65:$BH$116, MATCH(Curvas!$AB45, 'Fluxos de Recebimento'!$F$65:$F$116, 0), MATCH(Curvas!AO$2, 'Fluxos de Recebimento'!$I$63:$BH$63, 0)),0)*INDEX($E:$E, MATCH(AO$2, $B:$B, 0))</f>
        <v>0</v>
      </c>
      <c r="AP45" s="193">
        <f>IFERROR(INDEX('Fluxos de Recebimento'!$I$7:$BH$58, MATCH(Curvas!$AB45, 'Fluxos de Recebimento'!$F$7:$F$58, 0), MATCH(Curvas!AP$2,'Fluxos de Recebimento'!$I$5:$BH$5, 0))+INDEX('Fluxos de Recebimento'!$I$65:$BH$116, MATCH(Curvas!$AB45, 'Fluxos de Recebimento'!$F$65:$F$116, 0), MATCH(Curvas!AP$2, 'Fluxos de Recebimento'!$I$63:$BH$63, 0)),0)*INDEX($E:$E, MATCH(AP$2, $B:$B, 0))</f>
        <v>0</v>
      </c>
      <c r="AQ45" s="193">
        <f>IFERROR(INDEX('Fluxos de Recebimento'!$I$7:$BH$58, MATCH(Curvas!$AB45, 'Fluxos de Recebimento'!$F$7:$F$58, 0), MATCH(Curvas!AQ$2,'Fluxos de Recebimento'!$I$5:$BH$5, 0))+INDEX('Fluxos de Recebimento'!$I$65:$BH$116, MATCH(Curvas!$AB45, 'Fluxos de Recebimento'!$F$65:$F$116, 0), MATCH(Curvas!AQ$2, 'Fluxos de Recebimento'!$I$63:$BH$63, 0)),0)*INDEX($E:$E, MATCH(AQ$2, $B:$B, 0))</f>
        <v>0</v>
      </c>
      <c r="AR45" s="193">
        <f>IFERROR(INDEX('Fluxos de Recebimento'!$I$7:$BH$58, MATCH(Curvas!$AB45, 'Fluxos de Recebimento'!$F$7:$F$58, 0), MATCH(Curvas!AR$2,'Fluxos de Recebimento'!$I$5:$BH$5, 0))+INDEX('Fluxos de Recebimento'!$I$65:$BH$116, MATCH(Curvas!$AB45, 'Fluxos de Recebimento'!$F$65:$F$116, 0), MATCH(Curvas!AR$2, 'Fluxos de Recebimento'!$I$63:$BH$63, 0)),0)*INDEX($E:$E, MATCH(AR$2, $B:$B, 0))</f>
        <v>0</v>
      </c>
      <c r="AS45" s="193">
        <f>IFERROR(INDEX('Fluxos de Recebimento'!$I$7:$BH$58, MATCH(Curvas!$AB45, 'Fluxos de Recebimento'!$F$7:$F$58, 0), MATCH(Curvas!AS$2,'Fluxos de Recebimento'!$I$5:$BH$5, 0))+INDEX('Fluxos de Recebimento'!$I$65:$BH$116, MATCH(Curvas!$AB45, 'Fluxos de Recebimento'!$F$65:$F$116, 0), MATCH(Curvas!AS$2, 'Fluxos de Recebimento'!$I$63:$BH$63, 0)),0)*INDEX($E:$E, MATCH(AS$2, $B:$B, 0))</f>
        <v>0</v>
      </c>
      <c r="AT45" s="193">
        <f>IFERROR(INDEX('Fluxos de Recebimento'!$I$7:$BH$58, MATCH(Curvas!$AB45, 'Fluxos de Recebimento'!$F$7:$F$58, 0), MATCH(Curvas!AT$2,'Fluxos de Recebimento'!$I$5:$BH$5, 0))+INDEX('Fluxos de Recebimento'!$I$65:$BH$116, MATCH(Curvas!$AB45, 'Fluxos de Recebimento'!$F$65:$F$116, 0), MATCH(Curvas!AT$2, 'Fluxos de Recebimento'!$I$63:$BH$63, 0)),0)*INDEX($E:$E, MATCH(AT$2, $B:$B, 0))</f>
        <v>0</v>
      </c>
      <c r="AU45" s="193">
        <f>IFERROR(INDEX('Fluxos de Recebimento'!$I$7:$BH$58, MATCH(Curvas!$AB45, 'Fluxos de Recebimento'!$F$7:$F$58, 0), MATCH(Curvas!AU$2,'Fluxos de Recebimento'!$I$5:$BH$5, 0))+INDEX('Fluxos de Recebimento'!$I$65:$BH$116, MATCH(Curvas!$AB45, 'Fluxos de Recebimento'!$F$65:$F$116, 0), MATCH(Curvas!AU$2, 'Fluxos de Recebimento'!$I$63:$BH$63, 0)),0)*INDEX($E:$E, MATCH(AU$2, $B:$B, 0))</f>
        <v>0</v>
      </c>
      <c r="AV45" s="193">
        <f>IFERROR(INDEX('Fluxos de Recebimento'!$I$7:$BH$58, MATCH(Curvas!$AB45, 'Fluxos de Recebimento'!$F$7:$F$58, 0), MATCH(Curvas!AV$2,'Fluxos de Recebimento'!$I$5:$BH$5, 0))+INDEX('Fluxos de Recebimento'!$I$65:$BH$116, MATCH(Curvas!$AB45, 'Fluxos de Recebimento'!$F$65:$F$116, 0), MATCH(Curvas!AV$2, 'Fluxos de Recebimento'!$I$63:$BH$63, 0)),0)*INDEX($E:$E, MATCH(AV$2, $B:$B, 0))</f>
        <v>0</v>
      </c>
      <c r="AW45" s="193">
        <f>IFERROR(INDEX('Fluxos de Recebimento'!$I$7:$BH$58, MATCH(Curvas!$AB45, 'Fluxos de Recebimento'!$F$7:$F$58, 0), MATCH(Curvas!AW$2,'Fluxos de Recebimento'!$I$5:$BH$5, 0))+INDEX('Fluxos de Recebimento'!$I$65:$BH$116, MATCH(Curvas!$AB45, 'Fluxos de Recebimento'!$F$65:$F$116, 0), MATCH(Curvas!AW$2, 'Fluxos de Recebimento'!$I$63:$BH$63, 0)),0)*INDEX($E:$E, MATCH(AW$2, $B:$B, 0))</f>
        <v>0</v>
      </c>
      <c r="AX45" s="193">
        <f>IFERROR(INDEX('Fluxos de Recebimento'!$I$7:$BH$58, MATCH(Curvas!$AB45, 'Fluxos de Recebimento'!$F$7:$F$58, 0), MATCH(Curvas!AX$2,'Fluxos de Recebimento'!$I$5:$BH$5, 0))+INDEX('Fluxos de Recebimento'!$I$65:$BH$116, MATCH(Curvas!$AB45, 'Fluxos de Recebimento'!$F$65:$F$116, 0), MATCH(Curvas!AX$2, 'Fluxos de Recebimento'!$I$63:$BH$63, 0)),0)*INDEX($E:$E, MATCH(AX$2, $B:$B, 0))</f>
        <v>0</v>
      </c>
      <c r="AY45" s="193">
        <f>IFERROR(INDEX('Fluxos de Recebimento'!$I$7:$BH$58, MATCH(Curvas!$AB45, 'Fluxos de Recebimento'!$F$7:$F$58, 0), MATCH(Curvas!AY$2,'Fluxos de Recebimento'!$I$5:$BH$5, 0))+INDEX('Fluxos de Recebimento'!$I$65:$BH$116, MATCH(Curvas!$AB45, 'Fluxos de Recebimento'!$F$65:$F$116, 0), MATCH(Curvas!AY$2, 'Fluxos de Recebimento'!$I$63:$BH$63, 0)),0)*INDEX($E:$E, MATCH(AY$2, $B:$B, 0))</f>
        <v>0</v>
      </c>
      <c r="AZ45" s="193">
        <f>IFERROR(INDEX('Fluxos de Recebimento'!$I$7:$BH$58, MATCH(Curvas!$AB45, 'Fluxos de Recebimento'!$F$7:$F$58, 0), MATCH(Curvas!AZ$2,'Fluxos de Recebimento'!$I$5:$BH$5, 0))+INDEX('Fluxos de Recebimento'!$I$65:$BH$116, MATCH(Curvas!$AB45, 'Fluxos de Recebimento'!$F$65:$F$116, 0), MATCH(Curvas!AZ$2, 'Fluxos de Recebimento'!$I$63:$BH$63, 0)),0)*INDEX($E:$E, MATCH(AZ$2, $B:$B, 0))</f>
        <v>0</v>
      </c>
      <c r="BA45" s="193">
        <f>IFERROR(INDEX('Fluxos de Recebimento'!$I$7:$BH$58, MATCH(Curvas!$AB45, 'Fluxos de Recebimento'!$F$7:$F$58, 0), MATCH(Curvas!BA$2,'Fluxos de Recebimento'!$I$5:$BH$5, 0))+INDEX('Fluxos de Recebimento'!$I$65:$BH$116, MATCH(Curvas!$AB45, 'Fluxos de Recebimento'!$F$65:$F$116, 0), MATCH(Curvas!BA$2, 'Fluxos de Recebimento'!$I$63:$BH$63, 0)),0)*INDEX($E:$E, MATCH(BA$2, $B:$B, 0))</f>
        <v>0</v>
      </c>
      <c r="BB45" s="193">
        <f>IFERROR(INDEX('Fluxos de Recebimento'!$I$7:$BH$58, MATCH(Curvas!$AB45, 'Fluxos de Recebimento'!$F$7:$F$58, 0), MATCH(Curvas!BB$2,'Fluxos de Recebimento'!$I$5:$BH$5, 0))+INDEX('Fluxos de Recebimento'!$I$65:$BH$116, MATCH(Curvas!$AB45, 'Fluxos de Recebimento'!$F$65:$F$116, 0), MATCH(Curvas!BB$2, 'Fluxos de Recebimento'!$I$63:$BH$63, 0)),0)*INDEX($E:$E, MATCH(BB$2, $B:$B, 0))</f>
        <v>0</v>
      </c>
      <c r="BC45" s="193">
        <f>IFERROR(INDEX('Fluxos de Recebimento'!$I$7:$BH$58, MATCH(Curvas!$AB45, 'Fluxos de Recebimento'!$F$7:$F$58, 0), MATCH(Curvas!BC$2,'Fluxos de Recebimento'!$I$5:$BH$5, 0))+INDEX('Fluxos de Recebimento'!$I$65:$BH$116, MATCH(Curvas!$AB45, 'Fluxos de Recebimento'!$F$65:$F$116, 0), MATCH(Curvas!BC$2, 'Fluxos de Recebimento'!$I$63:$BH$63, 0)),0)*INDEX($E:$E, MATCH(BC$2, $B:$B, 0))</f>
        <v>0</v>
      </c>
      <c r="BD45" s="193">
        <f>IFERROR(INDEX('Fluxos de Recebimento'!$I$7:$BH$58, MATCH(Curvas!$AB45, 'Fluxos de Recebimento'!$F$7:$F$58, 0), MATCH(Curvas!BD$2,'Fluxos de Recebimento'!$I$5:$BH$5, 0))+INDEX('Fluxos de Recebimento'!$I$65:$BH$116, MATCH(Curvas!$AB45, 'Fluxos de Recebimento'!$F$65:$F$116, 0), MATCH(Curvas!BD$2, 'Fluxos de Recebimento'!$I$63:$BH$63, 0)),0)*INDEX($E:$E, MATCH(BD$2, $B:$B, 0))</f>
        <v>0</v>
      </c>
      <c r="BE45" s="193">
        <f>IFERROR(INDEX('Fluxos de Recebimento'!$I$7:$BH$58, MATCH(Curvas!$AB45, 'Fluxos de Recebimento'!$F$7:$F$58, 0), MATCH(Curvas!BE$2,'Fluxos de Recebimento'!$I$5:$BH$5, 0))+INDEX('Fluxos de Recebimento'!$I$65:$BH$116, MATCH(Curvas!$AB45, 'Fluxos de Recebimento'!$F$65:$F$116, 0), MATCH(Curvas!BE$2, 'Fluxos de Recebimento'!$I$63:$BH$63, 0)),0)*INDEX($E:$E, MATCH(BE$2, $B:$B, 0))</f>
        <v>0</v>
      </c>
      <c r="BF45" s="193">
        <f>IFERROR(INDEX('Fluxos de Recebimento'!$I$7:$BH$58, MATCH(Curvas!$AB45, 'Fluxos de Recebimento'!$F$7:$F$58, 0), MATCH(Curvas!BF$2,'Fluxos de Recebimento'!$I$5:$BH$5, 0))+INDEX('Fluxos de Recebimento'!$I$65:$BH$116, MATCH(Curvas!$AB45, 'Fluxos de Recebimento'!$F$65:$F$116, 0), MATCH(Curvas!BF$2, 'Fluxos de Recebimento'!$I$63:$BH$63, 0)),0)*INDEX($E:$E, MATCH(BF$2, $B:$B, 0))</f>
        <v>0</v>
      </c>
      <c r="BG45" s="193">
        <f>IFERROR(INDEX('Fluxos de Recebimento'!$I$7:$BH$58, MATCH(Curvas!$AB45, 'Fluxos de Recebimento'!$F$7:$F$58, 0), MATCH(Curvas!BG$2,'Fluxos de Recebimento'!$I$5:$BH$5, 0))+INDEX('Fluxos de Recebimento'!$I$65:$BH$116, MATCH(Curvas!$AB45, 'Fluxos de Recebimento'!$F$65:$F$116, 0), MATCH(Curvas!BG$2, 'Fluxos de Recebimento'!$I$63:$BH$63, 0)),0)*INDEX($E:$E, MATCH(BG$2, $B:$B, 0))</f>
        <v>0</v>
      </c>
      <c r="BH45" s="193">
        <f>IFERROR(INDEX('Fluxos de Recebimento'!$I$7:$BH$58, MATCH(Curvas!$AB45, 'Fluxos de Recebimento'!$F$7:$F$58, 0), MATCH(Curvas!BH$2,'Fluxos de Recebimento'!$I$5:$BH$5, 0))+INDEX('Fluxos de Recebimento'!$I$65:$BH$116, MATCH(Curvas!$AB45, 'Fluxos de Recebimento'!$F$65:$F$116, 0), MATCH(Curvas!BH$2, 'Fluxos de Recebimento'!$I$63:$BH$63, 0)),0)*INDEX($E:$E, MATCH(BH$2, $B:$B, 0))</f>
        <v>0</v>
      </c>
      <c r="BI45" s="193">
        <f>IFERROR(INDEX('Fluxos de Recebimento'!$I$7:$BH$58, MATCH(Curvas!$AB45, 'Fluxos de Recebimento'!$F$7:$F$58, 0), MATCH(Curvas!BI$2,'Fluxos de Recebimento'!$I$5:$BH$5, 0))+INDEX('Fluxos de Recebimento'!$I$65:$BH$116, MATCH(Curvas!$AB45, 'Fluxos de Recebimento'!$F$65:$F$116, 0), MATCH(Curvas!BI$2, 'Fluxos de Recebimento'!$I$63:$BH$63, 0)),0)*INDEX($E:$E, MATCH(BI$2, $B:$B, 0))</f>
        <v>0</v>
      </c>
      <c r="BJ45" s="193">
        <f>IFERROR(INDEX('Fluxos de Recebimento'!$I$7:$BH$58, MATCH(Curvas!$AB45, 'Fluxos de Recebimento'!$F$7:$F$58, 0), MATCH(Curvas!BJ$2,'Fluxos de Recebimento'!$I$5:$BH$5, 0))+INDEX('Fluxos de Recebimento'!$I$65:$BH$116, MATCH(Curvas!$AB45, 'Fluxos de Recebimento'!$F$65:$F$116, 0), MATCH(Curvas!BJ$2, 'Fluxos de Recebimento'!$I$63:$BH$63, 0)),0)*INDEX($E:$E, MATCH(BJ$2, $B:$B, 0))</f>
        <v>0</v>
      </c>
      <c r="BK45" s="193">
        <f>IFERROR(INDEX('Fluxos de Recebimento'!$I$7:$BH$58, MATCH(Curvas!$AB45, 'Fluxos de Recebimento'!$F$7:$F$58, 0), MATCH(Curvas!BK$2,'Fluxos de Recebimento'!$I$5:$BH$5, 0))+INDEX('Fluxos de Recebimento'!$I$65:$BH$116, MATCH(Curvas!$AB45, 'Fluxos de Recebimento'!$F$65:$F$116, 0), MATCH(Curvas!BK$2, 'Fluxos de Recebimento'!$I$63:$BH$63, 0)),0)*INDEX($E:$E, MATCH(BK$2, $B:$B, 0))</f>
        <v>0</v>
      </c>
      <c r="BL45" s="193">
        <f>IFERROR(INDEX('Fluxos de Recebimento'!$I$7:$BH$58, MATCH(Curvas!$AB45, 'Fluxos de Recebimento'!$F$7:$F$58, 0), MATCH(Curvas!BL$2,'Fluxos de Recebimento'!$I$5:$BH$5, 0))+INDEX('Fluxos de Recebimento'!$I$65:$BH$116, MATCH(Curvas!$AB45, 'Fluxos de Recebimento'!$F$65:$F$116, 0), MATCH(Curvas!BL$2, 'Fluxos de Recebimento'!$I$63:$BH$63, 0)),0)*INDEX($E:$E, MATCH(BL$2, $B:$B, 0))</f>
        <v>0</v>
      </c>
      <c r="BM45" s="193">
        <f>IFERROR(INDEX('Fluxos de Recebimento'!$I$7:$BH$58, MATCH(Curvas!$AB45, 'Fluxos de Recebimento'!$F$7:$F$58, 0), MATCH(Curvas!BM$2,'Fluxos de Recebimento'!$I$5:$BH$5, 0))+INDEX('Fluxos de Recebimento'!$I$65:$BH$116, MATCH(Curvas!$AB45, 'Fluxos de Recebimento'!$F$65:$F$116, 0), MATCH(Curvas!BM$2, 'Fluxos de Recebimento'!$I$63:$BH$63, 0)),0)*INDEX($E:$E, MATCH(BM$2, $B:$B, 0))</f>
        <v>0</v>
      </c>
      <c r="BN45" s="193">
        <f>IFERROR(INDEX('Fluxos de Recebimento'!$I$7:$BH$58, MATCH(Curvas!$AB45, 'Fluxos de Recebimento'!$F$7:$F$58, 0), MATCH(Curvas!BN$2,'Fluxos de Recebimento'!$I$5:$BH$5, 0))+INDEX('Fluxos de Recebimento'!$I$65:$BH$116, MATCH(Curvas!$AB45, 'Fluxos de Recebimento'!$F$65:$F$116, 0), MATCH(Curvas!BN$2, 'Fluxos de Recebimento'!$I$63:$BH$63, 0)),0)*INDEX($E:$E, MATCH(BN$2, $B:$B, 0))</f>
        <v>0</v>
      </c>
      <c r="BO45" s="193">
        <f>IFERROR(INDEX('Fluxos de Recebimento'!$I$7:$BH$58, MATCH(Curvas!$AB45, 'Fluxos de Recebimento'!$F$7:$F$58, 0), MATCH(Curvas!BO$2,'Fluxos de Recebimento'!$I$5:$BH$5, 0))+INDEX('Fluxos de Recebimento'!$I$65:$BH$116, MATCH(Curvas!$AB45, 'Fluxos de Recebimento'!$F$65:$F$116, 0), MATCH(Curvas!BO$2, 'Fluxos de Recebimento'!$I$63:$BH$63, 0)),0)*INDEX($E:$E, MATCH(BO$2, $B:$B, 0))</f>
        <v>0</v>
      </c>
      <c r="BP45" s="193">
        <f>IFERROR(INDEX('Fluxos de Recebimento'!$I$7:$BH$58, MATCH(Curvas!$AB45, 'Fluxos de Recebimento'!$F$7:$F$58, 0), MATCH(Curvas!BP$2,'Fluxos de Recebimento'!$I$5:$BH$5, 0))+INDEX('Fluxos de Recebimento'!$I$65:$BH$116, MATCH(Curvas!$AB45, 'Fluxos de Recebimento'!$F$65:$F$116, 0), MATCH(Curvas!BP$2, 'Fluxos de Recebimento'!$I$63:$BH$63, 0)),0)*INDEX($E:$E, MATCH(BP$2, $B:$B, 0))</f>
        <v>0</v>
      </c>
      <c r="BQ45" s="193">
        <f>IFERROR(INDEX('Fluxos de Recebimento'!$I$7:$BH$58, MATCH(Curvas!$AB45, 'Fluxos de Recebimento'!$F$7:$F$58, 0), MATCH(Curvas!BQ$2,'Fluxos de Recebimento'!$I$5:$BH$5, 0))+INDEX('Fluxos de Recebimento'!$I$65:$BH$116, MATCH(Curvas!$AB45, 'Fluxos de Recebimento'!$F$65:$F$116, 0), MATCH(Curvas!BQ$2, 'Fluxos de Recebimento'!$I$63:$BH$63, 0)),0)*INDEX($E:$E, MATCH(BQ$2, $B:$B, 0))</f>
        <v>0</v>
      </c>
      <c r="BR45" s="193">
        <f>IFERROR(INDEX('Fluxos de Recebimento'!$I$7:$BH$58, MATCH(Curvas!$AB45, 'Fluxos de Recebimento'!$F$7:$F$58, 0), MATCH(Curvas!BR$2,'Fluxos de Recebimento'!$I$5:$BH$5, 0))+INDEX('Fluxos de Recebimento'!$I$65:$BH$116, MATCH(Curvas!$AB45, 'Fluxos de Recebimento'!$F$65:$F$116, 0), MATCH(Curvas!BR$2, 'Fluxos de Recebimento'!$I$63:$BH$63, 0)),0)*INDEX($E:$E, MATCH(BR$2, $B:$B, 0))</f>
        <v>0</v>
      </c>
      <c r="BS45" s="193">
        <f>IFERROR(INDEX('Fluxos de Recebimento'!$I$7:$BH$58, MATCH(Curvas!$AB45, 'Fluxos de Recebimento'!$F$7:$F$58, 0), MATCH(Curvas!BS$2,'Fluxos de Recebimento'!$I$5:$BH$5, 0))+INDEX('Fluxos de Recebimento'!$I$65:$BH$116, MATCH(Curvas!$AB45, 'Fluxos de Recebimento'!$F$65:$F$116, 0), MATCH(Curvas!BS$2, 'Fluxos de Recebimento'!$I$63:$BH$63, 0)),0)*INDEX($E:$E, MATCH(BS$2, $B:$B, 0))</f>
        <v>0</v>
      </c>
      <c r="BT45" s="193">
        <f>IFERROR(INDEX('Fluxos de Recebimento'!$I$7:$BH$58, MATCH(Curvas!$AB45, 'Fluxos de Recebimento'!$F$7:$F$58, 0), MATCH(Curvas!BT$2,'Fluxos de Recebimento'!$I$5:$BH$5, 0))+INDEX('Fluxos de Recebimento'!$I$65:$BH$116, MATCH(Curvas!$AB45, 'Fluxos de Recebimento'!$F$65:$F$116, 0), MATCH(Curvas!BT$2, 'Fluxos de Recebimento'!$I$63:$BH$63, 0)),0)*INDEX($E:$E, MATCH(BT$2, $B:$B, 0))</f>
        <v>0</v>
      </c>
      <c r="BU45" s="193">
        <f>IFERROR(INDEX('Fluxos de Recebimento'!$I$7:$BH$58, MATCH(Curvas!$AB45, 'Fluxos de Recebimento'!$F$7:$F$58, 0), MATCH(Curvas!BU$2,'Fluxos de Recebimento'!$I$5:$BH$5, 0))+INDEX('Fluxos de Recebimento'!$I$65:$BH$116, MATCH(Curvas!$AB45, 'Fluxos de Recebimento'!$F$65:$F$116, 0), MATCH(Curvas!BU$2, 'Fluxos de Recebimento'!$I$63:$BH$63, 0)),0)*INDEX($E:$E, MATCH(BU$2, $B:$B, 0))</f>
        <v>0</v>
      </c>
      <c r="BV45" s="193">
        <f>IFERROR(INDEX('Fluxos de Recebimento'!$I$7:$BH$58, MATCH(Curvas!$AB45, 'Fluxos de Recebimento'!$F$7:$F$58, 0), MATCH(Curvas!BV$2,'Fluxos de Recebimento'!$I$5:$BH$5, 0))+INDEX('Fluxos de Recebimento'!$I$65:$BH$116, MATCH(Curvas!$AB45, 'Fluxos de Recebimento'!$F$65:$F$116, 0), MATCH(Curvas!BV$2, 'Fluxos de Recebimento'!$I$63:$BH$63, 0)),0)*INDEX($E:$E, MATCH(BV$2, $B:$B, 0))</f>
        <v>0</v>
      </c>
      <c r="BW45" s="193">
        <f>IFERROR(INDEX('Fluxos de Recebimento'!$I$7:$BH$58, MATCH(Curvas!$AB45, 'Fluxos de Recebimento'!$F$7:$F$58, 0), MATCH(Curvas!BW$2,'Fluxos de Recebimento'!$I$5:$BH$5, 0))+INDEX('Fluxos de Recebimento'!$I$65:$BH$116, MATCH(Curvas!$AB45, 'Fluxos de Recebimento'!$F$65:$F$116, 0), MATCH(Curvas!BW$2, 'Fluxos de Recebimento'!$I$63:$BH$63, 0)),0)*INDEX($E:$E, MATCH(BW$2, $B:$B, 0))</f>
        <v>0</v>
      </c>
      <c r="BX45" s="193">
        <f>IFERROR(INDEX('Fluxos de Recebimento'!$I$7:$BH$58, MATCH(Curvas!$AB45, 'Fluxos de Recebimento'!$F$7:$F$58, 0), MATCH(Curvas!BX$2,'Fluxos de Recebimento'!$I$5:$BH$5, 0))+INDEX('Fluxos de Recebimento'!$I$65:$BH$116, MATCH(Curvas!$AB45, 'Fluxos de Recebimento'!$F$65:$F$116, 0), MATCH(Curvas!BX$2, 'Fluxos de Recebimento'!$I$63:$BH$63, 0)),0)*INDEX($E:$E, MATCH(BX$2, $B:$B, 0))</f>
        <v>0</v>
      </c>
      <c r="BY45" s="193">
        <f>IFERROR(INDEX('Fluxos de Recebimento'!$I$7:$BH$58, MATCH(Curvas!$AB45, 'Fluxos de Recebimento'!$F$7:$F$58, 0), MATCH(Curvas!BY$2,'Fluxos de Recebimento'!$I$5:$BH$5, 0))+INDEX('Fluxos de Recebimento'!$I$65:$BH$116, MATCH(Curvas!$AB45, 'Fluxos de Recebimento'!$F$65:$F$116, 0), MATCH(Curvas!BY$2, 'Fluxos de Recebimento'!$I$63:$BH$63, 0)),0)*INDEX($E:$E, MATCH(BY$2, $B:$B, 0))</f>
        <v>0</v>
      </c>
      <c r="BZ45" s="193">
        <f>IFERROR(INDEX('Fluxos de Recebimento'!$I$7:$BH$58, MATCH(Curvas!$AB45, 'Fluxos de Recebimento'!$F$7:$F$58, 0), MATCH(Curvas!BZ$2,'Fluxos de Recebimento'!$I$5:$BH$5, 0))+INDEX('Fluxos de Recebimento'!$I$65:$BH$116, MATCH(Curvas!$AB45, 'Fluxos de Recebimento'!$F$65:$F$116, 0), MATCH(Curvas!BZ$2, 'Fluxos de Recebimento'!$I$63:$BH$63, 0)),0)*INDEX($E:$E, MATCH(BZ$2, $B:$B, 0))</f>
        <v>0</v>
      </c>
      <c r="CA45" s="193">
        <f>IFERROR(INDEX('Fluxos de Recebimento'!$I$7:$BH$58, MATCH(Curvas!$AB45, 'Fluxos de Recebimento'!$F$7:$F$58, 0), MATCH(Curvas!CA$2,'Fluxos de Recebimento'!$I$5:$BH$5, 0))+INDEX('Fluxos de Recebimento'!$I$65:$BH$116, MATCH(Curvas!$AB45, 'Fluxos de Recebimento'!$F$65:$F$116, 0), MATCH(Curvas!CA$2, 'Fluxos de Recebimento'!$I$63:$BH$63, 0)),0)*INDEX($E:$E, MATCH(CA$2, $B:$B, 0))</f>
        <v>0</v>
      </c>
      <c r="CB45" s="193">
        <f>IFERROR(INDEX('Fluxos de Recebimento'!$I$7:$BH$58, MATCH(Curvas!$AB45, 'Fluxos de Recebimento'!$F$7:$F$58, 0), MATCH(Curvas!CB$2,'Fluxos de Recebimento'!$I$5:$BH$5, 0))+INDEX('Fluxos de Recebimento'!$I$65:$BH$116, MATCH(Curvas!$AB45, 'Fluxos de Recebimento'!$F$65:$F$116, 0), MATCH(Curvas!CB$2, 'Fluxos de Recebimento'!$I$63:$BH$63, 0)),0)*INDEX($E:$E, MATCH(CB$2, $B:$B, 0))</f>
        <v>0</v>
      </c>
      <c r="CC45" s="193">
        <f>IFERROR(INDEX('Fluxos de Recebimento'!$I$7:$BH$58, MATCH(Curvas!$AB45, 'Fluxos de Recebimento'!$F$7:$F$58, 0), MATCH(Curvas!CC$2,'Fluxos de Recebimento'!$I$5:$BH$5, 0))+INDEX('Fluxos de Recebimento'!$I$65:$BH$116, MATCH(Curvas!$AB45, 'Fluxos de Recebimento'!$F$65:$F$116, 0), MATCH(Curvas!CC$2, 'Fluxos de Recebimento'!$I$63:$BH$63, 0)),0)*INDEX($E:$E, MATCH(CC$2, $B:$B, 0))</f>
        <v>0</v>
      </c>
    </row>
    <row r="46" spans="1:81" x14ac:dyDescent="0.25">
      <c r="A46" s="2"/>
      <c r="B46" s="477">
        <f t="shared" si="34"/>
        <v>45444</v>
      </c>
      <c r="C46" s="52">
        <f t="shared" si="35"/>
        <v>43</v>
      </c>
      <c r="D46" s="2"/>
      <c r="E46" s="187">
        <f t="shared" si="22"/>
        <v>0</v>
      </c>
      <c r="F46" s="48">
        <f t="shared" si="36"/>
        <v>0.99999999999999978</v>
      </c>
      <c r="G46" s="46">
        <f t="shared" ca="1" si="23"/>
        <v>0</v>
      </c>
      <c r="H46" s="48">
        <f t="shared" ca="1" si="37"/>
        <v>0.99999999999999989</v>
      </c>
      <c r="I46" s="2"/>
      <c r="J46" s="69">
        <f t="shared" ca="1" si="24"/>
        <v>0</v>
      </c>
      <c r="K46" s="479">
        <f t="shared" ca="1" si="25"/>
        <v>0</v>
      </c>
      <c r="L46" s="70">
        <f t="shared" ca="1" si="26"/>
        <v>0</v>
      </c>
      <c r="M46" s="2"/>
      <c r="N46" s="69">
        <f t="shared" si="27"/>
        <v>1</v>
      </c>
      <c r="O46" s="479">
        <f t="shared" si="28"/>
        <v>0</v>
      </c>
      <c r="P46" s="70">
        <f t="shared" si="29"/>
        <v>1</v>
      </c>
      <c r="Q46" s="2"/>
      <c r="R46" s="71">
        <f t="shared" ca="1" si="30"/>
        <v>1</v>
      </c>
      <c r="S46" s="196"/>
      <c r="T46" s="46">
        <v>0</v>
      </c>
      <c r="U46" s="48">
        <f t="shared" si="38"/>
        <v>0.99999999999999978</v>
      </c>
      <c r="V46" s="2"/>
      <c r="W46" s="56"/>
      <c r="X46" s="48"/>
      <c r="Y46" s="2"/>
      <c r="Z46" s="194">
        <f t="shared" si="31"/>
        <v>0</v>
      </c>
      <c r="AA46" s="2"/>
      <c r="AB46" s="477">
        <f t="shared" si="32"/>
        <v>45444</v>
      </c>
      <c r="AC46" s="52">
        <f t="shared" si="33"/>
        <v>43</v>
      </c>
      <c r="AD46" s="193">
        <f>IFERROR(INDEX('Fluxos de Recebimento'!$I$7:$BH$58, MATCH(Curvas!$AB46, 'Fluxos de Recebimento'!$F$7:$F$58, 0), MATCH(Curvas!AD$2,'Fluxos de Recebimento'!$I$5:$BH$5, 0))+INDEX('Fluxos de Recebimento'!$I$65:$BH$116, MATCH(Curvas!$AB46, 'Fluxos de Recebimento'!$F$65:$F$116, 0), MATCH(Curvas!AD$2, 'Fluxos de Recebimento'!$I$63:$BH$63, 0)),0)*INDEX($E:$E, MATCH(AD$2, $B:$B, 0))</f>
        <v>0</v>
      </c>
      <c r="AE46" s="193">
        <f>IFERROR(INDEX('Fluxos de Recebimento'!$I$7:$BH$58, MATCH(Curvas!$AB46, 'Fluxos de Recebimento'!$F$7:$F$58, 0), MATCH(Curvas!AE$2,'Fluxos de Recebimento'!$I$5:$BH$5, 0))+INDEX('Fluxos de Recebimento'!$I$65:$BH$116, MATCH(Curvas!$AB46, 'Fluxos de Recebimento'!$F$65:$F$116, 0), MATCH(Curvas!AE$2, 'Fluxos de Recebimento'!$I$63:$BH$63, 0)),0)*INDEX($E:$E, MATCH(AE$2, $B:$B, 0))</f>
        <v>0</v>
      </c>
      <c r="AF46" s="193">
        <f>IFERROR(INDEX('Fluxos de Recebimento'!$I$7:$BH$58, MATCH(Curvas!$AB46, 'Fluxos de Recebimento'!$F$7:$F$58, 0), MATCH(Curvas!AF$2,'Fluxos de Recebimento'!$I$5:$BH$5, 0))+INDEX('Fluxos de Recebimento'!$I$65:$BH$116, MATCH(Curvas!$AB46, 'Fluxos de Recebimento'!$F$65:$F$116, 0), MATCH(Curvas!AF$2, 'Fluxos de Recebimento'!$I$63:$BH$63, 0)),0)*INDEX($E:$E, MATCH(AF$2, $B:$B, 0))</f>
        <v>0</v>
      </c>
      <c r="AG46" s="193">
        <f>IFERROR(INDEX('Fluxos de Recebimento'!$I$7:$BH$58, MATCH(Curvas!$AB46, 'Fluxos de Recebimento'!$F$7:$F$58, 0), MATCH(Curvas!AG$2,'Fluxos de Recebimento'!$I$5:$BH$5, 0))+INDEX('Fluxos de Recebimento'!$I$65:$BH$116, MATCH(Curvas!$AB46, 'Fluxos de Recebimento'!$F$65:$F$116, 0), MATCH(Curvas!AG$2, 'Fluxos de Recebimento'!$I$63:$BH$63, 0)),0)*INDEX($E:$E, MATCH(AG$2, $B:$B, 0))</f>
        <v>0</v>
      </c>
      <c r="AH46" s="193">
        <f>IFERROR(INDEX('Fluxos de Recebimento'!$I$7:$BH$58, MATCH(Curvas!$AB46, 'Fluxos de Recebimento'!$F$7:$F$58, 0), MATCH(Curvas!AH$2,'Fluxos de Recebimento'!$I$5:$BH$5, 0))+INDEX('Fluxos de Recebimento'!$I$65:$BH$116, MATCH(Curvas!$AB46, 'Fluxos de Recebimento'!$F$65:$F$116, 0), MATCH(Curvas!AH$2, 'Fluxos de Recebimento'!$I$63:$BH$63, 0)),0)*INDEX($E:$E, MATCH(AH$2, $B:$B, 0))</f>
        <v>0</v>
      </c>
      <c r="AI46" s="193">
        <f>IFERROR(INDEX('Fluxos de Recebimento'!$I$7:$BH$58, MATCH(Curvas!$AB46, 'Fluxos de Recebimento'!$F$7:$F$58, 0), MATCH(Curvas!AI$2,'Fluxos de Recebimento'!$I$5:$BH$5, 0))+INDEX('Fluxos de Recebimento'!$I$65:$BH$116, MATCH(Curvas!$AB46, 'Fluxos de Recebimento'!$F$65:$F$116, 0), MATCH(Curvas!AI$2, 'Fluxos de Recebimento'!$I$63:$BH$63, 0)),0)*INDEX($E:$E, MATCH(AI$2, $B:$B, 0))</f>
        <v>0</v>
      </c>
      <c r="AJ46" s="193">
        <f>IFERROR(INDEX('Fluxos de Recebimento'!$I$7:$BH$58, MATCH(Curvas!$AB46, 'Fluxos de Recebimento'!$F$7:$F$58, 0), MATCH(Curvas!AJ$2,'Fluxos de Recebimento'!$I$5:$BH$5, 0))+INDEX('Fluxos de Recebimento'!$I$65:$BH$116, MATCH(Curvas!$AB46, 'Fluxos de Recebimento'!$F$65:$F$116, 0), MATCH(Curvas!AJ$2, 'Fluxos de Recebimento'!$I$63:$BH$63, 0)),0)*INDEX($E:$E, MATCH(AJ$2, $B:$B, 0))</f>
        <v>0</v>
      </c>
      <c r="AK46" s="193">
        <f>IFERROR(INDEX('Fluxos de Recebimento'!$I$7:$BH$58, MATCH(Curvas!$AB46, 'Fluxos de Recebimento'!$F$7:$F$58, 0), MATCH(Curvas!AK$2,'Fluxos de Recebimento'!$I$5:$BH$5, 0))+INDEX('Fluxos de Recebimento'!$I$65:$BH$116, MATCH(Curvas!$AB46, 'Fluxos de Recebimento'!$F$65:$F$116, 0), MATCH(Curvas!AK$2, 'Fluxos de Recebimento'!$I$63:$BH$63, 0)),0)*INDEX($E:$E, MATCH(AK$2, $B:$B, 0))</f>
        <v>0</v>
      </c>
      <c r="AL46" s="193">
        <f>IFERROR(INDEX('Fluxos de Recebimento'!$I$7:$BH$58, MATCH(Curvas!$AB46, 'Fluxos de Recebimento'!$F$7:$F$58, 0), MATCH(Curvas!AL$2,'Fluxos de Recebimento'!$I$5:$BH$5, 0))+INDEX('Fluxos de Recebimento'!$I$65:$BH$116, MATCH(Curvas!$AB46, 'Fluxos de Recebimento'!$F$65:$F$116, 0), MATCH(Curvas!AL$2, 'Fluxos de Recebimento'!$I$63:$BH$63, 0)),0)*INDEX($E:$E, MATCH(AL$2, $B:$B, 0))</f>
        <v>0</v>
      </c>
      <c r="AM46" s="193">
        <f>IFERROR(INDEX('Fluxos de Recebimento'!$I$7:$BH$58, MATCH(Curvas!$AB46, 'Fluxos de Recebimento'!$F$7:$F$58, 0), MATCH(Curvas!AM$2,'Fluxos de Recebimento'!$I$5:$BH$5, 0))+INDEX('Fluxos de Recebimento'!$I$65:$BH$116, MATCH(Curvas!$AB46, 'Fluxos de Recebimento'!$F$65:$F$116, 0), MATCH(Curvas!AM$2, 'Fluxos de Recebimento'!$I$63:$BH$63, 0)),0)*INDEX($E:$E, MATCH(AM$2, $B:$B, 0))</f>
        <v>0</v>
      </c>
      <c r="AN46" s="193">
        <f>IFERROR(INDEX('Fluxos de Recebimento'!$I$7:$BH$58, MATCH(Curvas!$AB46, 'Fluxos de Recebimento'!$F$7:$F$58, 0), MATCH(Curvas!AN$2,'Fluxos de Recebimento'!$I$5:$BH$5, 0))+INDEX('Fluxos de Recebimento'!$I$65:$BH$116, MATCH(Curvas!$AB46, 'Fluxos de Recebimento'!$F$65:$F$116, 0), MATCH(Curvas!AN$2, 'Fluxos de Recebimento'!$I$63:$BH$63, 0)),0)*INDEX($E:$E, MATCH(AN$2, $B:$B, 0))</f>
        <v>0</v>
      </c>
      <c r="AO46" s="193">
        <f>IFERROR(INDEX('Fluxos de Recebimento'!$I$7:$BH$58, MATCH(Curvas!$AB46, 'Fluxos de Recebimento'!$F$7:$F$58, 0), MATCH(Curvas!AO$2,'Fluxos de Recebimento'!$I$5:$BH$5, 0))+INDEX('Fluxos de Recebimento'!$I$65:$BH$116, MATCH(Curvas!$AB46, 'Fluxos de Recebimento'!$F$65:$F$116, 0), MATCH(Curvas!AO$2, 'Fluxos de Recebimento'!$I$63:$BH$63, 0)),0)*INDEX($E:$E, MATCH(AO$2, $B:$B, 0))</f>
        <v>0</v>
      </c>
      <c r="AP46" s="193">
        <f>IFERROR(INDEX('Fluxos de Recebimento'!$I$7:$BH$58, MATCH(Curvas!$AB46, 'Fluxos de Recebimento'!$F$7:$F$58, 0), MATCH(Curvas!AP$2,'Fluxos de Recebimento'!$I$5:$BH$5, 0))+INDEX('Fluxos de Recebimento'!$I$65:$BH$116, MATCH(Curvas!$AB46, 'Fluxos de Recebimento'!$F$65:$F$116, 0), MATCH(Curvas!AP$2, 'Fluxos de Recebimento'!$I$63:$BH$63, 0)),0)*INDEX($E:$E, MATCH(AP$2, $B:$B, 0))</f>
        <v>0</v>
      </c>
      <c r="AQ46" s="193">
        <f>IFERROR(INDEX('Fluxos de Recebimento'!$I$7:$BH$58, MATCH(Curvas!$AB46, 'Fluxos de Recebimento'!$F$7:$F$58, 0), MATCH(Curvas!AQ$2,'Fluxos de Recebimento'!$I$5:$BH$5, 0))+INDEX('Fluxos de Recebimento'!$I$65:$BH$116, MATCH(Curvas!$AB46, 'Fluxos de Recebimento'!$F$65:$F$116, 0), MATCH(Curvas!AQ$2, 'Fluxos de Recebimento'!$I$63:$BH$63, 0)),0)*INDEX($E:$E, MATCH(AQ$2, $B:$B, 0))</f>
        <v>0</v>
      </c>
      <c r="AR46" s="193">
        <f>IFERROR(INDEX('Fluxos de Recebimento'!$I$7:$BH$58, MATCH(Curvas!$AB46, 'Fluxos de Recebimento'!$F$7:$F$58, 0), MATCH(Curvas!AR$2,'Fluxos de Recebimento'!$I$5:$BH$5, 0))+INDEX('Fluxos de Recebimento'!$I$65:$BH$116, MATCH(Curvas!$AB46, 'Fluxos de Recebimento'!$F$65:$F$116, 0), MATCH(Curvas!AR$2, 'Fluxos de Recebimento'!$I$63:$BH$63, 0)),0)*INDEX($E:$E, MATCH(AR$2, $B:$B, 0))</f>
        <v>0</v>
      </c>
      <c r="AS46" s="193">
        <f>IFERROR(INDEX('Fluxos de Recebimento'!$I$7:$BH$58, MATCH(Curvas!$AB46, 'Fluxos de Recebimento'!$F$7:$F$58, 0), MATCH(Curvas!AS$2,'Fluxos de Recebimento'!$I$5:$BH$5, 0))+INDEX('Fluxos de Recebimento'!$I$65:$BH$116, MATCH(Curvas!$AB46, 'Fluxos de Recebimento'!$F$65:$F$116, 0), MATCH(Curvas!AS$2, 'Fluxos de Recebimento'!$I$63:$BH$63, 0)),0)*INDEX($E:$E, MATCH(AS$2, $B:$B, 0))</f>
        <v>0</v>
      </c>
      <c r="AT46" s="193">
        <f>IFERROR(INDEX('Fluxos de Recebimento'!$I$7:$BH$58, MATCH(Curvas!$AB46, 'Fluxos de Recebimento'!$F$7:$F$58, 0), MATCH(Curvas!AT$2,'Fluxos de Recebimento'!$I$5:$BH$5, 0))+INDEX('Fluxos de Recebimento'!$I$65:$BH$116, MATCH(Curvas!$AB46, 'Fluxos de Recebimento'!$F$65:$F$116, 0), MATCH(Curvas!AT$2, 'Fluxos de Recebimento'!$I$63:$BH$63, 0)),0)*INDEX($E:$E, MATCH(AT$2, $B:$B, 0))</f>
        <v>0</v>
      </c>
      <c r="AU46" s="193">
        <f>IFERROR(INDEX('Fluxos de Recebimento'!$I$7:$BH$58, MATCH(Curvas!$AB46, 'Fluxos de Recebimento'!$F$7:$F$58, 0), MATCH(Curvas!AU$2,'Fluxos de Recebimento'!$I$5:$BH$5, 0))+INDEX('Fluxos de Recebimento'!$I$65:$BH$116, MATCH(Curvas!$AB46, 'Fluxos de Recebimento'!$F$65:$F$116, 0), MATCH(Curvas!AU$2, 'Fluxos de Recebimento'!$I$63:$BH$63, 0)),0)*INDEX($E:$E, MATCH(AU$2, $B:$B, 0))</f>
        <v>0</v>
      </c>
      <c r="AV46" s="193">
        <f>IFERROR(INDEX('Fluxos de Recebimento'!$I$7:$BH$58, MATCH(Curvas!$AB46, 'Fluxos de Recebimento'!$F$7:$F$58, 0), MATCH(Curvas!AV$2,'Fluxos de Recebimento'!$I$5:$BH$5, 0))+INDEX('Fluxos de Recebimento'!$I$65:$BH$116, MATCH(Curvas!$AB46, 'Fluxos de Recebimento'!$F$65:$F$116, 0), MATCH(Curvas!AV$2, 'Fluxos de Recebimento'!$I$63:$BH$63, 0)),0)*INDEX($E:$E, MATCH(AV$2, $B:$B, 0))</f>
        <v>0</v>
      </c>
      <c r="AW46" s="193">
        <f>IFERROR(INDEX('Fluxos de Recebimento'!$I$7:$BH$58, MATCH(Curvas!$AB46, 'Fluxos de Recebimento'!$F$7:$F$58, 0), MATCH(Curvas!AW$2,'Fluxos de Recebimento'!$I$5:$BH$5, 0))+INDEX('Fluxos de Recebimento'!$I$65:$BH$116, MATCH(Curvas!$AB46, 'Fluxos de Recebimento'!$F$65:$F$116, 0), MATCH(Curvas!AW$2, 'Fluxos de Recebimento'!$I$63:$BH$63, 0)),0)*INDEX($E:$E, MATCH(AW$2, $B:$B, 0))</f>
        <v>0</v>
      </c>
      <c r="AX46" s="193">
        <f>IFERROR(INDEX('Fluxos de Recebimento'!$I$7:$BH$58, MATCH(Curvas!$AB46, 'Fluxos de Recebimento'!$F$7:$F$58, 0), MATCH(Curvas!AX$2,'Fluxos de Recebimento'!$I$5:$BH$5, 0))+INDEX('Fluxos de Recebimento'!$I$65:$BH$116, MATCH(Curvas!$AB46, 'Fluxos de Recebimento'!$F$65:$F$116, 0), MATCH(Curvas!AX$2, 'Fluxos de Recebimento'!$I$63:$BH$63, 0)),0)*INDEX($E:$E, MATCH(AX$2, $B:$B, 0))</f>
        <v>0</v>
      </c>
      <c r="AY46" s="193">
        <f>IFERROR(INDEX('Fluxos de Recebimento'!$I$7:$BH$58, MATCH(Curvas!$AB46, 'Fluxos de Recebimento'!$F$7:$F$58, 0), MATCH(Curvas!AY$2,'Fluxos de Recebimento'!$I$5:$BH$5, 0))+INDEX('Fluxos de Recebimento'!$I$65:$BH$116, MATCH(Curvas!$AB46, 'Fluxos de Recebimento'!$F$65:$F$116, 0), MATCH(Curvas!AY$2, 'Fluxos de Recebimento'!$I$63:$BH$63, 0)),0)*INDEX($E:$E, MATCH(AY$2, $B:$B, 0))</f>
        <v>0</v>
      </c>
      <c r="AZ46" s="193">
        <f>IFERROR(INDEX('Fluxos de Recebimento'!$I$7:$BH$58, MATCH(Curvas!$AB46, 'Fluxos de Recebimento'!$F$7:$F$58, 0), MATCH(Curvas!AZ$2,'Fluxos de Recebimento'!$I$5:$BH$5, 0))+INDEX('Fluxos de Recebimento'!$I$65:$BH$116, MATCH(Curvas!$AB46, 'Fluxos de Recebimento'!$F$65:$F$116, 0), MATCH(Curvas!AZ$2, 'Fluxos de Recebimento'!$I$63:$BH$63, 0)),0)*INDEX($E:$E, MATCH(AZ$2, $B:$B, 0))</f>
        <v>0</v>
      </c>
      <c r="BA46" s="193">
        <f>IFERROR(INDEX('Fluxos de Recebimento'!$I$7:$BH$58, MATCH(Curvas!$AB46, 'Fluxos de Recebimento'!$F$7:$F$58, 0), MATCH(Curvas!BA$2,'Fluxos de Recebimento'!$I$5:$BH$5, 0))+INDEX('Fluxos de Recebimento'!$I$65:$BH$116, MATCH(Curvas!$AB46, 'Fluxos de Recebimento'!$F$65:$F$116, 0), MATCH(Curvas!BA$2, 'Fluxos de Recebimento'!$I$63:$BH$63, 0)),0)*INDEX($E:$E, MATCH(BA$2, $B:$B, 0))</f>
        <v>0</v>
      </c>
      <c r="BB46" s="193">
        <f>IFERROR(INDEX('Fluxos de Recebimento'!$I$7:$BH$58, MATCH(Curvas!$AB46, 'Fluxos de Recebimento'!$F$7:$F$58, 0), MATCH(Curvas!BB$2,'Fluxos de Recebimento'!$I$5:$BH$5, 0))+INDEX('Fluxos de Recebimento'!$I$65:$BH$116, MATCH(Curvas!$AB46, 'Fluxos de Recebimento'!$F$65:$F$116, 0), MATCH(Curvas!BB$2, 'Fluxos de Recebimento'!$I$63:$BH$63, 0)),0)*INDEX($E:$E, MATCH(BB$2, $B:$B, 0))</f>
        <v>0</v>
      </c>
      <c r="BC46" s="193">
        <f>IFERROR(INDEX('Fluxos de Recebimento'!$I$7:$BH$58, MATCH(Curvas!$AB46, 'Fluxos de Recebimento'!$F$7:$F$58, 0), MATCH(Curvas!BC$2,'Fluxos de Recebimento'!$I$5:$BH$5, 0))+INDEX('Fluxos de Recebimento'!$I$65:$BH$116, MATCH(Curvas!$AB46, 'Fluxos de Recebimento'!$F$65:$F$116, 0), MATCH(Curvas!BC$2, 'Fluxos de Recebimento'!$I$63:$BH$63, 0)),0)*INDEX($E:$E, MATCH(BC$2, $B:$B, 0))</f>
        <v>0</v>
      </c>
      <c r="BD46" s="193">
        <f>IFERROR(INDEX('Fluxos de Recebimento'!$I$7:$BH$58, MATCH(Curvas!$AB46, 'Fluxos de Recebimento'!$F$7:$F$58, 0), MATCH(Curvas!BD$2,'Fluxos de Recebimento'!$I$5:$BH$5, 0))+INDEX('Fluxos de Recebimento'!$I$65:$BH$116, MATCH(Curvas!$AB46, 'Fluxos de Recebimento'!$F$65:$F$116, 0), MATCH(Curvas!BD$2, 'Fluxos de Recebimento'!$I$63:$BH$63, 0)),0)*INDEX($E:$E, MATCH(BD$2, $B:$B, 0))</f>
        <v>0</v>
      </c>
      <c r="BE46" s="193">
        <f>IFERROR(INDEX('Fluxos de Recebimento'!$I$7:$BH$58, MATCH(Curvas!$AB46, 'Fluxos de Recebimento'!$F$7:$F$58, 0), MATCH(Curvas!BE$2,'Fluxos de Recebimento'!$I$5:$BH$5, 0))+INDEX('Fluxos de Recebimento'!$I$65:$BH$116, MATCH(Curvas!$AB46, 'Fluxos de Recebimento'!$F$65:$F$116, 0), MATCH(Curvas!BE$2, 'Fluxos de Recebimento'!$I$63:$BH$63, 0)),0)*INDEX($E:$E, MATCH(BE$2, $B:$B, 0))</f>
        <v>0</v>
      </c>
      <c r="BF46" s="193">
        <f>IFERROR(INDEX('Fluxos de Recebimento'!$I$7:$BH$58, MATCH(Curvas!$AB46, 'Fluxos de Recebimento'!$F$7:$F$58, 0), MATCH(Curvas!BF$2,'Fluxos de Recebimento'!$I$5:$BH$5, 0))+INDEX('Fluxos de Recebimento'!$I$65:$BH$116, MATCH(Curvas!$AB46, 'Fluxos de Recebimento'!$F$65:$F$116, 0), MATCH(Curvas!BF$2, 'Fluxos de Recebimento'!$I$63:$BH$63, 0)),0)*INDEX($E:$E, MATCH(BF$2, $B:$B, 0))</f>
        <v>0</v>
      </c>
      <c r="BG46" s="193">
        <f>IFERROR(INDEX('Fluxos de Recebimento'!$I$7:$BH$58, MATCH(Curvas!$AB46, 'Fluxos de Recebimento'!$F$7:$F$58, 0), MATCH(Curvas!BG$2,'Fluxos de Recebimento'!$I$5:$BH$5, 0))+INDEX('Fluxos de Recebimento'!$I$65:$BH$116, MATCH(Curvas!$AB46, 'Fluxos de Recebimento'!$F$65:$F$116, 0), MATCH(Curvas!BG$2, 'Fluxos de Recebimento'!$I$63:$BH$63, 0)),0)*INDEX($E:$E, MATCH(BG$2, $B:$B, 0))</f>
        <v>0</v>
      </c>
      <c r="BH46" s="193">
        <f>IFERROR(INDEX('Fluxos de Recebimento'!$I$7:$BH$58, MATCH(Curvas!$AB46, 'Fluxos de Recebimento'!$F$7:$F$58, 0), MATCH(Curvas!BH$2,'Fluxos de Recebimento'!$I$5:$BH$5, 0))+INDEX('Fluxos de Recebimento'!$I$65:$BH$116, MATCH(Curvas!$AB46, 'Fluxos de Recebimento'!$F$65:$F$116, 0), MATCH(Curvas!BH$2, 'Fluxos de Recebimento'!$I$63:$BH$63, 0)),0)*INDEX($E:$E, MATCH(BH$2, $B:$B, 0))</f>
        <v>0</v>
      </c>
      <c r="BI46" s="193">
        <f>IFERROR(INDEX('Fluxos de Recebimento'!$I$7:$BH$58, MATCH(Curvas!$AB46, 'Fluxos de Recebimento'!$F$7:$F$58, 0), MATCH(Curvas!BI$2,'Fluxos de Recebimento'!$I$5:$BH$5, 0))+INDEX('Fluxos de Recebimento'!$I$65:$BH$116, MATCH(Curvas!$AB46, 'Fluxos de Recebimento'!$F$65:$F$116, 0), MATCH(Curvas!BI$2, 'Fluxos de Recebimento'!$I$63:$BH$63, 0)),0)*INDEX($E:$E, MATCH(BI$2, $B:$B, 0))</f>
        <v>0</v>
      </c>
      <c r="BJ46" s="193">
        <f>IFERROR(INDEX('Fluxos de Recebimento'!$I$7:$BH$58, MATCH(Curvas!$AB46, 'Fluxos de Recebimento'!$F$7:$F$58, 0), MATCH(Curvas!BJ$2,'Fluxos de Recebimento'!$I$5:$BH$5, 0))+INDEX('Fluxos de Recebimento'!$I$65:$BH$116, MATCH(Curvas!$AB46, 'Fluxos de Recebimento'!$F$65:$F$116, 0), MATCH(Curvas!BJ$2, 'Fluxos de Recebimento'!$I$63:$BH$63, 0)),0)*INDEX($E:$E, MATCH(BJ$2, $B:$B, 0))</f>
        <v>0</v>
      </c>
      <c r="BK46" s="193">
        <f>IFERROR(INDEX('Fluxos de Recebimento'!$I$7:$BH$58, MATCH(Curvas!$AB46, 'Fluxos de Recebimento'!$F$7:$F$58, 0), MATCH(Curvas!BK$2,'Fluxos de Recebimento'!$I$5:$BH$5, 0))+INDEX('Fluxos de Recebimento'!$I$65:$BH$116, MATCH(Curvas!$AB46, 'Fluxos de Recebimento'!$F$65:$F$116, 0), MATCH(Curvas!BK$2, 'Fluxos de Recebimento'!$I$63:$BH$63, 0)),0)*INDEX($E:$E, MATCH(BK$2, $B:$B, 0))</f>
        <v>0</v>
      </c>
      <c r="BL46" s="193">
        <f>IFERROR(INDEX('Fluxos de Recebimento'!$I$7:$BH$58, MATCH(Curvas!$AB46, 'Fluxos de Recebimento'!$F$7:$F$58, 0), MATCH(Curvas!BL$2,'Fluxos de Recebimento'!$I$5:$BH$5, 0))+INDEX('Fluxos de Recebimento'!$I$65:$BH$116, MATCH(Curvas!$AB46, 'Fluxos de Recebimento'!$F$65:$F$116, 0), MATCH(Curvas!BL$2, 'Fluxos de Recebimento'!$I$63:$BH$63, 0)),0)*INDEX($E:$E, MATCH(BL$2, $B:$B, 0))</f>
        <v>0</v>
      </c>
      <c r="BM46" s="193">
        <f>IFERROR(INDEX('Fluxos de Recebimento'!$I$7:$BH$58, MATCH(Curvas!$AB46, 'Fluxos de Recebimento'!$F$7:$F$58, 0), MATCH(Curvas!BM$2,'Fluxos de Recebimento'!$I$5:$BH$5, 0))+INDEX('Fluxos de Recebimento'!$I$65:$BH$116, MATCH(Curvas!$AB46, 'Fluxos de Recebimento'!$F$65:$F$116, 0), MATCH(Curvas!BM$2, 'Fluxos de Recebimento'!$I$63:$BH$63, 0)),0)*INDEX($E:$E, MATCH(BM$2, $B:$B, 0))</f>
        <v>0</v>
      </c>
      <c r="BN46" s="193">
        <f>IFERROR(INDEX('Fluxos de Recebimento'!$I$7:$BH$58, MATCH(Curvas!$AB46, 'Fluxos de Recebimento'!$F$7:$F$58, 0), MATCH(Curvas!BN$2,'Fluxos de Recebimento'!$I$5:$BH$5, 0))+INDEX('Fluxos de Recebimento'!$I$65:$BH$116, MATCH(Curvas!$AB46, 'Fluxos de Recebimento'!$F$65:$F$116, 0), MATCH(Curvas!BN$2, 'Fluxos de Recebimento'!$I$63:$BH$63, 0)),0)*INDEX($E:$E, MATCH(BN$2, $B:$B, 0))</f>
        <v>0</v>
      </c>
      <c r="BO46" s="193">
        <f>IFERROR(INDEX('Fluxos de Recebimento'!$I$7:$BH$58, MATCH(Curvas!$AB46, 'Fluxos de Recebimento'!$F$7:$F$58, 0), MATCH(Curvas!BO$2,'Fluxos de Recebimento'!$I$5:$BH$5, 0))+INDEX('Fluxos de Recebimento'!$I$65:$BH$116, MATCH(Curvas!$AB46, 'Fluxos de Recebimento'!$F$65:$F$116, 0), MATCH(Curvas!BO$2, 'Fluxos de Recebimento'!$I$63:$BH$63, 0)),0)*INDEX($E:$E, MATCH(BO$2, $B:$B, 0))</f>
        <v>0</v>
      </c>
      <c r="BP46" s="193">
        <f>IFERROR(INDEX('Fluxos de Recebimento'!$I$7:$BH$58, MATCH(Curvas!$AB46, 'Fluxos de Recebimento'!$F$7:$F$58, 0), MATCH(Curvas!BP$2,'Fluxos de Recebimento'!$I$5:$BH$5, 0))+INDEX('Fluxos de Recebimento'!$I$65:$BH$116, MATCH(Curvas!$AB46, 'Fluxos de Recebimento'!$F$65:$F$116, 0), MATCH(Curvas!BP$2, 'Fluxos de Recebimento'!$I$63:$BH$63, 0)),0)*INDEX($E:$E, MATCH(BP$2, $B:$B, 0))</f>
        <v>0</v>
      </c>
      <c r="BQ46" s="193">
        <f>IFERROR(INDEX('Fluxos de Recebimento'!$I$7:$BH$58, MATCH(Curvas!$AB46, 'Fluxos de Recebimento'!$F$7:$F$58, 0), MATCH(Curvas!BQ$2,'Fluxos de Recebimento'!$I$5:$BH$5, 0))+INDEX('Fluxos de Recebimento'!$I$65:$BH$116, MATCH(Curvas!$AB46, 'Fluxos de Recebimento'!$F$65:$F$116, 0), MATCH(Curvas!BQ$2, 'Fluxos de Recebimento'!$I$63:$BH$63, 0)),0)*INDEX($E:$E, MATCH(BQ$2, $B:$B, 0))</f>
        <v>0</v>
      </c>
      <c r="BR46" s="193">
        <f>IFERROR(INDEX('Fluxos de Recebimento'!$I$7:$BH$58, MATCH(Curvas!$AB46, 'Fluxos de Recebimento'!$F$7:$F$58, 0), MATCH(Curvas!BR$2,'Fluxos de Recebimento'!$I$5:$BH$5, 0))+INDEX('Fluxos de Recebimento'!$I$65:$BH$116, MATCH(Curvas!$AB46, 'Fluxos de Recebimento'!$F$65:$F$116, 0), MATCH(Curvas!BR$2, 'Fluxos de Recebimento'!$I$63:$BH$63, 0)),0)*INDEX($E:$E, MATCH(BR$2, $B:$B, 0))</f>
        <v>0</v>
      </c>
      <c r="BS46" s="193">
        <f>IFERROR(INDEX('Fluxos de Recebimento'!$I$7:$BH$58, MATCH(Curvas!$AB46, 'Fluxos de Recebimento'!$F$7:$F$58, 0), MATCH(Curvas!BS$2,'Fluxos de Recebimento'!$I$5:$BH$5, 0))+INDEX('Fluxos de Recebimento'!$I$65:$BH$116, MATCH(Curvas!$AB46, 'Fluxos de Recebimento'!$F$65:$F$116, 0), MATCH(Curvas!BS$2, 'Fluxos de Recebimento'!$I$63:$BH$63, 0)),0)*INDEX($E:$E, MATCH(BS$2, $B:$B, 0))</f>
        <v>0</v>
      </c>
      <c r="BT46" s="193">
        <f>IFERROR(INDEX('Fluxos de Recebimento'!$I$7:$BH$58, MATCH(Curvas!$AB46, 'Fluxos de Recebimento'!$F$7:$F$58, 0), MATCH(Curvas!BT$2,'Fluxos de Recebimento'!$I$5:$BH$5, 0))+INDEX('Fluxos de Recebimento'!$I$65:$BH$116, MATCH(Curvas!$AB46, 'Fluxos de Recebimento'!$F$65:$F$116, 0), MATCH(Curvas!BT$2, 'Fluxos de Recebimento'!$I$63:$BH$63, 0)),0)*INDEX($E:$E, MATCH(BT$2, $B:$B, 0))</f>
        <v>0</v>
      </c>
      <c r="BU46" s="193">
        <f>IFERROR(INDEX('Fluxos de Recebimento'!$I$7:$BH$58, MATCH(Curvas!$AB46, 'Fluxos de Recebimento'!$F$7:$F$58, 0), MATCH(Curvas!BU$2,'Fluxos de Recebimento'!$I$5:$BH$5, 0))+INDEX('Fluxos de Recebimento'!$I$65:$BH$116, MATCH(Curvas!$AB46, 'Fluxos de Recebimento'!$F$65:$F$116, 0), MATCH(Curvas!BU$2, 'Fluxos de Recebimento'!$I$63:$BH$63, 0)),0)*INDEX($E:$E, MATCH(BU$2, $B:$B, 0))</f>
        <v>0</v>
      </c>
      <c r="BV46" s="193">
        <f>IFERROR(INDEX('Fluxos de Recebimento'!$I$7:$BH$58, MATCH(Curvas!$AB46, 'Fluxos de Recebimento'!$F$7:$F$58, 0), MATCH(Curvas!BV$2,'Fluxos de Recebimento'!$I$5:$BH$5, 0))+INDEX('Fluxos de Recebimento'!$I$65:$BH$116, MATCH(Curvas!$AB46, 'Fluxos de Recebimento'!$F$65:$F$116, 0), MATCH(Curvas!BV$2, 'Fluxos de Recebimento'!$I$63:$BH$63, 0)),0)*INDEX($E:$E, MATCH(BV$2, $B:$B, 0))</f>
        <v>0</v>
      </c>
      <c r="BW46" s="193">
        <f>IFERROR(INDEX('Fluxos de Recebimento'!$I$7:$BH$58, MATCH(Curvas!$AB46, 'Fluxos de Recebimento'!$F$7:$F$58, 0), MATCH(Curvas!BW$2,'Fluxos de Recebimento'!$I$5:$BH$5, 0))+INDEX('Fluxos de Recebimento'!$I$65:$BH$116, MATCH(Curvas!$AB46, 'Fluxos de Recebimento'!$F$65:$F$116, 0), MATCH(Curvas!BW$2, 'Fluxos de Recebimento'!$I$63:$BH$63, 0)),0)*INDEX($E:$E, MATCH(BW$2, $B:$B, 0))</f>
        <v>0</v>
      </c>
      <c r="BX46" s="193">
        <f>IFERROR(INDEX('Fluxos de Recebimento'!$I$7:$BH$58, MATCH(Curvas!$AB46, 'Fluxos de Recebimento'!$F$7:$F$58, 0), MATCH(Curvas!BX$2,'Fluxos de Recebimento'!$I$5:$BH$5, 0))+INDEX('Fluxos de Recebimento'!$I$65:$BH$116, MATCH(Curvas!$AB46, 'Fluxos de Recebimento'!$F$65:$F$116, 0), MATCH(Curvas!BX$2, 'Fluxos de Recebimento'!$I$63:$BH$63, 0)),0)*INDEX($E:$E, MATCH(BX$2, $B:$B, 0))</f>
        <v>0</v>
      </c>
      <c r="BY46" s="193">
        <f>IFERROR(INDEX('Fluxos de Recebimento'!$I$7:$BH$58, MATCH(Curvas!$AB46, 'Fluxos de Recebimento'!$F$7:$F$58, 0), MATCH(Curvas!BY$2,'Fluxos de Recebimento'!$I$5:$BH$5, 0))+INDEX('Fluxos de Recebimento'!$I$65:$BH$116, MATCH(Curvas!$AB46, 'Fluxos de Recebimento'!$F$65:$F$116, 0), MATCH(Curvas!BY$2, 'Fluxos de Recebimento'!$I$63:$BH$63, 0)),0)*INDEX($E:$E, MATCH(BY$2, $B:$B, 0))</f>
        <v>0</v>
      </c>
      <c r="BZ46" s="193">
        <f>IFERROR(INDEX('Fluxos de Recebimento'!$I$7:$BH$58, MATCH(Curvas!$AB46, 'Fluxos de Recebimento'!$F$7:$F$58, 0), MATCH(Curvas!BZ$2,'Fluxos de Recebimento'!$I$5:$BH$5, 0))+INDEX('Fluxos de Recebimento'!$I$65:$BH$116, MATCH(Curvas!$AB46, 'Fluxos de Recebimento'!$F$65:$F$116, 0), MATCH(Curvas!BZ$2, 'Fluxos de Recebimento'!$I$63:$BH$63, 0)),0)*INDEX($E:$E, MATCH(BZ$2, $B:$B, 0))</f>
        <v>0</v>
      </c>
      <c r="CA46" s="193">
        <f>IFERROR(INDEX('Fluxos de Recebimento'!$I$7:$BH$58, MATCH(Curvas!$AB46, 'Fluxos de Recebimento'!$F$7:$F$58, 0), MATCH(Curvas!CA$2,'Fluxos de Recebimento'!$I$5:$BH$5, 0))+INDEX('Fluxos de Recebimento'!$I$65:$BH$116, MATCH(Curvas!$AB46, 'Fluxos de Recebimento'!$F$65:$F$116, 0), MATCH(Curvas!CA$2, 'Fluxos de Recebimento'!$I$63:$BH$63, 0)),0)*INDEX($E:$E, MATCH(CA$2, $B:$B, 0))</f>
        <v>0</v>
      </c>
      <c r="CB46" s="193">
        <f>IFERROR(INDEX('Fluxos de Recebimento'!$I$7:$BH$58, MATCH(Curvas!$AB46, 'Fluxos de Recebimento'!$F$7:$F$58, 0), MATCH(Curvas!CB$2,'Fluxos de Recebimento'!$I$5:$BH$5, 0))+INDEX('Fluxos de Recebimento'!$I$65:$BH$116, MATCH(Curvas!$AB46, 'Fluxos de Recebimento'!$F$65:$F$116, 0), MATCH(Curvas!CB$2, 'Fluxos de Recebimento'!$I$63:$BH$63, 0)),0)*INDEX($E:$E, MATCH(CB$2, $B:$B, 0))</f>
        <v>0</v>
      </c>
      <c r="CC46" s="193">
        <f>IFERROR(INDEX('Fluxos de Recebimento'!$I$7:$BH$58, MATCH(Curvas!$AB46, 'Fluxos de Recebimento'!$F$7:$F$58, 0), MATCH(Curvas!CC$2,'Fluxos de Recebimento'!$I$5:$BH$5, 0))+INDEX('Fluxos de Recebimento'!$I$65:$BH$116, MATCH(Curvas!$AB46, 'Fluxos de Recebimento'!$F$65:$F$116, 0), MATCH(Curvas!CC$2, 'Fluxos de Recebimento'!$I$63:$BH$63, 0)),0)*INDEX($E:$E, MATCH(CC$2, $B:$B, 0))</f>
        <v>0</v>
      </c>
    </row>
    <row r="47" spans="1:81" x14ac:dyDescent="0.25">
      <c r="A47" s="2"/>
      <c r="B47" s="477">
        <f t="shared" si="34"/>
        <v>45474</v>
      </c>
      <c r="C47" s="52">
        <f t="shared" si="35"/>
        <v>44</v>
      </c>
      <c r="D47" s="2"/>
      <c r="E47" s="187">
        <f t="shared" si="22"/>
        <v>0</v>
      </c>
      <c r="F47" s="48">
        <f t="shared" si="36"/>
        <v>0.99999999999999978</v>
      </c>
      <c r="G47" s="46">
        <f t="shared" ca="1" si="23"/>
        <v>0</v>
      </c>
      <c r="H47" s="48">
        <f t="shared" ca="1" si="37"/>
        <v>0.99999999999999989</v>
      </c>
      <c r="I47" s="2"/>
      <c r="J47" s="69">
        <f t="shared" ca="1" si="24"/>
        <v>0</v>
      </c>
      <c r="K47" s="479">
        <f t="shared" ca="1" si="25"/>
        <v>0</v>
      </c>
      <c r="L47" s="70">
        <f t="shared" ca="1" si="26"/>
        <v>0</v>
      </c>
      <c r="M47" s="2"/>
      <c r="N47" s="69">
        <f t="shared" si="27"/>
        <v>1</v>
      </c>
      <c r="O47" s="479">
        <f t="shared" si="28"/>
        <v>0</v>
      </c>
      <c r="P47" s="70">
        <f t="shared" si="29"/>
        <v>1</v>
      </c>
      <c r="Q47" s="2"/>
      <c r="R47" s="71">
        <f t="shared" ca="1" si="30"/>
        <v>1</v>
      </c>
      <c r="S47" s="196"/>
      <c r="T47" s="46">
        <v>0</v>
      </c>
      <c r="U47" s="48">
        <f t="shared" si="38"/>
        <v>0.99999999999999978</v>
      </c>
      <c r="V47" s="2"/>
      <c r="W47" s="56"/>
      <c r="X47" s="48"/>
      <c r="Y47" s="2"/>
      <c r="Z47" s="194">
        <f t="shared" si="31"/>
        <v>0</v>
      </c>
      <c r="AA47" s="2"/>
      <c r="AB47" s="477">
        <f t="shared" si="32"/>
        <v>45474</v>
      </c>
      <c r="AC47" s="52">
        <f t="shared" si="33"/>
        <v>44</v>
      </c>
      <c r="AD47" s="193">
        <f>IFERROR(INDEX('Fluxos de Recebimento'!$I$7:$BH$58, MATCH(Curvas!$AB47, 'Fluxos de Recebimento'!$F$7:$F$58, 0), MATCH(Curvas!AD$2,'Fluxos de Recebimento'!$I$5:$BH$5, 0))+INDEX('Fluxos de Recebimento'!$I$65:$BH$116, MATCH(Curvas!$AB47, 'Fluxos de Recebimento'!$F$65:$F$116, 0), MATCH(Curvas!AD$2, 'Fluxos de Recebimento'!$I$63:$BH$63, 0)),0)*INDEX($E:$E, MATCH(AD$2, $B:$B, 0))</f>
        <v>0</v>
      </c>
      <c r="AE47" s="193">
        <f>IFERROR(INDEX('Fluxos de Recebimento'!$I$7:$BH$58, MATCH(Curvas!$AB47, 'Fluxos de Recebimento'!$F$7:$F$58, 0), MATCH(Curvas!AE$2,'Fluxos de Recebimento'!$I$5:$BH$5, 0))+INDEX('Fluxos de Recebimento'!$I$65:$BH$116, MATCH(Curvas!$AB47, 'Fluxos de Recebimento'!$F$65:$F$116, 0), MATCH(Curvas!AE$2, 'Fluxos de Recebimento'!$I$63:$BH$63, 0)),0)*INDEX($E:$E, MATCH(AE$2, $B:$B, 0))</f>
        <v>0</v>
      </c>
      <c r="AF47" s="193">
        <f>IFERROR(INDEX('Fluxos de Recebimento'!$I$7:$BH$58, MATCH(Curvas!$AB47, 'Fluxos de Recebimento'!$F$7:$F$58, 0), MATCH(Curvas!AF$2,'Fluxos de Recebimento'!$I$5:$BH$5, 0))+INDEX('Fluxos de Recebimento'!$I$65:$BH$116, MATCH(Curvas!$AB47, 'Fluxos de Recebimento'!$F$65:$F$116, 0), MATCH(Curvas!AF$2, 'Fluxos de Recebimento'!$I$63:$BH$63, 0)),0)*INDEX($E:$E, MATCH(AF$2, $B:$B, 0))</f>
        <v>0</v>
      </c>
      <c r="AG47" s="193">
        <f>IFERROR(INDEX('Fluxos de Recebimento'!$I$7:$BH$58, MATCH(Curvas!$AB47, 'Fluxos de Recebimento'!$F$7:$F$58, 0), MATCH(Curvas!AG$2,'Fluxos de Recebimento'!$I$5:$BH$5, 0))+INDEX('Fluxos de Recebimento'!$I$65:$BH$116, MATCH(Curvas!$AB47, 'Fluxos de Recebimento'!$F$65:$F$116, 0), MATCH(Curvas!AG$2, 'Fluxos de Recebimento'!$I$63:$BH$63, 0)),0)*INDEX($E:$E, MATCH(AG$2, $B:$B, 0))</f>
        <v>0</v>
      </c>
      <c r="AH47" s="193">
        <f>IFERROR(INDEX('Fluxos de Recebimento'!$I$7:$BH$58, MATCH(Curvas!$AB47, 'Fluxos de Recebimento'!$F$7:$F$58, 0), MATCH(Curvas!AH$2,'Fluxos de Recebimento'!$I$5:$BH$5, 0))+INDEX('Fluxos de Recebimento'!$I$65:$BH$116, MATCH(Curvas!$AB47, 'Fluxos de Recebimento'!$F$65:$F$116, 0), MATCH(Curvas!AH$2, 'Fluxos de Recebimento'!$I$63:$BH$63, 0)),0)*INDEX($E:$E, MATCH(AH$2, $B:$B, 0))</f>
        <v>0</v>
      </c>
      <c r="AI47" s="193">
        <f>IFERROR(INDEX('Fluxos de Recebimento'!$I$7:$BH$58, MATCH(Curvas!$AB47, 'Fluxos de Recebimento'!$F$7:$F$58, 0), MATCH(Curvas!AI$2,'Fluxos de Recebimento'!$I$5:$BH$5, 0))+INDEX('Fluxos de Recebimento'!$I$65:$BH$116, MATCH(Curvas!$AB47, 'Fluxos de Recebimento'!$F$65:$F$116, 0), MATCH(Curvas!AI$2, 'Fluxos de Recebimento'!$I$63:$BH$63, 0)),0)*INDEX($E:$E, MATCH(AI$2, $B:$B, 0))</f>
        <v>0</v>
      </c>
      <c r="AJ47" s="193">
        <f>IFERROR(INDEX('Fluxos de Recebimento'!$I$7:$BH$58, MATCH(Curvas!$AB47, 'Fluxos de Recebimento'!$F$7:$F$58, 0), MATCH(Curvas!AJ$2,'Fluxos de Recebimento'!$I$5:$BH$5, 0))+INDEX('Fluxos de Recebimento'!$I$65:$BH$116, MATCH(Curvas!$AB47, 'Fluxos de Recebimento'!$F$65:$F$116, 0), MATCH(Curvas!AJ$2, 'Fluxos de Recebimento'!$I$63:$BH$63, 0)),0)*INDEX($E:$E, MATCH(AJ$2, $B:$B, 0))</f>
        <v>0</v>
      </c>
      <c r="AK47" s="193">
        <f>IFERROR(INDEX('Fluxos de Recebimento'!$I$7:$BH$58, MATCH(Curvas!$AB47, 'Fluxos de Recebimento'!$F$7:$F$58, 0), MATCH(Curvas!AK$2,'Fluxos de Recebimento'!$I$5:$BH$5, 0))+INDEX('Fluxos de Recebimento'!$I$65:$BH$116, MATCH(Curvas!$AB47, 'Fluxos de Recebimento'!$F$65:$F$116, 0), MATCH(Curvas!AK$2, 'Fluxos de Recebimento'!$I$63:$BH$63, 0)),0)*INDEX($E:$E, MATCH(AK$2, $B:$B, 0))</f>
        <v>0</v>
      </c>
      <c r="AL47" s="193">
        <f>IFERROR(INDEX('Fluxos de Recebimento'!$I$7:$BH$58, MATCH(Curvas!$AB47, 'Fluxos de Recebimento'!$F$7:$F$58, 0), MATCH(Curvas!AL$2,'Fluxos de Recebimento'!$I$5:$BH$5, 0))+INDEX('Fluxos de Recebimento'!$I$65:$BH$116, MATCH(Curvas!$AB47, 'Fluxos de Recebimento'!$F$65:$F$116, 0), MATCH(Curvas!AL$2, 'Fluxos de Recebimento'!$I$63:$BH$63, 0)),0)*INDEX($E:$E, MATCH(AL$2, $B:$B, 0))</f>
        <v>0</v>
      </c>
      <c r="AM47" s="193">
        <f>IFERROR(INDEX('Fluxos de Recebimento'!$I$7:$BH$58, MATCH(Curvas!$AB47, 'Fluxos de Recebimento'!$F$7:$F$58, 0), MATCH(Curvas!AM$2,'Fluxos de Recebimento'!$I$5:$BH$5, 0))+INDEX('Fluxos de Recebimento'!$I$65:$BH$116, MATCH(Curvas!$AB47, 'Fluxos de Recebimento'!$F$65:$F$116, 0), MATCH(Curvas!AM$2, 'Fluxos de Recebimento'!$I$63:$BH$63, 0)),0)*INDEX($E:$E, MATCH(AM$2, $B:$B, 0))</f>
        <v>0</v>
      </c>
      <c r="AN47" s="193">
        <f>IFERROR(INDEX('Fluxos de Recebimento'!$I$7:$BH$58, MATCH(Curvas!$AB47, 'Fluxos de Recebimento'!$F$7:$F$58, 0), MATCH(Curvas!AN$2,'Fluxos de Recebimento'!$I$5:$BH$5, 0))+INDEX('Fluxos de Recebimento'!$I$65:$BH$116, MATCH(Curvas!$AB47, 'Fluxos de Recebimento'!$F$65:$F$116, 0), MATCH(Curvas!AN$2, 'Fluxos de Recebimento'!$I$63:$BH$63, 0)),0)*INDEX($E:$E, MATCH(AN$2, $B:$B, 0))</f>
        <v>0</v>
      </c>
      <c r="AO47" s="193">
        <f>IFERROR(INDEX('Fluxos de Recebimento'!$I$7:$BH$58, MATCH(Curvas!$AB47, 'Fluxos de Recebimento'!$F$7:$F$58, 0), MATCH(Curvas!AO$2,'Fluxos de Recebimento'!$I$5:$BH$5, 0))+INDEX('Fluxos de Recebimento'!$I$65:$BH$116, MATCH(Curvas!$AB47, 'Fluxos de Recebimento'!$F$65:$F$116, 0), MATCH(Curvas!AO$2, 'Fluxos de Recebimento'!$I$63:$BH$63, 0)),0)*INDEX($E:$E, MATCH(AO$2, $B:$B, 0))</f>
        <v>0</v>
      </c>
      <c r="AP47" s="193">
        <f>IFERROR(INDEX('Fluxos de Recebimento'!$I$7:$BH$58, MATCH(Curvas!$AB47, 'Fluxos de Recebimento'!$F$7:$F$58, 0), MATCH(Curvas!AP$2,'Fluxos de Recebimento'!$I$5:$BH$5, 0))+INDEX('Fluxos de Recebimento'!$I$65:$BH$116, MATCH(Curvas!$AB47, 'Fluxos de Recebimento'!$F$65:$F$116, 0), MATCH(Curvas!AP$2, 'Fluxos de Recebimento'!$I$63:$BH$63, 0)),0)*INDEX($E:$E, MATCH(AP$2, $B:$B, 0))</f>
        <v>0</v>
      </c>
      <c r="AQ47" s="193">
        <f>IFERROR(INDEX('Fluxos de Recebimento'!$I$7:$BH$58, MATCH(Curvas!$AB47, 'Fluxos de Recebimento'!$F$7:$F$58, 0), MATCH(Curvas!AQ$2,'Fluxos de Recebimento'!$I$5:$BH$5, 0))+INDEX('Fluxos de Recebimento'!$I$65:$BH$116, MATCH(Curvas!$AB47, 'Fluxos de Recebimento'!$F$65:$F$116, 0), MATCH(Curvas!AQ$2, 'Fluxos de Recebimento'!$I$63:$BH$63, 0)),0)*INDEX($E:$E, MATCH(AQ$2, $B:$B, 0))</f>
        <v>0</v>
      </c>
      <c r="AR47" s="193">
        <f>IFERROR(INDEX('Fluxos de Recebimento'!$I$7:$BH$58, MATCH(Curvas!$AB47, 'Fluxos de Recebimento'!$F$7:$F$58, 0), MATCH(Curvas!AR$2,'Fluxos de Recebimento'!$I$5:$BH$5, 0))+INDEX('Fluxos de Recebimento'!$I$65:$BH$116, MATCH(Curvas!$AB47, 'Fluxos de Recebimento'!$F$65:$F$116, 0), MATCH(Curvas!AR$2, 'Fluxos de Recebimento'!$I$63:$BH$63, 0)),0)*INDEX($E:$E, MATCH(AR$2, $B:$B, 0))</f>
        <v>0</v>
      </c>
      <c r="AS47" s="193">
        <f>IFERROR(INDEX('Fluxos de Recebimento'!$I$7:$BH$58, MATCH(Curvas!$AB47, 'Fluxos de Recebimento'!$F$7:$F$58, 0), MATCH(Curvas!AS$2,'Fluxos de Recebimento'!$I$5:$BH$5, 0))+INDEX('Fluxos de Recebimento'!$I$65:$BH$116, MATCH(Curvas!$AB47, 'Fluxos de Recebimento'!$F$65:$F$116, 0), MATCH(Curvas!AS$2, 'Fluxos de Recebimento'!$I$63:$BH$63, 0)),0)*INDEX($E:$E, MATCH(AS$2, $B:$B, 0))</f>
        <v>0</v>
      </c>
      <c r="AT47" s="193">
        <f>IFERROR(INDEX('Fluxos de Recebimento'!$I$7:$BH$58, MATCH(Curvas!$AB47, 'Fluxos de Recebimento'!$F$7:$F$58, 0), MATCH(Curvas!AT$2,'Fluxos de Recebimento'!$I$5:$BH$5, 0))+INDEX('Fluxos de Recebimento'!$I$65:$BH$116, MATCH(Curvas!$AB47, 'Fluxos de Recebimento'!$F$65:$F$116, 0), MATCH(Curvas!AT$2, 'Fluxos de Recebimento'!$I$63:$BH$63, 0)),0)*INDEX($E:$E, MATCH(AT$2, $B:$B, 0))</f>
        <v>0</v>
      </c>
      <c r="AU47" s="193">
        <f>IFERROR(INDEX('Fluxos de Recebimento'!$I$7:$BH$58, MATCH(Curvas!$AB47, 'Fluxos de Recebimento'!$F$7:$F$58, 0), MATCH(Curvas!AU$2,'Fluxos de Recebimento'!$I$5:$BH$5, 0))+INDEX('Fluxos de Recebimento'!$I$65:$BH$116, MATCH(Curvas!$AB47, 'Fluxos de Recebimento'!$F$65:$F$116, 0), MATCH(Curvas!AU$2, 'Fluxos de Recebimento'!$I$63:$BH$63, 0)),0)*INDEX($E:$E, MATCH(AU$2, $B:$B, 0))</f>
        <v>0</v>
      </c>
      <c r="AV47" s="193">
        <f>IFERROR(INDEX('Fluxos de Recebimento'!$I$7:$BH$58, MATCH(Curvas!$AB47, 'Fluxos de Recebimento'!$F$7:$F$58, 0), MATCH(Curvas!AV$2,'Fluxos de Recebimento'!$I$5:$BH$5, 0))+INDEX('Fluxos de Recebimento'!$I$65:$BH$116, MATCH(Curvas!$AB47, 'Fluxos de Recebimento'!$F$65:$F$116, 0), MATCH(Curvas!AV$2, 'Fluxos de Recebimento'!$I$63:$BH$63, 0)),0)*INDEX($E:$E, MATCH(AV$2, $B:$B, 0))</f>
        <v>0</v>
      </c>
      <c r="AW47" s="193">
        <f>IFERROR(INDEX('Fluxos de Recebimento'!$I$7:$BH$58, MATCH(Curvas!$AB47, 'Fluxos de Recebimento'!$F$7:$F$58, 0), MATCH(Curvas!AW$2,'Fluxos de Recebimento'!$I$5:$BH$5, 0))+INDEX('Fluxos de Recebimento'!$I$65:$BH$116, MATCH(Curvas!$AB47, 'Fluxos de Recebimento'!$F$65:$F$116, 0), MATCH(Curvas!AW$2, 'Fluxos de Recebimento'!$I$63:$BH$63, 0)),0)*INDEX($E:$E, MATCH(AW$2, $B:$B, 0))</f>
        <v>0</v>
      </c>
      <c r="AX47" s="193">
        <f>IFERROR(INDEX('Fluxos de Recebimento'!$I$7:$BH$58, MATCH(Curvas!$AB47, 'Fluxos de Recebimento'!$F$7:$F$58, 0), MATCH(Curvas!AX$2,'Fluxos de Recebimento'!$I$5:$BH$5, 0))+INDEX('Fluxos de Recebimento'!$I$65:$BH$116, MATCH(Curvas!$AB47, 'Fluxos de Recebimento'!$F$65:$F$116, 0), MATCH(Curvas!AX$2, 'Fluxos de Recebimento'!$I$63:$BH$63, 0)),0)*INDEX($E:$E, MATCH(AX$2, $B:$B, 0))</f>
        <v>0</v>
      </c>
      <c r="AY47" s="193">
        <f>IFERROR(INDEX('Fluxos de Recebimento'!$I$7:$BH$58, MATCH(Curvas!$AB47, 'Fluxos de Recebimento'!$F$7:$F$58, 0), MATCH(Curvas!AY$2,'Fluxos de Recebimento'!$I$5:$BH$5, 0))+INDEX('Fluxos de Recebimento'!$I$65:$BH$116, MATCH(Curvas!$AB47, 'Fluxos de Recebimento'!$F$65:$F$116, 0), MATCH(Curvas!AY$2, 'Fluxos de Recebimento'!$I$63:$BH$63, 0)),0)*INDEX($E:$E, MATCH(AY$2, $B:$B, 0))</f>
        <v>0</v>
      </c>
      <c r="AZ47" s="193">
        <f>IFERROR(INDEX('Fluxos de Recebimento'!$I$7:$BH$58, MATCH(Curvas!$AB47, 'Fluxos de Recebimento'!$F$7:$F$58, 0), MATCH(Curvas!AZ$2,'Fluxos de Recebimento'!$I$5:$BH$5, 0))+INDEX('Fluxos de Recebimento'!$I$65:$BH$116, MATCH(Curvas!$AB47, 'Fluxos de Recebimento'!$F$65:$F$116, 0), MATCH(Curvas!AZ$2, 'Fluxos de Recebimento'!$I$63:$BH$63, 0)),0)*INDEX($E:$E, MATCH(AZ$2, $B:$B, 0))</f>
        <v>0</v>
      </c>
      <c r="BA47" s="193">
        <f>IFERROR(INDEX('Fluxos de Recebimento'!$I$7:$BH$58, MATCH(Curvas!$AB47, 'Fluxos de Recebimento'!$F$7:$F$58, 0), MATCH(Curvas!BA$2,'Fluxos de Recebimento'!$I$5:$BH$5, 0))+INDEX('Fluxos de Recebimento'!$I$65:$BH$116, MATCH(Curvas!$AB47, 'Fluxos de Recebimento'!$F$65:$F$116, 0), MATCH(Curvas!BA$2, 'Fluxos de Recebimento'!$I$63:$BH$63, 0)),0)*INDEX($E:$E, MATCH(BA$2, $B:$B, 0))</f>
        <v>0</v>
      </c>
      <c r="BB47" s="193">
        <f>IFERROR(INDEX('Fluxos de Recebimento'!$I$7:$BH$58, MATCH(Curvas!$AB47, 'Fluxos de Recebimento'!$F$7:$F$58, 0), MATCH(Curvas!BB$2,'Fluxos de Recebimento'!$I$5:$BH$5, 0))+INDEX('Fluxos de Recebimento'!$I$65:$BH$116, MATCH(Curvas!$AB47, 'Fluxos de Recebimento'!$F$65:$F$116, 0), MATCH(Curvas!BB$2, 'Fluxos de Recebimento'!$I$63:$BH$63, 0)),0)*INDEX($E:$E, MATCH(BB$2, $B:$B, 0))</f>
        <v>0</v>
      </c>
      <c r="BC47" s="193">
        <f>IFERROR(INDEX('Fluxos de Recebimento'!$I$7:$BH$58, MATCH(Curvas!$AB47, 'Fluxos de Recebimento'!$F$7:$F$58, 0), MATCH(Curvas!BC$2,'Fluxos de Recebimento'!$I$5:$BH$5, 0))+INDEX('Fluxos de Recebimento'!$I$65:$BH$116, MATCH(Curvas!$AB47, 'Fluxos de Recebimento'!$F$65:$F$116, 0), MATCH(Curvas!BC$2, 'Fluxos de Recebimento'!$I$63:$BH$63, 0)),0)*INDEX($E:$E, MATCH(BC$2, $B:$B, 0))</f>
        <v>0</v>
      </c>
      <c r="BD47" s="193">
        <f>IFERROR(INDEX('Fluxos de Recebimento'!$I$7:$BH$58, MATCH(Curvas!$AB47, 'Fluxos de Recebimento'!$F$7:$F$58, 0), MATCH(Curvas!BD$2,'Fluxos de Recebimento'!$I$5:$BH$5, 0))+INDEX('Fluxos de Recebimento'!$I$65:$BH$116, MATCH(Curvas!$AB47, 'Fluxos de Recebimento'!$F$65:$F$116, 0), MATCH(Curvas!BD$2, 'Fluxos de Recebimento'!$I$63:$BH$63, 0)),0)*INDEX($E:$E, MATCH(BD$2, $B:$B, 0))</f>
        <v>0</v>
      </c>
      <c r="BE47" s="193">
        <f>IFERROR(INDEX('Fluxos de Recebimento'!$I$7:$BH$58, MATCH(Curvas!$AB47, 'Fluxos de Recebimento'!$F$7:$F$58, 0), MATCH(Curvas!BE$2,'Fluxos de Recebimento'!$I$5:$BH$5, 0))+INDEX('Fluxos de Recebimento'!$I$65:$BH$116, MATCH(Curvas!$AB47, 'Fluxos de Recebimento'!$F$65:$F$116, 0), MATCH(Curvas!BE$2, 'Fluxos de Recebimento'!$I$63:$BH$63, 0)),0)*INDEX($E:$E, MATCH(BE$2, $B:$B, 0))</f>
        <v>0</v>
      </c>
      <c r="BF47" s="193">
        <f>IFERROR(INDEX('Fluxos de Recebimento'!$I$7:$BH$58, MATCH(Curvas!$AB47, 'Fluxos de Recebimento'!$F$7:$F$58, 0), MATCH(Curvas!BF$2,'Fluxos de Recebimento'!$I$5:$BH$5, 0))+INDEX('Fluxos de Recebimento'!$I$65:$BH$116, MATCH(Curvas!$AB47, 'Fluxos de Recebimento'!$F$65:$F$116, 0), MATCH(Curvas!BF$2, 'Fluxos de Recebimento'!$I$63:$BH$63, 0)),0)*INDEX($E:$E, MATCH(BF$2, $B:$B, 0))</f>
        <v>0</v>
      </c>
      <c r="BG47" s="193">
        <f>IFERROR(INDEX('Fluxos de Recebimento'!$I$7:$BH$58, MATCH(Curvas!$AB47, 'Fluxos de Recebimento'!$F$7:$F$58, 0), MATCH(Curvas!BG$2,'Fluxos de Recebimento'!$I$5:$BH$5, 0))+INDEX('Fluxos de Recebimento'!$I$65:$BH$116, MATCH(Curvas!$AB47, 'Fluxos de Recebimento'!$F$65:$F$116, 0), MATCH(Curvas!BG$2, 'Fluxos de Recebimento'!$I$63:$BH$63, 0)),0)*INDEX($E:$E, MATCH(BG$2, $B:$B, 0))</f>
        <v>0</v>
      </c>
      <c r="BH47" s="193">
        <f>IFERROR(INDEX('Fluxos de Recebimento'!$I$7:$BH$58, MATCH(Curvas!$AB47, 'Fluxos de Recebimento'!$F$7:$F$58, 0), MATCH(Curvas!BH$2,'Fluxos de Recebimento'!$I$5:$BH$5, 0))+INDEX('Fluxos de Recebimento'!$I$65:$BH$116, MATCH(Curvas!$AB47, 'Fluxos de Recebimento'!$F$65:$F$116, 0), MATCH(Curvas!BH$2, 'Fluxos de Recebimento'!$I$63:$BH$63, 0)),0)*INDEX($E:$E, MATCH(BH$2, $B:$B, 0))</f>
        <v>0</v>
      </c>
      <c r="BI47" s="193">
        <f>IFERROR(INDEX('Fluxos de Recebimento'!$I$7:$BH$58, MATCH(Curvas!$AB47, 'Fluxos de Recebimento'!$F$7:$F$58, 0), MATCH(Curvas!BI$2,'Fluxos de Recebimento'!$I$5:$BH$5, 0))+INDEX('Fluxos de Recebimento'!$I$65:$BH$116, MATCH(Curvas!$AB47, 'Fluxos de Recebimento'!$F$65:$F$116, 0), MATCH(Curvas!BI$2, 'Fluxos de Recebimento'!$I$63:$BH$63, 0)),0)*INDEX($E:$E, MATCH(BI$2, $B:$B, 0))</f>
        <v>0</v>
      </c>
      <c r="BJ47" s="193">
        <f>IFERROR(INDEX('Fluxos de Recebimento'!$I$7:$BH$58, MATCH(Curvas!$AB47, 'Fluxos de Recebimento'!$F$7:$F$58, 0), MATCH(Curvas!BJ$2,'Fluxos de Recebimento'!$I$5:$BH$5, 0))+INDEX('Fluxos de Recebimento'!$I$65:$BH$116, MATCH(Curvas!$AB47, 'Fluxos de Recebimento'!$F$65:$F$116, 0), MATCH(Curvas!BJ$2, 'Fluxos de Recebimento'!$I$63:$BH$63, 0)),0)*INDEX($E:$E, MATCH(BJ$2, $B:$B, 0))</f>
        <v>0</v>
      </c>
      <c r="BK47" s="193">
        <f>IFERROR(INDEX('Fluxos de Recebimento'!$I$7:$BH$58, MATCH(Curvas!$AB47, 'Fluxos de Recebimento'!$F$7:$F$58, 0), MATCH(Curvas!BK$2,'Fluxos de Recebimento'!$I$5:$BH$5, 0))+INDEX('Fluxos de Recebimento'!$I$65:$BH$116, MATCH(Curvas!$AB47, 'Fluxos de Recebimento'!$F$65:$F$116, 0), MATCH(Curvas!BK$2, 'Fluxos de Recebimento'!$I$63:$BH$63, 0)),0)*INDEX($E:$E, MATCH(BK$2, $B:$B, 0))</f>
        <v>0</v>
      </c>
      <c r="BL47" s="193">
        <f>IFERROR(INDEX('Fluxos de Recebimento'!$I$7:$BH$58, MATCH(Curvas!$AB47, 'Fluxos de Recebimento'!$F$7:$F$58, 0), MATCH(Curvas!BL$2,'Fluxos de Recebimento'!$I$5:$BH$5, 0))+INDEX('Fluxos de Recebimento'!$I$65:$BH$116, MATCH(Curvas!$AB47, 'Fluxos de Recebimento'!$F$65:$F$116, 0), MATCH(Curvas!BL$2, 'Fluxos de Recebimento'!$I$63:$BH$63, 0)),0)*INDEX($E:$E, MATCH(BL$2, $B:$B, 0))</f>
        <v>0</v>
      </c>
      <c r="BM47" s="193">
        <f>IFERROR(INDEX('Fluxos de Recebimento'!$I$7:$BH$58, MATCH(Curvas!$AB47, 'Fluxos de Recebimento'!$F$7:$F$58, 0), MATCH(Curvas!BM$2,'Fluxos de Recebimento'!$I$5:$BH$5, 0))+INDEX('Fluxos de Recebimento'!$I$65:$BH$116, MATCH(Curvas!$AB47, 'Fluxos de Recebimento'!$F$65:$F$116, 0), MATCH(Curvas!BM$2, 'Fluxos de Recebimento'!$I$63:$BH$63, 0)),0)*INDEX($E:$E, MATCH(BM$2, $B:$B, 0))</f>
        <v>0</v>
      </c>
      <c r="BN47" s="193">
        <f>IFERROR(INDEX('Fluxos de Recebimento'!$I$7:$BH$58, MATCH(Curvas!$AB47, 'Fluxos de Recebimento'!$F$7:$F$58, 0), MATCH(Curvas!BN$2,'Fluxos de Recebimento'!$I$5:$BH$5, 0))+INDEX('Fluxos de Recebimento'!$I$65:$BH$116, MATCH(Curvas!$AB47, 'Fluxos de Recebimento'!$F$65:$F$116, 0), MATCH(Curvas!BN$2, 'Fluxos de Recebimento'!$I$63:$BH$63, 0)),0)*INDEX($E:$E, MATCH(BN$2, $B:$B, 0))</f>
        <v>0</v>
      </c>
      <c r="BO47" s="193">
        <f>IFERROR(INDEX('Fluxos de Recebimento'!$I$7:$BH$58, MATCH(Curvas!$AB47, 'Fluxos de Recebimento'!$F$7:$F$58, 0), MATCH(Curvas!BO$2,'Fluxos de Recebimento'!$I$5:$BH$5, 0))+INDEX('Fluxos de Recebimento'!$I$65:$BH$116, MATCH(Curvas!$AB47, 'Fluxos de Recebimento'!$F$65:$F$116, 0), MATCH(Curvas!BO$2, 'Fluxos de Recebimento'!$I$63:$BH$63, 0)),0)*INDEX($E:$E, MATCH(BO$2, $B:$B, 0))</f>
        <v>0</v>
      </c>
      <c r="BP47" s="193">
        <f>IFERROR(INDEX('Fluxos de Recebimento'!$I$7:$BH$58, MATCH(Curvas!$AB47, 'Fluxos de Recebimento'!$F$7:$F$58, 0), MATCH(Curvas!BP$2,'Fluxos de Recebimento'!$I$5:$BH$5, 0))+INDEX('Fluxos de Recebimento'!$I$65:$BH$116, MATCH(Curvas!$AB47, 'Fluxos de Recebimento'!$F$65:$F$116, 0), MATCH(Curvas!BP$2, 'Fluxos de Recebimento'!$I$63:$BH$63, 0)),0)*INDEX($E:$E, MATCH(BP$2, $B:$B, 0))</f>
        <v>0</v>
      </c>
      <c r="BQ47" s="193">
        <f>IFERROR(INDEX('Fluxos de Recebimento'!$I$7:$BH$58, MATCH(Curvas!$AB47, 'Fluxos de Recebimento'!$F$7:$F$58, 0), MATCH(Curvas!BQ$2,'Fluxos de Recebimento'!$I$5:$BH$5, 0))+INDEX('Fluxos de Recebimento'!$I$65:$BH$116, MATCH(Curvas!$AB47, 'Fluxos de Recebimento'!$F$65:$F$116, 0), MATCH(Curvas!BQ$2, 'Fluxos de Recebimento'!$I$63:$BH$63, 0)),0)*INDEX($E:$E, MATCH(BQ$2, $B:$B, 0))</f>
        <v>0</v>
      </c>
      <c r="BR47" s="193">
        <f>IFERROR(INDEX('Fluxos de Recebimento'!$I$7:$BH$58, MATCH(Curvas!$AB47, 'Fluxos de Recebimento'!$F$7:$F$58, 0), MATCH(Curvas!BR$2,'Fluxos de Recebimento'!$I$5:$BH$5, 0))+INDEX('Fluxos de Recebimento'!$I$65:$BH$116, MATCH(Curvas!$AB47, 'Fluxos de Recebimento'!$F$65:$F$116, 0), MATCH(Curvas!BR$2, 'Fluxos de Recebimento'!$I$63:$BH$63, 0)),0)*INDEX($E:$E, MATCH(BR$2, $B:$B, 0))</f>
        <v>0</v>
      </c>
      <c r="BS47" s="193">
        <f>IFERROR(INDEX('Fluxos de Recebimento'!$I$7:$BH$58, MATCH(Curvas!$AB47, 'Fluxos de Recebimento'!$F$7:$F$58, 0), MATCH(Curvas!BS$2,'Fluxos de Recebimento'!$I$5:$BH$5, 0))+INDEX('Fluxos de Recebimento'!$I$65:$BH$116, MATCH(Curvas!$AB47, 'Fluxos de Recebimento'!$F$65:$F$116, 0), MATCH(Curvas!BS$2, 'Fluxos de Recebimento'!$I$63:$BH$63, 0)),0)*INDEX($E:$E, MATCH(BS$2, $B:$B, 0))</f>
        <v>0</v>
      </c>
      <c r="BT47" s="193">
        <f>IFERROR(INDEX('Fluxos de Recebimento'!$I$7:$BH$58, MATCH(Curvas!$AB47, 'Fluxos de Recebimento'!$F$7:$F$58, 0), MATCH(Curvas!BT$2,'Fluxos de Recebimento'!$I$5:$BH$5, 0))+INDEX('Fluxos de Recebimento'!$I$65:$BH$116, MATCH(Curvas!$AB47, 'Fluxos de Recebimento'!$F$65:$F$116, 0), MATCH(Curvas!BT$2, 'Fluxos de Recebimento'!$I$63:$BH$63, 0)),0)*INDEX($E:$E, MATCH(BT$2, $B:$B, 0))</f>
        <v>0</v>
      </c>
      <c r="BU47" s="193">
        <f>IFERROR(INDEX('Fluxos de Recebimento'!$I$7:$BH$58, MATCH(Curvas!$AB47, 'Fluxos de Recebimento'!$F$7:$F$58, 0), MATCH(Curvas!BU$2,'Fluxos de Recebimento'!$I$5:$BH$5, 0))+INDEX('Fluxos de Recebimento'!$I$65:$BH$116, MATCH(Curvas!$AB47, 'Fluxos de Recebimento'!$F$65:$F$116, 0), MATCH(Curvas!BU$2, 'Fluxos de Recebimento'!$I$63:$BH$63, 0)),0)*INDEX($E:$E, MATCH(BU$2, $B:$B, 0))</f>
        <v>0</v>
      </c>
      <c r="BV47" s="193">
        <f>IFERROR(INDEX('Fluxos de Recebimento'!$I$7:$BH$58, MATCH(Curvas!$AB47, 'Fluxos de Recebimento'!$F$7:$F$58, 0), MATCH(Curvas!BV$2,'Fluxos de Recebimento'!$I$5:$BH$5, 0))+INDEX('Fluxos de Recebimento'!$I$65:$BH$116, MATCH(Curvas!$AB47, 'Fluxos de Recebimento'!$F$65:$F$116, 0), MATCH(Curvas!BV$2, 'Fluxos de Recebimento'!$I$63:$BH$63, 0)),0)*INDEX($E:$E, MATCH(BV$2, $B:$B, 0))</f>
        <v>0</v>
      </c>
      <c r="BW47" s="193">
        <f>IFERROR(INDEX('Fluxos de Recebimento'!$I$7:$BH$58, MATCH(Curvas!$AB47, 'Fluxos de Recebimento'!$F$7:$F$58, 0), MATCH(Curvas!BW$2,'Fluxos de Recebimento'!$I$5:$BH$5, 0))+INDEX('Fluxos de Recebimento'!$I$65:$BH$116, MATCH(Curvas!$AB47, 'Fluxos de Recebimento'!$F$65:$F$116, 0), MATCH(Curvas!BW$2, 'Fluxos de Recebimento'!$I$63:$BH$63, 0)),0)*INDEX($E:$E, MATCH(BW$2, $B:$B, 0))</f>
        <v>0</v>
      </c>
      <c r="BX47" s="193">
        <f>IFERROR(INDEX('Fluxos de Recebimento'!$I$7:$BH$58, MATCH(Curvas!$AB47, 'Fluxos de Recebimento'!$F$7:$F$58, 0), MATCH(Curvas!BX$2,'Fluxos de Recebimento'!$I$5:$BH$5, 0))+INDEX('Fluxos de Recebimento'!$I$65:$BH$116, MATCH(Curvas!$AB47, 'Fluxos de Recebimento'!$F$65:$F$116, 0), MATCH(Curvas!BX$2, 'Fluxos de Recebimento'!$I$63:$BH$63, 0)),0)*INDEX($E:$E, MATCH(BX$2, $B:$B, 0))</f>
        <v>0</v>
      </c>
      <c r="BY47" s="193">
        <f>IFERROR(INDEX('Fluxos de Recebimento'!$I$7:$BH$58, MATCH(Curvas!$AB47, 'Fluxos de Recebimento'!$F$7:$F$58, 0), MATCH(Curvas!BY$2,'Fluxos de Recebimento'!$I$5:$BH$5, 0))+INDEX('Fluxos de Recebimento'!$I$65:$BH$116, MATCH(Curvas!$AB47, 'Fluxos de Recebimento'!$F$65:$F$116, 0), MATCH(Curvas!BY$2, 'Fluxos de Recebimento'!$I$63:$BH$63, 0)),0)*INDEX($E:$E, MATCH(BY$2, $B:$B, 0))</f>
        <v>0</v>
      </c>
      <c r="BZ47" s="193">
        <f>IFERROR(INDEX('Fluxos de Recebimento'!$I$7:$BH$58, MATCH(Curvas!$AB47, 'Fluxos de Recebimento'!$F$7:$F$58, 0), MATCH(Curvas!BZ$2,'Fluxos de Recebimento'!$I$5:$BH$5, 0))+INDEX('Fluxos de Recebimento'!$I$65:$BH$116, MATCH(Curvas!$AB47, 'Fluxos de Recebimento'!$F$65:$F$116, 0), MATCH(Curvas!BZ$2, 'Fluxos de Recebimento'!$I$63:$BH$63, 0)),0)*INDEX($E:$E, MATCH(BZ$2, $B:$B, 0))</f>
        <v>0</v>
      </c>
      <c r="CA47" s="193">
        <f>IFERROR(INDEX('Fluxos de Recebimento'!$I$7:$BH$58, MATCH(Curvas!$AB47, 'Fluxos de Recebimento'!$F$7:$F$58, 0), MATCH(Curvas!CA$2,'Fluxos de Recebimento'!$I$5:$BH$5, 0))+INDEX('Fluxos de Recebimento'!$I$65:$BH$116, MATCH(Curvas!$AB47, 'Fluxos de Recebimento'!$F$65:$F$116, 0), MATCH(Curvas!CA$2, 'Fluxos de Recebimento'!$I$63:$BH$63, 0)),0)*INDEX($E:$E, MATCH(CA$2, $B:$B, 0))</f>
        <v>0</v>
      </c>
      <c r="CB47" s="193">
        <f>IFERROR(INDEX('Fluxos de Recebimento'!$I$7:$BH$58, MATCH(Curvas!$AB47, 'Fluxos de Recebimento'!$F$7:$F$58, 0), MATCH(Curvas!CB$2,'Fluxos de Recebimento'!$I$5:$BH$5, 0))+INDEX('Fluxos de Recebimento'!$I$65:$BH$116, MATCH(Curvas!$AB47, 'Fluxos de Recebimento'!$F$65:$F$116, 0), MATCH(Curvas!CB$2, 'Fluxos de Recebimento'!$I$63:$BH$63, 0)),0)*INDEX($E:$E, MATCH(CB$2, $B:$B, 0))</f>
        <v>0</v>
      </c>
      <c r="CC47" s="193">
        <f>IFERROR(INDEX('Fluxos de Recebimento'!$I$7:$BH$58, MATCH(Curvas!$AB47, 'Fluxos de Recebimento'!$F$7:$F$58, 0), MATCH(Curvas!CC$2,'Fluxos de Recebimento'!$I$5:$BH$5, 0))+INDEX('Fluxos de Recebimento'!$I$65:$BH$116, MATCH(Curvas!$AB47, 'Fluxos de Recebimento'!$F$65:$F$116, 0), MATCH(Curvas!CC$2, 'Fluxos de Recebimento'!$I$63:$BH$63, 0)),0)*INDEX($E:$E, MATCH(CC$2, $B:$B, 0))</f>
        <v>0</v>
      </c>
    </row>
    <row r="48" spans="1:81" x14ac:dyDescent="0.25">
      <c r="A48" s="2"/>
      <c r="B48" s="477">
        <f t="shared" si="34"/>
        <v>45505</v>
      </c>
      <c r="C48" s="52">
        <f t="shared" si="35"/>
        <v>45</v>
      </c>
      <c r="D48" s="2"/>
      <c r="E48" s="187">
        <f t="shared" si="22"/>
        <v>0</v>
      </c>
      <c r="F48" s="48">
        <f t="shared" si="36"/>
        <v>0.99999999999999978</v>
      </c>
      <c r="G48" s="46">
        <f t="shared" ca="1" si="23"/>
        <v>0</v>
      </c>
      <c r="H48" s="48">
        <f t="shared" ca="1" si="37"/>
        <v>0.99999999999999989</v>
      </c>
      <c r="I48" s="2"/>
      <c r="J48" s="69">
        <f t="shared" ca="1" si="24"/>
        <v>0</v>
      </c>
      <c r="K48" s="479">
        <f t="shared" ca="1" si="25"/>
        <v>0</v>
      </c>
      <c r="L48" s="70">
        <f t="shared" ca="1" si="26"/>
        <v>0</v>
      </c>
      <c r="M48" s="2"/>
      <c r="N48" s="69">
        <f t="shared" si="27"/>
        <v>1</v>
      </c>
      <c r="O48" s="479">
        <f t="shared" si="28"/>
        <v>0</v>
      </c>
      <c r="P48" s="70">
        <f t="shared" si="29"/>
        <v>1</v>
      </c>
      <c r="Q48" s="2"/>
      <c r="R48" s="71">
        <f t="shared" ca="1" si="30"/>
        <v>1</v>
      </c>
      <c r="S48" s="196"/>
      <c r="T48" s="46">
        <v>0</v>
      </c>
      <c r="U48" s="48">
        <f t="shared" si="38"/>
        <v>0.99999999999999978</v>
      </c>
      <c r="V48" s="2"/>
      <c r="W48" s="56"/>
      <c r="X48" s="48"/>
      <c r="Y48" s="2"/>
      <c r="Z48" s="194">
        <f t="shared" si="31"/>
        <v>0</v>
      </c>
      <c r="AA48" s="2"/>
      <c r="AB48" s="477">
        <f t="shared" si="32"/>
        <v>45505</v>
      </c>
      <c r="AC48" s="52">
        <f t="shared" si="33"/>
        <v>45</v>
      </c>
      <c r="AD48" s="193">
        <f>IFERROR(INDEX('Fluxos de Recebimento'!$I$7:$BH$58, MATCH(Curvas!$AB48, 'Fluxos de Recebimento'!$F$7:$F$58, 0), MATCH(Curvas!AD$2,'Fluxos de Recebimento'!$I$5:$BH$5, 0))+INDEX('Fluxos de Recebimento'!$I$65:$BH$116, MATCH(Curvas!$AB48, 'Fluxos de Recebimento'!$F$65:$F$116, 0), MATCH(Curvas!AD$2, 'Fluxos de Recebimento'!$I$63:$BH$63, 0)),0)*INDEX($E:$E, MATCH(AD$2, $B:$B, 0))</f>
        <v>0</v>
      </c>
      <c r="AE48" s="193">
        <f>IFERROR(INDEX('Fluxos de Recebimento'!$I$7:$BH$58, MATCH(Curvas!$AB48, 'Fluxos de Recebimento'!$F$7:$F$58, 0), MATCH(Curvas!AE$2,'Fluxos de Recebimento'!$I$5:$BH$5, 0))+INDEX('Fluxos de Recebimento'!$I$65:$BH$116, MATCH(Curvas!$AB48, 'Fluxos de Recebimento'!$F$65:$F$116, 0), MATCH(Curvas!AE$2, 'Fluxos de Recebimento'!$I$63:$BH$63, 0)),0)*INDEX($E:$E, MATCH(AE$2, $B:$B, 0))</f>
        <v>0</v>
      </c>
      <c r="AF48" s="193">
        <f>IFERROR(INDEX('Fluxos de Recebimento'!$I$7:$BH$58, MATCH(Curvas!$AB48, 'Fluxos de Recebimento'!$F$7:$F$58, 0), MATCH(Curvas!AF$2,'Fluxos de Recebimento'!$I$5:$BH$5, 0))+INDEX('Fluxos de Recebimento'!$I$65:$BH$116, MATCH(Curvas!$AB48, 'Fluxos de Recebimento'!$F$65:$F$116, 0), MATCH(Curvas!AF$2, 'Fluxos de Recebimento'!$I$63:$BH$63, 0)),0)*INDEX($E:$E, MATCH(AF$2, $B:$B, 0))</f>
        <v>0</v>
      </c>
      <c r="AG48" s="193">
        <f>IFERROR(INDEX('Fluxos de Recebimento'!$I$7:$BH$58, MATCH(Curvas!$AB48, 'Fluxos de Recebimento'!$F$7:$F$58, 0), MATCH(Curvas!AG$2,'Fluxos de Recebimento'!$I$5:$BH$5, 0))+INDEX('Fluxos de Recebimento'!$I$65:$BH$116, MATCH(Curvas!$AB48, 'Fluxos de Recebimento'!$F$65:$F$116, 0), MATCH(Curvas!AG$2, 'Fluxos de Recebimento'!$I$63:$BH$63, 0)),0)*INDEX($E:$E, MATCH(AG$2, $B:$B, 0))</f>
        <v>0</v>
      </c>
      <c r="AH48" s="193">
        <f>IFERROR(INDEX('Fluxos de Recebimento'!$I$7:$BH$58, MATCH(Curvas!$AB48, 'Fluxos de Recebimento'!$F$7:$F$58, 0), MATCH(Curvas!AH$2,'Fluxos de Recebimento'!$I$5:$BH$5, 0))+INDEX('Fluxos de Recebimento'!$I$65:$BH$116, MATCH(Curvas!$AB48, 'Fluxos de Recebimento'!$F$65:$F$116, 0), MATCH(Curvas!AH$2, 'Fluxos de Recebimento'!$I$63:$BH$63, 0)),0)*INDEX($E:$E, MATCH(AH$2, $B:$B, 0))</f>
        <v>0</v>
      </c>
      <c r="AI48" s="193">
        <f>IFERROR(INDEX('Fluxos de Recebimento'!$I$7:$BH$58, MATCH(Curvas!$AB48, 'Fluxos de Recebimento'!$F$7:$F$58, 0), MATCH(Curvas!AI$2,'Fluxos de Recebimento'!$I$5:$BH$5, 0))+INDEX('Fluxos de Recebimento'!$I$65:$BH$116, MATCH(Curvas!$AB48, 'Fluxos de Recebimento'!$F$65:$F$116, 0), MATCH(Curvas!AI$2, 'Fluxos de Recebimento'!$I$63:$BH$63, 0)),0)*INDEX($E:$E, MATCH(AI$2, $B:$B, 0))</f>
        <v>0</v>
      </c>
      <c r="AJ48" s="193">
        <f>IFERROR(INDEX('Fluxos de Recebimento'!$I$7:$BH$58, MATCH(Curvas!$AB48, 'Fluxos de Recebimento'!$F$7:$F$58, 0), MATCH(Curvas!AJ$2,'Fluxos de Recebimento'!$I$5:$BH$5, 0))+INDEX('Fluxos de Recebimento'!$I$65:$BH$116, MATCH(Curvas!$AB48, 'Fluxos de Recebimento'!$F$65:$F$116, 0), MATCH(Curvas!AJ$2, 'Fluxos de Recebimento'!$I$63:$BH$63, 0)),0)*INDEX($E:$E, MATCH(AJ$2, $B:$B, 0))</f>
        <v>0</v>
      </c>
      <c r="AK48" s="193">
        <f>IFERROR(INDEX('Fluxos de Recebimento'!$I$7:$BH$58, MATCH(Curvas!$AB48, 'Fluxos de Recebimento'!$F$7:$F$58, 0), MATCH(Curvas!AK$2,'Fluxos de Recebimento'!$I$5:$BH$5, 0))+INDEX('Fluxos de Recebimento'!$I$65:$BH$116, MATCH(Curvas!$AB48, 'Fluxos de Recebimento'!$F$65:$F$116, 0), MATCH(Curvas!AK$2, 'Fluxos de Recebimento'!$I$63:$BH$63, 0)),0)*INDEX($E:$E, MATCH(AK$2, $B:$B, 0))</f>
        <v>0</v>
      </c>
      <c r="AL48" s="193">
        <f>IFERROR(INDEX('Fluxos de Recebimento'!$I$7:$BH$58, MATCH(Curvas!$AB48, 'Fluxos de Recebimento'!$F$7:$F$58, 0), MATCH(Curvas!AL$2,'Fluxos de Recebimento'!$I$5:$BH$5, 0))+INDEX('Fluxos de Recebimento'!$I$65:$BH$116, MATCH(Curvas!$AB48, 'Fluxos de Recebimento'!$F$65:$F$116, 0), MATCH(Curvas!AL$2, 'Fluxos de Recebimento'!$I$63:$BH$63, 0)),0)*INDEX($E:$E, MATCH(AL$2, $B:$B, 0))</f>
        <v>0</v>
      </c>
      <c r="AM48" s="193">
        <f>IFERROR(INDEX('Fluxos de Recebimento'!$I$7:$BH$58, MATCH(Curvas!$AB48, 'Fluxos de Recebimento'!$F$7:$F$58, 0), MATCH(Curvas!AM$2,'Fluxos de Recebimento'!$I$5:$BH$5, 0))+INDEX('Fluxos de Recebimento'!$I$65:$BH$116, MATCH(Curvas!$AB48, 'Fluxos de Recebimento'!$F$65:$F$116, 0), MATCH(Curvas!AM$2, 'Fluxos de Recebimento'!$I$63:$BH$63, 0)),0)*INDEX($E:$E, MATCH(AM$2, $B:$B, 0))</f>
        <v>0</v>
      </c>
      <c r="AN48" s="193">
        <f>IFERROR(INDEX('Fluxos de Recebimento'!$I$7:$BH$58, MATCH(Curvas!$AB48, 'Fluxos de Recebimento'!$F$7:$F$58, 0), MATCH(Curvas!AN$2,'Fluxos de Recebimento'!$I$5:$BH$5, 0))+INDEX('Fluxos de Recebimento'!$I$65:$BH$116, MATCH(Curvas!$AB48, 'Fluxos de Recebimento'!$F$65:$F$116, 0), MATCH(Curvas!AN$2, 'Fluxos de Recebimento'!$I$63:$BH$63, 0)),0)*INDEX($E:$E, MATCH(AN$2, $B:$B, 0))</f>
        <v>0</v>
      </c>
      <c r="AO48" s="193">
        <f>IFERROR(INDEX('Fluxos de Recebimento'!$I$7:$BH$58, MATCH(Curvas!$AB48, 'Fluxos de Recebimento'!$F$7:$F$58, 0), MATCH(Curvas!AO$2,'Fluxos de Recebimento'!$I$5:$BH$5, 0))+INDEX('Fluxos de Recebimento'!$I$65:$BH$116, MATCH(Curvas!$AB48, 'Fluxos de Recebimento'!$F$65:$F$116, 0), MATCH(Curvas!AO$2, 'Fluxos de Recebimento'!$I$63:$BH$63, 0)),0)*INDEX($E:$E, MATCH(AO$2, $B:$B, 0))</f>
        <v>0</v>
      </c>
      <c r="AP48" s="193">
        <f>IFERROR(INDEX('Fluxos de Recebimento'!$I$7:$BH$58, MATCH(Curvas!$AB48, 'Fluxos de Recebimento'!$F$7:$F$58, 0), MATCH(Curvas!AP$2,'Fluxos de Recebimento'!$I$5:$BH$5, 0))+INDEX('Fluxos de Recebimento'!$I$65:$BH$116, MATCH(Curvas!$AB48, 'Fluxos de Recebimento'!$F$65:$F$116, 0), MATCH(Curvas!AP$2, 'Fluxos de Recebimento'!$I$63:$BH$63, 0)),0)*INDEX($E:$E, MATCH(AP$2, $B:$B, 0))</f>
        <v>0</v>
      </c>
      <c r="AQ48" s="193">
        <f>IFERROR(INDEX('Fluxos de Recebimento'!$I$7:$BH$58, MATCH(Curvas!$AB48, 'Fluxos de Recebimento'!$F$7:$F$58, 0), MATCH(Curvas!AQ$2,'Fluxos de Recebimento'!$I$5:$BH$5, 0))+INDEX('Fluxos de Recebimento'!$I$65:$BH$116, MATCH(Curvas!$AB48, 'Fluxos de Recebimento'!$F$65:$F$116, 0), MATCH(Curvas!AQ$2, 'Fluxos de Recebimento'!$I$63:$BH$63, 0)),0)*INDEX($E:$E, MATCH(AQ$2, $B:$B, 0))</f>
        <v>0</v>
      </c>
      <c r="AR48" s="193">
        <f>IFERROR(INDEX('Fluxos de Recebimento'!$I$7:$BH$58, MATCH(Curvas!$AB48, 'Fluxos de Recebimento'!$F$7:$F$58, 0), MATCH(Curvas!AR$2,'Fluxos de Recebimento'!$I$5:$BH$5, 0))+INDEX('Fluxos de Recebimento'!$I$65:$BH$116, MATCH(Curvas!$AB48, 'Fluxos de Recebimento'!$F$65:$F$116, 0), MATCH(Curvas!AR$2, 'Fluxos de Recebimento'!$I$63:$BH$63, 0)),0)*INDEX($E:$E, MATCH(AR$2, $B:$B, 0))</f>
        <v>0</v>
      </c>
      <c r="AS48" s="193">
        <f>IFERROR(INDEX('Fluxos de Recebimento'!$I$7:$BH$58, MATCH(Curvas!$AB48, 'Fluxos de Recebimento'!$F$7:$F$58, 0), MATCH(Curvas!AS$2,'Fluxos de Recebimento'!$I$5:$BH$5, 0))+INDEX('Fluxos de Recebimento'!$I$65:$BH$116, MATCH(Curvas!$AB48, 'Fluxos de Recebimento'!$F$65:$F$116, 0), MATCH(Curvas!AS$2, 'Fluxos de Recebimento'!$I$63:$BH$63, 0)),0)*INDEX($E:$E, MATCH(AS$2, $B:$B, 0))</f>
        <v>0</v>
      </c>
      <c r="AT48" s="193">
        <f>IFERROR(INDEX('Fluxos de Recebimento'!$I$7:$BH$58, MATCH(Curvas!$AB48, 'Fluxos de Recebimento'!$F$7:$F$58, 0), MATCH(Curvas!AT$2,'Fluxos de Recebimento'!$I$5:$BH$5, 0))+INDEX('Fluxos de Recebimento'!$I$65:$BH$116, MATCH(Curvas!$AB48, 'Fluxos de Recebimento'!$F$65:$F$116, 0), MATCH(Curvas!AT$2, 'Fluxos de Recebimento'!$I$63:$BH$63, 0)),0)*INDEX($E:$E, MATCH(AT$2, $B:$B, 0))</f>
        <v>0</v>
      </c>
      <c r="AU48" s="193">
        <f>IFERROR(INDEX('Fluxos de Recebimento'!$I$7:$BH$58, MATCH(Curvas!$AB48, 'Fluxos de Recebimento'!$F$7:$F$58, 0), MATCH(Curvas!AU$2,'Fluxos de Recebimento'!$I$5:$BH$5, 0))+INDEX('Fluxos de Recebimento'!$I$65:$BH$116, MATCH(Curvas!$AB48, 'Fluxos de Recebimento'!$F$65:$F$116, 0), MATCH(Curvas!AU$2, 'Fluxos de Recebimento'!$I$63:$BH$63, 0)),0)*INDEX($E:$E, MATCH(AU$2, $B:$B, 0))</f>
        <v>0</v>
      </c>
      <c r="AV48" s="193">
        <f>IFERROR(INDEX('Fluxos de Recebimento'!$I$7:$BH$58, MATCH(Curvas!$AB48, 'Fluxos de Recebimento'!$F$7:$F$58, 0), MATCH(Curvas!AV$2,'Fluxos de Recebimento'!$I$5:$BH$5, 0))+INDEX('Fluxos de Recebimento'!$I$65:$BH$116, MATCH(Curvas!$AB48, 'Fluxos de Recebimento'!$F$65:$F$116, 0), MATCH(Curvas!AV$2, 'Fluxos de Recebimento'!$I$63:$BH$63, 0)),0)*INDEX($E:$E, MATCH(AV$2, $B:$B, 0))</f>
        <v>0</v>
      </c>
      <c r="AW48" s="193">
        <f>IFERROR(INDEX('Fluxos de Recebimento'!$I$7:$BH$58, MATCH(Curvas!$AB48, 'Fluxos de Recebimento'!$F$7:$F$58, 0), MATCH(Curvas!AW$2,'Fluxos de Recebimento'!$I$5:$BH$5, 0))+INDEX('Fluxos de Recebimento'!$I$65:$BH$116, MATCH(Curvas!$AB48, 'Fluxos de Recebimento'!$F$65:$F$116, 0), MATCH(Curvas!AW$2, 'Fluxos de Recebimento'!$I$63:$BH$63, 0)),0)*INDEX($E:$E, MATCH(AW$2, $B:$B, 0))</f>
        <v>0</v>
      </c>
      <c r="AX48" s="193">
        <f>IFERROR(INDEX('Fluxos de Recebimento'!$I$7:$BH$58, MATCH(Curvas!$AB48, 'Fluxos de Recebimento'!$F$7:$F$58, 0), MATCH(Curvas!AX$2,'Fluxos de Recebimento'!$I$5:$BH$5, 0))+INDEX('Fluxos de Recebimento'!$I$65:$BH$116, MATCH(Curvas!$AB48, 'Fluxos de Recebimento'!$F$65:$F$116, 0), MATCH(Curvas!AX$2, 'Fluxos de Recebimento'!$I$63:$BH$63, 0)),0)*INDEX($E:$E, MATCH(AX$2, $B:$B, 0))</f>
        <v>0</v>
      </c>
      <c r="AY48" s="193">
        <f>IFERROR(INDEX('Fluxos de Recebimento'!$I$7:$BH$58, MATCH(Curvas!$AB48, 'Fluxos de Recebimento'!$F$7:$F$58, 0), MATCH(Curvas!AY$2,'Fluxos de Recebimento'!$I$5:$BH$5, 0))+INDEX('Fluxos de Recebimento'!$I$65:$BH$116, MATCH(Curvas!$AB48, 'Fluxos de Recebimento'!$F$65:$F$116, 0), MATCH(Curvas!AY$2, 'Fluxos de Recebimento'!$I$63:$BH$63, 0)),0)*INDEX($E:$E, MATCH(AY$2, $B:$B, 0))</f>
        <v>0</v>
      </c>
      <c r="AZ48" s="193">
        <f>IFERROR(INDEX('Fluxos de Recebimento'!$I$7:$BH$58, MATCH(Curvas!$AB48, 'Fluxos de Recebimento'!$F$7:$F$58, 0), MATCH(Curvas!AZ$2,'Fluxos de Recebimento'!$I$5:$BH$5, 0))+INDEX('Fluxos de Recebimento'!$I$65:$BH$116, MATCH(Curvas!$AB48, 'Fluxos de Recebimento'!$F$65:$F$116, 0), MATCH(Curvas!AZ$2, 'Fluxos de Recebimento'!$I$63:$BH$63, 0)),0)*INDEX($E:$E, MATCH(AZ$2, $B:$B, 0))</f>
        <v>0</v>
      </c>
      <c r="BA48" s="193">
        <f>IFERROR(INDEX('Fluxos de Recebimento'!$I$7:$BH$58, MATCH(Curvas!$AB48, 'Fluxos de Recebimento'!$F$7:$F$58, 0), MATCH(Curvas!BA$2,'Fluxos de Recebimento'!$I$5:$BH$5, 0))+INDEX('Fluxos de Recebimento'!$I$65:$BH$116, MATCH(Curvas!$AB48, 'Fluxos de Recebimento'!$F$65:$F$116, 0), MATCH(Curvas!BA$2, 'Fluxos de Recebimento'!$I$63:$BH$63, 0)),0)*INDEX($E:$E, MATCH(BA$2, $B:$B, 0))</f>
        <v>0</v>
      </c>
      <c r="BB48" s="193">
        <f>IFERROR(INDEX('Fluxos de Recebimento'!$I$7:$BH$58, MATCH(Curvas!$AB48, 'Fluxos de Recebimento'!$F$7:$F$58, 0), MATCH(Curvas!BB$2,'Fluxos de Recebimento'!$I$5:$BH$5, 0))+INDEX('Fluxos de Recebimento'!$I$65:$BH$116, MATCH(Curvas!$AB48, 'Fluxos de Recebimento'!$F$65:$F$116, 0), MATCH(Curvas!BB$2, 'Fluxos de Recebimento'!$I$63:$BH$63, 0)),0)*INDEX($E:$E, MATCH(BB$2, $B:$B, 0))</f>
        <v>0</v>
      </c>
      <c r="BC48" s="193">
        <f>IFERROR(INDEX('Fluxos de Recebimento'!$I$7:$BH$58, MATCH(Curvas!$AB48, 'Fluxos de Recebimento'!$F$7:$F$58, 0), MATCH(Curvas!BC$2,'Fluxos de Recebimento'!$I$5:$BH$5, 0))+INDEX('Fluxos de Recebimento'!$I$65:$BH$116, MATCH(Curvas!$AB48, 'Fluxos de Recebimento'!$F$65:$F$116, 0), MATCH(Curvas!BC$2, 'Fluxos de Recebimento'!$I$63:$BH$63, 0)),0)*INDEX($E:$E, MATCH(BC$2, $B:$B, 0))</f>
        <v>0</v>
      </c>
      <c r="BD48" s="193">
        <f>IFERROR(INDEX('Fluxos de Recebimento'!$I$7:$BH$58, MATCH(Curvas!$AB48, 'Fluxos de Recebimento'!$F$7:$F$58, 0), MATCH(Curvas!BD$2,'Fluxos de Recebimento'!$I$5:$BH$5, 0))+INDEX('Fluxos de Recebimento'!$I$65:$BH$116, MATCH(Curvas!$AB48, 'Fluxos de Recebimento'!$F$65:$F$116, 0), MATCH(Curvas!BD$2, 'Fluxos de Recebimento'!$I$63:$BH$63, 0)),0)*INDEX($E:$E, MATCH(BD$2, $B:$B, 0))</f>
        <v>0</v>
      </c>
      <c r="BE48" s="193">
        <f>IFERROR(INDEX('Fluxos de Recebimento'!$I$7:$BH$58, MATCH(Curvas!$AB48, 'Fluxos de Recebimento'!$F$7:$F$58, 0), MATCH(Curvas!BE$2,'Fluxos de Recebimento'!$I$5:$BH$5, 0))+INDEX('Fluxos de Recebimento'!$I$65:$BH$116, MATCH(Curvas!$AB48, 'Fluxos de Recebimento'!$F$65:$F$116, 0), MATCH(Curvas!BE$2, 'Fluxos de Recebimento'!$I$63:$BH$63, 0)),0)*INDEX($E:$E, MATCH(BE$2, $B:$B, 0))</f>
        <v>0</v>
      </c>
      <c r="BF48" s="193">
        <f>IFERROR(INDEX('Fluxos de Recebimento'!$I$7:$BH$58, MATCH(Curvas!$AB48, 'Fluxos de Recebimento'!$F$7:$F$58, 0), MATCH(Curvas!BF$2,'Fluxos de Recebimento'!$I$5:$BH$5, 0))+INDEX('Fluxos de Recebimento'!$I$65:$BH$116, MATCH(Curvas!$AB48, 'Fluxos de Recebimento'!$F$65:$F$116, 0), MATCH(Curvas!BF$2, 'Fluxos de Recebimento'!$I$63:$BH$63, 0)),0)*INDEX($E:$E, MATCH(BF$2, $B:$B, 0))</f>
        <v>0</v>
      </c>
      <c r="BG48" s="193">
        <f>IFERROR(INDEX('Fluxos de Recebimento'!$I$7:$BH$58, MATCH(Curvas!$AB48, 'Fluxos de Recebimento'!$F$7:$F$58, 0), MATCH(Curvas!BG$2,'Fluxos de Recebimento'!$I$5:$BH$5, 0))+INDEX('Fluxos de Recebimento'!$I$65:$BH$116, MATCH(Curvas!$AB48, 'Fluxos de Recebimento'!$F$65:$F$116, 0), MATCH(Curvas!BG$2, 'Fluxos de Recebimento'!$I$63:$BH$63, 0)),0)*INDEX($E:$E, MATCH(BG$2, $B:$B, 0))</f>
        <v>0</v>
      </c>
      <c r="BH48" s="193">
        <f>IFERROR(INDEX('Fluxos de Recebimento'!$I$7:$BH$58, MATCH(Curvas!$AB48, 'Fluxos de Recebimento'!$F$7:$F$58, 0), MATCH(Curvas!BH$2,'Fluxos de Recebimento'!$I$5:$BH$5, 0))+INDEX('Fluxos de Recebimento'!$I$65:$BH$116, MATCH(Curvas!$AB48, 'Fluxos de Recebimento'!$F$65:$F$116, 0), MATCH(Curvas!BH$2, 'Fluxos de Recebimento'!$I$63:$BH$63, 0)),0)*INDEX($E:$E, MATCH(BH$2, $B:$B, 0))</f>
        <v>0</v>
      </c>
      <c r="BI48" s="193">
        <f>IFERROR(INDEX('Fluxos de Recebimento'!$I$7:$BH$58, MATCH(Curvas!$AB48, 'Fluxos de Recebimento'!$F$7:$F$58, 0), MATCH(Curvas!BI$2,'Fluxos de Recebimento'!$I$5:$BH$5, 0))+INDEX('Fluxos de Recebimento'!$I$65:$BH$116, MATCH(Curvas!$AB48, 'Fluxos de Recebimento'!$F$65:$F$116, 0), MATCH(Curvas!BI$2, 'Fluxos de Recebimento'!$I$63:$BH$63, 0)),0)*INDEX($E:$E, MATCH(BI$2, $B:$B, 0))</f>
        <v>0</v>
      </c>
      <c r="BJ48" s="193">
        <f>IFERROR(INDEX('Fluxos de Recebimento'!$I$7:$BH$58, MATCH(Curvas!$AB48, 'Fluxos de Recebimento'!$F$7:$F$58, 0), MATCH(Curvas!BJ$2,'Fluxos de Recebimento'!$I$5:$BH$5, 0))+INDEX('Fluxos de Recebimento'!$I$65:$BH$116, MATCH(Curvas!$AB48, 'Fluxos de Recebimento'!$F$65:$F$116, 0), MATCH(Curvas!BJ$2, 'Fluxos de Recebimento'!$I$63:$BH$63, 0)),0)*INDEX($E:$E, MATCH(BJ$2, $B:$B, 0))</f>
        <v>0</v>
      </c>
      <c r="BK48" s="193">
        <f>IFERROR(INDEX('Fluxos de Recebimento'!$I$7:$BH$58, MATCH(Curvas!$AB48, 'Fluxos de Recebimento'!$F$7:$F$58, 0), MATCH(Curvas!BK$2,'Fluxos de Recebimento'!$I$5:$BH$5, 0))+INDEX('Fluxos de Recebimento'!$I$65:$BH$116, MATCH(Curvas!$AB48, 'Fluxos de Recebimento'!$F$65:$F$116, 0), MATCH(Curvas!BK$2, 'Fluxos de Recebimento'!$I$63:$BH$63, 0)),0)*INDEX($E:$E, MATCH(BK$2, $B:$B, 0))</f>
        <v>0</v>
      </c>
      <c r="BL48" s="193">
        <f>IFERROR(INDEX('Fluxos de Recebimento'!$I$7:$BH$58, MATCH(Curvas!$AB48, 'Fluxos de Recebimento'!$F$7:$F$58, 0), MATCH(Curvas!BL$2,'Fluxos de Recebimento'!$I$5:$BH$5, 0))+INDEX('Fluxos de Recebimento'!$I$65:$BH$116, MATCH(Curvas!$AB48, 'Fluxos de Recebimento'!$F$65:$F$116, 0), MATCH(Curvas!BL$2, 'Fluxos de Recebimento'!$I$63:$BH$63, 0)),0)*INDEX($E:$E, MATCH(BL$2, $B:$B, 0))</f>
        <v>0</v>
      </c>
      <c r="BM48" s="193">
        <f>IFERROR(INDEX('Fluxos de Recebimento'!$I$7:$BH$58, MATCH(Curvas!$AB48, 'Fluxos de Recebimento'!$F$7:$F$58, 0), MATCH(Curvas!BM$2,'Fluxos de Recebimento'!$I$5:$BH$5, 0))+INDEX('Fluxos de Recebimento'!$I$65:$BH$116, MATCH(Curvas!$AB48, 'Fluxos de Recebimento'!$F$65:$F$116, 0), MATCH(Curvas!BM$2, 'Fluxos de Recebimento'!$I$63:$BH$63, 0)),0)*INDEX($E:$E, MATCH(BM$2, $B:$B, 0))</f>
        <v>0</v>
      </c>
      <c r="BN48" s="193">
        <f>IFERROR(INDEX('Fluxos de Recebimento'!$I$7:$BH$58, MATCH(Curvas!$AB48, 'Fluxos de Recebimento'!$F$7:$F$58, 0), MATCH(Curvas!BN$2,'Fluxos de Recebimento'!$I$5:$BH$5, 0))+INDEX('Fluxos de Recebimento'!$I$65:$BH$116, MATCH(Curvas!$AB48, 'Fluxos de Recebimento'!$F$65:$F$116, 0), MATCH(Curvas!BN$2, 'Fluxos de Recebimento'!$I$63:$BH$63, 0)),0)*INDEX($E:$E, MATCH(BN$2, $B:$B, 0))</f>
        <v>0</v>
      </c>
      <c r="BO48" s="193">
        <f>IFERROR(INDEX('Fluxos de Recebimento'!$I$7:$BH$58, MATCH(Curvas!$AB48, 'Fluxos de Recebimento'!$F$7:$F$58, 0), MATCH(Curvas!BO$2,'Fluxos de Recebimento'!$I$5:$BH$5, 0))+INDEX('Fluxos de Recebimento'!$I$65:$BH$116, MATCH(Curvas!$AB48, 'Fluxos de Recebimento'!$F$65:$F$116, 0), MATCH(Curvas!BO$2, 'Fluxos de Recebimento'!$I$63:$BH$63, 0)),0)*INDEX($E:$E, MATCH(BO$2, $B:$B, 0))</f>
        <v>0</v>
      </c>
      <c r="BP48" s="193">
        <f>IFERROR(INDEX('Fluxos de Recebimento'!$I$7:$BH$58, MATCH(Curvas!$AB48, 'Fluxos de Recebimento'!$F$7:$F$58, 0), MATCH(Curvas!BP$2,'Fluxos de Recebimento'!$I$5:$BH$5, 0))+INDEX('Fluxos de Recebimento'!$I$65:$BH$116, MATCH(Curvas!$AB48, 'Fluxos de Recebimento'!$F$65:$F$116, 0), MATCH(Curvas!BP$2, 'Fluxos de Recebimento'!$I$63:$BH$63, 0)),0)*INDEX($E:$E, MATCH(BP$2, $B:$B, 0))</f>
        <v>0</v>
      </c>
      <c r="BQ48" s="193">
        <f>IFERROR(INDEX('Fluxos de Recebimento'!$I$7:$BH$58, MATCH(Curvas!$AB48, 'Fluxos de Recebimento'!$F$7:$F$58, 0), MATCH(Curvas!BQ$2,'Fluxos de Recebimento'!$I$5:$BH$5, 0))+INDEX('Fluxos de Recebimento'!$I$65:$BH$116, MATCH(Curvas!$AB48, 'Fluxos de Recebimento'!$F$65:$F$116, 0), MATCH(Curvas!BQ$2, 'Fluxos de Recebimento'!$I$63:$BH$63, 0)),0)*INDEX($E:$E, MATCH(BQ$2, $B:$B, 0))</f>
        <v>0</v>
      </c>
      <c r="BR48" s="193">
        <f>IFERROR(INDEX('Fluxos de Recebimento'!$I$7:$BH$58, MATCH(Curvas!$AB48, 'Fluxos de Recebimento'!$F$7:$F$58, 0), MATCH(Curvas!BR$2,'Fluxos de Recebimento'!$I$5:$BH$5, 0))+INDEX('Fluxos de Recebimento'!$I$65:$BH$116, MATCH(Curvas!$AB48, 'Fluxos de Recebimento'!$F$65:$F$116, 0), MATCH(Curvas!BR$2, 'Fluxos de Recebimento'!$I$63:$BH$63, 0)),0)*INDEX($E:$E, MATCH(BR$2, $B:$B, 0))</f>
        <v>0</v>
      </c>
      <c r="BS48" s="193">
        <f>IFERROR(INDEX('Fluxos de Recebimento'!$I$7:$BH$58, MATCH(Curvas!$AB48, 'Fluxos de Recebimento'!$F$7:$F$58, 0), MATCH(Curvas!BS$2,'Fluxos de Recebimento'!$I$5:$BH$5, 0))+INDEX('Fluxos de Recebimento'!$I$65:$BH$116, MATCH(Curvas!$AB48, 'Fluxos de Recebimento'!$F$65:$F$116, 0), MATCH(Curvas!BS$2, 'Fluxos de Recebimento'!$I$63:$BH$63, 0)),0)*INDEX($E:$E, MATCH(BS$2, $B:$B, 0))</f>
        <v>0</v>
      </c>
      <c r="BT48" s="193">
        <f>IFERROR(INDEX('Fluxos de Recebimento'!$I$7:$BH$58, MATCH(Curvas!$AB48, 'Fluxos de Recebimento'!$F$7:$F$58, 0), MATCH(Curvas!BT$2,'Fluxos de Recebimento'!$I$5:$BH$5, 0))+INDEX('Fluxos de Recebimento'!$I$65:$BH$116, MATCH(Curvas!$AB48, 'Fluxos de Recebimento'!$F$65:$F$116, 0), MATCH(Curvas!BT$2, 'Fluxos de Recebimento'!$I$63:$BH$63, 0)),0)*INDEX($E:$E, MATCH(BT$2, $B:$B, 0))</f>
        <v>0</v>
      </c>
      <c r="BU48" s="193">
        <f>IFERROR(INDEX('Fluxos de Recebimento'!$I$7:$BH$58, MATCH(Curvas!$AB48, 'Fluxos de Recebimento'!$F$7:$F$58, 0), MATCH(Curvas!BU$2,'Fluxos de Recebimento'!$I$5:$BH$5, 0))+INDEX('Fluxos de Recebimento'!$I$65:$BH$116, MATCH(Curvas!$AB48, 'Fluxos de Recebimento'!$F$65:$F$116, 0), MATCH(Curvas!BU$2, 'Fluxos de Recebimento'!$I$63:$BH$63, 0)),0)*INDEX($E:$E, MATCH(BU$2, $B:$B, 0))</f>
        <v>0</v>
      </c>
      <c r="BV48" s="193">
        <f>IFERROR(INDEX('Fluxos de Recebimento'!$I$7:$BH$58, MATCH(Curvas!$AB48, 'Fluxos de Recebimento'!$F$7:$F$58, 0), MATCH(Curvas!BV$2,'Fluxos de Recebimento'!$I$5:$BH$5, 0))+INDEX('Fluxos de Recebimento'!$I$65:$BH$116, MATCH(Curvas!$AB48, 'Fluxos de Recebimento'!$F$65:$F$116, 0), MATCH(Curvas!BV$2, 'Fluxos de Recebimento'!$I$63:$BH$63, 0)),0)*INDEX($E:$E, MATCH(BV$2, $B:$B, 0))</f>
        <v>0</v>
      </c>
      <c r="BW48" s="193">
        <f>IFERROR(INDEX('Fluxos de Recebimento'!$I$7:$BH$58, MATCH(Curvas!$AB48, 'Fluxos de Recebimento'!$F$7:$F$58, 0), MATCH(Curvas!BW$2,'Fluxos de Recebimento'!$I$5:$BH$5, 0))+INDEX('Fluxos de Recebimento'!$I$65:$BH$116, MATCH(Curvas!$AB48, 'Fluxos de Recebimento'!$F$65:$F$116, 0), MATCH(Curvas!BW$2, 'Fluxos de Recebimento'!$I$63:$BH$63, 0)),0)*INDEX($E:$E, MATCH(BW$2, $B:$B, 0))</f>
        <v>0</v>
      </c>
      <c r="BX48" s="193">
        <f>IFERROR(INDEX('Fluxos de Recebimento'!$I$7:$BH$58, MATCH(Curvas!$AB48, 'Fluxos de Recebimento'!$F$7:$F$58, 0), MATCH(Curvas!BX$2,'Fluxos de Recebimento'!$I$5:$BH$5, 0))+INDEX('Fluxos de Recebimento'!$I$65:$BH$116, MATCH(Curvas!$AB48, 'Fluxos de Recebimento'!$F$65:$F$116, 0), MATCH(Curvas!BX$2, 'Fluxos de Recebimento'!$I$63:$BH$63, 0)),0)*INDEX($E:$E, MATCH(BX$2, $B:$B, 0))</f>
        <v>0</v>
      </c>
      <c r="BY48" s="193">
        <f>IFERROR(INDEX('Fluxos de Recebimento'!$I$7:$BH$58, MATCH(Curvas!$AB48, 'Fluxos de Recebimento'!$F$7:$F$58, 0), MATCH(Curvas!BY$2,'Fluxos de Recebimento'!$I$5:$BH$5, 0))+INDEX('Fluxos de Recebimento'!$I$65:$BH$116, MATCH(Curvas!$AB48, 'Fluxos de Recebimento'!$F$65:$F$116, 0), MATCH(Curvas!BY$2, 'Fluxos de Recebimento'!$I$63:$BH$63, 0)),0)*INDEX($E:$E, MATCH(BY$2, $B:$B, 0))</f>
        <v>0</v>
      </c>
      <c r="BZ48" s="193">
        <f>IFERROR(INDEX('Fluxos de Recebimento'!$I$7:$BH$58, MATCH(Curvas!$AB48, 'Fluxos de Recebimento'!$F$7:$F$58, 0), MATCH(Curvas!BZ$2,'Fluxos de Recebimento'!$I$5:$BH$5, 0))+INDEX('Fluxos de Recebimento'!$I$65:$BH$116, MATCH(Curvas!$AB48, 'Fluxos de Recebimento'!$F$65:$F$116, 0), MATCH(Curvas!BZ$2, 'Fluxos de Recebimento'!$I$63:$BH$63, 0)),0)*INDEX($E:$E, MATCH(BZ$2, $B:$B, 0))</f>
        <v>0</v>
      </c>
      <c r="CA48" s="193">
        <f>IFERROR(INDEX('Fluxos de Recebimento'!$I$7:$BH$58, MATCH(Curvas!$AB48, 'Fluxos de Recebimento'!$F$7:$F$58, 0), MATCH(Curvas!CA$2,'Fluxos de Recebimento'!$I$5:$BH$5, 0))+INDEX('Fluxos de Recebimento'!$I$65:$BH$116, MATCH(Curvas!$AB48, 'Fluxos de Recebimento'!$F$65:$F$116, 0), MATCH(Curvas!CA$2, 'Fluxos de Recebimento'!$I$63:$BH$63, 0)),0)*INDEX($E:$E, MATCH(CA$2, $B:$B, 0))</f>
        <v>0</v>
      </c>
      <c r="CB48" s="193">
        <f>IFERROR(INDEX('Fluxos de Recebimento'!$I$7:$BH$58, MATCH(Curvas!$AB48, 'Fluxos de Recebimento'!$F$7:$F$58, 0), MATCH(Curvas!CB$2,'Fluxos de Recebimento'!$I$5:$BH$5, 0))+INDEX('Fluxos de Recebimento'!$I$65:$BH$116, MATCH(Curvas!$AB48, 'Fluxos de Recebimento'!$F$65:$F$116, 0), MATCH(Curvas!CB$2, 'Fluxos de Recebimento'!$I$63:$BH$63, 0)),0)*INDEX($E:$E, MATCH(CB$2, $B:$B, 0))</f>
        <v>0</v>
      </c>
      <c r="CC48" s="193">
        <f>IFERROR(INDEX('Fluxos de Recebimento'!$I$7:$BH$58, MATCH(Curvas!$AB48, 'Fluxos de Recebimento'!$F$7:$F$58, 0), MATCH(Curvas!CC$2,'Fluxos de Recebimento'!$I$5:$BH$5, 0))+INDEX('Fluxos de Recebimento'!$I$65:$BH$116, MATCH(Curvas!$AB48, 'Fluxos de Recebimento'!$F$65:$F$116, 0), MATCH(Curvas!CC$2, 'Fluxos de Recebimento'!$I$63:$BH$63, 0)),0)*INDEX($E:$E, MATCH(CC$2, $B:$B, 0))</f>
        <v>0</v>
      </c>
    </row>
    <row r="49" spans="1:81" x14ac:dyDescent="0.25">
      <c r="A49" s="2"/>
      <c r="B49" s="477">
        <f t="shared" si="34"/>
        <v>45536</v>
      </c>
      <c r="C49" s="52">
        <f t="shared" si="35"/>
        <v>46</v>
      </c>
      <c r="D49" s="2"/>
      <c r="E49" s="187">
        <f t="shared" si="22"/>
        <v>0</v>
      </c>
      <c r="F49" s="48">
        <f t="shared" si="36"/>
        <v>0.99999999999999978</v>
      </c>
      <c r="G49" s="46">
        <f t="shared" ca="1" si="23"/>
        <v>0</v>
      </c>
      <c r="H49" s="48">
        <f t="shared" ca="1" si="37"/>
        <v>0.99999999999999989</v>
      </c>
      <c r="I49" s="2"/>
      <c r="J49" s="69">
        <f t="shared" ca="1" si="24"/>
        <v>0</v>
      </c>
      <c r="K49" s="479">
        <f t="shared" ca="1" si="25"/>
        <v>0</v>
      </c>
      <c r="L49" s="70">
        <f t="shared" ca="1" si="26"/>
        <v>0</v>
      </c>
      <c r="M49" s="2"/>
      <c r="N49" s="69">
        <f t="shared" si="27"/>
        <v>1</v>
      </c>
      <c r="O49" s="479">
        <f t="shared" si="28"/>
        <v>0</v>
      </c>
      <c r="P49" s="70">
        <f t="shared" si="29"/>
        <v>1</v>
      </c>
      <c r="Q49" s="2"/>
      <c r="R49" s="71">
        <f t="shared" ca="1" si="30"/>
        <v>1</v>
      </c>
      <c r="S49" s="196"/>
      <c r="T49" s="46">
        <v>0</v>
      </c>
      <c r="U49" s="48">
        <f t="shared" si="38"/>
        <v>0.99999999999999978</v>
      </c>
      <c r="V49" s="2"/>
      <c r="W49" s="56"/>
      <c r="X49" s="48"/>
      <c r="Y49" s="2"/>
      <c r="Z49" s="194">
        <f t="shared" si="31"/>
        <v>0</v>
      </c>
      <c r="AA49" s="2"/>
      <c r="AB49" s="477">
        <f t="shared" si="32"/>
        <v>45536</v>
      </c>
      <c r="AC49" s="52">
        <f t="shared" si="33"/>
        <v>46</v>
      </c>
      <c r="AD49" s="193">
        <f>IFERROR(INDEX('Fluxos de Recebimento'!$I$7:$BH$58, MATCH(Curvas!$AB49, 'Fluxos de Recebimento'!$F$7:$F$58, 0), MATCH(Curvas!AD$2,'Fluxos de Recebimento'!$I$5:$BH$5, 0))+INDEX('Fluxos de Recebimento'!$I$65:$BH$116, MATCH(Curvas!$AB49, 'Fluxos de Recebimento'!$F$65:$F$116, 0), MATCH(Curvas!AD$2, 'Fluxos de Recebimento'!$I$63:$BH$63, 0)),0)*INDEX($E:$E, MATCH(AD$2, $B:$B, 0))</f>
        <v>0</v>
      </c>
      <c r="AE49" s="193">
        <f>IFERROR(INDEX('Fluxos de Recebimento'!$I$7:$BH$58, MATCH(Curvas!$AB49, 'Fluxos de Recebimento'!$F$7:$F$58, 0), MATCH(Curvas!AE$2,'Fluxos de Recebimento'!$I$5:$BH$5, 0))+INDEX('Fluxos de Recebimento'!$I$65:$BH$116, MATCH(Curvas!$AB49, 'Fluxos de Recebimento'!$F$65:$F$116, 0), MATCH(Curvas!AE$2, 'Fluxos de Recebimento'!$I$63:$BH$63, 0)),0)*INDEX($E:$E, MATCH(AE$2, $B:$B, 0))</f>
        <v>0</v>
      </c>
      <c r="AF49" s="193">
        <f>IFERROR(INDEX('Fluxos de Recebimento'!$I$7:$BH$58, MATCH(Curvas!$AB49, 'Fluxos de Recebimento'!$F$7:$F$58, 0), MATCH(Curvas!AF$2,'Fluxos de Recebimento'!$I$5:$BH$5, 0))+INDEX('Fluxos de Recebimento'!$I$65:$BH$116, MATCH(Curvas!$AB49, 'Fluxos de Recebimento'!$F$65:$F$116, 0), MATCH(Curvas!AF$2, 'Fluxos de Recebimento'!$I$63:$BH$63, 0)),0)*INDEX($E:$E, MATCH(AF$2, $B:$B, 0))</f>
        <v>0</v>
      </c>
      <c r="AG49" s="193">
        <f>IFERROR(INDEX('Fluxos de Recebimento'!$I$7:$BH$58, MATCH(Curvas!$AB49, 'Fluxos de Recebimento'!$F$7:$F$58, 0), MATCH(Curvas!AG$2,'Fluxos de Recebimento'!$I$5:$BH$5, 0))+INDEX('Fluxos de Recebimento'!$I$65:$BH$116, MATCH(Curvas!$AB49, 'Fluxos de Recebimento'!$F$65:$F$116, 0), MATCH(Curvas!AG$2, 'Fluxos de Recebimento'!$I$63:$BH$63, 0)),0)*INDEX($E:$E, MATCH(AG$2, $B:$B, 0))</f>
        <v>0</v>
      </c>
      <c r="AH49" s="193">
        <f>IFERROR(INDEX('Fluxos de Recebimento'!$I$7:$BH$58, MATCH(Curvas!$AB49, 'Fluxos de Recebimento'!$F$7:$F$58, 0), MATCH(Curvas!AH$2,'Fluxos de Recebimento'!$I$5:$BH$5, 0))+INDEX('Fluxos de Recebimento'!$I$65:$BH$116, MATCH(Curvas!$AB49, 'Fluxos de Recebimento'!$F$65:$F$116, 0), MATCH(Curvas!AH$2, 'Fluxos de Recebimento'!$I$63:$BH$63, 0)),0)*INDEX($E:$E, MATCH(AH$2, $B:$B, 0))</f>
        <v>0</v>
      </c>
      <c r="AI49" s="193">
        <f>IFERROR(INDEX('Fluxos de Recebimento'!$I$7:$BH$58, MATCH(Curvas!$AB49, 'Fluxos de Recebimento'!$F$7:$F$58, 0), MATCH(Curvas!AI$2,'Fluxos de Recebimento'!$I$5:$BH$5, 0))+INDEX('Fluxos de Recebimento'!$I$65:$BH$116, MATCH(Curvas!$AB49, 'Fluxos de Recebimento'!$F$65:$F$116, 0), MATCH(Curvas!AI$2, 'Fluxos de Recebimento'!$I$63:$BH$63, 0)),0)*INDEX($E:$E, MATCH(AI$2, $B:$B, 0))</f>
        <v>0</v>
      </c>
      <c r="AJ49" s="193">
        <f>IFERROR(INDEX('Fluxos de Recebimento'!$I$7:$BH$58, MATCH(Curvas!$AB49, 'Fluxos de Recebimento'!$F$7:$F$58, 0), MATCH(Curvas!AJ$2,'Fluxos de Recebimento'!$I$5:$BH$5, 0))+INDEX('Fluxos de Recebimento'!$I$65:$BH$116, MATCH(Curvas!$AB49, 'Fluxos de Recebimento'!$F$65:$F$116, 0), MATCH(Curvas!AJ$2, 'Fluxos de Recebimento'!$I$63:$BH$63, 0)),0)*INDEX($E:$E, MATCH(AJ$2, $B:$B, 0))</f>
        <v>0</v>
      </c>
      <c r="AK49" s="193">
        <f>IFERROR(INDEX('Fluxos de Recebimento'!$I$7:$BH$58, MATCH(Curvas!$AB49, 'Fluxos de Recebimento'!$F$7:$F$58, 0), MATCH(Curvas!AK$2,'Fluxos de Recebimento'!$I$5:$BH$5, 0))+INDEX('Fluxos de Recebimento'!$I$65:$BH$116, MATCH(Curvas!$AB49, 'Fluxos de Recebimento'!$F$65:$F$116, 0), MATCH(Curvas!AK$2, 'Fluxos de Recebimento'!$I$63:$BH$63, 0)),0)*INDEX($E:$E, MATCH(AK$2, $B:$B, 0))</f>
        <v>0</v>
      </c>
      <c r="AL49" s="193">
        <f>IFERROR(INDEX('Fluxos de Recebimento'!$I$7:$BH$58, MATCH(Curvas!$AB49, 'Fluxos de Recebimento'!$F$7:$F$58, 0), MATCH(Curvas!AL$2,'Fluxos de Recebimento'!$I$5:$BH$5, 0))+INDEX('Fluxos de Recebimento'!$I$65:$BH$116, MATCH(Curvas!$AB49, 'Fluxos de Recebimento'!$F$65:$F$116, 0), MATCH(Curvas!AL$2, 'Fluxos de Recebimento'!$I$63:$BH$63, 0)),0)*INDEX($E:$E, MATCH(AL$2, $B:$B, 0))</f>
        <v>0</v>
      </c>
      <c r="AM49" s="193">
        <f>IFERROR(INDEX('Fluxos de Recebimento'!$I$7:$BH$58, MATCH(Curvas!$AB49, 'Fluxos de Recebimento'!$F$7:$F$58, 0), MATCH(Curvas!AM$2,'Fluxos de Recebimento'!$I$5:$BH$5, 0))+INDEX('Fluxos de Recebimento'!$I$65:$BH$116, MATCH(Curvas!$AB49, 'Fluxos de Recebimento'!$F$65:$F$116, 0), MATCH(Curvas!AM$2, 'Fluxos de Recebimento'!$I$63:$BH$63, 0)),0)*INDEX($E:$E, MATCH(AM$2, $B:$B, 0))</f>
        <v>0</v>
      </c>
      <c r="AN49" s="193">
        <f>IFERROR(INDEX('Fluxos de Recebimento'!$I$7:$BH$58, MATCH(Curvas!$AB49, 'Fluxos de Recebimento'!$F$7:$F$58, 0), MATCH(Curvas!AN$2,'Fluxos de Recebimento'!$I$5:$BH$5, 0))+INDEX('Fluxos de Recebimento'!$I$65:$BH$116, MATCH(Curvas!$AB49, 'Fluxos de Recebimento'!$F$65:$F$116, 0), MATCH(Curvas!AN$2, 'Fluxos de Recebimento'!$I$63:$BH$63, 0)),0)*INDEX($E:$E, MATCH(AN$2, $B:$B, 0))</f>
        <v>0</v>
      </c>
      <c r="AO49" s="193">
        <f>IFERROR(INDEX('Fluxos de Recebimento'!$I$7:$BH$58, MATCH(Curvas!$AB49, 'Fluxos de Recebimento'!$F$7:$F$58, 0), MATCH(Curvas!AO$2,'Fluxos de Recebimento'!$I$5:$BH$5, 0))+INDEX('Fluxos de Recebimento'!$I$65:$BH$116, MATCH(Curvas!$AB49, 'Fluxos de Recebimento'!$F$65:$F$116, 0), MATCH(Curvas!AO$2, 'Fluxos de Recebimento'!$I$63:$BH$63, 0)),0)*INDEX($E:$E, MATCH(AO$2, $B:$B, 0))</f>
        <v>0</v>
      </c>
      <c r="AP49" s="193">
        <f>IFERROR(INDEX('Fluxos de Recebimento'!$I$7:$BH$58, MATCH(Curvas!$AB49, 'Fluxos de Recebimento'!$F$7:$F$58, 0), MATCH(Curvas!AP$2,'Fluxos de Recebimento'!$I$5:$BH$5, 0))+INDEX('Fluxos de Recebimento'!$I$65:$BH$116, MATCH(Curvas!$AB49, 'Fluxos de Recebimento'!$F$65:$F$116, 0), MATCH(Curvas!AP$2, 'Fluxos de Recebimento'!$I$63:$BH$63, 0)),0)*INDEX($E:$E, MATCH(AP$2, $B:$B, 0))</f>
        <v>0</v>
      </c>
      <c r="AQ49" s="193">
        <f>IFERROR(INDEX('Fluxos de Recebimento'!$I$7:$BH$58, MATCH(Curvas!$AB49, 'Fluxos de Recebimento'!$F$7:$F$58, 0), MATCH(Curvas!AQ$2,'Fluxos de Recebimento'!$I$5:$BH$5, 0))+INDEX('Fluxos de Recebimento'!$I$65:$BH$116, MATCH(Curvas!$AB49, 'Fluxos de Recebimento'!$F$65:$F$116, 0), MATCH(Curvas!AQ$2, 'Fluxos de Recebimento'!$I$63:$BH$63, 0)),0)*INDEX($E:$E, MATCH(AQ$2, $B:$B, 0))</f>
        <v>0</v>
      </c>
      <c r="AR49" s="193">
        <f>IFERROR(INDEX('Fluxos de Recebimento'!$I$7:$BH$58, MATCH(Curvas!$AB49, 'Fluxos de Recebimento'!$F$7:$F$58, 0), MATCH(Curvas!AR$2,'Fluxos de Recebimento'!$I$5:$BH$5, 0))+INDEX('Fluxos de Recebimento'!$I$65:$BH$116, MATCH(Curvas!$AB49, 'Fluxos de Recebimento'!$F$65:$F$116, 0), MATCH(Curvas!AR$2, 'Fluxos de Recebimento'!$I$63:$BH$63, 0)),0)*INDEX($E:$E, MATCH(AR$2, $B:$B, 0))</f>
        <v>0</v>
      </c>
      <c r="AS49" s="193">
        <f>IFERROR(INDEX('Fluxos de Recebimento'!$I$7:$BH$58, MATCH(Curvas!$AB49, 'Fluxos de Recebimento'!$F$7:$F$58, 0), MATCH(Curvas!AS$2,'Fluxos de Recebimento'!$I$5:$BH$5, 0))+INDEX('Fluxos de Recebimento'!$I$65:$BH$116, MATCH(Curvas!$AB49, 'Fluxos de Recebimento'!$F$65:$F$116, 0), MATCH(Curvas!AS$2, 'Fluxos de Recebimento'!$I$63:$BH$63, 0)),0)*INDEX($E:$E, MATCH(AS$2, $B:$B, 0))</f>
        <v>0</v>
      </c>
      <c r="AT49" s="193">
        <f>IFERROR(INDEX('Fluxos de Recebimento'!$I$7:$BH$58, MATCH(Curvas!$AB49, 'Fluxos de Recebimento'!$F$7:$F$58, 0), MATCH(Curvas!AT$2,'Fluxos de Recebimento'!$I$5:$BH$5, 0))+INDEX('Fluxos de Recebimento'!$I$65:$BH$116, MATCH(Curvas!$AB49, 'Fluxos de Recebimento'!$F$65:$F$116, 0), MATCH(Curvas!AT$2, 'Fluxos de Recebimento'!$I$63:$BH$63, 0)),0)*INDEX($E:$E, MATCH(AT$2, $B:$B, 0))</f>
        <v>0</v>
      </c>
      <c r="AU49" s="193">
        <f>IFERROR(INDEX('Fluxos de Recebimento'!$I$7:$BH$58, MATCH(Curvas!$AB49, 'Fluxos de Recebimento'!$F$7:$F$58, 0), MATCH(Curvas!AU$2,'Fluxos de Recebimento'!$I$5:$BH$5, 0))+INDEX('Fluxos de Recebimento'!$I$65:$BH$116, MATCH(Curvas!$AB49, 'Fluxos de Recebimento'!$F$65:$F$116, 0), MATCH(Curvas!AU$2, 'Fluxos de Recebimento'!$I$63:$BH$63, 0)),0)*INDEX($E:$E, MATCH(AU$2, $B:$B, 0))</f>
        <v>0</v>
      </c>
      <c r="AV49" s="193">
        <f>IFERROR(INDEX('Fluxos de Recebimento'!$I$7:$BH$58, MATCH(Curvas!$AB49, 'Fluxos de Recebimento'!$F$7:$F$58, 0), MATCH(Curvas!AV$2,'Fluxos de Recebimento'!$I$5:$BH$5, 0))+INDEX('Fluxos de Recebimento'!$I$65:$BH$116, MATCH(Curvas!$AB49, 'Fluxos de Recebimento'!$F$65:$F$116, 0), MATCH(Curvas!AV$2, 'Fluxos de Recebimento'!$I$63:$BH$63, 0)),0)*INDEX($E:$E, MATCH(AV$2, $B:$B, 0))</f>
        <v>0</v>
      </c>
      <c r="AW49" s="193">
        <f>IFERROR(INDEX('Fluxos de Recebimento'!$I$7:$BH$58, MATCH(Curvas!$AB49, 'Fluxos de Recebimento'!$F$7:$F$58, 0), MATCH(Curvas!AW$2,'Fluxos de Recebimento'!$I$5:$BH$5, 0))+INDEX('Fluxos de Recebimento'!$I$65:$BH$116, MATCH(Curvas!$AB49, 'Fluxos de Recebimento'!$F$65:$F$116, 0), MATCH(Curvas!AW$2, 'Fluxos de Recebimento'!$I$63:$BH$63, 0)),0)*INDEX($E:$E, MATCH(AW$2, $B:$B, 0))</f>
        <v>0</v>
      </c>
      <c r="AX49" s="193">
        <f>IFERROR(INDEX('Fluxos de Recebimento'!$I$7:$BH$58, MATCH(Curvas!$AB49, 'Fluxos de Recebimento'!$F$7:$F$58, 0), MATCH(Curvas!AX$2,'Fluxos de Recebimento'!$I$5:$BH$5, 0))+INDEX('Fluxos de Recebimento'!$I$65:$BH$116, MATCH(Curvas!$AB49, 'Fluxos de Recebimento'!$F$65:$F$116, 0), MATCH(Curvas!AX$2, 'Fluxos de Recebimento'!$I$63:$BH$63, 0)),0)*INDEX($E:$E, MATCH(AX$2, $B:$B, 0))</f>
        <v>0</v>
      </c>
      <c r="AY49" s="193">
        <f>IFERROR(INDEX('Fluxos de Recebimento'!$I$7:$BH$58, MATCH(Curvas!$AB49, 'Fluxos de Recebimento'!$F$7:$F$58, 0), MATCH(Curvas!AY$2,'Fluxos de Recebimento'!$I$5:$BH$5, 0))+INDEX('Fluxos de Recebimento'!$I$65:$BH$116, MATCH(Curvas!$AB49, 'Fluxos de Recebimento'!$F$65:$F$116, 0), MATCH(Curvas!AY$2, 'Fluxos de Recebimento'!$I$63:$BH$63, 0)),0)*INDEX($E:$E, MATCH(AY$2, $B:$B, 0))</f>
        <v>0</v>
      </c>
      <c r="AZ49" s="193">
        <f>IFERROR(INDEX('Fluxos de Recebimento'!$I$7:$BH$58, MATCH(Curvas!$AB49, 'Fluxos de Recebimento'!$F$7:$F$58, 0), MATCH(Curvas!AZ$2,'Fluxos de Recebimento'!$I$5:$BH$5, 0))+INDEX('Fluxos de Recebimento'!$I$65:$BH$116, MATCH(Curvas!$AB49, 'Fluxos de Recebimento'!$F$65:$F$116, 0), MATCH(Curvas!AZ$2, 'Fluxos de Recebimento'!$I$63:$BH$63, 0)),0)*INDEX($E:$E, MATCH(AZ$2, $B:$B, 0))</f>
        <v>0</v>
      </c>
      <c r="BA49" s="193">
        <f>IFERROR(INDEX('Fluxos de Recebimento'!$I$7:$BH$58, MATCH(Curvas!$AB49, 'Fluxos de Recebimento'!$F$7:$F$58, 0), MATCH(Curvas!BA$2,'Fluxos de Recebimento'!$I$5:$BH$5, 0))+INDEX('Fluxos de Recebimento'!$I$65:$BH$116, MATCH(Curvas!$AB49, 'Fluxos de Recebimento'!$F$65:$F$116, 0), MATCH(Curvas!BA$2, 'Fluxos de Recebimento'!$I$63:$BH$63, 0)),0)*INDEX($E:$E, MATCH(BA$2, $B:$B, 0))</f>
        <v>0</v>
      </c>
      <c r="BB49" s="193">
        <f>IFERROR(INDEX('Fluxos de Recebimento'!$I$7:$BH$58, MATCH(Curvas!$AB49, 'Fluxos de Recebimento'!$F$7:$F$58, 0), MATCH(Curvas!BB$2,'Fluxos de Recebimento'!$I$5:$BH$5, 0))+INDEX('Fluxos de Recebimento'!$I$65:$BH$116, MATCH(Curvas!$AB49, 'Fluxos de Recebimento'!$F$65:$F$116, 0), MATCH(Curvas!BB$2, 'Fluxos de Recebimento'!$I$63:$BH$63, 0)),0)*INDEX($E:$E, MATCH(BB$2, $B:$B, 0))</f>
        <v>0</v>
      </c>
      <c r="BC49" s="193">
        <f>IFERROR(INDEX('Fluxos de Recebimento'!$I$7:$BH$58, MATCH(Curvas!$AB49, 'Fluxos de Recebimento'!$F$7:$F$58, 0), MATCH(Curvas!BC$2,'Fluxos de Recebimento'!$I$5:$BH$5, 0))+INDEX('Fluxos de Recebimento'!$I$65:$BH$116, MATCH(Curvas!$AB49, 'Fluxos de Recebimento'!$F$65:$F$116, 0), MATCH(Curvas!BC$2, 'Fluxos de Recebimento'!$I$63:$BH$63, 0)),0)*INDEX($E:$E, MATCH(BC$2, $B:$B, 0))</f>
        <v>0</v>
      </c>
      <c r="BD49" s="193">
        <f>IFERROR(INDEX('Fluxos de Recebimento'!$I$7:$BH$58, MATCH(Curvas!$AB49, 'Fluxos de Recebimento'!$F$7:$F$58, 0), MATCH(Curvas!BD$2,'Fluxos de Recebimento'!$I$5:$BH$5, 0))+INDEX('Fluxos de Recebimento'!$I$65:$BH$116, MATCH(Curvas!$AB49, 'Fluxos de Recebimento'!$F$65:$F$116, 0), MATCH(Curvas!BD$2, 'Fluxos de Recebimento'!$I$63:$BH$63, 0)),0)*INDEX($E:$E, MATCH(BD$2, $B:$B, 0))</f>
        <v>0</v>
      </c>
      <c r="BE49" s="193">
        <f>IFERROR(INDEX('Fluxos de Recebimento'!$I$7:$BH$58, MATCH(Curvas!$AB49, 'Fluxos de Recebimento'!$F$7:$F$58, 0), MATCH(Curvas!BE$2,'Fluxos de Recebimento'!$I$5:$BH$5, 0))+INDEX('Fluxos de Recebimento'!$I$65:$BH$116, MATCH(Curvas!$AB49, 'Fluxos de Recebimento'!$F$65:$F$116, 0), MATCH(Curvas!BE$2, 'Fluxos de Recebimento'!$I$63:$BH$63, 0)),0)*INDEX($E:$E, MATCH(BE$2, $B:$B, 0))</f>
        <v>0</v>
      </c>
      <c r="BF49" s="193">
        <f>IFERROR(INDEX('Fluxos de Recebimento'!$I$7:$BH$58, MATCH(Curvas!$AB49, 'Fluxos de Recebimento'!$F$7:$F$58, 0), MATCH(Curvas!BF$2,'Fluxos de Recebimento'!$I$5:$BH$5, 0))+INDEX('Fluxos de Recebimento'!$I$65:$BH$116, MATCH(Curvas!$AB49, 'Fluxos de Recebimento'!$F$65:$F$116, 0), MATCH(Curvas!BF$2, 'Fluxos de Recebimento'!$I$63:$BH$63, 0)),0)*INDEX($E:$E, MATCH(BF$2, $B:$B, 0))</f>
        <v>0</v>
      </c>
      <c r="BG49" s="193">
        <f>IFERROR(INDEX('Fluxos de Recebimento'!$I$7:$BH$58, MATCH(Curvas!$AB49, 'Fluxos de Recebimento'!$F$7:$F$58, 0), MATCH(Curvas!BG$2,'Fluxos de Recebimento'!$I$5:$BH$5, 0))+INDEX('Fluxos de Recebimento'!$I$65:$BH$116, MATCH(Curvas!$AB49, 'Fluxos de Recebimento'!$F$65:$F$116, 0), MATCH(Curvas!BG$2, 'Fluxos de Recebimento'!$I$63:$BH$63, 0)),0)*INDEX($E:$E, MATCH(BG$2, $B:$B, 0))</f>
        <v>0</v>
      </c>
      <c r="BH49" s="193">
        <f>IFERROR(INDEX('Fluxos de Recebimento'!$I$7:$BH$58, MATCH(Curvas!$AB49, 'Fluxos de Recebimento'!$F$7:$F$58, 0), MATCH(Curvas!BH$2,'Fluxos de Recebimento'!$I$5:$BH$5, 0))+INDEX('Fluxos de Recebimento'!$I$65:$BH$116, MATCH(Curvas!$AB49, 'Fluxos de Recebimento'!$F$65:$F$116, 0), MATCH(Curvas!BH$2, 'Fluxos de Recebimento'!$I$63:$BH$63, 0)),0)*INDEX($E:$E, MATCH(BH$2, $B:$B, 0))</f>
        <v>0</v>
      </c>
      <c r="BI49" s="193">
        <f>IFERROR(INDEX('Fluxos de Recebimento'!$I$7:$BH$58, MATCH(Curvas!$AB49, 'Fluxos de Recebimento'!$F$7:$F$58, 0), MATCH(Curvas!BI$2,'Fluxos de Recebimento'!$I$5:$BH$5, 0))+INDEX('Fluxos de Recebimento'!$I$65:$BH$116, MATCH(Curvas!$AB49, 'Fluxos de Recebimento'!$F$65:$F$116, 0), MATCH(Curvas!BI$2, 'Fluxos de Recebimento'!$I$63:$BH$63, 0)),0)*INDEX($E:$E, MATCH(BI$2, $B:$B, 0))</f>
        <v>0</v>
      </c>
      <c r="BJ49" s="193">
        <f>IFERROR(INDEX('Fluxos de Recebimento'!$I$7:$BH$58, MATCH(Curvas!$AB49, 'Fluxos de Recebimento'!$F$7:$F$58, 0), MATCH(Curvas!BJ$2,'Fluxos de Recebimento'!$I$5:$BH$5, 0))+INDEX('Fluxos de Recebimento'!$I$65:$BH$116, MATCH(Curvas!$AB49, 'Fluxos de Recebimento'!$F$65:$F$116, 0), MATCH(Curvas!BJ$2, 'Fluxos de Recebimento'!$I$63:$BH$63, 0)),0)*INDEX($E:$E, MATCH(BJ$2, $B:$B, 0))</f>
        <v>0</v>
      </c>
      <c r="BK49" s="193">
        <f>IFERROR(INDEX('Fluxos de Recebimento'!$I$7:$BH$58, MATCH(Curvas!$AB49, 'Fluxos de Recebimento'!$F$7:$F$58, 0), MATCH(Curvas!BK$2,'Fluxos de Recebimento'!$I$5:$BH$5, 0))+INDEX('Fluxos de Recebimento'!$I$65:$BH$116, MATCH(Curvas!$AB49, 'Fluxos de Recebimento'!$F$65:$F$116, 0), MATCH(Curvas!BK$2, 'Fluxos de Recebimento'!$I$63:$BH$63, 0)),0)*INDEX($E:$E, MATCH(BK$2, $B:$B, 0))</f>
        <v>0</v>
      </c>
      <c r="BL49" s="193">
        <f>IFERROR(INDEX('Fluxos de Recebimento'!$I$7:$BH$58, MATCH(Curvas!$AB49, 'Fluxos de Recebimento'!$F$7:$F$58, 0), MATCH(Curvas!BL$2,'Fluxos de Recebimento'!$I$5:$BH$5, 0))+INDEX('Fluxos de Recebimento'!$I$65:$BH$116, MATCH(Curvas!$AB49, 'Fluxos de Recebimento'!$F$65:$F$116, 0), MATCH(Curvas!BL$2, 'Fluxos de Recebimento'!$I$63:$BH$63, 0)),0)*INDEX($E:$E, MATCH(BL$2, $B:$B, 0))</f>
        <v>0</v>
      </c>
      <c r="BM49" s="193">
        <f>IFERROR(INDEX('Fluxos de Recebimento'!$I$7:$BH$58, MATCH(Curvas!$AB49, 'Fluxos de Recebimento'!$F$7:$F$58, 0), MATCH(Curvas!BM$2,'Fluxos de Recebimento'!$I$5:$BH$5, 0))+INDEX('Fluxos de Recebimento'!$I$65:$BH$116, MATCH(Curvas!$AB49, 'Fluxos de Recebimento'!$F$65:$F$116, 0), MATCH(Curvas!BM$2, 'Fluxos de Recebimento'!$I$63:$BH$63, 0)),0)*INDEX($E:$E, MATCH(BM$2, $B:$B, 0))</f>
        <v>0</v>
      </c>
      <c r="BN49" s="193">
        <f>IFERROR(INDEX('Fluxos de Recebimento'!$I$7:$BH$58, MATCH(Curvas!$AB49, 'Fluxos de Recebimento'!$F$7:$F$58, 0), MATCH(Curvas!BN$2,'Fluxos de Recebimento'!$I$5:$BH$5, 0))+INDEX('Fluxos de Recebimento'!$I$65:$BH$116, MATCH(Curvas!$AB49, 'Fluxos de Recebimento'!$F$65:$F$116, 0), MATCH(Curvas!BN$2, 'Fluxos de Recebimento'!$I$63:$BH$63, 0)),0)*INDEX($E:$E, MATCH(BN$2, $B:$B, 0))</f>
        <v>0</v>
      </c>
      <c r="BO49" s="193">
        <f>IFERROR(INDEX('Fluxos de Recebimento'!$I$7:$BH$58, MATCH(Curvas!$AB49, 'Fluxos de Recebimento'!$F$7:$F$58, 0), MATCH(Curvas!BO$2,'Fluxos de Recebimento'!$I$5:$BH$5, 0))+INDEX('Fluxos de Recebimento'!$I$65:$BH$116, MATCH(Curvas!$AB49, 'Fluxos de Recebimento'!$F$65:$F$116, 0), MATCH(Curvas!BO$2, 'Fluxos de Recebimento'!$I$63:$BH$63, 0)),0)*INDEX($E:$E, MATCH(BO$2, $B:$B, 0))</f>
        <v>0</v>
      </c>
      <c r="BP49" s="193">
        <f>IFERROR(INDEX('Fluxos de Recebimento'!$I$7:$BH$58, MATCH(Curvas!$AB49, 'Fluxos de Recebimento'!$F$7:$F$58, 0), MATCH(Curvas!BP$2,'Fluxos de Recebimento'!$I$5:$BH$5, 0))+INDEX('Fluxos de Recebimento'!$I$65:$BH$116, MATCH(Curvas!$AB49, 'Fluxos de Recebimento'!$F$65:$F$116, 0), MATCH(Curvas!BP$2, 'Fluxos de Recebimento'!$I$63:$BH$63, 0)),0)*INDEX($E:$E, MATCH(BP$2, $B:$B, 0))</f>
        <v>0</v>
      </c>
      <c r="BQ49" s="193">
        <f>IFERROR(INDEX('Fluxos de Recebimento'!$I$7:$BH$58, MATCH(Curvas!$AB49, 'Fluxos de Recebimento'!$F$7:$F$58, 0), MATCH(Curvas!BQ$2,'Fluxos de Recebimento'!$I$5:$BH$5, 0))+INDEX('Fluxos de Recebimento'!$I$65:$BH$116, MATCH(Curvas!$AB49, 'Fluxos de Recebimento'!$F$65:$F$116, 0), MATCH(Curvas!BQ$2, 'Fluxos de Recebimento'!$I$63:$BH$63, 0)),0)*INDEX($E:$E, MATCH(BQ$2, $B:$B, 0))</f>
        <v>0</v>
      </c>
      <c r="BR49" s="193">
        <f>IFERROR(INDEX('Fluxos de Recebimento'!$I$7:$BH$58, MATCH(Curvas!$AB49, 'Fluxos de Recebimento'!$F$7:$F$58, 0), MATCH(Curvas!BR$2,'Fluxos de Recebimento'!$I$5:$BH$5, 0))+INDEX('Fluxos de Recebimento'!$I$65:$BH$116, MATCH(Curvas!$AB49, 'Fluxos de Recebimento'!$F$65:$F$116, 0), MATCH(Curvas!BR$2, 'Fluxos de Recebimento'!$I$63:$BH$63, 0)),0)*INDEX($E:$E, MATCH(BR$2, $B:$B, 0))</f>
        <v>0</v>
      </c>
      <c r="BS49" s="193">
        <f>IFERROR(INDEX('Fluxos de Recebimento'!$I$7:$BH$58, MATCH(Curvas!$AB49, 'Fluxos de Recebimento'!$F$7:$F$58, 0), MATCH(Curvas!BS$2,'Fluxos de Recebimento'!$I$5:$BH$5, 0))+INDEX('Fluxos de Recebimento'!$I$65:$BH$116, MATCH(Curvas!$AB49, 'Fluxos de Recebimento'!$F$65:$F$116, 0), MATCH(Curvas!BS$2, 'Fluxos de Recebimento'!$I$63:$BH$63, 0)),0)*INDEX($E:$E, MATCH(BS$2, $B:$B, 0))</f>
        <v>0</v>
      </c>
      <c r="BT49" s="193">
        <f>IFERROR(INDEX('Fluxos de Recebimento'!$I$7:$BH$58, MATCH(Curvas!$AB49, 'Fluxos de Recebimento'!$F$7:$F$58, 0), MATCH(Curvas!BT$2,'Fluxos de Recebimento'!$I$5:$BH$5, 0))+INDEX('Fluxos de Recebimento'!$I$65:$BH$116, MATCH(Curvas!$AB49, 'Fluxos de Recebimento'!$F$65:$F$116, 0), MATCH(Curvas!BT$2, 'Fluxos de Recebimento'!$I$63:$BH$63, 0)),0)*INDEX($E:$E, MATCH(BT$2, $B:$B, 0))</f>
        <v>0</v>
      </c>
      <c r="BU49" s="193">
        <f>IFERROR(INDEX('Fluxos de Recebimento'!$I$7:$BH$58, MATCH(Curvas!$AB49, 'Fluxos de Recebimento'!$F$7:$F$58, 0), MATCH(Curvas!BU$2,'Fluxos de Recebimento'!$I$5:$BH$5, 0))+INDEX('Fluxos de Recebimento'!$I$65:$BH$116, MATCH(Curvas!$AB49, 'Fluxos de Recebimento'!$F$65:$F$116, 0), MATCH(Curvas!BU$2, 'Fluxos de Recebimento'!$I$63:$BH$63, 0)),0)*INDEX($E:$E, MATCH(BU$2, $B:$B, 0))</f>
        <v>0</v>
      </c>
      <c r="BV49" s="193">
        <f>IFERROR(INDEX('Fluxos de Recebimento'!$I$7:$BH$58, MATCH(Curvas!$AB49, 'Fluxos de Recebimento'!$F$7:$F$58, 0), MATCH(Curvas!BV$2,'Fluxos de Recebimento'!$I$5:$BH$5, 0))+INDEX('Fluxos de Recebimento'!$I$65:$BH$116, MATCH(Curvas!$AB49, 'Fluxos de Recebimento'!$F$65:$F$116, 0), MATCH(Curvas!BV$2, 'Fluxos de Recebimento'!$I$63:$BH$63, 0)),0)*INDEX($E:$E, MATCH(BV$2, $B:$B, 0))</f>
        <v>0</v>
      </c>
      <c r="BW49" s="193">
        <f>IFERROR(INDEX('Fluxos de Recebimento'!$I$7:$BH$58, MATCH(Curvas!$AB49, 'Fluxos de Recebimento'!$F$7:$F$58, 0), MATCH(Curvas!BW$2,'Fluxos de Recebimento'!$I$5:$BH$5, 0))+INDEX('Fluxos de Recebimento'!$I$65:$BH$116, MATCH(Curvas!$AB49, 'Fluxos de Recebimento'!$F$65:$F$116, 0), MATCH(Curvas!BW$2, 'Fluxos de Recebimento'!$I$63:$BH$63, 0)),0)*INDEX($E:$E, MATCH(BW$2, $B:$B, 0))</f>
        <v>0</v>
      </c>
      <c r="BX49" s="193">
        <f>IFERROR(INDEX('Fluxos de Recebimento'!$I$7:$BH$58, MATCH(Curvas!$AB49, 'Fluxos de Recebimento'!$F$7:$F$58, 0), MATCH(Curvas!BX$2,'Fluxos de Recebimento'!$I$5:$BH$5, 0))+INDEX('Fluxos de Recebimento'!$I$65:$BH$116, MATCH(Curvas!$AB49, 'Fluxos de Recebimento'!$F$65:$F$116, 0), MATCH(Curvas!BX$2, 'Fluxos de Recebimento'!$I$63:$BH$63, 0)),0)*INDEX($E:$E, MATCH(BX$2, $B:$B, 0))</f>
        <v>0</v>
      </c>
      <c r="BY49" s="193">
        <f>IFERROR(INDEX('Fluxos de Recebimento'!$I$7:$BH$58, MATCH(Curvas!$AB49, 'Fluxos de Recebimento'!$F$7:$F$58, 0), MATCH(Curvas!BY$2,'Fluxos de Recebimento'!$I$5:$BH$5, 0))+INDEX('Fluxos de Recebimento'!$I$65:$BH$116, MATCH(Curvas!$AB49, 'Fluxos de Recebimento'!$F$65:$F$116, 0), MATCH(Curvas!BY$2, 'Fluxos de Recebimento'!$I$63:$BH$63, 0)),0)*INDEX($E:$E, MATCH(BY$2, $B:$B, 0))</f>
        <v>0</v>
      </c>
      <c r="BZ49" s="193">
        <f>IFERROR(INDEX('Fluxos de Recebimento'!$I$7:$BH$58, MATCH(Curvas!$AB49, 'Fluxos de Recebimento'!$F$7:$F$58, 0), MATCH(Curvas!BZ$2,'Fluxos de Recebimento'!$I$5:$BH$5, 0))+INDEX('Fluxos de Recebimento'!$I$65:$BH$116, MATCH(Curvas!$AB49, 'Fluxos de Recebimento'!$F$65:$F$116, 0), MATCH(Curvas!BZ$2, 'Fluxos de Recebimento'!$I$63:$BH$63, 0)),0)*INDEX($E:$E, MATCH(BZ$2, $B:$B, 0))</f>
        <v>0</v>
      </c>
      <c r="CA49" s="193">
        <f>IFERROR(INDEX('Fluxos de Recebimento'!$I$7:$BH$58, MATCH(Curvas!$AB49, 'Fluxos de Recebimento'!$F$7:$F$58, 0), MATCH(Curvas!CA$2,'Fluxos de Recebimento'!$I$5:$BH$5, 0))+INDEX('Fluxos de Recebimento'!$I$65:$BH$116, MATCH(Curvas!$AB49, 'Fluxos de Recebimento'!$F$65:$F$116, 0), MATCH(Curvas!CA$2, 'Fluxos de Recebimento'!$I$63:$BH$63, 0)),0)*INDEX($E:$E, MATCH(CA$2, $B:$B, 0))</f>
        <v>0</v>
      </c>
      <c r="CB49" s="193">
        <f>IFERROR(INDEX('Fluxos de Recebimento'!$I$7:$BH$58, MATCH(Curvas!$AB49, 'Fluxos de Recebimento'!$F$7:$F$58, 0), MATCH(Curvas!CB$2,'Fluxos de Recebimento'!$I$5:$BH$5, 0))+INDEX('Fluxos de Recebimento'!$I$65:$BH$116, MATCH(Curvas!$AB49, 'Fluxos de Recebimento'!$F$65:$F$116, 0), MATCH(Curvas!CB$2, 'Fluxos de Recebimento'!$I$63:$BH$63, 0)),0)*INDEX($E:$E, MATCH(CB$2, $B:$B, 0))</f>
        <v>0</v>
      </c>
      <c r="CC49" s="193">
        <f>IFERROR(INDEX('Fluxos de Recebimento'!$I$7:$BH$58, MATCH(Curvas!$AB49, 'Fluxos de Recebimento'!$F$7:$F$58, 0), MATCH(Curvas!CC$2,'Fluxos de Recebimento'!$I$5:$BH$5, 0))+INDEX('Fluxos de Recebimento'!$I$65:$BH$116, MATCH(Curvas!$AB49, 'Fluxos de Recebimento'!$F$65:$F$116, 0), MATCH(Curvas!CC$2, 'Fluxos de Recebimento'!$I$63:$BH$63, 0)),0)*INDEX($E:$E, MATCH(CC$2, $B:$B, 0))</f>
        <v>0</v>
      </c>
    </row>
    <row r="50" spans="1:81" x14ac:dyDescent="0.25">
      <c r="A50" s="2"/>
      <c r="B50" s="477">
        <f t="shared" si="34"/>
        <v>45566</v>
      </c>
      <c r="C50" s="52">
        <f t="shared" si="35"/>
        <v>47</v>
      </c>
      <c r="D50" s="2"/>
      <c r="E50" s="187">
        <f t="shared" si="22"/>
        <v>0</v>
      </c>
      <c r="F50" s="48">
        <f t="shared" si="36"/>
        <v>0.99999999999999978</v>
      </c>
      <c r="G50" s="46">
        <f t="shared" ca="1" si="23"/>
        <v>0</v>
      </c>
      <c r="H50" s="48">
        <f t="shared" ca="1" si="37"/>
        <v>0.99999999999999989</v>
      </c>
      <c r="I50" s="2"/>
      <c r="J50" s="69">
        <f t="shared" ca="1" si="24"/>
        <v>0</v>
      </c>
      <c r="K50" s="479">
        <f t="shared" ca="1" si="25"/>
        <v>0</v>
      </c>
      <c r="L50" s="70">
        <f t="shared" ca="1" si="26"/>
        <v>0</v>
      </c>
      <c r="M50" s="2"/>
      <c r="N50" s="69">
        <f t="shared" si="27"/>
        <v>1</v>
      </c>
      <c r="O50" s="479">
        <f t="shared" si="28"/>
        <v>0</v>
      </c>
      <c r="P50" s="70">
        <f t="shared" si="29"/>
        <v>1</v>
      </c>
      <c r="Q50" s="2"/>
      <c r="R50" s="71">
        <f t="shared" ca="1" si="30"/>
        <v>1</v>
      </c>
      <c r="S50" s="196"/>
      <c r="T50" s="46">
        <v>0</v>
      </c>
      <c r="U50" s="48">
        <f t="shared" si="38"/>
        <v>0.99999999999999978</v>
      </c>
      <c r="V50" s="2"/>
      <c r="W50" s="56"/>
      <c r="X50" s="48"/>
      <c r="Y50" s="2"/>
      <c r="Z50" s="194">
        <f t="shared" si="31"/>
        <v>0</v>
      </c>
      <c r="AA50" s="2"/>
      <c r="AB50" s="477">
        <f t="shared" si="32"/>
        <v>45566</v>
      </c>
      <c r="AC50" s="52">
        <f t="shared" si="33"/>
        <v>47</v>
      </c>
      <c r="AD50" s="193">
        <f>IFERROR(INDEX('Fluxos de Recebimento'!$I$7:$BH$58, MATCH(Curvas!$AB50, 'Fluxos de Recebimento'!$F$7:$F$58, 0), MATCH(Curvas!AD$2,'Fluxos de Recebimento'!$I$5:$BH$5, 0))+INDEX('Fluxos de Recebimento'!$I$65:$BH$116, MATCH(Curvas!$AB50, 'Fluxos de Recebimento'!$F$65:$F$116, 0), MATCH(Curvas!AD$2, 'Fluxos de Recebimento'!$I$63:$BH$63, 0)),0)*INDEX($E:$E, MATCH(AD$2, $B:$B, 0))</f>
        <v>0</v>
      </c>
      <c r="AE50" s="193">
        <f>IFERROR(INDEX('Fluxos de Recebimento'!$I$7:$BH$58, MATCH(Curvas!$AB50, 'Fluxos de Recebimento'!$F$7:$F$58, 0), MATCH(Curvas!AE$2,'Fluxos de Recebimento'!$I$5:$BH$5, 0))+INDEX('Fluxos de Recebimento'!$I$65:$BH$116, MATCH(Curvas!$AB50, 'Fluxos de Recebimento'!$F$65:$F$116, 0), MATCH(Curvas!AE$2, 'Fluxos de Recebimento'!$I$63:$BH$63, 0)),0)*INDEX($E:$E, MATCH(AE$2, $B:$B, 0))</f>
        <v>0</v>
      </c>
      <c r="AF50" s="193">
        <f>IFERROR(INDEX('Fluxos de Recebimento'!$I$7:$BH$58, MATCH(Curvas!$AB50, 'Fluxos de Recebimento'!$F$7:$F$58, 0), MATCH(Curvas!AF$2,'Fluxos de Recebimento'!$I$5:$BH$5, 0))+INDEX('Fluxos de Recebimento'!$I$65:$BH$116, MATCH(Curvas!$AB50, 'Fluxos de Recebimento'!$F$65:$F$116, 0), MATCH(Curvas!AF$2, 'Fluxos de Recebimento'!$I$63:$BH$63, 0)),0)*INDEX($E:$E, MATCH(AF$2, $B:$B, 0))</f>
        <v>0</v>
      </c>
      <c r="AG50" s="193">
        <f>IFERROR(INDEX('Fluxos de Recebimento'!$I$7:$BH$58, MATCH(Curvas!$AB50, 'Fluxos de Recebimento'!$F$7:$F$58, 0), MATCH(Curvas!AG$2,'Fluxos de Recebimento'!$I$5:$BH$5, 0))+INDEX('Fluxos de Recebimento'!$I$65:$BH$116, MATCH(Curvas!$AB50, 'Fluxos de Recebimento'!$F$65:$F$116, 0), MATCH(Curvas!AG$2, 'Fluxos de Recebimento'!$I$63:$BH$63, 0)),0)*INDEX($E:$E, MATCH(AG$2, $B:$B, 0))</f>
        <v>0</v>
      </c>
      <c r="AH50" s="193">
        <f>IFERROR(INDEX('Fluxos de Recebimento'!$I$7:$BH$58, MATCH(Curvas!$AB50, 'Fluxos de Recebimento'!$F$7:$F$58, 0), MATCH(Curvas!AH$2,'Fluxos de Recebimento'!$I$5:$BH$5, 0))+INDEX('Fluxos de Recebimento'!$I$65:$BH$116, MATCH(Curvas!$AB50, 'Fluxos de Recebimento'!$F$65:$F$116, 0), MATCH(Curvas!AH$2, 'Fluxos de Recebimento'!$I$63:$BH$63, 0)),0)*INDEX($E:$E, MATCH(AH$2, $B:$B, 0))</f>
        <v>0</v>
      </c>
      <c r="AI50" s="193">
        <f>IFERROR(INDEX('Fluxos de Recebimento'!$I$7:$BH$58, MATCH(Curvas!$AB50, 'Fluxos de Recebimento'!$F$7:$F$58, 0), MATCH(Curvas!AI$2,'Fluxos de Recebimento'!$I$5:$BH$5, 0))+INDEX('Fluxos de Recebimento'!$I$65:$BH$116, MATCH(Curvas!$AB50, 'Fluxos de Recebimento'!$F$65:$F$116, 0), MATCH(Curvas!AI$2, 'Fluxos de Recebimento'!$I$63:$BH$63, 0)),0)*INDEX($E:$E, MATCH(AI$2, $B:$B, 0))</f>
        <v>0</v>
      </c>
      <c r="AJ50" s="193">
        <f>IFERROR(INDEX('Fluxos de Recebimento'!$I$7:$BH$58, MATCH(Curvas!$AB50, 'Fluxos de Recebimento'!$F$7:$F$58, 0), MATCH(Curvas!AJ$2,'Fluxos de Recebimento'!$I$5:$BH$5, 0))+INDEX('Fluxos de Recebimento'!$I$65:$BH$116, MATCH(Curvas!$AB50, 'Fluxos de Recebimento'!$F$65:$F$116, 0), MATCH(Curvas!AJ$2, 'Fluxos de Recebimento'!$I$63:$BH$63, 0)),0)*INDEX($E:$E, MATCH(AJ$2, $B:$B, 0))</f>
        <v>0</v>
      </c>
      <c r="AK50" s="193">
        <f>IFERROR(INDEX('Fluxos de Recebimento'!$I$7:$BH$58, MATCH(Curvas!$AB50, 'Fluxos de Recebimento'!$F$7:$F$58, 0), MATCH(Curvas!AK$2,'Fluxos de Recebimento'!$I$5:$BH$5, 0))+INDEX('Fluxos de Recebimento'!$I$65:$BH$116, MATCH(Curvas!$AB50, 'Fluxos de Recebimento'!$F$65:$F$116, 0), MATCH(Curvas!AK$2, 'Fluxos de Recebimento'!$I$63:$BH$63, 0)),0)*INDEX($E:$E, MATCH(AK$2, $B:$B, 0))</f>
        <v>0</v>
      </c>
      <c r="AL50" s="193">
        <f>IFERROR(INDEX('Fluxos de Recebimento'!$I$7:$BH$58, MATCH(Curvas!$AB50, 'Fluxos de Recebimento'!$F$7:$F$58, 0), MATCH(Curvas!AL$2,'Fluxos de Recebimento'!$I$5:$BH$5, 0))+INDEX('Fluxos de Recebimento'!$I$65:$BH$116, MATCH(Curvas!$AB50, 'Fluxos de Recebimento'!$F$65:$F$116, 0), MATCH(Curvas!AL$2, 'Fluxos de Recebimento'!$I$63:$BH$63, 0)),0)*INDEX($E:$E, MATCH(AL$2, $B:$B, 0))</f>
        <v>0</v>
      </c>
      <c r="AM50" s="193">
        <f>IFERROR(INDEX('Fluxos de Recebimento'!$I$7:$BH$58, MATCH(Curvas!$AB50, 'Fluxos de Recebimento'!$F$7:$F$58, 0), MATCH(Curvas!AM$2,'Fluxos de Recebimento'!$I$5:$BH$5, 0))+INDEX('Fluxos de Recebimento'!$I$65:$BH$116, MATCH(Curvas!$AB50, 'Fluxos de Recebimento'!$F$65:$F$116, 0), MATCH(Curvas!AM$2, 'Fluxos de Recebimento'!$I$63:$BH$63, 0)),0)*INDEX($E:$E, MATCH(AM$2, $B:$B, 0))</f>
        <v>0</v>
      </c>
      <c r="AN50" s="193">
        <f>IFERROR(INDEX('Fluxos de Recebimento'!$I$7:$BH$58, MATCH(Curvas!$AB50, 'Fluxos de Recebimento'!$F$7:$F$58, 0), MATCH(Curvas!AN$2,'Fluxos de Recebimento'!$I$5:$BH$5, 0))+INDEX('Fluxos de Recebimento'!$I$65:$BH$116, MATCH(Curvas!$AB50, 'Fluxos de Recebimento'!$F$65:$F$116, 0), MATCH(Curvas!AN$2, 'Fluxos de Recebimento'!$I$63:$BH$63, 0)),0)*INDEX($E:$E, MATCH(AN$2, $B:$B, 0))</f>
        <v>0</v>
      </c>
      <c r="AO50" s="193">
        <f>IFERROR(INDEX('Fluxos de Recebimento'!$I$7:$BH$58, MATCH(Curvas!$AB50, 'Fluxos de Recebimento'!$F$7:$F$58, 0), MATCH(Curvas!AO$2,'Fluxos de Recebimento'!$I$5:$BH$5, 0))+INDEX('Fluxos de Recebimento'!$I$65:$BH$116, MATCH(Curvas!$AB50, 'Fluxos de Recebimento'!$F$65:$F$116, 0), MATCH(Curvas!AO$2, 'Fluxos de Recebimento'!$I$63:$BH$63, 0)),0)*INDEX($E:$E, MATCH(AO$2, $B:$B, 0))</f>
        <v>0</v>
      </c>
      <c r="AP50" s="193">
        <f>IFERROR(INDEX('Fluxos de Recebimento'!$I$7:$BH$58, MATCH(Curvas!$AB50, 'Fluxos de Recebimento'!$F$7:$F$58, 0), MATCH(Curvas!AP$2,'Fluxos de Recebimento'!$I$5:$BH$5, 0))+INDEX('Fluxos de Recebimento'!$I$65:$BH$116, MATCH(Curvas!$AB50, 'Fluxos de Recebimento'!$F$65:$F$116, 0), MATCH(Curvas!AP$2, 'Fluxos de Recebimento'!$I$63:$BH$63, 0)),0)*INDEX($E:$E, MATCH(AP$2, $B:$B, 0))</f>
        <v>0</v>
      </c>
      <c r="AQ50" s="193">
        <f>IFERROR(INDEX('Fluxos de Recebimento'!$I$7:$BH$58, MATCH(Curvas!$AB50, 'Fluxos de Recebimento'!$F$7:$F$58, 0), MATCH(Curvas!AQ$2,'Fluxos de Recebimento'!$I$5:$BH$5, 0))+INDEX('Fluxos de Recebimento'!$I$65:$BH$116, MATCH(Curvas!$AB50, 'Fluxos de Recebimento'!$F$65:$F$116, 0), MATCH(Curvas!AQ$2, 'Fluxos de Recebimento'!$I$63:$BH$63, 0)),0)*INDEX($E:$E, MATCH(AQ$2, $B:$B, 0))</f>
        <v>0</v>
      </c>
      <c r="AR50" s="193">
        <f>IFERROR(INDEX('Fluxos de Recebimento'!$I$7:$BH$58, MATCH(Curvas!$AB50, 'Fluxos de Recebimento'!$F$7:$F$58, 0), MATCH(Curvas!AR$2,'Fluxos de Recebimento'!$I$5:$BH$5, 0))+INDEX('Fluxos de Recebimento'!$I$65:$BH$116, MATCH(Curvas!$AB50, 'Fluxos de Recebimento'!$F$65:$F$116, 0), MATCH(Curvas!AR$2, 'Fluxos de Recebimento'!$I$63:$BH$63, 0)),0)*INDEX($E:$E, MATCH(AR$2, $B:$B, 0))</f>
        <v>0</v>
      </c>
      <c r="AS50" s="193">
        <f>IFERROR(INDEX('Fluxos de Recebimento'!$I$7:$BH$58, MATCH(Curvas!$AB50, 'Fluxos de Recebimento'!$F$7:$F$58, 0), MATCH(Curvas!AS$2,'Fluxos de Recebimento'!$I$5:$BH$5, 0))+INDEX('Fluxos de Recebimento'!$I$65:$BH$116, MATCH(Curvas!$AB50, 'Fluxos de Recebimento'!$F$65:$F$116, 0), MATCH(Curvas!AS$2, 'Fluxos de Recebimento'!$I$63:$BH$63, 0)),0)*INDEX($E:$E, MATCH(AS$2, $B:$B, 0))</f>
        <v>0</v>
      </c>
      <c r="AT50" s="193">
        <f>IFERROR(INDEX('Fluxos de Recebimento'!$I$7:$BH$58, MATCH(Curvas!$AB50, 'Fluxos de Recebimento'!$F$7:$F$58, 0), MATCH(Curvas!AT$2,'Fluxos de Recebimento'!$I$5:$BH$5, 0))+INDEX('Fluxos de Recebimento'!$I$65:$BH$116, MATCH(Curvas!$AB50, 'Fluxos de Recebimento'!$F$65:$F$116, 0), MATCH(Curvas!AT$2, 'Fluxos de Recebimento'!$I$63:$BH$63, 0)),0)*INDEX($E:$E, MATCH(AT$2, $B:$B, 0))</f>
        <v>0</v>
      </c>
      <c r="AU50" s="193">
        <f>IFERROR(INDEX('Fluxos de Recebimento'!$I$7:$BH$58, MATCH(Curvas!$AB50, 'Fluxos de Recebimento'!$F$7:$F$58, 0), MATCH(Curvas!AU$2,'Fluxos de Recebimento'!$I$5:$BH$5, 0))+INDEX('Fluxos de Recebimento'!$I$65:$BH$116, MATCH(Curvas!$AB50, 'Fluxos de Recebimento'!$F$65:$F$116, 0), MATCH(Curvas!AU$2, 'Fluxos de Recebimento'!$I$63:$BH$63, 0)),0)*INDEX($E:$E, MATCH(AU$2, $B:$B, 0))</f>
        <v>0</v>
      </c>
      <c r="AV50" s="193">
        <f>IFERROR(INDEX('Fluxos de Recebimento'!$I$7:$BH$58, MATCH(Curvas!$AB50, 'Fluxos de Recebimento'!$F$7:$F$58, 0), MATCH(Curvas!AV$2,'Fluxos de Recebimento'!$I$5:$BH$5, 0))+INDEX('Fluxos de Recebimento'!$I$65:$BH$116, MATCH(Curvas!$AB50, 'Fluxos de Recebimento'!$F$65:$F$116, 0), MATCH(Curvas!AV$2, 'Fluxos de Recebimento'!$I$63:$BH$63, 0)),0)*INDEX($E:$E, MATCH(AV$2, $B:$B, 0))</f>
        <v>0</v>
      </c>
      <c r="AW50" s="193">
        <f>IFERROR(INDEX('Fluxos de Recebimento'!$I$7:$BH$58, MATCH(Curvas!$AB50, 'Fluxos de Recebimento'!$F$7:$F$58, 0), MATCH(Curvas!AW$2,'Fluxos de Recebimento'!$I$5:$BH$5, 0))+INDEX('Fluxos de Recebimento'!$I$65:$BH$116, MATCH(Curvas!$AB50, 'Fluxos de Recebimento'!$F$65:$F$116, 0), MATCH(Curvas!AW$2, 'Fluxos de Recebimento'!$I$63:$BH$63, 0)),0)*INDEX($E:$E, MATCH(AW$2, $B:$B, 0))</f>
        <v>0</v>
      </c>
      <c r="AX50" s="193">
        <f>IFERROR(INDEX('Fluxos de Recebimento'!$I$7:$BH$58, MATCH(Curvas!$AB50, 'Fluxos de Recebimento'!$F$7:$F$58, 0), MATCH(Curvas!AX$2,'Fluxos de Recebimento'!$I$5:$BH$5, 0))+INDEX('Fluxos de Recebimento'!$I$65:$BH$116, MATCH(Curvas!$AB50, 'Fluxos de Recebimento'!$F$65:$F$116, 0), MATCH(Curvas!AX$2, 'Fluxos de Recebimento'!$I$63:$BH$63, 0)),0)*INDEX($E:$E, MATCH(AX$2, $B:$B, 0))</f>
        <v>0</v>
      </c>
      <c r="AY50" s="193">
        <f>IFERROR(INDEX('Fluxos de Recebimento'!$I$7:$BH$58, MATCH(Curvas!$AB50, 'Fluxos de Recebimento'!$F$7:$F$58, 0), MATCH(Curvas!AY$2,'Fluxos de Recebimento'!$I$5:$BH$5, 0))+INDEX('Fluxos de Recebimento'!$I$65:$BH$116, MATCH(Curvas!$AB50, 'Fluxos de Recebimento'!$F$65:$F$116, 0), MATCH(Curvas!AY$2, 'Fluxos de Recebimento'!$I$63:$BH$63, 0)),0)*INDEX($E:$E, MATCH(AY$2, $B:$B, 0))</f>
        <v>0</v>
      </c>
      <c r="AZ50" s="193">
        <f>IFERROR(INDEX('Fluxos de Recebimento'!$I$7:$BH$58, MATCH(Curvas!$AB50, 'Fluxos de Recebimento'!$F$7:$F$58, 0), MATCH(Curvas!AZ$2,'Fluxos de Recebimento'!$I$5:$BH$5, 0))+INDEX('Fluxos de Recebimento'!$I$65:$BH$116, MATCH(Curvas!$AB50, 'Fluxos de Recebimento'!$F$65:$F$116, 0), MATCH(Curvas!AZ$2, 'Fluxos de Recebimento'!$I$63:$BH$63, 0)),0)*INDEX($E:$E, MATCH(AZ$2, $B:$B, 0))</f>
        <v>0</v>
      </c>
      <c r="BA50" s="193">
        <f>IFERROR(INDEX('Fluxos de Recebimento'!$I$7:$BH$58, MATCH(Curvas!$AB50, 'Fluxos de Recebimento'!$F$7:$F$58, 0), MATCH(Curvas!BA$2,'Fluxos de Recebimento'!$I$5:$BH$5, 0))+INDEX('Fluxos de Recebimento'!$I$65:$BH$116, MATCH(Curvas!$AB50, 'Fluxos de Recebimento'!$F$65:$F$116, 0), MATCH(Curvas!BA$2, 'Fluxos de Recebimento'!$I$63:$BH$63, 0)),0)*INDEX($E:$E, MATCH(BA$2, $B:$B, 0))</f>
        <v>0</v>
      </c>
      <c r="BB50" s="193">
        <f>IFERROR(INDEX('Fluxos de Recebimento'!$I$7:$BH$58, MATCH(Curvas!$AB50, 'Fluxos de Recebimento'!$F$7:$F$58, 0), MATCH(Curvas!BB$2,'Fluxos de Recebimento'!$I$5:$BH$5, 0))+INDEX('Fluxos de Recebimento'!$I$65:$BH$116, MATCH(Curvas!$AB50, 'Fluxos de Recebimento'!$F$65:$F$116, 0), MATCH(Curvas!BB$2, 'Fluxos de Recebimento'!$I$63:$BH$63, 0)),0)*INDEX($E:$E, MATCH(BB$2, $B:$B, 0))</f>
        <v>0</v>
      </c>
      <c r="BC50" s="193">
        <f>IFERROR(INDEX('Fluxos de Recebimento'!$I$7:$BH$58, MATCH(Curvas!$AB50, 'Fluxos de Recebimento'!$F$7:$F$58, 0), MATCH(Curvas!BC$2,'Fluxos de Recebimento'!$I$5:$BH$5, 0))+INDEX('Fluxos de Recebimento'!$I$65:$BH$116, MATCH(Curvas!$AB50, 'Fluxos de Recebimento'!$F$65:$F$116, 0), MATCH(Curvas!BC$2, 'Fluxos de Recebimento'!$I$63:$BH$63, 0)),0)*INDEX($E:$E, MATCH(BC$2, $B:$B, 0))</f>
        <v>0</v>
      </c>
      <c r="BD50" s="193">
        <f>IFERROR(INDEX('Fluxos de Recebimento'!$I$7:$BH$58, MATCH(Curvas!$AB50, 'Fluxos de Recebimento'!$F$7:$F$58, 0), MATCH(Curvas!BD$2,'Fluxos de Recebimento'!$I$5:$BH$5, 0))+INDEX('Fluxos de Recebimento'!$I$65:$BH$116, MATCH(Curvas!$AB50, 'Fluxos de Recebimento'!$F$65:$F$116, 0), MATCH(Curvas!BD$2, 'Fluxos de Recebimento'!$I$63:$BH$63, 0)),0)*INDEX($E:$E, MATCH(BD$2, $B:$B, 0))</f>
        <v>0</v>
      </c>
      <c r="BE50" s="193">
        <f>IFERROR(INDEX('Fluxos de Recebimento'!$I$7:$BH$58, MATCH(Curvas!$AB50, 'Fluxos de Recebimento'!$F$7:$F$58, 0), MATCH(Curvas!BE$2,'Fluxos de Recebimento'!$I$5:$BH$5, 0))+INDEX('Fluxos de Recebimento'!$I$65:$BH$116, MATCH(Curvas!$AB50, 'Fluxos de Recebimento'!$F$65:$F$116, 0), MATCH(Curvas!BE$2, 'Fluxos de Recebimento'!$I$63:$BH$63, 0)),0)*INDEX($E:$E, MATCH(BE$2, $B:$B, 0))</f>
        <v>0</v>
      </c>
      <c r="BF50" s="193">
        <f>IFERROR(INDEX('Fluxos de Recebimento'!$I$7:$BH$58, MATCH(Curvas!$AB50, 'Fluxos de Recebimento'!$F$7:$F$58, 0), MATCH(Curvas!BF$2,'Fluxos de Recebimento'!$I$5:$BH$5, 0))+INDEX('Fluxos de Recebimento'!$I$65:$BH$116, MATCH(Curvas!$AB50, 'Fluxos de Recebimento'!$F$65:$F$116, 0), MATCH(Curvas!BF$2, 'Fluxos de Recebimento'!$I$63:$BH$63, 0)),0)*INDEX($E:$E, MATCH(BF$2, $B:$B, 0))</f>
        <v>0</v>
      </c>
      <c r="BG50" s="193">
        <f>IFERROR(INDEX('Fluxos de Recebimento'!$I$7:$BH$58, MATCH(Curvas!$AB50, 'Fluxos de Recebimento'!$F$7:$F$58, 0), MATCH(Curvas!BG$2,'Fluxos de Recebimento'!$I$5:$BH$5, 0))+INDEX('Fluxos de Recebimento'!$I$65:$BH$116, MATCH(Curvas!$AB50, 'Fluxos de Recebimento'!$F$65:$F$116, 0), MATCH(Curvas!BG$2, 'Fluxos de Recebimento'!$I$63:$BH$63, 0)),0)*INDEX($E:$E, MATCH(BG$2, $B:$B, 0))</f>
        <v>0</v>
      </c>
      <c r="BH50" s="193">
        <f>IFERROR(INDEX('Fluxos de Recebimento'!$I$7:$BH$58, MATCH(Curvas!$AB50, 'Fluxos de Recebimento'!$F$7:$F$58, 0), MATCH(Curvas!BH$2,'Fluxos de Recebimento'!$I$5:$BH$5, 0))+INDEX('Fluxos de Recebimento'!$I$65:$BH$116, MATCH(Curvas!$AB50, 'Fluxos de Recebimento'!$F$65:$F$116, 0), MATCH(Curvas!BH$2, 'Fluxos de Recebimento'!$I$63:$BH$63, 0)),0)*INDEX($E:$E, MATCH(BH$2, $B:$B, 0))</f>
        <v>0</v>
      </c>
      <c r="BI50" s="193">
        <f>IFERROR(INDEX('Fluxos de Recebimento'!$I$7:$BH$58, MATCH(Curvas!$AB50, 'Fluxos de Recebimento'!$F$7:$F$58, 0), MATCH(Curvas!BI$2,'Fluxos de Recebimento'!$I$5:$BH$5, 0))+INDEX('Fluxos de Recebimento'!$I$65:$BH$116, MATCH(Curvas!$AB50, 'Fluxos de Recebimento'!$F$65:$F$116, 0), MATCH(Curvas!BI$2, 'Fluxos de Recebimento'!$I$63:$BH$63, 0)),0)*INDEX($E:$E, MATCH(BI$2, $B:$B, 0))</f>
        <v>0</v>
      </c>
      <c r="BJ50" s="193">
        <f>IFERROR(INDEX('Fluxos de Recebimento'!$I$7:$BH$58, MATCH(Curvas!$AB50, 'Fluxos de Recebimento'!$F$7:$F$58, 0), MATCH(Curvas!BJ$2,'Fluxos de Recebimento'!$I$5:$BH$5, 0))+INDEX('Fluxos de Recebimento'!$I$65:$BH$116, MATCH(Curvas!$AB50, 'Fluxos de Recebimento'!$F$65:$F$116, 0), MATCH(Curvas!BJ$2, 'Fluxos de Recebimento'!$I$63:$BH$63, 0)),0)*INDEX($E:$E, MATCH(BJ$2, $B:$B, 0))</f>
        <v>0</v>
      </c>
      <c r="BK50" s="193">
        <f>IFERROR(INDEX('Fluxos de Recebimento'!$I$7:$BH$58, MATCH(Curvas!$AB50, 'Fluxos de Recebimento'!$F$7:$F$58, 0), MATCH(Curvas!BK$2,'Fluxos de Recebimento'!$I$5:$BH$5, 0))+INDEX('Fluxos de Recebimento'!$I$65:$BH$116, MATCH(Curvas!$AB50, 'Fluxos de Recebimento'!$F$65:$F$116, 0), MATCH(Curvas!BK$2, 'Fluxos de Recebimento'!$I$63:$BH$63, 0)),0)*INDEX($E:$E, MATCH(BK$2, $B:$B, 0))</f>
        <v>0</v>
      </c>
      <c r="BL50" s="193">
        <f>IFERROR(INDEX('Fluxos de Recebimento'!$I$7:$BH$58, MATCH(Curvas!$AB50, 'Fluxos de Recebimento'!$F$7:$F$58, 0), MATCH(Curvas!BL$2,'Fluxos de Recebimento'!$I$5:$BH$5, 0))+INDEX('Fluxos de Recebimento'!$I$65:$BH$116, MATCH(Curvas!$AB50, 'Fluxos de Recebimento'!$F$65:$F$116, 0), MATCH(Curvas!BL$2, 'Fluxos de Recebimento'!$I$63:$BH$63, 0)),0)*INDEX($E:$E, MATCH(BL$2, $B:$B, 0))</f>
        <v>0</v>
      </c>
      <c r="BM50" s="193">
        <f>IFERROR(INDEX('Fluxos de Recebimento'!$I$7:$BH$58, MATCH(Curvas!$AB50, 'Fluxos de Recebimento'!$F$7:$F$58, 0), MATCH(Curvas!BM$2,'Fluxos de Recebimento'!$I$5:$BH$5, 0))+INDEX('Fluxos de Recebimento'!$I$65:$BH$116, MATCH(Curvas!$AB50, 'Fluxos de Recebimento'!$F$65:$F$116, 0), MATCH(Curvas!BM$2, 'Fluxos de Recebimento'!$I$63:$BH$63, 0)),0)*INDEX($E:$E, MATCH(BM$2, $B:$B, 0))</f>
        <v>0</v>
      </c>
      <c r="BN50" s="193">
        <f>IFERROR(INDEX('Fluxos de Recebimento'!$I$7:$BH$58, MATCH(Curvas!$AB50, 'Fluxos de Recebimento'!$F$7:$F$58, 0), MATCH(Curvas!BN$2,'Fluxos de Recebimento'!$I$5:$BH$5, 0))+INDEX('Fluxos de Recebimento'!$I$65:$BH$116, MATCH(Curvas!$AB50, 'Fluxos de Recebimento'!$F$65:$F$116, 0), MATCH(Curvas!BN$2, 'Fluxos de Recebimento'!$I$63:$BH$63, 0)),0)*INDEX($E:$E, MATCH(BN$2, $B:$B, 0))</f>
        <v>0</v>
      </c>
      <c r="BO50" s="193">
        <f>IFERROR(INDEX('Fluxos de Recebimento'!$I$7:$BH$58, MATCH(Curvas!$AB50, 'Fluxos de Recebimento'!$F$7:$F$58, 0), MATCH(Curvas!BO$2,'Fluxos de Recebimento'!$I$5:$BH$5, 0))+INDEX('Fluxos de Recebimento'!$I$65:$BH$116, MATCH(Curvas!$AB50, 'Fluxos de Recebimento'!$F$65:$F$116, 0), MATCH(Curvas!BO$2, 'Fluxos de Recebimento'!$I$63:$BH$63, 0)),0)*INDEX($E:$E, MATCH(BO$2, $B:$B, 0))</f>
        <v>0</v>
      </c>
      <c r="BP50" s="193">
        <f>IFERROR(INDEX('Fluxos de Recebimento'!$I$7:$BH$58, MATCH(Curvas!$AB50, 'Fluxos de Recebimento'!$F$7:$F$58, 0), MATCH(Curvas!BP$2,'Fluxos de Recebimento'!$I$5:$BH$5, 0))+INDEX('Fluxos de Recebimento'!$I$65:$BH$116, MATCH(Curvas!$AB50, 'Fluxos de Recebimento'!$F$65:$F$116, 0), MATCH(Curvas!BP$2, 'Fluxos de Recebimento'!$I$63:$BH$63, 0)),0)*INDEX($E:$E, MATCH(BP$2, $B:$B, 0))</f>
        <v>0</v>
      </c>
      <c r="BQ50" s="193">
        <f>IFERROR(INDEX('Fluxos de Recebimento'!$I$7:$BH$58, MATCH(Curvas!$AB50, 'Fluxos de Recebimento'!$F$7:$F$58, 0), MATCH(Curvas!BQ$2,'Fluxos de Recebimento'!$I$5:$BH$5, 0))+INDEX('Fluxos de Recebimento'!$I$65:$BH$116, MATCH(Curvas!$AB50, 'Fluxos de Recebimento'!$F$65:$F$116, 0), MATCH(Curvas!BQ$2, 'Fluxos de Recebimento'!$I$63:$BH$63, 0)),0)*INDEX($E:$E, MATCH(BQ$2, $B:$B, 0))</f>
        <v>0</v>
      </c>
      <c r="BR50" s="193">
        <f>IFERROR(INDEX('Fluxos de Recebimento'!$I$7:$BH$58, MATCH(Curvas!$AB50, 'Fluxos de Recebimento'!$F$7:$F$58, 0), MATCH(Curvas!BR$2,'Fluxos de Recebimento'!$I$5:$BH$5, 0))+INDEX('Fluxos de Recebimento'!$I$65:$BH$116, MATCH(Curvas!$AB50, 'Fluxos de Recebimento'!$F$65:$F$116, 0), MATCH(Curvas!BR$2, 'Fluxos de Recebimento'!$I$63:$BH$63, 0)),0)*INDEX($E:$E, MATCH(BR$2, $B:$B, 0))</f>
        <v>0</v>
      </c>
      <c r="BS50" s="193">
        <f>IFERROR(INDEX('Fluxos de Recebimento'!$I$7:$BH$58, MATCH(Curvas!$AB50, 'Fluxos de Recebimento'!$F$7:$F$58, 0), MATCH(Curvas!BS$2,'Fluxos de Recebimento'!$I$5:$BH$5, 0))+INDEX('Fluxos de Recebimento'!$I$65:$BH$116, MATCH(Curvas!$AB50, 'Fluxos de Recebimento'!$F$65:$F$116, 0), MATCH(Curvas!BS$2, 'Fluxos de Recebimento'!$I$63:$BH$63, 0)),0)*INDEX($E:$E, MATCH(BS$2, $B:$B, 0))</f>
        <v>0</v>
      </c>
      <c r="BT50" s="193">
        <f>IFERROR(INDEX('Fluxos de Recebimento'!$I$7:$BH$58, MATCH(Curvas!$AB50, 'Fluxos de Recebimento'!$F$7:$F$58, 0), MATCH(Curvas!BT$2,'Fluxos de Recebimento'!$I$5:$BH$5, 0))+INDEX('Fluxos de Recebimento'!$I$65:$BH$116, MATCH(Curvas!$AB50, 'Fluxos de Recebimento'!$F$65:$F$116, 0), MATCH(Curvas!BT$2, 'Fluxos de Recebimento'!$I$63:$BH$63, 0)),0)*INDEX($E:$E, MATCH(BT$2, $B:$B, 0))</f>
        <v>0</v>
      </c>
      <c r="BU50" s="193">
        <f>IFERROR(INDEX('Fluxos de Recebimento'!$I$7:$BH$58, MATCH(Curvas!$AB50, 'Fluxos de Recebimento'!$F$7:$F$58, 0), MATCH(Curvas!BU$2,'Fluxos de Recebimento'!$I$5:$BH$5, 0))+INDEX('Fluxos de Recebimento'!$I$65:$BH$116, MATCH(Curvas!$AB50, 'Fluxos de Recebimento'!$F$65:$F$116, 0), MATCH(Curvas!BU$2, 'Fluxos de Recebimento'!$I$63:$BH$63, 0)),0)*INDEX($E:$E, MATCH(BU$2, $B:$B, 0))</f>
        <v>0</v>
      </c>
      <c r="BV50" s="193">
        <f>IFERROR(INDEX('Fluxos de Recebimento'!$I$7:$BH$58, MATCH(Curvas!$AB50, 'Fluxos de Recebimento'!$F$7:$F$58, 0), MATCH(Curvas!BV$2,'Fluxos de Recebimento'!$I$5:$BH$5, 0))+INDEX('Fluxos de Recebimento'!$I$65:$BH$116, MATCH(Curvas!$AB50, 'Fluxos de Recebimento'!$F$65:$F$116, 0), MATCH(Curvas!BV$2, 'Fluxos de Recebimento'!$I$63:$BH$63, 0)),0)*INDEX($E:$E, MATCH(BV$2, $B:$B, 0))</f>
        <v>0</v>
      </c>
      <c r="BW50" s="193">
        <f>IFERROR(INDEX('Fluxos de Recebimento'!$I$7:$BH$58, MATCH(Curvas!$AB50, 'Fluxos de Recebimento'!$F$7:$F$58, 0), MATCH(Curvas!BW$2,'Fluxos de Recebimento'!$I$5:$BH$5, 0))+INDEX('Fluxos de Recebimento'!$I$65:$BH$116, MATCH(Curvas!$AB50, 'Fluxos de Recebimento'!$F$65:$F$116, 0), MATCH(Curvas!BW$2, 'Fluxos de Recebimento'!$I$63:$BH$63, 0)),0)*INDEX($E:$E, MATCH(BW$2, $B:$B, 0))</f>
        <v>0</v>
      </c>
      <c r="BX50" s="193">
        <f>IFERROR(INDEX('Fluxos de Recebimento'!$I$7:$BH$58, MATCH(Curvas!$AB50, 'Fluxos de Recebimento'!$F$7:$F$58, 0), MATCH(Curvas!BX$2,'Fluxos de Recebimento'!$I$5:$BH$5, 0))+INDEX('Fluxos de Recebimento'!$I$65:$BH$116, MATCH(Curvas!$AB50, 'Fluxos de Recebimento'!$F$65:$F$116, 0), MATCH(Curvas!BX$2, 'Fluxos de Recebimento'!$I$63:$BH$63, 0)),0)*INDEX($E:$E, MATCH(BX$2, $B:$B, 0))</f>
        <v>0</v>
      </c>
      <c r="BY50" s="193">
        <f>IFERROR(INDEX('Fluxos de Recebimento'!$I$7:$BH$58, MATCH(Curvas!$AB50, 'Fluxos de Recebimento'!$F$7:$F$58, 0), MATCH(Curvas!BY$2,'Fluxos de Recebimento'!$I$5:$BH$5, 0))+INDEX('Fluxos de Recebimento'!$I$65:$BH$116, MATCH(Curvas!$AB50, 'Fluxos de Recebimento'!$F$65:$F$116, 0), MATCH(Curvas!BY$2, 'Fluxos de Recebimento'!$I$63:$BH$63, 0)),0)*INDEX($E:$E, MATCH(BY$2, $B:$B, 0))</f>
        <v>0</v>
      </c>
      <c r="BZ50" s="193">
        <f>IFERROR(INDEX('Fluxos de Recebimento'!$I$7:$BH$58, MATCH(Curvas!$AB50, 'Fluxos de Recebimento'!$F$7:$F$58, 0), MATCH(Curvas!BZ$2,'Fluxos de Recebimento'!$I$5:$BH$5, 0))+INDEX('Fluxos de Recebimento'!$I$65:$BH$116, MATCH(Curvas!$AB50, 'Fluxos de Recebimento'!$F$65:$F$116, 0), MATCH(Curvas!BZ$2, 'Fluxos de Recebimento'!$I$63:$BH$63, 0)),0)*INDEX($E:$E, MATCH(BZ$2, $B:$B, 0))</f>
        <v>0</v>
      </c>
      <c r="CA50" s="193">
        <f>IFERROR(INDEX('Fluxos de Recebimento'!$I$7:$BH$58, MATCH(Curvas!$AB50, 'Fluxos de Recebimento'!$F$7:$F$58, 0), MATCH(Curvas!CA$2,'Fluxos de Recebimento'!$I$5:$BH$5, 0))+INDEX('Fluxos de Recebimento'!$I$65:$BH$116, MATCH(Curvas!$AB50, 'Fluxos de Recebimento'!$F$65:$F$116, 0), MATCH(Curvas!CA$2, 'Fluxos de Recebimento'!$I$63:$BH$63, 0)),0)*INDEX($E:$E, MATCH(CA$2, $B:$B, 0))</f>
        <v>0</v>
      </c>
      <c r="CB50" s="193">
        <f>IFERROR(INDEX('Fluxos de Recebimento'!$I$7:$BH$58, MATCH(Curvas!$AB50, 'Fluxos de Recebimento'!$F$7:$F$58, 0), MATCH(Curvas!CB$2,'Fluxos de Recebimento'!$I$5:$BH$5, 0))+INDEX('Fluxos de Recebimento'!$I$65:$BH$116, MATCH(Curvas!$AB50, 'Fluxos de Recebimento'!$F$65:$F$116, 0), MATCH(Curvas!CB$2, 'Fluxos de Recebimento'!$I$63:$BH$63, 0)),0)*INDEX($E:$E, MATCH(CB$2, $B:$B, 0))</f>
        <v>0</v>
      </c>
      <c r="CC50" s="193">
        <f>IFERROR(INDEX('Fluxos de Recebimento'!$I$7:$BH$58, MATCH(Curvas!$AB50, 'Fluxos de Recebimento'!$F$7:$F$58, 0), MATCH(Curvas!CC$2,'Fluxos de Recebimento'!$I$5:$BH$5, 0))+INDEX('Fluxos de Recebimento'!$I$65:$BH$116, MATCH(Curvas!$AB50, 'Fluxos de Recebimento'!$F$65:$F$116, 0), MATCH(Curvas!CC$2, 'Fluxos de Recebimento'!$I$63:$BH$63, 0)),0)*INDEX($E:$E, MATCH(CC$2, $B:$B, 0))</f>
        <v>0</v>
      </c>
    </row>
    <row r="51" spans="1:81" x14ac:dyDescent="0.25">
      <c r="A51" s="2"/>
      <c r="B51" s="477">
        <f t="shared" si="34"/>
        <v>45597</v>
      </c>
      <c r="C51" s="52">
        <f t="shared" si="35"/>
        <v>48</v>
      </c>
      <c r="D51" s="2"/>
      <c r="E51" s="187">
        <f t="shared" si="22"/>
        <v>0</v>
      </c>
      <c r="F51" s="48">
        <f t="shared" si="36"/>
        <v>0.99999999999999978</v>
      </c>
      <c r="G51" s="46">
        <f t="shared" ca="1" si="23"/>
        <v>0</v>
      </c>
      <c r="H51" s="48">
        <f t="shared" ca="1" si="37"/>
        <v>0.99999999999999989</v>
      </c>
      <c r="I51" s="2"/>
      <c r="J51" s="69">
        <f t="shared" ca="1" si="24"/>
        <v>0</v>
      </c>
      <c r="K51" s="479">
        <f t="shared" ca="1" si="25"/>
        <v>0</v>
      </c>
      <c r="L51" s="70">
        <f t="shared" ca="1" si="26"/>
        <v>0</v>
      </c>
      <c r="M51" s="2"/>
      <c r="N51" s="69">
        <f t="shared" si="27"/>
        <v>1</v>
      </c>
      <c r="O51" s="479">
        <f t="shared" si="28"/>
        <v>0</v>
      </c>
      <c r="P51" s="70">
        <f t="shared" si="29"/>
        <v>1</v>
      </c>
      <c r="Q51" s="2"/>
      <c r="R51" s="71">
        <f t="shared" ca="1" si="30"/>
        <v>1</v>
      </c>
      <c r="S51" s="196"/>
      <c r="T51" s="46">
        <v>0</v>
      </c>
      <c r="U51" s="48">
        <f t="shared" si="38"/>
        <v>0.99999999999999978</v>
      </c>
      <c r="V51" s="2"/>
      <c r="W51" s="56"/>
      <c r="X51" s="48"/>
      <c r="Y51" s="2"/>
      <c r="Z51" s="194">
        <f t="shared" si="31"/>
        <v>0</v>
      </c>
      <c r="AA51" s="2"/>
      <c r="AB51" s="477">
        <f t="shared" si="32"/>
        <v>45597</v>
      </c>
      <c r="AC51" s="52">
        <f t="shared" si="33"/>
        <v>48</v>
      </c>
      <c r="AD51" s="193">
        <f>IFERROR(INDEX('Fluxos de Recebimento'!$I$7:$BH$58, MATCH(Curvas!$AB51, 'Fluxos de Recebimento'!$F$7:$F$58, 0), MATCH(Curvas!AD$2,'Fluxos de Recebimento'!$I$5:$BH$5, 0))+INDEX('Fluxos de Recebimento'!$I$65:$BH$116, MATCH(Curvas!$AB51, 'Fluxos de Recebimento'!$F$65:$F$116, 0), MATCH(Curvas!AD$2, 'Fluxos de Recebimento'!$I$63:$BH$63, 0)),0)*INDEX($E:$E, MATCH(AD$2, $B:$B, 0))</f>
        <v>0</v>
      </c>
      <c r="AE51" s="193">
        <f>IFERROR(INDEX('Fluxos de Recebimento'!$I$7:$BH$58, MATCH(Curvas!$AB51, 'Fluxos de Recebimento'!$F$7:$F$58, 0), MATCH(Curvas!AE$2,'Fluxos de Recebimento'!$I$5:$BH$5, 0))+INDEX('Fluxos de Recebimento'!$I$65:$BH$116, MATCH(Curvas!$AB51, 'Fluxos de Recebimento'!$F$65:$F$116, 0), MATCH(Curvas!AE$2, 'Fluxos de Recebimento'!$I$63:$BH$63, 0)),0)*INDEX($E:$E, MATCH(AE$2, $B:$B, 0))</f>
        <v>0</v>
      </c>
      <c r="AF51" s="193">
        <f>IFERROR(INDEX('Fluxos de Recebimento'!$I$7:$BH$58, MATCH(Curvas!$AB51, 'Fluxos de Recebimento'!$F$7:$F$58, 0), MATCH(Curvas!AF$2,'Fluxos de Recebimento'!$I$5:$BH$5, 0))+INDEX('Fluxos de Recebimento'!$I$65:$BH$116, MATCH(Curvas!$AB51, 'Fluxos de Recebimento'!$F$65:$F$116, 0), MATCH(Curvas!AF$2, 'Fluxos de Recebimento'!$I$63:$BH$63, 0)),0)*INDEX($E:$E, MATCH(AF$2, $B:$B, 0))</f>
        <v>0</v>
      </c>
      <c r="AG51" s="193">
        <f>IFERROR(INDEX('Fluxos de Recebimento'!$I$7:$BH$58, MATCH(Curvas!$AB51, 'Fluxos de Recebimento'!$F$7:$F$58, 0), MATCH(Curvas!AG$2,'Fluxos de Recebimento'!$I$5:$BH$5, 0))+INDEX('Fluxos de Recebimento'!$I$65:$BH$116, MATCH(Curvas!$AB51, 'Fluxos de Recebimento'!$F$65:$F$116, 0), MATCH(Curvas!AG$2, 'Fluxos de Recebimento'!$I$63:$BH$63, 0)),0)*INDEX($E:$E, MATCH(AG$2, $B:$B, 0))</f>
        <v>0</v>
      </c>
      <c r="AH51" s="193">
        <f>IFERROR(INDEX('Fluxos de Recebimento'!$I$7:$BH$58, MATCH(Curvas!$AB51, 'Fluxos de Recebimento'!$F$7:$F$58, 0), MATCH(Curvas!AH$2,'Fluxos de Recebimento'!$I$5:$BH$5, 0))+INDEX('Fluxos de Recebimento'!$I$65:$BH$116, MATCH(Curvas!$AB51, 'Fluxos de Recebimento'!$F$65:$F$116, 0), MATCH(Curvas!AH$2, 'Fluxos de Recebimento'!$I$63:$BH$63, 0)),0)*INDEX($E:$E, MATCH(AH$2, $B:$B, 0))</f>
        <v>0</v>
      </c>
      <c r="AI51" s="193">
        <f>IFERROR(INDEX('Fluxos de Recebimento'!$I$7:$BH$58, MATCH(Curvas!$AB51, 'Fluxos de Recebimento'!$F$7:$F$58, 0), MATCH(Curvas!AI$2,'Fluxos de Recebimento'!$I$5:$BH$5, 0))+INDEX('Fluxos de Recebimento'!$I$65:$BH$116, MATCH(Curvas!$AB51, 'Fluxos de Recebimento'!$F$65:$F$116, 0), MATCH(Curvas!AI$2, 'Fluxos de Recebimento'!$I$63:$BH$63, 0)),0)*INDEX($E:$E, MATCH(AI$2, $B:$B, 0))</f>
        <v>0</v>
      </c>
      <c r="AJ51" s="193">
        <f>IFERROR(INDEX('Fluxos de Recebimento'!$I$7:$BH$58, MATCH(Curvas!$AB51, 'Fluxos de Recebimento'!$F$7:$F$58, 0), MATCH(Curvas!AJ$2,'Fluxos de Recebimento'!$I$5:$BH$5, 0))+INDEX('Fluxos de Recebimento'!$I$65:$BH$116, MATCH(Curvas!$AB51, 'Fluxos de Recebimento'!$F$65:$F$116, 0), MATCH(Curvas!AJ$2, 'Fluxos de Recebimento'!$I$63:$BH$63, 0)),0)*INDEX($E:$E, MATCH(AJ$2, $B:$B, 0))</f>
        <v>0</v>
      </c>
      <c r="AK51" s="193">
        <f>IFERROR(INDEX('Fluxos de Recebimento'!$I$7:$BH$58, MATCH(Curvas!$AB51, 'Fluxos de Recebimento'!$F$7:$F$58, 0), MATCH(Curvas!AK$2,'Fluxos de Recebimento'!$I$5:$BH$5, 0))+INDEX('Fluxos de Recebimento'!$I$65:$BH$116, MATCH(Curvas!$AB51, 'Fluxos de Recebimento'!$F$65:$F$116, 0), MATCH(Curvas!AK$2, 'Fluxos de Recebimento'!$I$63:$BH$63, 0)),0)*INDEX($E:$E, MATCH(AK$2, $B:$B, 0))</f>
        <v>0</v>
      </c>
      <c r="AL51" s="193">
        <f>IFERROR(INDEX('Fluxos de Recebimento'!$I$7:$BH$58, MATCH(Curvas!$AB51, 'Fluxos de Recebimento'!$F$7:$F$58, 0), MATCH(Curvas!AL$2,'Fluxos de Recebimento'!$I$5:$BH$5, 0))+INDEX('Fluxos de Recebimento'!$I$65:$BH$116, MATCH(Curvas!$AB51, 'Fluxos de Recebimento'!$F$65:$F$116, 0), MATCH(Curvas!AL$2, 'Fluxos de Recebimento'!$I$63:$BH$63, 0)),0)*INDEX($E:$E, MATCH(AL$2, $B:$B, 0))</f>
        <v>0</v>
      </c>
      <c r="AM51" s="193">
        <f>IFERROR(INDEX('Fluxos de Recebimento'!$I$7:$BH$58, MATCH(Curvas!$AB51, 'Fluxos de Recebimento'!$F$7:$F$58, 0), MATCH(Curvas!AM$2,'Fluxos de Recebimento'!$I$5:$BH$5, 0))+INDEX('Fluxos de Recebimento'!$I$65:$BH$116, MATCH(Curvas!$AB51, 'Fluxos de Recebimento'!$F$65:$F$116, 0), MATCH(Curvas!AM$2, 'Fluxos de Recebimento'!$I$63:$BH$63, 0)),0)*INDEX($E:$E, MATCH(AM$2, $B:$B, 0))</f>
        <v>0</v>
      </c>
      <c r="AN51" s="193">
        <f>IFERROR(INDEX('Fluxos de Recebimento'!$I$7:$BH$58, MATCH(Curvas!$AB51, 'Fluxos de Recebimento'!$F$7:$F$58, 0), MATCH(Curvas!AN$2,'Fluxos de Recebimento'!$I$5:$BH$5, 0))+INDEX('Fluxos de Recebimento'!$I$65:$BH$116, MATCH(Curvas!$AB51, 'Fluxos de Recebimento'!$F$65:$F$116, 0), MATCH(Curvas!AN$2, 'Fluxos de Recebimento'!$I$63:$BH$63, 0)),0)*INDEX($E:$E, MATCH(AN$2, $B:$B, 0))</f>
        <v>0</v>
      </c>
      <c r="AO51" s="193">
        <f>IFERROR(INDEX('Fluxos de Recebimento'!$I$7:$BH$58, MATCH(Curvas!$AB51, 'Fluxos de Recebimento'!$F$7:$F$58, 0), MATCH(Curvas!AO$2,'Fluxos de Recebimento'!$I$5:$BH$5, 0))+INDEX('Fluxos de Recebimento'!$I$65:$BH$116, MATCH(Curvas!$AB51, 'Fluxos de Recebimento'!$F$65:$F$116, 0), MATCH(Curvas!AO$2, 'Fluxos de Recebimento'!$I$63:$BH$63, 0)),0)*INDEX($E:$E, MATCH(AO$2, $B:$B, 0))</f>
        <v>0</v>
      </c>
      <c r="AP51" s="193">
        <f>IFERROR(INDEX('Fluxos de Recebimento'!$I$7:$BH$58, MATCH(Curvas!$AB51, 'Fluxos de Recebimento'!$F$7:$F$58, 0), MATCH(Curvas!AP$2,'Fluxos de Recebimento'!$I$5:$BH$5, 0))+INDEX('Fluxos de Recebimento'!$I$65:$BH$116, MATCH(Curvas!$AB51, 'Fluxos de Recebimento'!$F$65:$F$116, 0), MATCH(Curvas!AP$2, 'Fluxos de Recebimento'!$I$63:$BH$63, 0)),0)*INDEX($E:$E, MATCH(AP$2, $B:$B, 0))</f>
        <v>0</v>
      </c>
      <c r="AQ51" s="193">
        <f>IFERROR(INDEX('Fluxos de Recebimento'!$I$7:$BH$58, MATCH(Curvas!$AB51, 'Fluxos de Recebimento'!$F$7:$F$58, 0), MATCH(Curvas!AQ$2,'Fluxos de Recebimento'!$I$5:$BH$5, 0))+INDEX('Fluxos de Recebimento'!$I$65:$BH$116, MATCH(Curvas!$AB51, 'Fluxos de Recebimento'!$F$65:$F$116, 0), MATCH(Curvas!AQ$2, 'Fluxos de Recebimento'!$I$63:$BH$63, 0)),0)*INDEX($E:$E, MATCH(AQ$2, $B:$B, 0))</f>
        <v>0</v>
      </c>
      <c r="AR51" s="193">
        <f>IFERROR(INDEX('Fluxos de Recebimento'!$I$7:$BH$58, MATCH(Curvas!$AB51, 'Fluxos de Recebimento'!$F$7:$F$58, 0), MATCH(Curvas!AR$2,'Fluxos de Recebimento'!$I$5:$BH$5, 0))+INDEX('Fluxos de Recebimento'!$I$65:$BH$116, MATCH(Curvas!$AB51, 'Fluxos de Recebimento'!$F$65:$F$116, 0), MATCH(Curvas!AR$2, 'Fluxos de Recebimento'!$I$63:$BH$63, 0)),0)*INDEX($E:$E, MATCH(AR$2, $B:$B, 0))</f>
        <v>0</v>
      </c>
      <c r="AS51" s="193">
        <f>IFERROR(INDEX('Fluxos de Recebimento'!$I$7:$BH$58, MATCH(Curvas!$AB51, 'Fluxos de Recebimento'!$F$7:$F$58, 0), MATCH(Curvas!AS$2,'Fluxos de Recebimento'!$I$5:$BH$5, 0))+INDEX('Fluxos de Recebimento'!$I$65:$BH$116, MATCH(Curvas!$AB51, 'Fluxos de Recebimento'!$F$65:$F$116, 0), MATCH(Curvas!AS$2, 'Fluxos de Recebimento'!$I$63:$BH$63, 0)),0)*INDEX($E:$E, MATCH(AS$2, $B:$B, 0))</f>
        <v>0</v>
      </c>
      <c r="AT51" s="193">
        <f>IFERROR(INDEX('Fluxos de Recebimento'!$I$7:$BH$58, MATCH(Curvas!$AB51, 'Fluxos de Recebimento'!$F$7:$F$58, 0), MATCH(Curvas!AT$2,'Fluxos de Recebimento'!$I$5:$BH$5, 0))+INDEX('Fluxos de Recebimento'!$I$65:$BH$116, MATCH(Curvas!$AB51, 'Fluxos de Recebimento'!$F$65:$F$116, 0), MATCH(Curvas!AT$2, 'Fluxos de Recebimento'!$I$63:$BH$63, 0)),0)*INDEX($E:$E, MATCH(AT$2, $B:$B, 0))</f>
        <v>0</v>
      </c>
      <c r="AU51" s="193">
        <f>IFERROR(INDEX('Fluxos de Recebimento'!$I$7:$BH$58, MATCH(Curvas!$AB51, 'Fluxos de Recebimento'!$F$7:$F$58, 0), MATCH(Curvas!AU$2,'Fluxos de Recebimento'!$I$5:$BH$5, 0))+INDEX('Fluxos de Recebimento'!$I$65:$BH$116, MATCH(Curvas!$AB51, 'Fluxos de Recebimento'!$F$65:$F$116, 0), MATCH(Curvas!AU$2, 'Fluxos de Recebimento'!$I$63:$BH$63, 0)),0)*INDEX($E:$E, MATCH(AU$2, $B:$B, 0))</f>
        <v>0</v>
      </c>
      <c r="AV51" s="193">
        <f>IFERROR(INDEX('Fluxos de Recebimento'!$I$7:$BH$58, MATCH(Curvas!$AB51, 'Fluxos de Recebimento'!$F$7:$F$58, 0), MATCH(Curvas!AV$2,'Fluxos de Recebimento'!$I$5:$BH$5, 0))+INDEX('Fluxos de Recebimento'!$I$65:$BH$116, MATCH(Curvas!$AB51, 'Fluxos de Recebimento'!$F$65:$F$116, 0), MATCH(Curvas!AV$2, 'Fluxos de Recebimento'!$I$63:$BH$63, 0)),0)*INDEX($E:$E, MATCH(AV$2, $B:$B, 0))</f>
        <v>0</v>
      </c>
      <c r="AW51" s="193">
        <f>IFERROR(INDEX('Fluxos de Recebimento'!$I$7:$BH$58, MATCH(Curvas!$AB51, 'Fluxos de Recebimento'!$F$7:$F$58, 0), MATCH(Curvas!AW$2,'Fluxos de Recebimento'!$I$5:$BH$5, 0))+INDEX('Fluxos de Recebimento'!$I$65:$BH$116, MATCH(Curvas!$AB51, 'Fluxos de Recebimento'!$F$65:$F$116, 0), MATCH(Curvas!AW$2, 'Fluxos de Recebimento'!$I$63:$BH$63, 0)),0)*INDEX($E:$E, MATCH(AW$2, $B:$B, 0))</f>
        <v>0</v>
      </c>
      <c r="AX51" s="193">
        <f>IFERROR(INDEX('Fluxos de Recebimento'!$I$7:$BH$58, MATCH(Curvas!$AB51, 'Fluxos de Recebimento'!$F$7:$F$58, 0), MATCH(Curvas!AX$2,'Fluxos de Recebimento'!$I$5:$BH$5, 0))+INDEX('Fluxos de Recebimento'!$I$65:$BH$116, MATCH(Curvas!$AB51, 'Fluxos de Recebimento'!$F$65:$F$116, 0), MATCH(Curvas!AX$2, 'Fluxos de Recebimento'!$I$63:$BH$63, 0)),0)*INDEX($E:$E, MATCH(AX$2, $B:$B, 0))</f>
        <v>0</v>
      </c>
      <c r="AY51" s="193">
        <f>IFERROR(INDEX('Fluxos de Recebimento'!$I$7:$BH$58, MATCH(Curvas!$AB51, 'Fluxos de Recebimento'!$F$7:$F$58, 0), MATCH(Curvas!AY$2,'Fluxos de Recebimento'!$I$5:$BH$5, 0))+INDEX('Fluxos de Recebimento'!$I$65:$BH$116, MATCH(Curvas!$AB51, 'Fluxos de Recebimento'!$F$65:$F$116, 0), MATCH(Curvas!AY$2, 'Fluxos de Recebimento'!$I$63:$BH$63, 0)),0)*INDEX($E:$E, MATCH(AY$2, $B:$B, 0))</f>
        <v>0</v>
      </c>
      <c r="AZ51" s="193">
        <f>IFERROR(INDEX('Fluxos de Recebimento'!$I$7:$BH$58, MATCH(Curvas!$AB51, 'Fluxos de Recebimento'!$F$7:$F$58, 0), MATCH(Curvas!AZ$2,'Fluxos de Recebimento'!$I$5:$BH$5, 0))+INDEX('Fluxos de Recebimento'!$I$65:$BH$116, MATCH(Curvas!$AB51, 'Fluxos de Recebimento'!$F$65:$F$116, 0), MATCH(Curvas!AZ$2, 'Fluxos de Recebimento'!$I$63:$BH$63, 0)),0)*INDEX($E:$E, MATCH(AZ$2, $B:$B, 0))</f>
        <v>0</v>
      </c>
      <c r="BA51" s="193">
        <f>IFERROR(INDEX('Fluxos de Recebimento'!$I$7:$BH$58, MATCH(Curvas!$AB51, 'Fluxos de Recebimento'!$F$7:$F$58, 0), MATCH(Curvas!BA$2,'Fluxos de Recebimento'!$I$5:$BH$5, 0))+INDEX('Fluxos de Recebimento'!$I$65:$BH$116, MATCH(Curvas!$AB51, 'Fluxos de Recebimento'!$F$65:$F$116, 0), MATCH(Curvas!BA$2, 'Fluxos de Recebimento'!$I$63:$BH$63, 0)),0)*INDEX($E:$E, MATCH(BA$2, $B:$B, 0))</f>
        <v>0</v>
      </c>
      <c r="BB51" s="193">
        <f>IFERROR(INDEX('Fluxos de Recebimento'!$I$7:$BH$58, MATCH(Curvas!$AB51, 'Fluxos de Recebimento'!$F$7:$F$58, 0), MATCH(Curvas!BB$2,'Fluxos de Recebimento'!$I$5:$BH$5, 0))+INDEX('Fluxos de Recebimento'!$I$65:$BH$116, MATCH(Curvas!$AB51, 'Fluxos de Recebimento'!$F$65:$F$116, 0), MATCH(Curvas!BB$2, 'Fluxos de Recebimento'!$I$63:$BH$63, 0)),0)*INDEX($E:$E, MATCH(BB$2, $B:$B, 0))</f>
        <v>0</v>
      </c>
      <c r="BC51" s="193">
        <f>IFERROR(INDEX('Fluxos de Recebimento'!$I$7:$BH$58, MATCH(Curvas!$AB51, 'Fluxos de Recebimento'!$F$7:$F$58, 0), MATCH(Curvas!BC$2,'Fluxos de Recebimento'!$I$5:$BH$5, 0))+INDEX('Fluxos de Recebimento'!$I$65:$BH$116, MATCH(Curvas!$AB51, 'Fluxos de Recebimento'!$F$65:$F$116, 0), MATCH(Curvas!BC$2, 'Fluxos de Recebimento'!$I$63:$BH$63, 0)),0)*INDEX($E:$E, MATCH(BC$2, $B:$B, 0))</f>
        <v>0</v>
      </c>
      <c r="BD51" s="193">
        <f>IFERROR(INDEX('Fluxos de Recebimento'!$I$7:$BH$58, MATCH(Curvas!$AB51, 'Fluxos de Recebimento'!$F$7:$F$58, 0), MATCH(Curvas!BD$2,'Fluxos de Recebimento'!$I$5:$BH$5, 0))+INDEX('Fluxos de Recebimento'!$I$65:$BH$116, MATCH(Curvas!$AB51, 'Fluxos de Recebimento'!$F$65:$F$116, 0), MATCH(Curvas!BD$2, 'Fluxos de Recebimento'!$I$63:$BH$63, 0)),0)*INDEX($E:$E, MATCH(BD$2, $B:$B, 0))</f>
        <v>0</v>
      </c>
      <c r="BE51" s="193">
        <f>IFERROR(INDEX('Fluxos de Recebimento'!$I$7:$BH$58, MATCH(Curvas!$AB51, 'Fluxos de Recebimento'!$F$7:$F$58, 0), MATCH(Curvas!BE$2,'Fluxos de Recebimento'!$I$5:$BH$5, 0))+INDEX('Fluxos de Recebimento'!$I$65:$BH$116, MATCH(Curvas!$AB51, 'Fluxos de Recebimento'!$F$65:$F$116, 0), MATCH(Curvas!BE$2, 'Fluxos de Recebimento'!$I$63:$BH$63, 0)),0)*INDEX($E:$E, MATCH(BE$2, $B:$B, 0))</f>
        <v>0</v>
      </c>
      <c r="BF51" s="193">
        <f>IFERROR(INDEX('Fluxos de Recebimento'!$I$7:$BH$58, MATCH(Curvas!$AB51, 'Fluxos de Recebimento'!$F$7:$F$58, 0), MATCH(Curvas!BF$2,'Fluxos de Recebimento'!$I$5:$BH$5, 0))+INDEX('Fluxos de Recebimento'!$I$65:$BH$116, MATCH(Curvas!$AB51, 'Fluxos de Recebimento'!$F$65:$F$116, 0), MATCH(Curvas!BF$2, 'Fluxos de Recebimento'!$I$63:$BH$63, 0)),0)*INDEX($E:$E, MATCH(BF$2, $B:$B, 0))</f>
        <v>0</v>
      </c>
      <c r="BG51" s="193">
        <f>IFERROR(INDEX('Fluxos de Recebimento'!$I$7:$BH$58, MATCH(Curvas!$AB51, 'Fluxos de Recebimento'!$F$7:$F$58, 0), MATCH(Curvas!BG$2,'Fluxos de Recebimento'!$I$5:$BH$5, 0))+INDEX('Fluxos de Recebimento'!$I$65:$BH$116, MATCH(Curvas!$AB51, 'Fluxos de Recebimento'!$F$65:$F$116, 0), MATCH(Curvas!BG$2, 'Fluxos de Recebimento'!$I$63:$BH$63, 0)),0)*INDEX($E:$E, MATCH(BG$2, $B:$B, 0))</f>
        <v>0</v>
      </c>
      <c r="BH51" s="193">
        <f>IFERROR(INDEX('Fluxos de Recebimento'!$I$7:$BH$58, MATCH(Curvas!$AB51, 'Fluxos de Recebimento'!$F$7:$F$58, 0), MATCH(Curvas!BH$2,'Fluxos de Recebimento'!$I$5:$BH$5, 0))+INDEX('Fluxos de Recebimento'!$I$65:$BH$116, MATCH(Curvas!$AB51, 'Fluxos de Recebimento'!$F$65:$F$116, 0), MATCH(Curvas!BH$2, 'Fluxos de Recebimento'!$I$63:$BH$63, 0)),0)*INDEX($E:$E, MATCH(BH$2, $B:$B, 0))</f>
        <v>0</v>
      </c>
      <c r="BI51" s="193">
        <f>IFERROR(INDEX('Fluxos de Recebimento'!$I$7:$BH$58, MATCH(Curvas!$AB51, 'Fluxos de Recebimento'!$F$7:$F$58, 0), MATCH(Curvas!BI$2,'Fluxos de Recebimento'!$I$5:$BH$5, 0))+INDEX('Fluxos de Recebimento'!$I$65:$BH$116, MATCH(Curvas!$AB51, 'Fluxos de Recebimento'!$F$65:$F$116, 0), MATCH(Curvas!BI$2, 'Fluxos de Recebimento'!$I$63:$BH$63, 0)),0)*INDEX($E:$E, MATCH(BI$2, $B:$B, 0))</f>
        <v>0</v>
      </c>
      <c r="BJ51" s="193">
        <f>IFERROR(INDEX('Fluxos de Recebimento'!$I$7:$BH$58, MATCH(Curvas!$AB51, 'Fluxos de Recebimento'!$F$7:$F$58, 0), MATCH(Curvas!BJ$2,'Fluxos de Recebimento'!$I$5:$BH$5, 0))+INDEX('Fluxos de Recebimento'!$I$65:$BH$116, MATCH(Curvas!$AB51, 'Fluxos de Recebimento'!$F$65:$F$116, 0), MATCH(Curvas!BJ$2, 'Fluxos de Recebimento'!$I$63:$BH$63, 0)),0)*INDEX($E:$E, MATCH(BJ$2, $B:$B, 0))</f>
        <v>0</v>
      </c>
      <c r="BK51" s="193">
        <f>IFERROR(INDEX('Fluxos de Recebimento'!$I$7:$BH$58, MATCH(Curvas!$AB51, 'Fluxos de Recebimento'!$F$7:$F$58, 0), MATCH(Curvas!BK$2,'Fluxos de Recebimento'!$I$5:$BH$5, 0))+INDEX('Fluxos de Recebimento'!$I$65:$BH$116, MATCH(Curvas!$AB51, 'Fluxos de Recebimento'!$F$65:$F$116, 0), MATCH(Curvas!BK$2, 'Fluxos de Recebimento'!$I$63:$BH$63, 0)),0)*INDEX($E:$E, MATCH(BK$2, $B:$B, 0))</f>
        <v>0</v>
      </c>
      <c r="BL51" s="193">
        <f>IFERROR(INDEX('Fluxos de Recebimento'!$I$7:$BH$58, MATCH(Curvas!$AB51, 'Fluxos de Recebimento'!$F$7:$F$58, 0), MATCH(Curvas!BL$2,'Fluxos de Recebimento'!$I$5:$BH$5, 0))+INDEX('Fluxos de Recebimento'!$I$65:$BH$116, MATCH(Curvas!$AB51, 'Fluxos de Recebimento'!$F$65:$F$116, 0), MATCH(Curvas!BL$2, 'Fluxos de Recebimento'!$I$63:$BH$63, 0)),0)*INDEX($E:$E, MATCH(BL$2, $B:$B, 0))</f>
        <v>0</v>
      </c>
      <c r="BM51" s="193">
        <f>IFERROR(INDEX('Fluxos de Recebimento'!$I$7:$BH$58, MATCH(Curvas!$AB51, 'Fluxos de Recebimento'!$F$7:$F$58, 0), MATCH(Curvas!BM$2,'Fluxos de Recebimento'!$I$5:$BH$5, 0))+INDEX('Fluxos de Recebimento'!$I$65:$BH$116, MATCH(Curvas!$AB51, 'Fluxos de Recebimento'!$F$65:$F$116, 0), MATCH(Curvas!BM$2, 'Fluxos de Recebimento'!$I$63:$BH$63, 0)),0)*INDEX($E:$E, MATCH(BM$2, $B:$B, 0))</f>
        <v>0</v>
      </c>
      <c r="BN51" s="193">
        <f>IFERROR(INDEX('Fluxos de Recebimento'!$I$7:$BH$58, MATCH(Curvas!$AB51, 'Fluxos de Recebimento'!$F$7:$F$58, 0), MATCH(Curvas!BN$2,'Fluxos de Recebimento'!$I$5:$BH$5, 0))+INDEX('Fluxos de Recebimento'!$I$65:$BH$116, MATCH(Curvas!$AB51, 'Fluxos de Recebimento'!$F$65:$F$116, 0), MATCH(Curvas!BN$2, 'Fluxos de Recebimento'!$I$63:$BH$63, 0)),0)*INDEX($E:$E, MATCH(BN$2, $B:$B, 0))</f>
        <v>0</v>
      </c>
      <c r="BO51" s="193">
        <f>IFERROR(INDEX('Fluxos de Recebimento'!$I$7:$BH$58, MATCH(Curvas!$AB51, 'Fluxos de Recebimento'!$F$7:$F$58, 0), MATCH(Curvas!BO$2,'Fluxos de Recebimento'!$I$5:$BH$5, 0))+INDEX('Fluxos de Recebimento'!$I$65:$BH$116, MATCH(Curvas!$AB51, 'Fluxos de Recebimento'!$F$65:$F$116, 0), MATCH(Curvas!BO$2, 'Fluxos de Recebimento'!$I$63:$BH$63, 0)),0)*INDEX($E:$E, MATCH(BO$2, $B:$B, 0))</f>
        <v>0</v>
      </c>
      <c r="BP51" s="193">
        <f>IFERROR(INDEX('Fluxos de Recebimento'!$I$7:$BH$58, MATCH(Curvas!$AB51, 'Fluxos de Recebimento'!$F$7:$F$58, 0), MATCH(Curvas!BP$2,'Fluxos de Recebimento'!$I$5:$BH$5, 0))+INDEX('Fluxos de Recebimento'!$I$65:$BH$116, MATCH(Curvas!$AB51, 'Fluxos de Recebimento'!$F$65:$F$116, 0), MATCH(Curvas!BP$2, 'Fluxos de Recebimento'!$I$63:$BH$63, 0)),0)*INDEX($E:$E, MATCH(BP$2, $B:$B, 0))</f>
        <v>0</v>
      </c>
      <c r="BQ51" s="193">
        <f>IFERROR(INDEX('Fluxos de Recebimento'!$I$7:$BH$58, MATCH(Curvas!$AB51, 'Fluxos de Recebimento'!$F$7:$F$58, 0), MATCH(Curvas!BQ$2,'Fluxos de Recebimento'!$I$5:$BH$5, 0))+INDEX('Fluxos de Recebimento'!$I$65:$BH$116, MATCH(Curvas!$AB51, 'Fluxos de Recebimento'!$F$65:$F$116, 0), MATCH(Curvas!BQ$2, 'Fluxos de Recebimento'!$I$63:$BH$63, 0)),0)*INDEX($E:$E, MATCH(BQ$2, $B:$B, 0))</f>
        <v>0</v>
      </c>
      <c r="BR51" s="193">
        <f>IFERROR(INDEX('Fluxos de Recebimento'!$I$7:$BH$58, MATCH(Curvas!$AB51, 'Fluxos de Recebimento'!$F$7:$F$58, 0), MATCH(Curvas!BR$2,'Fluxos de Recebimento'!$I$5:$BH$5, 0))+INDEX('Fluxos de Recebimento'!$I$65:$BH$116, MATCH(Curvas!$AB51, 'Fluxos de Recebimento'!$F$65:$F$116, 0), MATCH(Curvas!BR$2, 'Fluxos de Recebimento'!$I$63:$BH$63, 0)),0)*INDEX($E:$E, MATCH(BR$2, $B:$B, 0))</f>
        <v>0</v>
      </c>
      <c r="BS51" s="193">
        <f>IFERROR(INDEX('Fluxos de Recebimento'!$I$7:$BH$58, MATCH(Curvas!$AB51, 'Fluxos de Recebimento'!$F$7:$F$58, 0), MATCH(Curvas!BS$2,'Fluxos de Recebimento'!$I$5:$BH$5, 0))+INDEX('Fluxos de Recebimento'!$I$65:$BH$116, MATCH(Curvas!$AB51, 'Fluxos de Recebimento'!$F$65:$F$116, 0), MATCH(Curvas!BS$2, 'Fluxos de Recebimento'!$I$63:$BH$63, 0)),0)*INDEX($E:$E, MATCH(BS$2, $B:$B, 0))</f>
        <v>0</v>
      </c>
      <c r="BT51" s="193">
        <f>IFERROR(INDEX('Fluxos de Recebimento'!$I$7:$BH$58, MATCH(Curvas!$AB51, 'Fluxos de Recebimento'!$F$7:$F$58, 0), MATCH(Curvas!BT$2,'Fluxos de Recebimento'!$I$5:$BH$5, 0))+INDEX('Fluxos de Recebimento'!$I$65:$BH$116, MATCH(Curvas!$AB51, 'Fluxos de Recebimento'!$F$65:$F$116, 0), MATCH(Curvas!BT$2, 'Fluxos de Recebimento'!$I$63:$BH$63, 0)),0)*INDEX($E:$E, MATCH(BT$2, $B:$B, 0))</f>
        <v>0</v>
      </c>
      <c r="BU51" s="193">
        <f>IFERROR(INDEX('Fluxos de Recebimento'!$I$7:$BH$58, MATCH(Curvas!$AB51, 'Fluxos de Recebimento'!$F$7:$F$58, 0), MATCH(Curvas!BU$2,'Fluxos de Recebimento'!$I$5:$BH$5, 0))+INDEX('Fluxos de Recebimento'!$I$65:$BH$116, MATCH(Curvas!$AB51, 'Fluxos de Recebimento'!$F$65:$F$116, 0), MATCH(Curvas!BU$2, 'Fluxos de Recebimento'!$I$63:$BH$63, 0)),0)*INDEX($E:$E, MATCH(BU$2, $B:$B, 0))</f>
        <v>0</v>
      </c>
      <c r="BV51" s="193">
        <f>IFERROR(INDEX('Fluxos de Recebimento'!$I$7:$BH$58, MATCH(Curvas!$AB51, 'Fluxos de Recebimento'!$F$7:$F$58, 0), MATCH(Curvas!BV$2,'Fluxos de Recebimento'!$I$5:$BH$5, 0))+INDEX('Fluxos de Recebimento'!$I$65:$BH$116, MATCH(Curvas!$AB51, 'Fluxos de Recebimento'!$F$65:$F$116, 0), MATCH(Curvas!BV$2, 'Fluxos de Recebimento'!$I$63:$BH$63, 0)),0)*INDEX($E:$E, MATCH(BV$2, $B:$B, 0))</f>
        <v>0</v>
      </c>
      <c r="BW51" s="193">
        <f>IFERROR(INDEX('Fluxos de Recebimento'!$I$7:$BH$58, MATCH(Curvas!$AB51, 'Fluxos de Recebimento'!$F$7:$F$58, 0), MATCH(Curvas!BW$2,'Fluxos de Recebimento'!$I$5:$BH$5, 0))+INDEX('Fluxos de Recebimento'!$I$65:$BH$116, MATCH(Curvas!$AB51, 'Fluxos de Recebimento'!$F$65:$F$116, 0), MATCH(Curvas!BW$2, 'Fluxos de Recebimento'!$I$63:$BH$63, 0)),0)*INDEX($E:$E, MATCH(BW$2, $B:$B, 0))</f>
        <v>0</v>
      </c>
      <c r="BX51" s="193">
        <f>IFERROR(INDEX('Fluxos de Recebimento'!$I$7:$BH$58, MATCH(Curvas!$AB51, 'Fluxos de Recebimento'!$F$7:$F$58, 0), MATCH(Curvas!BX$2,'Fluxos de Recebimento'!$I$5:$BH$5, 0))+INDEX('Fluxos de Recebimento'!$I$65:$BH$116, MATCH(Curvas!$AB51, 'Fluxos de Recebimento'!$F$65:$F$116, 0), MATCH(Curvas!BX$2, 'Fluxos de Recebimento'!$I$63:$BH$63, 0)),0)*INDEX($E:$E, MATCH(BX$2, $B:$B, 0))</f>
        <v>0</v>
      </c>
      <c r="BY51" s="193">
        <f>IFERROR(INDEX('Fluxos de Recebimento'!$I$7:$BH$58, MATCH(Curvas!$AB51, 'Fluxos de Recebimento'!$F$7:$F$58, 0), MATCH(Curvas!BY$2,'Fluxos de Recebimento'!$I$5:$BH$5, 0))+INDEX('Fluxos de Recebimento'!$I$65:$BH$116, MATCH(Curvas!$AB51, 'Fluxos de Recebimento'!$F$65:$F$116, 0), MATCH(Curvas!BY$2, 'Fluxos de Recebimento'!$I$63:$BH$63, 0)),0)*INDEX($E:$E, MATCH(BY$2, $B:$B, 0))</f>
        <v>0</v>
      </c>
      <c r="BZ51" s="193">
        <f>IFERROR(INDEX('Fluxos de Recebimento'!$I$7:$BH$58, MATCH(Curvas!$AB51, 'Fluxos de Recebimento'!$F$7:$F$58, 0), MATCH(Curvas!BZ$2,'Fluxos de Recebimento'!$I$5:$BH$5, 0))+INDEX('Fluxos de Recebimento'!$I$65:$BH$116, MATCH(Curvas!$AB51, 'Fluxos de Recebimento'!$F$65:$F$116, 0), MATCH(Curvas!BZ$2, 'Fluxos de Recebimento'!$I$63:$BH$63, 0)),0)*INDEX($E:$E, MATCH(BZ$2, $B:$B, 0))</f>
        <v>0</v>
      </c>
      <c r="CA51" s="193">
        <f>IFERROR(INDEX('Fluxos de Recebimento'!$I$7:$BH$58, MATCH(Curvas!$AB51, 'Fluxos de Recebimento'!$F$7:$F$58, 0), MATCH(Curvas!CA$2,'Fluxos de Recebimento'!$I$5:$BH$5, 0))+INDEX('Fluxos de Recebimento'!$I$65:$BH$116, MATCH(Curvas!$AB51, 'Fluxos de Recebimento'!$F$65:$F$116, 0), MATCH(Curvas!CA$2, 'Fluxos de Recebimento'!$I$63:$BH$63, 0)),0)*INDEX($E:$E, MATCH(CA$2, $B:$B, 0))</f>
        <v>0</v>
      </c>
      <c r="CB51" s="193">
        <f>IFERROR(INDEX('Fluxos de Recebimento'!$I$7:$BH$58, MATCH(Curvas!$AB51, 'Fluxos de Recebimento'!$F$7:$F$58, 0), MATCH(Curvas!CB$2,'Fluxos de Recebimento'!$I$5:$BH$5, 0))+INDEX('Fluxos de Recebimento'!$I$65:$BH$116, MATCH(Curvas!$AB51, 'Fluxos de Recebimento'!$F$65:$F$116, 0), MATCH(Curvas!CB$2, 'Fluxos de Recebimento'!$I$63:$BH$63, 0)),0)*INDEX($E:$E, MATCH(CB$2, $B:$B, 0))</f>
        <v>0</v>
      </c>
      <c r="CC51" s="193">
        <f>IFERROR(INDEX('Fluxos de Recebimento'!$I$7:$BH$58, MATCH(Curvas!$AB51, 'Fluxos de Recebimento'!$F$7:$F$58, 0), MATCH(Curvas!CC$2,'Fluxos de Recebimento'!$I$5:$BH$5, 0))+INDEX('Fluxos de Recebimento'!$I$65:$BH$116, MATCH(Curvas!$AB51, 'Fluxos de Recebimento'!$F$65:$F$116, 0), MATCH(Curvas!CC$2, 'Fluxos de Recebimento'!$I$63:$BH$63, 0)),0)*INDEX($E:$E, MATCH(CC$2, $B:$B, 0))</f>
        <v>0</v>
      </c>
    </row>
    <row r="52" spans="1:81" x14ac:dyDescent="0.25">
      <c r="A52" s="2"/>
      <c r="B52" s="477">
        <f t="shared" si="34"/>
        <v>45627</v>
      </c>
      <c r="C52" s="52">
        <f t="shared" si="35"/>
        <v>49</v>
      </c>
      <c r="D52" s="2"/>
      <c r="E52" s="187">
        <f t="shared" si="22"/>
        <v>0</v>
      </c>
      <c r="F52" s="48">
        <f t="shared" si="36"/>
        <v>0.99999999999999978</v>
      </c>
      <c r="G52" s="46">
        <f t="shared" ca="1" si="23"/>
        <v>0</v>
      </c>
      <c r="H52" s="48">
        <f t="shared" ca="1" si="37"/>
        <v>0.99999999999999989</v>
      </c>
      <c r="I52" s="2"/>
      <c r="J52" s="69">
        <f t="shared" ca="1" si="24"/>
        <v>0</v>
      </c>
      <c r="K52" s="479">
        <f t="shared" ca="1" si="25"/>
        <v>0</v>
      </c>
      <c r="L52" s="70">
        <f t="shared" ca="1" si="26"/>
        <v>0</v>
      </c>
      <c r="M52" s="2"/>
      <c r="N52" s="69">
        <f t="shared" si="27"/>
        <v>1</v>
      </c>
      <c r="O52" s="479">
        <f t="shared" si="28"/>
        <v>0</v>
      </c>
      <c r="P52" s="70">
        <f t="shared" si="29"/>
        <v>1</v>
      </c>
      <c r="Q52" s="2"/>
      <c r="R52" s="71">
        <f t="shared" ca="1" si="30"/>
        <v>1</v>
      </c>
      <c r="S52" s="196"/>
      <c r="T52" s="46">
        <v>0</v>
      </c>
      <c r="U52" s="48">
        <f t="shared" si="38"/>
        <v>0.99999999999999978</v>
      </c>
      <c r="V52" s="2"/>
      <c r="W52" s="56"/>
      <c r="X52" s="48"/>
      <c r="Y52" s="2"/>
      <c r="Z52" s="194">
        <f t="shared" si="31"/>
        <v>0</v>
      </c>
      <c r="AA52" s="2"/>
      <c r="AB52" s="477">
        <f t="shared" si="32"/>
        <v>45627</v>
      </c>
      <c r="AC52" s="52">
        <f t="shared" si="33"/>
        <v>49</v>
      </c>
      <c r="AD52" s="193">
        <f>IFERROR(INDEX('Fluxos de Recebimento'!$I$7:$BH$58, MATCH(Curvas!$AB52, 'Fluxos de Recebimento'!$F$7:$F$58, 0), MATCH(Curvas!AD$2,'Fluxos de Recebimento'!$I$5:$BH$5, 0))+INDEX('Fluxos de Recebimento'!$I$65:$BH$116, MATCH(Curvas!$AB52, 'Fluxos de Recebimento'!$F$65:$F$116, 0), MATCH(Curvas!AD$2, 'Fluxos de Recebimento'!$I$63:$BH$63, 0)),0)*INDEX($E:$E, MATCH(AD$2, $B:$B, 0))</f>
        <v>0</v>
      </c>
      <c r="AE52" s="193">
        <f>IFERROR(INDEX('Fluxos de Recebimento'!$I$7:$BH$58, MATCH(Curvas!$AB52, 'Fluxos de Recebimento'!$F$7:$F$58, 0), MATCH(Curvas!AE$2,'Fluxos de Recebimento'!$I$5:$BH$5, 0))+INDEX('Fluxos de Recebimento'!$I$65:$BH$116, MATCH(Curvas!$AB52, 'Fluxos de Recebimento'!$F$65:$F$116, 0), MATCH(Curvas!AE$2, 'Fluxos de Recebimento'!$I$63:$BH$63, 0)),0)*INDEX($E:$E, MATCH(AE$2, $B:$B, 0))</f>
        <v>0</v>
      </c>
      <c r="AF52" s="193">
        <f>IFERROR(INDEX('Fluxos de Recebimento'!$I$7:$BH$58, MATCH(Curvas!$AB52, 'Fluxos de Recebimento'!$F$7:$F$58, 0), MATCH(Curvas!AF$2,'Fluxos de Recebimento'!$I$5:$BH$5, 0))+INDEX('Fluxos de Recebimento'!$I$65:$BH$116, MATCH(Curvas!$AB52, 'Fluxos de Recebimento'!$F$65:$F$116, 0), MATCH(Curvas!AF$2, 'Fluxos de Recebimento'!$I$63:$BH$63, 0)),0)*INDEX($E:$E, MATCH(AF$2, $B:$B, 0))</f>
        <v>0</v>
      </c>
      <c r="AG52" s="193">
        <f>IFERROR(INDEX('Fluxos de Recebimento'!$I$7:$BH$58, MATCH(Curvas!$AB52, 'Fluxos de Recebimento'!$F$7:$F$58, 0), MATCH(Curvas!AG$2,'Fluxos de Recebimento'!$I$5:$BH$5, 0))+INDEX('Fluxos de Recebimento'!$I$65:$BH$116, MATCH(Curvas!$AB52, 'Fluxos de Recebimento'!$F$65:$F$116, 0), MATCH(Curvas!AG$2, 'Fluxos de Recebimento'!$I$63:$BH$63, 0)),0)*INDEX($E:$E, MATCH(AG$2, $B:$B, 0))</f>
        <v>0</v>
      </c>
      <c r="AH52" s="193">
        <f>IFERROR(INDEX('Fluxos de Recebimento'!$I$7:$BH$58, MATCH(Curvas!$AB52, 'Fluxos de Recebimento'!$F$7:$F$58, 0), MATCH(Curvas!AH$2,'Fluxos de Recebimento'!$I$5:$BH$5, 0))+INDEX('Fluxos de Recebimento'!$I$65:$BH$116, MATCH(Curvas!$AB52, 'Fluxos de Recebimento'!$F$65:$F$116, 0), MATCH(Curvas!AH$2, 'Fluxos de Recebimento'!$I$63:$BH$63, 0)),0)*INDEX($E:$E, MATCH(AH$2, $B:$B, 0))</f>
        <v>0</v>
      </c>
      <c r="AI52" s="193">
        <f>IFERROR(INDEX('Fluxos de Recebimento'!$I$7:$BH$58, MATCH(Curvas!$AB52, 'Fluxos de Recebimento'!$F$7:$F$58, 0), MATCH(Curvas!AI$2,'Fluxos de Recebimento'!$I$5:$BH$5, 0))+INDEX('Fluxos de Recebimento'!$I$65:$BH$116, MATCH(Curvas!$AB52, 'Fluxos de Recebimento'!$F$65:$F$116, 0), MATCH(Curvas!AI$2, 'Fluxos de Recebimento'!$I$63:$BH$63, 0)),0)*INDEX($E:$E, MATCH(AI$2, $B:$B, 0))</f>
        <v>0</v>
      </c>
      <c r="AJ52" s="193">
        <f>IFERROR(INDEX('Fluxos de Recebimento'!$I$7:$BH$58, MATCH(Curvas!$AB52, 'Fluxos de Recebimento'!$F$7:$F$58, 0), MATCH(Curvas!AJ$2,'Fluxos de Recebimento'!$I$5:$BH$5, 0))+INDEX('Fluxos de Recebimento'!$I$65:$BH$116, MATCH(Curvas!$AB52, 'Fluxos de Recebimento'!$F$65:$F$116, 0), MATCH(Curvas!AJ$2, 'Fluxos de Recebimento'!$I$63:$BH$63, 0)),0)*INDEX($E:$E, MATCH(AJ$2, $B:$B, 0))</f>
        <v>0</v>
      </c>
      <c r="AK52" s="193">
        <f>IFERROR(INDEX('Fluxos de Recebimento'!$I$7:$BH$58, MATCH(Curvas!$AB52, 'Fluxos de Recebimento'!$F$7:$F$58, 0), MATCH(Curvas!AK$2,'Fluxos de Recebimento'!$I$5:$BH$5, 0))+INDEX('Fluxos de Recebimento'!$I$65:$BH$116, MATCH(Curvas!$AB52, 'Fluxos de Recebimento'!$F$65:$F$116, 0), MATCH(Curvas!AK$2, 'Fluxos de Recebimento'!$I$63:$BH$63, 0)),0)*INDEX($E:$E, MATCH(AK$2, $B:$B, 0))</f>
        <v>0</v>
      </c>
      <c r="AL52" s="193">
        <f>IFERROR(INDEX('Fluxos de Recebimento'!$I$7:$BH$58, MATCH(Curvas!$AB52, 'Fluxos de Recebimento'!$F$7:$F$58, 0), MATCH(Curvas!AL$2,'Fluxos de Recebimento'!$I$5:$BH$5, 0))+INDEX('Fluxos de Recebimento'!$I$65:$BH$116, MATCH(Curvas!$AB52, 'Fluxos de Recebimento'!$F$65:$F$116, 0), MATCH(Curvas!AL$2, 'Fluxos de Recebimento'!$I$63:$BH$63, 0)),0)*INDEX($E:$E, MATCH(AL$2, $B:$B, 0))</f>
        <v>0</v>
      </c>
      <c r="AM52" s="193">
        <f>IFERROR(INDEX('Fluxos de Recebimento'!$I$7:$BH$58, MATCH(Curvas!$AB52, 'Fluxos de Recebimento'!$F$7:$F$58, 0), MATCH(Curvas!AM$2,'Fluxos de Recebimento'!$I$5:$BH$5, 0))+INDEX('Fluxos de Recebimento'!$I$65:$BH$116, MATCH(Curvas!$AB52, 'Fluxos de Recebimento'!$F$65:$F$116, 0), MATCH(Curvas!AM$2, 'Fluxos de Recebimento'!$I$63:$BH$63, 0)),0)*INDEX($E:$E, MATCH(AM$2, $B:$B, 0))</f>
        <v>0</v>
      </c>
      <c r="AN52" s="193">
        <f>IFERROR(INDEX('Fluxos de Recebimento'!$I$7:$BH$58, MATCH(Curvas!$AB52, 'Fluxos de Recebimento'!$F$7:$F$58, 0), MATCH(Curvas!AN$2,'Fluxos de Recebimento'!$I$5:$BH$5, 0))+INDEX('Fluxos de Recebimento'!$I$65:$BH$116, MATCH(Curvas!$AB52, 'Fluxos de Recebimento'!$F$65:$F$116, 0), MATCH(Curvas!AN$2, 'Fluxos de Recebimento'!$I$63:$BH$63, 0)),0)*INDEX($E:$E, MATCH(AN$2, $B:$B, 0))</f>
        <v>0</v>
      </c>
      <c r="AO52" s="193">
        <f>IFERROR(INDEX('Fluxos de Recebimento'!$I$7:$BH$58, MATCH(Curvas!$AB52, 'Fluxos de Recebimento'!$F$7:$F$58, 0), MATCH(Curvas!AO$2,'Fluxos de Recebimento'!$I$5:$BH$5, 0))+INDEX('Fluxos de Recebimento'!$I$65:$BH$116, MATCH(Curvas!$AB52, 'Fluxos de Recebimento'!$F$65:$F$116, 0), MATCH(Curvas!AO$2, 'Fluxos de Recebimento'!$I$63:$BH$63, 0)),0)*INDEX($E:$E, MATCH(AO$2, $B:$B, 0))</f>
        <v>0</v>
      </c>
      <c r="AP52" s="193">
        <f>IFERROR(INDEX('Fluxos de Recebimento'!$I$7:$BH$58, MATCH(Curvas!$AB52, 'Fluxos de Recebimento'!$F$7:$F$58, 0), MATCH(Curvas!AP$2,'Fluxos de Recebimento'!$I$5:$BH$5, 0))+INDEX('Fluxos de Recebimento'!$I$65:$BH$116, MATCH(Curvas!$AB52, 'Fluxos de Recebimento'!$F$65:$F$116, 0), MATCH(Curvas!AP$2, 'Fluxos de Recebimento'!$I$63:$BH$63, 0)),0)*INDEX($E:$E, MATCH(AP$2, $B:$B, 0))</f>
        <v>0</v>
      </c>
      <c r="AQ52" s="193">
        <f>IFERROR(INDEX('Fluxos de Recebimento'!$I$7:$BH$58, MATCH(Curvas!$AB52, 'Fluxos de Recebimento'!$F$7:$F$58, 0), MATCH(Curvas!AQ$2,'Fluxos de Recebimento'!$I$5:$BH$5, 0))+INDEX('Fluxos de Recebimento'!$I$65:$BH$116, MATCH(Curvas!$AB52, 'Fluxos de Recebimento'!$F$65:$F$116, 0), MATCH(Curvas!AQ$2, 'Fluxos de Recebimento'!$I$63:$BH$63, 0)),0)*INDEX($E:$E, MATCH(AQ$2, $B:$B, 0))</f>
        <v>0</v>
      </c>
      <c r="AR52" s="193">
        <f>IFERROR(INDEX('Fluxos de Recebimento'!$I$7:$BH$58, MATCH(Curvas!$AB52, 'Fluxos de Recebimento'!$F$7:$F$58, 0), MATCH(Curvas!AR$2,'Fluxos de Recebimento'!$I$5:$BH$5, 0))+INDEX('Fluxos de Recebimento'!$I$65:$BH$116, MATCH(Curvas!$AB52, 'Fluxos de Recebimento'!$F$65:$F$116, 0), MATCH(Curvas!AR$2, 'Fluxos de Recebimento'!$I$63:$BH$63, 0)),0)*INDEX($E:$E, MATCH(AR$2, $B:$B, 0))</f>
        <v>0</v>
      </c>
      <c r="AS52" s="193">
        <f>IFERROR(INDEX('Fluxos de Recebimento'!$I$7:$BH$58, MATCH(Curvas!$AB52, 'Fluxos de Recebimento'!$F$7:$F$58, 0), MATCH(Curvas!AS$2,'Fluxos de Recebimento'!$I$5:$BH$5, 0))+INDEX('Fluxos de Recebimento'!$I$65:$BH$116, MATCH(Curvas!$AB52, 'Fluxos de Recebimento'!$F$65:$F$116, 0), MATCH(Curvas!AS$2, 'Fluxos de Recebimento'!$I$63:$BH$63, 0)),0)*INDEX($E:$E, MATCH(AS$2, $B:$B, 0))</f>
        <v>0</v>
      </c>
      <c r="AT52" s="193">
        <f>IFERROR(INDEX('Fluxos de Recebimento'!$I$7:$BH$58, MATCH(Curvas!$AB52, 'Fluxos de Recebimento'!$F$7:$F$58, 0), MATCH(Curvas!AT$2,'Fluxos de Recebimento'!$I$5:$BH$5, 0))+INDEX('Fluxos de Recebimento'!$I$65:$BH$116, MATCH(Curvas!$AB52, 'Fluxos de Recebimento'!$F$65:$F$116, 0), MATCH(Curvas!AT$2, 'Fluxos de Recebimento'!$I$63:$BH$63, 0)),0)*INDEX($E:$E, MATCH(AT$2, $B:$B, 0))</f>
        <v>0</v>
      </c>
      <c r="AU52" s="193">
        <f>IFERROR(INDEX('Fluxos de Recebimento'!$I$7:$BH$58, MATCH(Curvas!$AB52, 'Fluxos de Recebimento'!$F$7:$F$58, 0), MATCH(Curvas!AU$2,'Fluxos de Recebimento'!$I$5:$BH$5, 0))+INDEX('Fluxos de Recebimento'!$I$65:$BH$116, MATCH(Curvas!$AB52, 'Fluxos de Recebimento'!$F$65:$F$116, 0), MATCH(Curvas!AU$2, 'Fluxos de Recebimento'!$I$63:$BH$63, 0)),0)*INDEX($E:$E, MATCH(AU$2, $B:$B, 0))</f>
        <v>0</v>
      </c>
      <c r="AV52" s="193">
        <f>IFERROR(INDEX('Fluxos de Recebimento'!$I$7:$BH$58, MATCH(Curvas!$AB52, 'Fluxos de Recebimento'!$F$7:$F$58, 0), MATCH(Curvas!AV$2,'Fluxos de Recebimento'!$I$5:$BH$5, 0))+INDEX('Fluxos de Recebimento'!$I$65:$BH$116, MATCH(Curvas!$AB52, 'Fluxos de Recebimento'!$F$65:$F$116, 0), MATCH(Curvas!AV$2, 'Fluxos de Recebimento'!$I$63:$BH$63, 0)),0)*INDEX($E:$E, MATCH(AV$2, $B:$B, 0))</f>
        <v>0</v>
      </c>
      <c r="AW52" s="193">
        <f>IFERROR(INDEX('Fluxos de Recebimento'!$I$7:$BH$58, MATCH(Curvas!$AB52, 'Fluxos de Recebimento'!$F$7:$F$58, 0), MATCH(Curvas!AW$2,'Fluxos de Recebimento'!$I$5:$BH$5, 0))+INDEX('Fluxos de Recebimento'!$I$65:$BH$116, MATCH(Curvas!$AB52, 'Fluxos de Recebimento'!$F$65:$F$116, 0), MATCH(Curvas!AW$2, 'Fluxos de Recebimento'!$I$63:$BH$63, 0)),0)*INDEX($E:$E, MATCH(AW$2, $B:$B, 0))</f>
        <v>0</v>
      </c>
      <c r="AX52" s="193">
        <f>IFERROR(INDEX('Fluxos de Recebimento'!$I$7:$BH$58, MATCH(Curvas!$AB52, 'Fluxos de Recebimento'!$F$7:$F$58, 0), MATCH(Curvas!AX$2,'Fluxos de Recebimento'!$I$5:$BH$5, 0))+INDEX('Fluxos de Recebimento'!$I$65:$BH$116, MATCH(Curvas!$AB52, 'Fluxos de Recebimento'!$F$65:$F$116, 0), MATCH(Curvas!AX$2, 'Fluxos de Recebimento'!$I$63:$BH$63, 0)),0)*INDEX($E:$E, MATCH(AX$2, $B:$B, 0))</f>
        <v>0</v>
      </c>
      <c r="AY52" s="193">
        <f>IFERROR(INDEX('Fluxos de Recebimento'!$I$7:$BH$58, MATCH(Curvas!$AB52, 'Fluxos de Recebimento'!$F$7:$F$58, 0), MATCH(Curvas!AY$2,'Fluxos de Recebimento'!$I$5:$BH$5, 0))+INDEX('Fluxos de Recebimento'!$I$65:$BH$116, MATCH(Curvas!$AB52, 'Fluxos de Recebimento'!$F$65:$F$116, 0), MATCH(Curvas!AY$2, 'Fluxos de Recebimento'!$I$63:$BH$63, 0)),0)*INDEX($E:$E, MATCH(AY$2, $B:$B, 0))</f>
        <v>0</v>
      </c>
      <c r="AZ52" s="193">
        <f>IFERROR(INDEX('Fluxos de Recebimento'!$I$7:$BH$58, MATCH(Curvas!$AB52, 'Fluxos de Recebimento'!$F$7:$F$58, 0), MATCH(Curvas!AZ$2,'Fluxos de Recebimento'!$I$5:$BH$5, 0))+INDEX('Fluxos de Recebimento'!$I$65:$BH$116, MATCH(Curvas!$AB52, 'Fluxos de Recebimento'!$F$65:$F$116, 0), MATCH(Curvas!AZ$2, 'Fluxos de Recebimento'!$I$63:$BH$63, 0)),0)*INDEX($E:$E, MATCH(AZ$2, $B:$B, 0))</f>
        <v>0</v>
      </c>
      <c r="BA52" s="193">
        <f>IFERROR(INDEX('Fluxos de Recebimento'!$I$7:$BH$58, MATCH(Curvas!$AB52, 'Fluxos de Recebimento'!$F$7:$F$58, 0), MATCH(Curvas!BA$2,'Fluxos de Recebimento'!$I$5:$BH$5, 0))+INDEX('Fluxos de Recebimento'!$I$65:$BH$116, MATCH(Curvas!$AB52, 'Fluxos de Recebimento'!$F$65:$F$116, 0), MATCH(Curvas!BA$2, 'Fluxos de Recebimento'!$I$63:$BH$63, 0)),0)*INDEX($E:$E, MATCH(BA$2, $B:$B, 0))</f>
        <v>0</v>
      </c>
      <c r="BB52" s="193">
        <f>IFERROR(INDEX('Fluxos de Recebimento'!$I$7:$BH$58, MATCH(Curvas!$AB52, 'Fluxos de Recebimento'!$F$7:$F$58, 0), MATCH(Curvas!BB$2,'Fluxos de Recebimento'!$I$5:$BH$5, 0))+INDEX('Fluxos de Recebimento'!$I$65:$BH$116, MATCH(Curvas!$AB52, 'Fluxos de Recebimento'!$F$65:$F$116, 0), MATCH(Curvas!BB$2, 'Fluxos de Recebimento'!$I$63:$BH$63, 0)),0)*INDEX($E:$E, MATCH(BB$2, $B:$B, 0))</f>
        <v>0</v>
      </c>
      <c r="BC52" s="193">
        <f>IFERROR(INDEX('Fluxos de Recebimento'!$I$7:$BH$58, MATCH(Curvas!$AB52, 'Fluxos de Recebimento'!$F$7:$F$58, 0), MATCH(Curvas!BC$2,'Fluxos de Recebimento'!$I$5:$BH$5, 0))+INDEX('Fluxos de Recebimento'!$I$65:$BH$116, MATCH(Curvas!$AB52, 'Fluxos de Recebimento'!$F$65:$F$116, 0), MATCH(Curvas!BC$2, 'Fluxos de Recebimento'!$I$63:$BH$63, 0)),0)*INDEX($E:$E, MATCH(BC$2, $B:$B, 0))</f>
        <v>0</v>
      </c>
      <c r="BD52" s="193">
        <f>IFERROR(INDEX('Fluxos de Recebimento'!$I$7:$BH$58, MATCH(Curvas!$AB52, 'Fluxos de Recebimento'!$F$7:$F$58, 0), MATCH(Curvas!BD$2,'Fluxos de Recebimento'!$I$5:$BH$5, 0))+INDEX('Fluxos de Recebimento'!$I$65:$BH$116, MATCH(Curvas!$AB52, 'Fluxos de Recebimento'!$F$65:$F$116, 0), MATCH(Curvas!BD$2, 'Fluxos de Recebimento'!$I$63:$BH$63, 0)),0)*INDEX($E:$E, MATCH(BD$2, $B:$B, 0))</f>
        <v>0</v>
      </c>
      <c r="BE52" s="193">
        <f>IFERROR(INDEX('Fluxos de Recebimento'!$I$7:$BH$58, MATCH(Curvas!$AB52, 'Fluxos de Recebimento'!$F$7:$F$58, 0), MATCH(Curvas!BE$2,'Fluxos de Recebimento'!$I$5:$BH$5, 0))+INDEX('Fluxos de Recebimento'!$I$65:$BH$116, MATCH(Curvas!$AB52, 'Fluxos de Recebimento'!$F$65:$F$116, 0), MATCH(Curvas!BE$2, 'Fluxos de Recebimento'!$I$63:$BH$63, 0)),0)*INDEX($E:$E, MATCH(BE$2, $B:$B, 0))</f>
        <v>0</v>
      </c>
      <c r="BF52" s="193">
        <f>IFERROR(INDEX('Fluxos de Recebimento'!$I$7:$BH$58, MATCH(Curvas!$AB52, 'Fluxos de Recebimento'!$F$7:$F$58, 0), MATCH(Curvas!BF$2,'Fluxos de Recebimento'!$I$5:$BH$5, 0))+INDEX('Fluxos de Recebimento'!$I$65:$BH$116, MATCH(Curvas!$AB52, 'Fluxos de Recebimento'!$F$65:$F$116, 0), MATCH(Curvas!BF$2, 'Fluxos de Recebimento'!$I$63:$BH$63, 0)),0)*INDEX($E:$E, MATCH(BF$2, $B:$B, 0))</f>
        <v>0</v>
      </c>
      <c r="BG52" s="193">
        <f>IFERROR(INDEX('Fluxos de Recebimento'!$I$7:$BH$58, MATCH(Curvas!$AB52, 'Fluxos de Recebimento'!$F$7:$F$58, 0), MATCH(Curvas!BG$2,'Fluxos de Recebimento'!$I$5:$BH$5, 0))+INDEX('Fluxos de Recebimento'!$I$65:$BH$116, MATCH(Curvas!$AB52, 'Fluxos de Recebimento'!$F$65:$F$116, 0), MATCH(Curvas!BG$2, 'Fluxos de Recebimento'!$I$63:$BH$63, 0)),0)*INDEX($E:$E, MATCH(BG$2, $B:$B, 0))</f>
        <v>0</v>
      </c>
      <c r="BH52" s="193">
        <f>IFERROR(INDEX('Fluxos de Recebimento'!$I$7:$BH$58, MATCH(Curvas!$AB52, 'Fluxos de Recebimento'!$F$7:$F$58, 0), MATCH(Curvas!BH$2,'Fluxos de Recebimento'!$I$5:$BH$5, 0))+INDEX('Fluxos de Recebimento'!$I$65:$BH$116, MATCH(Curvas!$AB52, 'Fluxos de Recebimento'!$F$65:$F$116, 0), MATCH(Curvas!BH$2, 'Fluxos de Recebimento'!$I$63:$BH$63, 0)),0)*INDEX($E:$E, MATCH(BH$2, $B:$B, 0))</f>
        <v>0</v>
      </c>
      <c r="BI52" s="193">
        <f>IFERROR(INDEX('Fluxos de Recebimento'!$I$7:$BH$58, MATCH(Curvas!$AB52, 'Fluxos de Recebimento'!$F$7:$F$58, 0), MATCH(Curvas!BI$2,'Fluxos de Recebimento'!$I$5:$BH$5, 0))+INDEX('Fluxos de Recebimento'!$I$65:$BH$116, MATCH(Curvas!$AB52, 'Fluxos de Recebimento'!$F$65:$F$116, 0), MATCH(Curvas!BI$2, 'Fluxos de Recebimento'!$I$63:$BH$63, 0)),0)*INDEX($E:$E, MATCH(BI$2, $B:$B, 0))</f>
        <v>0</v>
      </c>
      <c r="BJ52" s="193">
        <f>IFERROR(INDEX('Fluxos de Recebimento'!$I$7:$BH$58, MATCH(Curvas!$AB52, 'Fluxos de Recebimento'!$F$7:$F$58, 0), MATCH(Curvas!BJ$2,'Fluxos de Recebimento'!$I$5:$BH$5, 0))+INDEX('Fluxos de Recebimento'!$I$65:$BH$116, MATCH(Curvas!$AB52, 'Fluxos de Recebimento'!$F$65:$F$116, 0), MATCH(Curvas!BJ$2, 'Fluxos de Recebimento'!$I$63:$BH$63, 0)),0)*INDEX($E:$E, MATCH(BJ$2, $B:$B, 0))</f>
        <v>0</v>
      </c>
      <c r="BK52" s="193">
        <f>IFERROR(INDEX('Fluxos de Recebimento'!$I$7:$BH$58, MATCH(Curvas!$AB52, 'Fluxos de Recebimento'!$F$7:$F$58, 0), MATCH(Curvas!BK$2,'Fluxos de Recebimento'!$I$5:$BH$5, 0))+INDEX('Fluxos de Recebimento'!$I$65:$BH$116, MATCH(Curvas!$AB52, 'Fluxos de Recebimento'!$F$65:$F$116, 0), MATCH(Curvas!BK$2, 'Fluxos de Recebimento'!$I$63:$BH$63, 0)),0)*INDEX($E:$E, MATCH(BK$2, $B:$B, 0))</f>
        <v>0</v>
      </c>
      <c r="BL52" s="193">
        <f>IFERROR(INDEX('Fluxos de Recebimento'!$I$7:$BH$58, MATCH(Curvas!$AB52, 'Fluxos de Recebimento'!$F$7:$F$58, 0), MATCH(Curvas!BL$2,'Fluxos de Recebimento'!$I$5:$BH$5, 0))+INDEX('Fluxos de Recebimento'!$I$65:$BH$116, MATCH(Curvas!$AB52, 'Fluxos de Recebimento'!$F$65:$F$116, 0), MATCH(Curvas!BL$2, 'Fluxos de Recebimento'!$I$63:$BH$63, 0)),0)*INDEX($E:$E, MATCH(BL$2, $B:$B, 0))</f>
        <v>0</v>
      </c>
      <c r="BM52" s="193">
        <f>IFERROR(INDEX('Fluxos de Recebimento'!$I$7:$BH$58, MATCH(Curvas!$AB52, 'Fluxos de Recebimento'!$F$7:$F$58, 0), MATCH(Curvas!BM$2,'Fluxos de Recebimento'!$I$5:$BH$5, 0))+INDEX('Fluxos de Recebimento'!$I$65:$BH$116, MATCH(Curvas!$AB52, 'Fluxos de Recebimento'!$F$65:$F$116, 0), MATCH(Curvas!BM$2, 'Fluxos de Recebimento'!$I$63:$BH$63, 0)),0)*INDEX($E:$E, MATCH(BM$2, $B:$B, 0))</f>
        <v>0</v>
      </c>
      <c r="BN52" s="193">
        <f>IFERROR(INDEX('Fluxos de Recebimento'!$I$7:$BH$58, MATCH(Curvas!$AB52, 'Fluxos de Recebimento'!$F$7:$F$58, 0), MATCH(Curvas!BN$2,'Fluxos de Recebimento'!$I$5:$BH$5, 0))+INDEX('Fluxos de Recebimento'!$I$65:$BH$116, MATCH(Curvas!$AB52, 'Fluxos de Recebimento'!$F$65:$F$116, 0), MATCH(Curvas!BN$2, 'Fluxos de Recebimento'!$I$63:$BH$63, 0)),0)*INDEX($E:$E, MATCH(BN$2, $B:$B, 0))</f>
        <v>0</v>
      </c>
      <c r="BO52" s="193">
        <f>IFERROR(INDEX('Fluxos de Recebimento'!$I$7:$BH$58, MATCH(Curvas!$AB52, 'Fluxos de Recebimento'!$F$7:$F$58, 0), MATCH(Curvas!BO$2,'Fluxos de Recebimento'!$I$5:$BH$5, 0))+INDEX('Fluxos de Recebimento'!$I$65:$BH$116, MATCH(Curvas!$AB52, 'Fluxos de Recebimento'!$F$65:$F$116, 0), MATCH(Curvas!BO$2, 'Fluxos de Recebimento'!$I$63:$BH$63, 0)),0)*INDEX($E:$E, MATCH(BO$2, $B:$B, 0))</f>
        <v>0</v>
      </c>
      <c r="BP52" s="193">
        <f>IFERROR(INDEX('Fluxos de Recebimento'!$I$7:$BH$58, MATCH(Curvas!$AB52, 'Fluxos de Recebimento'!$F$7:$F$58, 0), MATCH(Curvas!BP$2,'Fluxos de Recebimento'!$I$5:$BH$5, 0))+INDEX('Fluxos de Recebimento'!$I$65:$BH$116, MATCH(Curvas!$AB52, 'Fluxos de Recebimento'!$F$65:$F$116, 0), MATCH(Curvas!BP$2, 'Fluxos de Recebimento'!$I$63:$BH$63, 0)),0)*INDEX($E:$E, MATCH(BP$2, $B:$B, 0))</f>
        <v>0</v>
      </c>
      <c r="BQ52" s="193">
        <f>IFERROR(INDEX('Fluxos de Recebimento'!$I$7:$BH$58, MATCH(Curvas!$AB52, 'Fluxos de Recebimento'!$F$7:$F$58, 0), MATCH(Curvas!BQ$2,'Fluxos de Recebimento'!$I$5:$BH$5, 0))+INDEX('Fluxos de Recebimento'!$I$65:$BH$116, MATCH(Curvas!$AB52, 'Fluxos de Recebimento'!$F$65:$F$116, 0), MATCH(Curvas!BQ$2, 'Fluxos de Recebimento'!$I$63:$BH$63, 0)),0)*INDEX($E:$E, MATCH(BQ$2, $B:$B, 0))</f>
        <v>0</v>
      </c>
      <c r="BR52" s="193">
        <f>IFERROR(INDEX('Fluxos de Recebimento'!$I$7:$BH$58, MATCH(Curvas!$AB52, 'Fluxos de Recebimento'!$F$7:$F$58, 0), MATCH(Curvas!BR$2,'Fluxos de Recebimento'!$I$5:$BH$5, 0))+INDEX('Fluxos de Recebimento'!$I$65:$BH$116, MATCH(Curvas!$AB52, 'Fluxos de Recebimento'!$F$65:$F$116, 0), MATCH(Curvas!BR$2, 'Fluxos de Recebimento'!$I$63:$BH$63, 0)),0)*INDEX($E:$E, MATCH(BR$2, $B:$B, 0))</f>
        <v>0</v>
      </c>
      <c r="BS52" s="193">
        <f>IFERROR(INDEX('Fluxos de Recebimento'!$I$7:$BH$58, MATCH(Curvas!$AB52, 'Fluxos de Recebimento'!$F$7:$F$58, 0), MATCH(Curvas!BS$2,'Fluxos de Recebimento'!$I$5:$BH$5, 0))+INDEX('Fluxos de Recebimento'!$I$65:$BH$116, MATCH(Curvas!$AB52, 'Fluxos de Recebimento'!$F$65:$F$116, 0), MATCH(Curvas!BS$2, 'Fluxos de Recebimento'!$I$63:$BH$63, 0)),0)*INDEX($E:$E, MATCH(BS$2, $B:$B, 0))</f>
        <v>0</v>
      </c>
      <c r="BT52" s="193">
        <f>IFERROR(INDEX('Fluxos de Recebimento'!$I$7:$BH$58, MATCH(Curvas!$AB52, 'Fluxos de Recebimento'!$F$7:$F$58, 0), MATCH(Curvas!BT$2,'Fluxos de Recebimento'!$I$5:$BH$5, 0))+INDEX('Fluxos de Recebimento'!$I$65:$BH$116, MATCH(Curvas!$AB52, 'Fluxos de Recebimento'!$F$65:$F$116, 0), MATCH(Curvas!BT$2, 'Fluxos de Recebimento'!$I$63:$BH$63, 0)),0)*INDEX($E:$E, MATCH(BT$2, $B:$B, 0))</f>
        <v>0</v>
      </c>
      <c r="BU52" s="193">
        <f>IFERROR(INDEX('Fluxos de Recebimento'!$I$7:$BH$58, MATCH(Curvas!$AB52, 'Fluxos de Recebimento'!$F$7:$F$58, 0), MATCH(Curvas!BU$2,'Fluxos de Recebimento'!$I$5:$BH$5, 0))+INDEX('Fluxos de Recebimento'!$I$65:$BH$116, MATCH(Curvas!$AB52, 'Fluxos de Recebimento'!$F$65:$F$116, 0), MATCH(Curvas!BU$2, 'Fluxos de Recebimento'!$I$63:$BH$63, 0)),0)*INDEX($E:$E, MATCH(BU$2, $B:$B, 0))</f>
        <v>0</v>
      </c>
      <c r="BV52" s="193">
        <f>IFERROR(INDEX('Fluxos de Recebimento'!$I$7:$BH$58, MATCH(Curvas!$AB52, 'Fluxos de Recebimento'!$F$7:$F$58, 0), MATCH(Curvas!BV$2,'Fluxos de Recebimento'!$I$5:$BH$5, 0))+INDEX('Fluxos de Recebimento'!$I$65:$BH$116, MATCH(Curvas!$AB52, 'Fluxos de Recebimento'!$F$65:$F$116, 0), MATCH(Curvas!BV$2, 'Fluxos de Recebimento'!$I$63:$BH$63, 0)),0)*INDEX($E:$E, MATCH(BV$2, $B:$B, 0))</f>
        <v>0</v>
      </c>
      <c r="BW52" s="193">
        <f>IFERROR(INDEX('Fluxos de Recebimento'!$I$7:$BH$58, MATCH(Curvas!$AB52, 'Fluxos de Recebimento'!$F$7:$F$58, 0), MATCH(Curvas!BW$2,'Fluxos de Recebimento'!$I$5:$BH$5, 0))+INDEX('Fluxos de Recebimento'!$I$65:$BH$116, MATCH(Curvas!$AB52, 'Fluxos de Recebimento'!$F$65:$F$116, 0), MATCH(Curvas!BW$2, 'Fluxos de Recebimento'!$I$63:$BH$63, 0)),0)*INDEX($E:$E, MATCH(BW$2, $B:$B, 0))</f>
        <v>0</v>
      </c>
      <c r="BX52" s="193">
        <f>IFERROR(INDEX('Fluxos de Recebimento'!$I$7:$BH$58, MATCH(Curvas!$AB52, 'Fluxos de Recebimento'!$F$7:$F$58, 0), MATCH(Curvas!BX$2,'Fluxos de Recebimento'!$I$5:$BH$5, 0))+INDEX('Fluxos de Recebimento'!$I$65:$BH$116, MATCH(Curvas!$AB52, 'Fluxos de Recebimento'!$F$65:$F$116, 0), MATCH(Curvas!BX$2, 'Fluxos de Recebimento'!$I$63:$BH$63, 0)),0)*INDEX($E:$E, MATCH(BX$2, $B:$B, 0))</f>
        <v>0</v>
      </c>
      <c r="BY52" s="193">
        <f>IFERROR(INDEX('Fluxos de Recebimento'!$I$7:$BH$58, MATCH(Curvas!$AB52, 'Fluxos de Recebimento'!$F$7:$F$58, 0), MATCH(Curvas!BY$2,'Fluxos de Recebimento'!$I$5:$BH$5, 0))+INDEX('Fluxos de Recebimento'!$I$65:$BH$116, MATCH(Curvas!$AB52, 'Fluxos de Recebimento'!$F$65:$F$116, 0), MATCH(Curvas!BY$2, 'Fluxos de Recebimento'!$I$63:$BH$63, 0)),0)*INDEX($E:$E, MATCH(BY$2, $B:$B, 0))</f>
        <v>0</v>
      </c>
      <c r="BZ52" s="193">
        <f>IFERROR(INDEX('Fluxos de Recebimento'!$I$7:$BH$58, MATCH(Curvas!$AB52, 'Fluxos de Recebimento'!$F$7:$F$58, 0), MATCH(Curvas!BZ$2,'Fluxos de Recebimento'!$I$5:$BH$5, 0))+INDEX('Fluxos de Recebimento'!$I$65:$BH$116, MATCH(Curvas!$AB52, 'Fluxos de Recebimento'!$F$65:$F$116, 0), MATCH(Curvas!BZ$2, 'Fluxos de Recebimento'!$I$63:$BH$63, 0)),0)*INDEX($E:$E, MATCH(BZ$2, $B:$B, 0))</f>
        <v>0</v>
      </c>
      <c r="CA52" s="193">
        <f>IFERROR(INDEX('Fluxos de Recebimento'!$I$7:$BH$58, MATCH(Curvas!$AB52, 'Fluxos de Recebimento'!$F$7:$F$58, 0), MATCH(Curvas!CA$2,'Fluxos de Recebimento'!$I$5:$BH$5, 0))+INDEX('Fluxos de Recebimento'!$I$65:$BH$116, MATCH(Curvas!$AB52, 'Fluxos de Recebimento'!$F$65:$F$116, 0), MATCH(Curvas!CA$2, 'Fluxos de Recebimento'!$I$63:$BH$63, 0)),0)*INDEX($E:$E, MATCH(CA$2, $B:$B, 0))</f>
        <v>0</v>
      </c>
      <c r="CB52" s="193">
        <f>IFERROR(INDEX('Fluxos de Recebimento'!$I$7:$BH$58, MATCH(Curvas!$AB52, 'Fluxos de Recebimento'!$F$7:$F$58, 0), MATCH(Curvas!CB$2,'Fluxos de Recebimento'!$I$5:$BH$5, 0))+INDEX('Fluxos de Recebimento'!$I$65:$BH$116, MATCH(Curvas!$AB52, 'Fluxos de Recebimento'!$F$65:$F$116, 0), MATCH(Curvas!CB$2, 'Fluxos de Recebimento'!$I$63:$BH$63, 0)),0)*INDEX($E:$E, MATCH(CB$2, $B:$B, 0))</f>
        <v>0</v>
      </c>
      <c r="CC52" s="193">
        <f>IFERROR(INDEX('Fluxos de Recebimento'!$I$7:$BH$58, MATCH(Curvas!$AB52, 'Fluxos de Recebimento'!$F$7:$F$58, 0), MATCH(Curvas!CC$2,'Fluxos de Recebimento'!$I$5:$BH$5, 0))+INDEX('Fluxos de Recebimento'!$I$65:$BH$116, MATCH(Curvas!$AB52, 'Fluxos de Recebimento'!$F$65:$F$116, 0), MATCH(Curvas!CC$2, 'Fluxos de Recebimento'!$I$63:$BH$63, 0)),0)*INDEX($E:$E, MATCH(CC$2, $B:$B, 0))</f>
        <v>0</v>
      </c>
    </row>
    <row r="53" spans="1:81" x14ac:dyDescent="0.25">
      <c r="A53" s="2"/>
      <c r="B53" s="477">
        <f t="shared" si="34"/>
        <v>45658</v>
      </c>
      <c r="C53" s="52">
        <f t="shared" si="35"/>
        <v>50</v>
      </c>
      <c r="D53" s="2"/>
      <c r="E53" s="187">
        <f t="shared" si="22"/>
        <v>0</v>
      </c>
      <c r="F53" s="48">
        <f t="shared" si="36"/>
        <v>0.99999999999999978</v>
      </c>
      <c r="G53" s="46">
        <f t="shared" ca="1" si="23"/>
        <v>0</v>
      </c>
      <c r="H53" s="48">
        <f t="shared" ca="1" si="37"/>
        <v>0.99999999999999989</v>
      </c>
      <c r="I53" s="2"/>
      <c r="J53" s="69">
        <f t="shared" ca="1" si="24"/>
        <v>0</v>
      </c>
      <c r="K53" s="479">
        <f t="shared" ca="1" si="25"/>
        <v>0</v>
      </c>
      <c r="L53" s="70">
        <f t="shared" ca="1" si="26"/>
        <v>0</v>
      </c>
      <c r="M53" s="2"/>
      <c r="N53" s="69">
        <f t="shared" si="27"/>
        <v>1</v>
      </c>
      <c r="O53" s="479">
        <f t="shared" si="28"/>
        <v>0</v>
      </c>
      <c r="P53" s="70">
        <f t="shared" si="29"/>
        <v>1</v>
      </c>
      <c r="Q53" s="2"/>
      <c r="R53" s="71">
        <f t="shared" ca="1" si="30"/>
        <v>1</v>
      </c>
      <c r="S53" s="196"/>
      <c r="T53" s="46">
        <v>0</v>
      </c>
      <c r="U53" s="48">
        <f t="shared" si="38"/>
        <v>0.99999999999999978</v>
      </c>
      <c r="V53" s="2"/>
      <c r="W53" s="56"/>
      <c r="X53" s="48"/>
      <c r="Y53" s="2"/>
      <c r="Z53" s="194">
        <f t="shared" si="31"/>
        <v>0</v>
      </c>
      <c r="AA53" s="2"/>
      <c r="AB53" s="477">
        <f t="shared" si="32"/>
        <v>45658</v>
      </c>
      <c r="AC53" s="52">
        <f t="shared" si="33"/>
        <v>50</v>
      </c>
      <c r="AD53" s="193">
        <f>IFERROR(INDEX('Fluxos de Recebimento'!$I$7:$BH$58, MATCH(Curvas!$AB53, 'Fluxos de Recebimento'!$F$7:$F$58, 0), MATCH(Curvas!AD$2,'Fluxos de Recebimento'!$I$5:$BH$5, 0))+INDEX('Fluxos de Recebimento'!$I$65:$BH$116, MATCH(Curvas!$AB53, 'Fluxos de Recebimento'!$F$65:$F$116, 0), MATCH(Curvas!AD$2, 'Fluxos de Recebimento'!$I$63:$BH$63, 0)),0)*INDEX($E:$E, MATCH(AD$2, $B:$B, 0))</f>
        <v>0</v>
      </c>
      <c r="AE53" s="193">
        <f>IFERROR(INDEX('Fluxos de Recebimento'!$I$7:$BH$58, MATCH(Curvas!$AB53, 'Fluxos de Recebimento'!$F$7:$F$58, 0), MATCH(Curvas!AE$2,'Fluxos de Recebimento'!$I$5:$BH$5, 0))+INDEX('Fluxos de Recebimento'!$I$65:$BH$116, MATCH(Curvas!$AB53, 'Fluxos de Recebimento'!$F$65:$F$116, 0), MATCH(Curvas!AE$2, 'Fluxos de Recebimento'!$I$63:$BH$63, 0)),0)*INDEX($E:$E, MATCH(AE$2, $B:$B, 0))</f>
        <v>0</v>
      </c>
      <c r="AF53" s="193">
        <f>IFERROR(INDEX('Fluxos de Recebimento'!$I$7:$BH$58, MATCH(Curvas!$AB53, 'Fluxos de Recebimento'!$F$7:$F$58, 0), MATCH(Curvas!AF$2,'Fluxos de Recebimento'!$I$5:$BH$5, 0))+INDEX('Fluxos de Recebimento'!$I$65:$BH$116, MATCH(Curvas!$AB53, 'Fluxos de Recebimento'!$F$65:$F$116, 0), MATCH(Curvas!AF$2, 'Fluxos de Recebimento'!$I$63:$BH$63, 0)),0)*INDEX($E:$E, MATCH(AF$2, $B:$B, 0))</f>
        <v>0</v>
      </c>
      <c r="AG53" s="193">
        <f>IFERROR(INDEX('Fluxos de Recebimento'!$I$7:$BH$58, MATCH(Curvas!$AB53, 'Fluxos de Recebimento'!$F$7:$F$58, 0), MATCH(Curvas!AG$2,'Fluxos de Recebimento'!$I$5:$BH$5, 0))+INDEX('Fluxos de Recebimento'!$I$65:$BH$116, MATCH(Curvas!$AB53, 'Fluxos de Recebimento'!$F$65:$F$116, 0), MATCH(Curvas!AG$2, 'Fluxos de Recebimento'!$I$63:$BH$63, 0)),0)*INDEX($E:$E, MATCH(AG$2, $B:$B, 0))</f>
        <v>0</v>
      </c>
      <c r="AH53" s="193">
        <f>IFERROR(INDEX('Fluxos de Recebimento'!$I$7:$BH$58, MATCH(Curvas!$AB53, 'Fluxos de Recebimento'!$F$7:$F$58, 0), MATCH(Curvas!AH$2,'Fluxos de Recebimento'!$I$5:$BH$5, 0))+INDEX('Fluxos de Recebimento'!$I$65:$BH$116, MATCH(Curvas!$AB53, 'Fluxos de Recebimento'!$F$65:$F$116, 0), MATCH(Curvas!AH$2, 'Fluxos de Recebimento'!$I$63:$BH$63, 0)),0)*INDEX($E:$E, MATCH(AH$2, $B:$B, 0))</f>
        <v>0</v>
      </c>
      <c r="AI53" s="193">
        <f>IFERROR(INDEX('Fluxos de Recebimento'!$I$7:$BH$58, MATCH(Curvas!$AB53, 'Fluxos de Recebimento'!$F$7:$F$58, 0), MATCH(Curvas!AI$2,'Fluxos de Recebimento'!$I$5:$BH$5, 0))+INDEX('Fluxos de Recebimento'!$I$65:$BH$116, MATCH(Curvas!$AB53, 'Fluxos de Recebimento'!$F$65:$F$116, 0), MATCH(Curvas!AI$2, 'Fluxos de Recebimento'!$I$63:$BH$63, 0)),0)*INDEX($E:$E, MATCH(AI$2, $B:$B, 0))</f>
        <v>0</v>
      </c>
      <c r="AJ53" s="193">
        <f>IFERROR(INDEX('Fluxos de Recebimento'!$I$7:$BH$58, MATCH(Curvas!$AB53, 'Fluxos de Recebimento'!$F$7:$F$58, 0), MATCH(Curvas!AJ$2,'Fluxos de Recebimento'!$I$5:$BH$5, 0))+INDEX('Fluxos de Recebimento'!$I$65:$BH$116, MATCH(Curvas!$AB53, 'Fluxos de Recebimento'!$F$65:$F$116, 0), MATCH(Curvas!AJ$2, 'Fluxos de Recebimento'!$I$63:$BH$63, 0)),0)*INDEX($E:$E, MATCH(AJ$2, $B:$B, 0))</f>
        <v>0</v>
      </c>
      <c r="AK53" s="193">
        <f>IFERROR(INDEX('Fluxos de Recebimento'!$I$7:$BH$58, MATCH(Curvas!$AB53, 'Fluxos de Recebimento'!$F$7:$F$58, 0), MATCH(Curvas!AK$2,'Fluxos de Recebimento'!$I$5:$BH$5, 0))+INDEX('Fluxos de Recebimento'!$I$65:$BH$116, MATCH(Curvas!$AB53, 'Fluxos de Recebimento'!$F$65:$F$116, 0), MATCH(Curvas!AK$2, 'Fluxos de Recebimento'!$I$63:$BH$63, 0)),0)*INDEX($E:$E, MATCH(AK$2, $B:$B, 0))</f>
        <v>0</v>
      </c>
      <c r="AL53" s="193">
        <f>IFERROR(INDEX('Fluxos de Recebimento'!$I$7:$BH$58, MATCH(Curvas!$AB53, 'Fluxos de Recebimento'!$F$7:$F$58, 0), MATCH(Curvas!AL$2,'Fluxos de Recebimento'!$I$5:$BH$5, 0))+INDEX('Fluxos de Recebimento'!$I$65:$BH$116, MATCH(Curvas!$AB53, 'Fluxos de Recebimento'!$F$65:$F$116, 0), MATCH(Curvas!AL$2, 'Fluxos de Recebimento'!$I$63:$BH$63, 0)),0)*INDEX($E:$E, MATCH(AL$2, $B:$B, 0))</f>
        <v>0</v>
      </c>
      <c r="AM53" s="193">
        <f>IFERROR(INDEX('Fluxos de Recebimento'!$I$7:$BH$58, MATCH(Curvas!$AB53, 'Fluxos de Recebimento'!$F$7:$F$58, 0), MATCH(Curvas!AM$2,'Fluxos de Recebimento'!$I$5:$BH$5, 0))+INDEX('Fluxos de Recebimento'!$I$65:$BH$116, MATCH(Curvas!$AB53, 'Fluxos de Recebimento'!$F$65:$F$116, 0), MATCH(Curvas!AM$2, 'Fluxos de Recebimento'!$I$63:$BH$63, 0)),0)*INDEX($E:$E, MATCH(AM$2, $B:$B, 0))</f>
        <v>0</v>
      </c>
      <c r="AN53" s="193">
        <f>IFERROR(INDEX('Fluxos de Recebimento'!$I$7:$BH$58, MATCH(Curvas!$AB53, 'Fluxos de Recebimento'!$F$7:$F$58, 0), MATCH(Curvas!AN$2,'Fluxos de Recebimento'!$I$5:$BH$5, 0))+INDEX('Fluxos de Recebimento'!$I$65:$BH$116, MATCH(Curvas!$AB53, 'Fluxos de Recebimento'!$F$65:$F$116, 0), MATCH(Curvas!AN$2, 'Fluxos de Recebimento'!$I$63:$BH$63, 0)),0)*INDEX($E:$E, MATCH(AN$2, $B:$B, 0))</f>
        <v>0</v>
      </c>
      <c r="AO53" s="193">
        <f>IFERROR(INDEX('Fluxos de Recebimento'!$I$7:$BH$58, MATCH(Curvas!$AB53, 'Fluxos de Recebimento'!$F$7:$F$58, 0), MATCH(Curvas!AO$2,'Fluxos de Recebimento'!$I$5:$BH$5, 0))+INDEX('Fluxos de Recebimento'!$I$65:$BH$116, MATCH(Curvas!$AB53, 'Fluxos de Recebimento'!$F$65:$F$116, 0), MATCH(Curvas!AO$2, 'Fluxos de Recebimento'!$I$63:$BH$63, 0)),0)*INDEX($E:$E, MATCH(AO$2, $B:$B, 0))</f>
        <v>0</v>
      </c>
      <c r="AP53" s="193">
        <f>IFERROR(INDEX('Fluxos de Recebimento'!$I$7:$BH$58, MATCH(Curvas!$AB53, 'Fluxos de Recebimento'!$F$7:$F$58, 0), MATCH(Curvas!AP$2,'Fluxos de Recebimento'!$I$5:$BH$5, 0))+INDEX('Fluxos de Recebimento'!$I$65:$BH$116, MATCH(Curvas!$AB53, 'Fluxos de Recebimento'!$F$65:$F$116, 0), MATCH(Curvas!AP$2, 'Fluxos de Recebimento'!$I$63:$BH$63, 0)),0)*INDEX($E:$E, MATCH(AP$2, $B:$B, 0))</f>
        <v>0</v>
      </c>
      <c r="AQ53" s="193">
        <f>IFERROR(INDEX('Fluxos de Recebimento'!$I$7:$BH$58, MATCH(Curvas!$AB53, 'Fluxos de Recebimento'!$F$7:$F$58, 0), MATCH(Curvas!AQ$2,'Fluxos de Recebimento'!$I$5:$BH$5, 0))+INDEX('Fluxos de Recebimento'!$I$65:$BH$116, MATCH(Curvas!$AB53, 'Fluxos de Recebimento'!$F$65:$F$116, 0), MATCH(Curvas!AQ$2, 'Fluxos de Recebimento'!$I$63:$BH$63, 0)),0)*INDEX($E:$E, MATCH(AQ$2, $B:$B, 0))</f>
        <v>0</v>
      </c>
      <c r="AR53" s="193">
        <f>IFERROR(INDEX('Fluxos de Recebimento'!$I$7:$BH$58, MATCH(Curvas!$AB53, 'Fluxos de Recebimento'!$F$7:$F$58, 0), MATCH(Curvas!AR$2,'Fluxos de Recebimento'!$I$5:$BH$5, 0))+INDEX('Fluxos de Recebimento'!$I$65:$BH$116, MATCH(Curvas!$AB53, 'Fluxos de Recebimento'!$F$65:$F$116, 0), MATCH(Curvas!AR$2, 'Fluxos de Recebimento'!$I$63:$BH$63, 0)),0)*INDEX($E:$E, MATCH(AR$2, $B:$B, 0))</f>
        <v>0</v>
      </c>
      <c r="AS53" s="193">
        <f>IFERROR(INDEX('Fluxos de Recebimento'!$I$7:$BH$58, MATCH(Curvas!$AB53, 'Fluxos de Recebimento'!$F$7:$F$58, 0), MATCH(Curvas!AS$2,'Fluxos de Recebimento'!$I$5:$BH$5, 0))+INDEX('Fluxos de Recebimento'!$I$65:$BH$116, MATCH(Curvas!$AB53, 'Fluxos de Recebimento'!$F$65:$F$116, 0), MATCH(Curvas!AS$2, 'Fluxos de Recebimento'!$I$63:$BH$63, 0)),0)*INDEX($E:$E, MATCH(AS$2, $B:$B, 0))</f>
        <v>0</v>
      </c>
      <c r="AT53" s="193">
        <f>IFERROR(INDEX('Fluxos de Recebimento'!$I$7:$BH$58, MATCH(Curvas!$AB53, 'Fluxos de Recebimento'!$F$7:$F$58, 0), MATCH(Curvas!AT$2,'Fluxos de Recebimento'!$I$5:$BH$5, 0))+INDEX('Fluxos de Recebimento'!$I$65:$BH$116, MATCH(Curvas!$AB53, 'Fluxos de Recebimento'!$F$65:$F$116, 0), MATCH(Curvas!AT$2, 'Fluxos de Recebimento'!$I$63:$BH$63, 0)),0)*INDEX($E:$E, MATCH(AT$2, $B:$B, 0))</f>
        <v>0</v>
      </c>
      <c r="AU53" s="193">
        <f>IFERROR(INDEX('Fluxos de Recebimento'!$I$7:$BH$58, MATCH(Curvas!$AB53, 'Fluxos de Recebimento'!$F$7:$F$58, 0), MATCH(Curvas!AU$2,'Fluxos de Recebimento'!$I$5:$BH$5, 0))+INDEX('Fluxos de Recebimento'!$I$65:$BH$116, MATCH(Curvas!$AB53, 'Fluxos de Recebimento'!$F$65:$F$116, 0), MATCH(Curvas!AU$2, 'Fluxos de Recebimento'!$I$63:$BH$63, 0)),0)*INDEX($E:$E, MATCH(AU$2, $B:$B, 0))</f>
        <v>0</v>
      </c>
      <c r="AV53" s="193">
        <f>IFERROR(INDEX('Fluxos de Recebimento'!$I$7:$BH$58, MATCH(Curvas!$AB53, 'Fluxos de Recebimento'!$F$7:$F$58, 0), MATCH(Curvas!AV$2,'Fluxos de Recebimento'!$I$5:$BH$5, 0))+INDEX('Fluxos de Recebimento'!$I$65:$BH$116, MATCH(Curvas!$AB53, 'Fluxos de Recebimento'!$F$65:$F$116, 0), MATCH(Curvas!AV$2, 'Fluxos de Recebimento'!$I$63:$BH$63, 0)),0)*INDEX($E:$E, MATCH(AV$2, $B:$B, 0))</f>
        <v>0</v>
      </c>
      <c r="AW53" s="193">
        <f>IFERROR(INDEX('Fluxos de Recebimento'!$I$7:$BH$58, MATCH(Curvas!$AB53, 'Fluxos de Recebimento'!$F$7:$F$58, 0), MATCH(Curvas!AW$2,'Fluxos de Recebimento'!$I$5:$BH$5, 0))+INDEX('Fluxos de Recebimento'!$I$65:$BH$116, MATCH(Curvas!$AB53, 'Fluxos de Recebimento'!$F$65:$F$116, 0), MATCH(Curvas!AW$2, 'Fluxos de Recebimento'!$I$63:$BH$63, 0)),0)*INDEX($E:$E, MATCH(AW$2, $B:$B, 0))</f>
        <v>0</v>
      </c>
      <c r="AX53" s="193">
        <f>IFERROR(INDEX('Fluxos de Recebimento'!$I$7:$BH$58, MATCH(Curvas!$AB53, 'Fluxos de Recebimento'!$F$7:$F$58, 0), MATCH(Curvas!AX$2,'Fluxos de Recebimento'!$I$5:$BH$5, 0))+INDEX('Fluxos de Recebimento'!$I$65:$BH$116, MATCH(Curvas!$AB53, 'Fluxos de Recebimento'!$F$65:$F$116, 0), MATCH(Curvas!AX$2, 'Fluxos de Recebimento'!$I$63:$BH$63, 0)),0)*INDEX($E:$E, MATCH(AX$2, $B:$B, 0))</f>
        <v>0</v>
      </c>
      <c r="AY53" s="193">
        <f>IFERROR(INDEX('Fluxos de Recebimento'!$I$7:$BH$58, MATCH(Curvas!$AB53, 'Fluxos de Recebimento'!$F$7:$F$58, 0), MATCH(Curvas!AY$2,'Fluxos de Recebimento'!$I$5:$BH$5, 0))+INDEX('Fluxos de Recebimento'!$I$65:$BH$116, MATCH(Curvas!$AB53, 'Fluxos de Recebimento'!$F$65:$F$116, 0), MATCH(Curvas!AY$2, 'Fluxos de Recebimento'!$I$63:$BH$63, 0)),0)*INDEX($E:$E, MATCH(AY$2, $B:$B, 0))</f>
        <v>0</v>
      </c>
      <c r="AZ53" s="193">
        <f>IFERROR(INDEX('Fluxos de Recebimento'!$I$7:$BH$58, MATCH(Curvas!$AB53, 'Fluxos de Recebimento'!$F$7:$F$58, 0), MATCH(Curvas!AZ$2,'Fluxos de Recebimento'!$I$5:$BH$5, 0))+INDEX('Fluxos de Recebimento'!$I$65:$BH$116, MATCH(Curvas!$AB53, 'Fluxos de Recebimento'!$F$65:$F$116, 0), MATCH(Curvas!AZ$2, 'Fluxos de Recebimento'!$I$63:$BH$63, 0)),0)*INDEX($E:$E, MATCH(AZ$2, $B:$B, 0))</f>
        <v>0</v>
      </c>
      <c r="BA53" s="193">
        <f>IFERROR(INDEX('Fluxos de Recebimento'!$I$7:$BH$58, MATCH(Curvas!$AB53, 'Fluxos de Recebimento'!$F$7:$F$58, 0), MATCH(Curvas!BA$2,'Fluxos de Recebimento'!$I$5:$BH$5, 0))+INDEX('Fluxos de Recebimento'!$I$65:$BH$116, MATCH(Curvas!$AB53, 'Fluxos de Recebimento'!$F$65:$F$116, 0), MATCH(Curvas!BA$2, 'Fluxos de Recebimento'!$I$63:$BH$63, 0)),0)*INDEX($E:$E, MATCH(BA$2, $B:$B, 0))</f>
        <v>0</v>
      </c>
      <c r="BB53" s="193">
        <f>IFERROR(INDEX('Fluxos de Recebimento'!$I$7:$BH$58, MATCH(Curvas!$AB53, 'Fluxos de Recebimento'!$F$7:$F$58, 0), MATCH(Curvas!BB$2,'Fluxos de Recebimento'!$I$5:$BH$5, 0))+INDEX('Fluxos de Recebimento'!$I$65:$BH$116, MATCH(Curvas!$AB53, 'Fluxos de Recebimento'!$F$65:$F$116, 0), MATCH(Curvas!BB$2, 'Fluxos de Recebimento'!$I$63:$BH$63, 0)),0)*INDEX($E:$E, MATCH(BB$2, $B:$B, 0))</f>
        <v>0</v>
      </c>
      <c r="BC53" s="193">
        <f>IFERROR(INDEX('Fluxos de Recebimento'!$I$7:$BH$58, MATCH(Curvas!$AB53, 'Fluxos de Recebimento'!$F$7:$F$58, 0), MATCH(Curvas!BC$2,'Fluxos de Recebimento'!$I$5:$BH$5, 0))+INDEX('Fluxos de Recebimento'!$I$65:$BH$116, MATCH(Curvas!$AB53, 'Fluxos de Recebimento'!$F$65:$F$116, 0), MATCH(Curvas!BC$2, 'Fluxos de Recebimento'!$I$63:$BH$63, 0)),0)*INDEX($E:$E, MATCH(BC$2, $B:$B, 0))</f>
        <v>0</v>
      </c>
      <c r="BD53" s="193">
        <f>IFERROR(INDEX('Fluxos de Recebimento'!$I$7:$BH$58, MATCH(Curvas!$AB53, 'Fluxos de Recebimento'!$F$7:$F$58, 0), MATCH(Curvas!BD$2,'Fluxos de Recebimento'!$I$5:$BH$5, 0))+INDEX('Fluxos de Recebimento'!$I$65:$BH$116, MATCH(Curvas!$AB53, 'Fluxos de Recebimento'!$F$65:$F$116, 0), MATCH(Curvas!BD$2, 'Fluxos de Recebimento'!$I$63:$BH$63, 0)),0)*INDEX($E:$E, MATCH(BD$2, $B:$B, 0))</f>
        <v>0</v>
      </c>
      <c r="BE53" s="193">
        <f>IFERROR(INDEX('Fluxos de Recebimento'!$I$7:$BH$58, MATCH(Curvas!$AB53, 'Fluxos de Recebimento'!$F$7:$F$58, 0), MATCH(Curvas!BE$2,'Fluxos de Recebimento'!$I$5:$BH$5, 0))+INDEX('Fluxos de Recebimento'!$I$65:$BH$116, MATCH(Curvas!$AB53, 'Fluxos de Recebimento'!$F$65:$F$116, 0), MATCH(Curvas!BE$2, 'Fluxos de Recebimento'!$I$63:$BH$63, 0)),0)*INDEX($E:$E, MATCH(BE$2, $B:$B, 0))</f>
        <v>0</v>
      </c>
      <c r="BF53" s="193">
        <f>IFERROR(INDEX('Fluxos de Recebimento'!$I$7:$BH$58, MATCH(Curvas!$AB53, 'Fluxos de Recebimento'!$F$7:$F$58, 0), MATCH(Curvas!BF$2,'Fluxos de Recebimento'!$I$5:$BH$5, 0))+INDEX('Fluxos de Recebimento'!$I$65:$BH$116, MATCH(Curvas!$AB53, 'Fluxos de Recebimento'!$F$65:$F$116, 0), MATCH(Curvas!BF$2, 'Fluxos de Recebimento'!$I$63:$BH$63, 0)),0)*INDEX($E:$E, MATCH(BF$2, $B:$B, 0))</f>
        <v>0</v>
      </c>
      <c r="BG53" s="193">
        <f>IFERROR(INDEX('Fluxos de Recebimento'!$I$7:$BH$58, MATCH(Curvas!$AB53, 'Fluxos de Recebimento'!$F$7:$F$58, 0), MATCH(Curvas!BG$2,'Fluxos de Recebimento'!$I$5:$BH$5, 0))+INDEX('Fluxos de Recebimento'!$I$65:$BH$116, MATCH(Curvas!$AB53, 'Fluxos de Recebimento'!$F$65:$F$116, 0), MATCH(Curvas!BG$2, 'Fluxos de Recebimento'!$I$63:$BH$63, 0)),0)*INDEX($E:$E, MATCH(BG$2, $B:$B, 0))</f>
        <v>0</v>
      </c>
      <c r="BH53" s="193">
        <f>IFERROR(INDEX('Fluxos de Recebimento'!$I$7:$BH$58, MATCH(Curvas!$AB53, 'Fluxos de Recebimento'!$F$7:$F$58, 0), MATCH(Curvas!BH$2,'Fluxos de Recebimento'!$I$5:$BH$5, 0))+INDEX('Fluxos de Recebimento'!$I$65:$BH$116, MATCH(Curvas!$AB53, 'Fluxos de Recebimento'!$F$65:$F$116, 0), MATCH(Curvas!BH$2, 'Fluxos de Recebimento'!$I$63:$BH$63, 0)),0)*INDEX($E:$E, MATCH(BH$2, $B:$B, 0))</f>
        <v>0</v>
      </c>
      <c r="BI53" s="193">
        <f>IFERROR(INDEX('Fluxos de Recebimento'!$I$7:$BH$58, MATCH(Curvas!$AB53, 'Fluxos de Recebimento'!$F$7:$F$58, 0), MATCH(Curvas!BI$2,'Fluxos de Recebimento'!$I$5:$BH$5, 0))+INDEX('Fluxos de Recebimento'!$I$65:$BH$116, MATCH(Curvas!$AB53, 'Fluxos de Recebimento'!$F$65:$F$116, 0), MATCH(Curvas!BI$2, 'Fluxos de Recebimento'!$I$63:$BH$63, 0)),0)*INDEX($E:$E, MATCH(BI$2, $B:$B, 0))</f>
        <v>0</v>
      </c>
      <c r="BJ53" s="193">
        <f>IFERROR(INDEX('Fluxos de Recebimento'!$I$7:$BH$58, MATCH(Curvas!$AB53, 'Fluxos de Recebimento'!$F$7:$F$58, 0), MATCH(Curvas!BJ$2,'Fluxos de Recebimento'!$I$5:$BH$5, 0))+INDEX('Fluxos de Recebimento'!$I$65:$BH$116, MATCH(Curvas!$AB53, 'Fluxos de Recebimento'!$F$65:$F$116, 0), MATCH(Curvas!BJ$2, 'Fluxos de Recebimento'!$I$63:$BH$63, 0)),0)*INDEX($E:$E, MATCH(BJ$2, $B:$B, 0))</f>
        <v>0</v>
      </c>
      <c r="BK53" s="193">
        <f>IFERROR(INDEX('Fluxos de Recebimento'!$I$7:$BH$58, MATCH(Curvas!$AB53, 'Fluxos de Recebimento'!$F$7:$F$58, 0), MATCH(Curvas!BK$2,'Fluxos de Recebimento'!$I$5:$BH$5, 0))+INDEX('Fluxos de Recebimento'!$I$65:$BH$116, MATCH(Curvas!$AB53, 'Fluxos de Recebimento'!$F$65:$F$116, 0), MATCH(Curvas!BK$2, 'Fluxos de Recebimento'!$I$63:$BH$63, 0)),0)*INDEX($E:$E, MATCH(BK$2, $B:$B, 0))</f>
        <v>0</v>
      </c>
      <c r="BL53" s="193">
        <f>IFERROR(INDEX('Fluxos de Recebimento'!$I$7:$BH$58, MATCH(Curvas!$AB53, 'Fluxos de Recebimento'!$F$7:$F$58, 0), MATCH(Curvas!BL$2,'Fluxos de Recebimento'!$I$5:$BH$5, 0))+INDEX('Fluxos de Recebimento'!$I$65:$BH$116, MATCH(Curvas!$AB53, 'Fluxos de Recebimento'!$F$65:$F$116, 0), MATCH(Curvas!BL$2, 'Fluxos de Recebimento'!$I$63:$BH$63, 0)),0)*INDEX($E:$E, MATCH(BL$2, $B:$B, 0))</f>
        <v>0</v>
      </c>
      <c r="BM53" s="193">
        <f>IFERROR(INDEX('Fluxos de Recebimento'!$I$7:$BH$58, MATCH(Curvas!$AB53, 'Fluxos de Recebimento'!$F$7:$F$58, 0), MATCH(Curvas!BM$2,'Fluxos de Recebimento'!$I$5:$BH$5, 0))+INDEX('Fluxos de Recebimento'!$I$65:$BH$116, MATCH(Curvas!$AB53, 'Fluxos de Recebimento'!$F$65:$F$116, 0), MATCH(Curvas!BM$2, 'Fluxos de Recebimento'!$I$63:$BH$63, 0)),0)*INDEX($E:$E, MATCH(BM$2, $B:$B, 0))</f>
        <v>0</v>
      </c>
      <c r="BN53" s="193">
        <f>IFERROR(INDEX('Fluxos de Recebimento'!$I$7:$BH$58, MATCH(Curvas!$AB53, 'Fluxos de Recebimento'!$F$7:$F$58, 0), MATCH(Curvas!BN$2,'Fluxos de Recebimento'!$I$5:$BH$5, 0))+INDEX('Fluxos de Recebimento'!$I$65:$BH$116, MATCH(Curvas!$AB53, 'Fluxos de Recebimento'!$F$65:$F$116, 0), MATCH(Curvas!BN$2, 'Fluxos de Recebimento'!$I$63:$BH$63, 0)),0)*INDEX($E:$E, MATCH(BN$2, $B:$B, 0))</f>
        <v>0</v>
      </c>
      <c r="BO53" s="193">
        <f>IFERROR(INDEX('Fluxos de Recebimento'!$I$7:$BH$58, MATCH(Curvas!$AB53, 'Fluxos de Recebimento'!$F$7:$F$58, 0), MATCH(Curvas!BO$2,'Fluxos de Recebimento'!$I$5:$BH$5, 0))+INDEX('Fluxos de Recebimento'!$I$65:$BH$116, MATCH(Curvas!$AB53, 'Fluxos de Recebimento'!$F$65:$F$116, 0), MATCH(Curvas!BO$2, 'Fluxos de Recebimento'!$I$63:$BH$63, 0)),0)*INDEX($E:$E, MATCH(BO$2, $B:$B, 0))</f>
        <v>0</v>
      </c>
      <c r="BP53" s="193">
        <f>IFERROR(INDEX('Fluxos de Recebimento'!$I$7:$BH$58, MATCH(Curvas!$AB53, 'Fluxos de Recebimento'!$F$7:$F$58, 0), MATCH(Curvas!BP$2,'Fluxos de Recebimento'!$I$5:$BH$5, 0))+INDEX('Fluxos de Recebimento'!$I$65:$BH$116, MATCH(Curvas!$AB53, 'Fluxos de Recebimento'!$F$65:$F$116, 0), MATCH(Curvas!BP$2, 'Fluxos de Recebimento'!$I$63:$BH$63, 0)),0)*INDEX($E:$E, MATCH(BP$2, $B:$B, 0))</f>
        <v>0</v>
      </c>
      <c r="BQ53" s="193">
        <f>IFERROR(INDEX('Fluxos de Recebimento'!$I$7:$BH$58, MATCH(Curvas!$AB53, 'Fluxos de Recebimento'!$F$7:$F$58, 0), MATCH(Curvas!BQ$2,'Fluxos de Recebimento'!$I$5:$BH$5, 0))+INDEX('Fluxos de Recebimento'!$I$65:$BH$116, MATCH(Curvas!$AB53, 'Fluxos de Recebimento'!$F$65:$F$116, 0), MATCH(Curvas!BQ$2, 'Fluxos de Recebimento'!$I$63:$BH$63, 0)),0)*INDEX($E:$E, MATCH(BQ$2, $B:$B, 0))</f>
        <v>0</v>
      </c>
      <c r="BR53" s="193">
        <f>IFERROR(INDEX('Fluxos de Recebimento'!$I$7:$BH$58, MATCH(Curvas!$AB53, 'Fluxos de Recebimento'!$F$7:$F$58, 0), MATCH(Curvas!BR$2,'Fluxos de Recebimento'!$I$5:$BH$5, 0))+INDEX('Fluxos de Recebimento'!$I$65:$BH$116, MATCH(Curvas!$AB53, 'Fluxos de Recebimento'!$F$65:$F$116, 0), MATCH(Curvas!BR$2, 'Fluxos de Recebimento'!$I$63:$BH$63, 0)),0)*INDEX($E:$E, MATCH(BR$2, $B:$B, 0))</f>
        <v>0</v>
      </c>
      <c r="BS53" s="193">
        <f>IFERROR(INDEX('Fluxos de Recebimento'!$I$7:$BH$58, MATCH(Curvas!$AB53, 'Fluxos de Recebimento'!$F$7:$F$58, 0), MATCH(Curvas!BS$2,'Fluxos de Recebimento'!$I$5:$BH$5, 0))+INDEX('Fluxos de Recebimento'!$I$65:$BH$116, MATCH(Curvas!$AB53, 'Fluxos de Recebimento'!$F$65:$F$116, 0), MATCH(Curvas!BS$2, 'Fluxos de Recebimento'!$I$63:$BH$63, 0)),0)*INDEX($E:$E, MATCH(BS$2, $B:$B, 0))</f>
        <v>0</v>
      </c>
      <c r="BT53" s="193">
        <f>IFERROR(INDEX('Fluxos de Recebimento'!$I$7:$BH$58, MATCH(Curvas!$AB53, 'Fluxos de Recebimento'!$F$7:$F$58, 0), MATCH(Curvas!BT$2,'Fluxos de Recebimento'!$I$5:$BH$5, 0))+INDEX('Fluxos de Recebimento'!$I$65:$BH$116, MATCH(Curvas!$AB53, 'Fluxos de Recebimento'!$F$65:$F$116, 0), MATCH(Curvas!BT$2, 'Fluxos de Recebimento'!$I$63:$BH$63, 0)),0)*INDEX($E:$E, MATCH(BT$2, $B:$B, 0))</f>
        <v>0</v>
      </c>
      <c r="BU53" s="193">
        <f>IFERROR(INDEX('Fluxos de Recebimento'!$I$7:$BH$58, MATCH(Curvas!$AB53, 'Fluxos de Recebimento'!$F$7:$F$58, 0), MATCH(Curvas!BU$2,'Fluxos de Recebimento'!$I$5:$BH$5, 0))+INDEX('Fluxos de Recebimento'!$I$65:$BH$116, MATCH(Curvas!$AB53, 'Fluxos de Recebimento'!$F$65:$F$116, 0), MATCH(Curvas!BU$2, 'Fluxos de Recebimento'!$I$63:$BH$63, 0)),0)*INDEX($E:$E, MATCH(BU$2, $B:$B, 0))</f>
        <v>0</v>
      </c>
      <c r="BV53" s="193">
        <f>IFERROR(INDEX('Fluxos de Recebimento'!$I$7:$BH$58, MATCH(Curvas!$AB53, 'Fluxos de Recebimento'!$F$7:$F$58, 0), MATCH(Curvas!BV$2,'Fluxos de Recebimento'!$I$5:$BH$5, 0))+INDEX('Fluxos de Recebimento'!$I$65:$BH$116, MATCH(Curvas!$AB53, 'Fluxos de Recebimento'!$F$65:$F$116, 0), MATCH(Curvas!BV$2, 'Fluxos de Recebimento'!$I$63:$BH$63, 0)),0)*INDEX($E:$E, MATCH(BV$2, $B:$B, 0))</f>
        <v>0</v>
      </c>
      <c r="BW53" s="193">
        <f>IFERROR(INDEX('Fluxos de Recebimento'!$I$7:$BH$58, MATCH(Curvas!$AB53, 'Fluxos de Recebimento'!$F$7:$F$58, 0), MATCH(Curvas!BW$2,'Fluxos de Recebimento'!$I$5:$BH$5, 0))+INDEX('Fluxos de Recebimento'!$I$65:$BH$116, MATCH(Curvas!$AB53, 'Fluxos de Recebimento'!$F$65:$F$116, 0), MATCH(Curvas!BW$2, 'Fluxos de Recebimento'!$I$63:$BH$63, 0)),0)*INDEX($E:$E, MATCH(BW$2, $B:$B, 0))</f>
        <v>0</v>
      </c>
      <c r="BX53" s="193">
        <f>IFERROR(INDEX('Fluxos de Recebimento'!$I$7:$BH$58, MATCH(Curvas!$AB53, 'Fluxos de Recebimento'!$F$7:$F$58, 0), MATCH(Curvas!BX$2,'Fluxos de Recebimento'!$I$5:$BH$5, 0))+INDEX('Fluxos de Recebimento'!$I$65:$BH$116, MATCH(Curvas!$AB53, 'Fluxos de Recebimento'!$F$65:$F$116, 0), MATCH(Curvas!BX$2, 'Fluxos de Recebimento'!$I$63:$BH$63, 0)),0)*INDEX($E:$E, MATCH(BX$2, $B:$B, 0))</f>
        <v>0</v>
      </c>
      <c r="BY53" s="193">
        <f>IFERROR(INDEX('Fluxos de Recebimento'!$I$7:$BH$58, MATCH(Curvas!$AB53, 'Fluxos de Recebimento'!$F$7:$F$58, 0), MATCH(Curvas!BY$2,'Fluxos de Recebimento'!$I$5:$BH$5, 0))+INDEX('Fluxos de Recebimento'!$I$65:$BH$116, MATCH(Curvas!$AB53, 'Fluxos de Recebimento'!$F$65:$F$116, 0), MATCH(Curvas!BY$2, 'Fluxos de Recebimento'!$I$63:$BH$63, 0)),0)*INDEX($E:$E, MATCH(BY$2, $B:$B, 0))</f>
        <v>0</v>
      </c>
      <c r="BZ53" s="193">
        <f>IFERROR(INDEX('Fluxos de Recebimento'!$I$7:$BH$58, MATCH(Curvas!$AB53, 'Fluxos de Recebimento'!$F$7:$F$58, 0), MATCH(Curvas!BZ$2,'Fluxos de Recebimento'!$I$5:$BH$5, 0))+INDEX('Fluxos de Recebimento'!$I$65:$BH$116, MATCH(Curvas!$AB53, 'Fluxos de Recebimento'!$F$65:$F$116, 0), MATCH(Curvas!BZ$2, 'Fluxos de Recebimento'!$I$63:$BH$63, 0)),0)*INDEX($E:$E, MATCH(BZ$2, $B:$B, 0))</f>
        <v>0</v>
      </c>
      <c r="CA53" s="193">
        <f>IFERROR(INDEX('Fluxos de Recebimento'!$I$7:$BH$58, MATCH(Curvas!$AB53, 'Fluxos de Recebimento'!$F$7:$F$58, 0), MATCH(Curvas!CA$2,'Fluxos de Recebimento'!$I$5:$BH$5, 0))+INDEX('Fluxos de Recebimento'!$I$65:$BH$116, MATCH(Curvas!$AB53, 'Fluxos de Recebimento'!$F$65:$F$116, 0), MATCH(Curvas!CA$2, 'Fluxos de Recebimento'!$I$63:$BH$63, 0)),0)*INDEX($E:$E, MATCH(CA$2, $B:$B, 0))</f>
        <v>0</v>
      </c>
      <c r="CB53" s="193">
        <f>IFERROR(INDEX('Fluxos de Recebimento'!$I$7:$BH$58, MATCH(Curvas!$AB53, 'Fluxos de Recebimento'!$F$7:$F$58, 0), MATCH(Curvas!CB$2,'Fluxos de Recebimento'!$I$5:$BH$5, 0))+INDEX('Fluxos de Recebimento'!$I$65:$BH$116, MATCH(Curvas!$AB53, 'Fluxos de Recebimento'!$F$65:$F$116, 0), MATCH(Curvas!CB$2, 'Fluxos de Recebimento'!$I$63:$BH$63, 0)),0)*INDEX($E:$E, MATCH(CB$2, $B:$B, 0))</f>
        <v>0</v>
      </c>
      <c r="CC53" s="193">
        <f>IFERROR(INDEX('Fluxos de Recebimento'!$I$7:$BH$58, MATCH(Curvas!$AB53, 'Fluxos de Recebimento'!$F$7:$F$58, 0), MATCH(Curvas!CC$2,'Fluxos de Recebimento'!$I$5:$BH$5, 0))+INDEX('Fluxos de Recebimento'!$I$65:$BH$116, MATCH(Curvas!$AB53, 'Fluxos de Recebimento'!$F$65:$F$116, 0), MATCH(Curvas!CC$2, 'Fluxos de Recebimento'!$I$63:$BH$63, 0)),0)*INDEX($E:$E, MATCH(CC$2, $B:$B, 0))</f>
        <v>0</v>
      </c>
    </row>
    <row r="54" spans="1:81" x14ac:dyDescent="0.25">
      <c r="A54" s="2"/>
      <c r="B54" s="477">
        <f t="shared" si="34"/>
        <v>45689</v>
      </c>
      <c r="C54" s="52">
        <f t="shared" si="35"/>
        <v>51</v>
      </c>
      <c r="D54" s="2"/>
      <c r="E54" s="187">
        <f t="shared" si="22"/>
        <v>0</v>
      </c>
      <c r="F54" s="48">
        <f t="shared" si="36"/>
        <v>0.99999999999999978</v>
      </c>
      <c r="G54" s="46">
        <f t="shared" ca="1" si="23"/>
        <v>0</v>
      </c>
      <c r="H54" s="48">
        <f t="shared" ca="1" si="37"/>
        <v>0.99999999999999989</v>
      </c>
      <c r="I54" s="2"/>
      <c r="J54" s="69">
        <f t="shared" ca="1" si="24"/>
        <v>0</v>
      </c>
      <c r="K54" s="479">
        <f t="shared" ca="1" si="25"/>
        <v>0</v>
      </c>
      <c r="L54" s="70">
        <f t="shared" ca="1" si="26"/>
        <v>0</v>
      </c>
      <c r="M54" s="2"/>
      <c r="N54" s="69">
        <f t="shared" si="27"/>
        <v>1</v>
      </c>
      <c r="O54" s="479">
        <f t="shared" si="28"/>
        <v>0</v>
      </c>
      <c r="P54" s="70">
        <f t="shared" si="29"/>
        <v>1</v>
      </c>
      <c r="Q54" s="2"/>
      <c r="R54" s="71">
        <f t="shared" ca="1" si="30"/>
        <v>1</v>
      </c>
      <c r="S54" s="196"/>
      <c r="T54" s="46">
        <v>0</v>
      </c>
      <c r="U54" s="48">
        <f t="shared" si="38"/>
        <v>0.99999999999999978</v>
      </c>
      <c r="V54" s="2"/>
      <c r="W54" s="56"/>
      <c r="X54" s="48"/>
      <c r="Y54" s="2"/>
      <c r="Z54" s="194">
        <f t="shared" si="31"/>
        <v>0</v>
      </c>
      <c r="AA54" s="2"/>
      <c r="AB54" s="477">
        <f t="shared" si="32"/>
        <v>45689</v>
      </c>
      <c r="AC54" s="52">
        <f t="shared" si="33"/>
        <v>51</v>
      </c>
      <c r="AD54" s="193">
        <f>IFERROR(INDEX('Fluxos de Recebimento'!$I$7:$BH$58, MATCH(Curvas!$AB54, 'Fluxos de Recebimento'!$F$7:$F$58, 0), MATCH(Curvas!AD$2,'Fluxos de Recebimento'!$I$5:$BH$5, 0))+INDEX('Fluxos de Recebimento'!$I$65:$BH$116, MATCH(Curvas!$AB54, 'Fluxos de Recebimento'!$F$65:$F$116, 0), MATCH(Curvas!AD$2, 'Fluxos de Recebimento'!$I$63:$BH$63, 0)),0)*INDEX($E:$E, MATCH(AD$2, $B:$B, 0))</f>
        <v>0</v>
      </c>
      <c r="AE54" s="193">
        <f>IFERROR(INDEX('Fluxos de Recebimento'!$I$7:$BH$58, MATCH(Curvas!$AB54, 'Fluxos de Recebimento'!$F$7:$F$58, 0), MATCH(Curvas!AE$2,'Fluxos de Recebimento'!$I$5:$BH$5, 0))+INDEX('Fluxos de Recebimento'!$I$65:$BH$116, MATCH(Curvas!$AB54, 'Fluxos de Recebimento'!$F$65:$F$116, 0), MATCH(Curvas!AE$2, 'Fluxos de Recebimento'!$I$63:$BH$63, 0)),0)*INDEX($E:$E, MATCH(AE$2, $B:$B, 0))</f>
        <v>0</v>
      </c>
      <c r="AF54" s="193">
        <f>IFERROR(INDEX('Fluxos de Recebimento'!$I$7:$BH$58, MATCH(Curvas!$AB54, 'Fluxos de Recebimento'!$F$7:$F$58, 0), MATCH(Curvas!AF$2,'Fluxos de Recebimento'!$I$5:$BH$5, 0))+INDEX('Fluxos de Recebimento'!$I$65:$BH$116, MATCH(Curvas!$AB54, 'Fluxos de Recebimento'!$F$65:$F$116, 0), MATCH(Curvas!AF$2, 'Fluxos de Recebimento'!$I$63:$BH$63, 0)),0)*INDEX($E:$E, MATCH(AF$2, $B:$B, 0))</f>
        <v>0</v>
      </c>
      <c r="AG54" s="193">
        <f>IFERROR(INDEX('Fluxos de Recebimento'!$I$7:$BH$58, MATCH(Curvas!$AB54, 'Fluxos de Recebimento'!$F$7:$F$58, 0), MATCH(Curvas!AG$2,'Fluxos de Recebimento'!$I$5:$BH$5, 0))+INDEX('Fluxos de Recebimento'!$I$65:$BH$116, MATCH(Curvas!$AB54, 'Fluxos de Recebimento'!$F$65:$F$116, 0), MATCH(Curvas!AG$2, 'Fluxos de Recebimento'!$I$63:$BH$63, 0)),0)*INDEX($E:$E, MATCH(AG$2, $B:$B, 0))</f>
        <v>0</v>
      </c>
      <c r="AH54" s="193">
        <f>IFERROR(INDEX('Fluxos de Recebimento'!$I$7:$BH$58, MATCH(Curvas!$AB54, 'Fluxos de Recebimento'!$F$7:$F$58, 0), MATCH(Curvas!AH$2,'Fluxos de Recebimento'!$I$5:$BH$5, 0))+INDEX('Fluxos de Recebimento'!$I$65:$BH$116, MATCH(Curvas!$AB54, 'Fluxos de Recebimento'!$F$65:$F$116, 0), MATCH(Curvas!AH$2, 'Fluxos de Recebimento'!$I$63:$BH$63, 0)),0)*INDEX($E:$E, MATCH(AH$2, $B:$B, 0))</f>
        <v>0</v>
      </c>
      <c r="AI54" s="193">
        <f>IFERROR(INDEX('Fluxos de Recebimento'!$I$7:$BH$58, MATCH(Curvas!$AB54, 'Fluxos de Recebimento'!$F$7:$F$58, 0), MATCH(Curvas!AI$2,'Fluxos de Recebimento'!$I$5:$BH$5, 0))+INDEX('Fluxos de Recebimento'!$I$65:$BH$116, MATCH(Curvas!$AB54, 'Fluxos de Recebimento'!$F$65:$F$116, 0), MATCH(Curvas!AI$2, 'Fluxos de Recebimento'!$I$63:$BH$63, 0)),0)*INDEX($E:$E, MATCH(AI$2, $B:$B, 0))</f>
        <v>0</v>
      </c>
      <c r="AJ54" s="193">
        <f>IFERROR(INDEX('Fluxos de Recebimento'!$I$7:$BH$58, MATCH(Curvas!$AB54, 'Fluxos de Recebimento'!$F$7:$F$58, 0), MATCH(Curvas!AJ$2,'Fluxos de Recebimento'!$I$5:$BH$5, 0))+INDEX('Fluxos de Recebimento'!$I$65:$BH$116, MATCH(Curvas!$AB54, 'Fluxos de Recebimento'!$F$65:$F$116, 0), MATCH(Curvas!AJ$2, 'Fluxos de Recebimento'!$I$63:$BH$63, 0)),0)*INDEX($E:$E, MATCH(AJ$2, $B:$B, 0))</f>
        <v>0</v>
      </c>
      <c r="AK54" s="193">
        <f>IFERROR(INDEX('Fluxos de Recebimento'!$I$7:$BH$58, MATCH(Curvas!$AB54, 'Fluxos de Recebimento'!$F$7:$F$58, 0), MATCH(Curvas!AK$2,'Fluxos de Recebimento'!$I$5:$BH$5, 0))+INDEX('Fluxos de Recebimento'!$I$65:$BH$116, MATCH(Curvas!$AB54, 'Fluxos de Recebimento'!$F$65:$F$116, 0), MATCH(Curvas!AK$2, 'Fluxos de Recebimento'!$I$63:$BH$63, 0)),0)*INDEX($E:$E, MATCH(AK$2, $B:$B, 0))</f>
        <v>0</v>
      </c>
      <c r="AL54" s="193">
        <f>IFERROR(INDEX('Fluxos de Recebimento'!$I$7:$BH$58, MATCH(Curvas!$AB54, 'Fluxos de Recebimento'!$F$7:$F$58, 0), MATCH(Curvas!AL$2,'Fluxos de Recebimento'!$I$5:$BH$5, 0))+INDEX('Fluxos de Recebimento'!$I$65:$BH$116, MATCH(Curvas!$AB54, 'Fluxos de Recebimento'!$F$65:$F$116, 0), MATCH(Curvas!AL$2, 'Fluxos de Recebimento'!$I$63:$BH$63, 0)),0)*INDEX($E:$E, MATCH(AL$2, $B:$B, 0))</f>
        <v>0</v>
      </c>
      <c r="AM54" s="193">
        <f>IFERROR(INDEX('Fluxos de Recebimento'!$I$7:$BH$58, MATCH(Curvas!$AB54, 'Fluxos de Recebimento'!$F$7:$F$58, 0), MATCH(Curvas!AM$2,'Fluxos de Recebimento'!$I$5:$BH$5, 0))+INDEX('Fluxos de Recebimento'!$I$65:$BH$116, MATCH(Curvas!$AB54, 'Fluxos de Recebimento'!$F$65:$F$116, 0), MATCH(Curvas!AM$2, 'Fluxos de Recebimento'!$I$63:$BH$63, 0)),0)*INDEX($E:$E, MATCH(AM$2, $B:$B, 0))</f>
        <v>0</v>
      </c>
      <c r="AN54" s="193">
        <f>IFERROR(INDEX('Fluxos de Recebimento'!$I$7:$BH$58, MATCH(Curvas!$AB54, 'Fluxos de Recebimento'!$F$7:$F$58, 0), MATCH(Curvas!AN$2,'Fluxos de Recebimento'!$I$5:$BH$5, 0))+INDEX('Fluxos de Recebimento'!$I$65:$BH$116, MATCH(Curvas!$AB54, 'Fluxos de Recebimento'!$F$65:$F$116, 0), MATCH(Curvas!AN$2, 'Fluxos de Recebimento'!$I$63:$BH$63, 0)),0)*INDEX($E:$E, MATCH(AN$2, $B:$B, 0))</f>
        <v>0</v>
      </c>
      <c r="AO54" s="193">
        <f>IFERROR(INDEX('Fluxos de Recebimento'!$I$7:$BH$58, MATCH(Curvas!$AB54, 'Fluxos de Recebimento'!$F$7:$F$58, 0), MATCH(Curvas!AO$2,'Fluxos de Recebimento'!$I$5:$BH$5, 0))+INDEX('Fluxos de Recebimento'!$I$65:$BH$116, MATCH(Curvas!$AB54, 'Fluxos de Recebimento'!$F$65:$F$116, 0), MATCH(Curvas!AO$2, 'Fluxos de Recebimento'!$I$63:$BH$63, 0)),0)*INDEX($E:$E, MATCH(AO$2, $B:$B, 0))</f>
        <v>0</v>
      </c>
      <c r="AP54" s="193">
        <f>IFERROR(INDEX('Fluxos de Recebimento'!$I$7:$BH$58, MATCH(Curvas!$AB54, 'Fluxos de Recebimento'!$F$7:$F$58, 0), MATCH(Curvas!AP$2,'Fluxos de Recebimento'!$I$5:$BH$5, 0))+INDEX('Fluxos de Recebimento'!$I$65:$BH$116, MATCH(Curvas!$AB54, 'Fluxos de Recebimento'!$F$65:$F$116, 0), MATCH(Curvas!AP$2, 'Fluxos de Recebimento'!$I$63:$BH$63, 0)),0)*INDEX($E:$E, MATCH(AP$2, $B:$B, 0))</f>
        <v>0</v>
      </c>
      <c r="AQ54" s="193">
        <f>IFERROR(INDEX('Fluxos de Recebimento'!$I$7:$BH$58, MATCH(Curvas!$AB54, 'Fluxos de Recebimento'!$F$7:$F$58, 0), MATCH(Curvas!AQ$2,'Fluxos de Recebimento'!$I$5:$BH$5, 0))+INDEX('Fluxos de Recebimento'!$I$65:$BH$116, MATCH(Curvas!$AB54, 'Fluxos de Recebimento'!$F$65:$F$116, 0), MATCH(Curvas!AQ$2, 'Fluxos de Recebimento'!$I$63:$BH$63, 0)),0)*INDEX($E:$E, MATCH(AQ$2, $B:$B, 0))</f>
        <v>0</v>
      </c>
      <c r="AR54" s="193">
        <f>IFERROR(INDEX('Fluxos de Recebimento'!$I$7:$BH$58, MATCH(Curvas!$AB54, 'Fluxos de Recebimento'!$F$7:$F$58, 0), MATCH(Curvas!AR$2,'Fluxos de Recebimento'!$I$5:$BH$5, 0))+INDEX('Fluxos de Recebimento'!$I$65:$BH$116, MATCH(Curvas!$AB54, 'Fluxos de Recebimento'!$F$65:$F$116, 0), MATCH(Curvas!AR$2, 'Fluxos de Recebimento'!$I$63:$BH$63, 0)),0)*INDEX($E:$E, MATCH(AR$2, $B:$B, 0))</f>
        <v>0</v>
      </c>
      <c r="AS54" s="193">
        <f>IFERROR(INDEX('Fluxos de Recebimento'!$I$7:$BH$58, MATCH(Curvas!$AB54, 'Fluxos de Recebimento'!$F$7:$F$58, 0), MATCH(Curvas!AS$2,'Fluxos de Recebimento'!$I$5:$BH$5, 0))+INDEX('Fluxos de Recebimento'!$I$65:$BH$116, MATCH(Curvas!$AB54, 'Fluxos de Recebimento'!$F$65:$F$116, 0), MATCH(Curvas!AS$2, 'Fluxos de Recebimento'!$I$63:$BH$63, 0)),0)*INDEX($E:$E, MATCH(AS$2, $B:$B, 0))</f>
        <v>0</v>
      </c>
      <c r="AT54" s="193">
        <f>IFERROR(INDEX('Fluxos de Recebimento'!$I$7:$BH$58, MATCH(Curvas!$AB54, 'Fluxos de Recebimento'!$F$7:$F$58, 0), MATCH(Curvas!AT$2,'Fluxos de Recebimento'!$I$5:$BH$5, 0))+INDEX('Fluxos de Recebimento'!$I$65:$BH$116, MATCH(Curvas!$AB54, 'Fluxos de Recebimento'!$F$65:$F$116, 0), MATCH(Curvas!AT$2, 'Fluxos de Recebimento'!$I$63:$BH$63, 0)),0)*INDEX($E:$E, MATCH(AT$2, $B:$B, 0))</f>
        <v>0</v>
      </c>
      <c r="AU54" s="193">
        <f>IFERROR(INDEX('Fluxos de Recebimento'!$I$7:$BH$58, MATCH(Curvas!$AB54, 'Fluxos de Recebimento'!$F$7:$F$58, 0), MATCH(Curvas!AU$2,'Fluxos de Recebimento'!$I$5:$BH$5, 0))+INDEX('Fluxos de Recebimento'!$I$65:$BH$116, MATCH(Curvas!$AB54, 'Fluxos de Recebimento'!$F$65:$F$116, 0), MATCH(Curvas!AU$2, 'Fluxos de Recebimento'!$I$63:$BH$63, 0)),0)*INDEX($E:$E, MATCH(AU$2, $B:$B, 0))</f>
        <v>0</v>
      </c>
      <c r="AV54" s="193">
        <f>IFERROR(INDEX('Fluxos de Recebimento'!$I$7:$BH$58, MATCH(Curvas!$AB54, 'Fluxos de Recebimento'!$F$7:$F$58, 0), MATCH(Curvas!AV$2,'Fluxos de Recebimento'!$I$5:$BH$5, 0))+INDEX('Fluxos de Recebimento'!$I$65:$BH$116, MATCH(Curvas!$AB54, 'Fluxos de Recebimento'!$F$65:$F$116, 0), MATCH(Curvas!AV$2, 'Fluxos de Recebimento'!$I$63:$BH$63, 0)),0)*INDEX($E:$E, MATCH(AV$2, $B:$B, 0))</f>
        <v>0</v>
      </c>
      <c r="AW54" s="193">
        <f>IFERROR(INDEX('Fluxos de Recebimento'!$I$7:$BH$58, MATCH(Curvas!$AB54, 'Fluxos de Recebimento'!$F$7:$F$58, 0), MATCH(Curvas!AW$2,'Fluxos de Recebimento'!$I$5:$BH$5, 0))+INDEX('Fluxos de Recebimento'!$I$65:$BH$116, MATCH(Curvas!$AB54, 'Fluxos de Recebimento'!$F$65:$F$116, 0), MATCH(Curvas!AW$2, 'Fluxos de Recebimento'!$I$63:$BH$63, 0)),0)*INDEX($E:$E, MATCH(AW$2, $B:$B, 0))</f>
        <v>0</v>
      </c>
      <c r="AX54" s="193">
        <f>IFERROR(INDEX('Fluxos de Recebimento'!$I$7:$BH$58, MATCH(Curvas!$AB54, 'Fluxos de Recebimento'!$F$7:$F$58, 0), MATCH(Curvas!AX$2,'Fluxos de Recebimento'!$I$5:$BH$5, 0))+INDEX('Fluxos de Recebimento'!$I$65:$BH$116, MATCH(Curvas!$AB54, 'Fluxos de Recebimento'!$F$65:$F$116, 0), MATCH(Curvas!AX$2, 'Fluxos de Recebimento'!$I$63:$BH$63, 0)),0)*INDEX($E:$E, MATCH(AX$2, $B:$B, 0))</f>
        <v>0</v>
      </c>
      <c r="AY54" s="193">
        <f>IFERROR(INDEX('Fluxos de Recebimento'!$I$7:$BH$58, MATCH(Curvas!$AB54, 'Fluxos de Recebimento'!$F$7:$F$58, 0), MATCH(Curvas!AY$2,'Fluxos de Recebimento'!$I$5:$BH$5, 0))+INDEX('Fluxos de Recebimento'!$I$65:$BH$116, MATCH(Curvas!$AB54, 'Fluxos de Recebimento'!$F$65:$F$116, 0), MATCH(Curvas!AY$2, 'Fluxos de Recebimento'!$I$63:$BH$63, 0)),0)*INDEX($E:$E, MATCH(AY$2, $B:$B, 0))</f>
        <v>0</v>
      </c>
      <c r="AZ54" s="193">
        <f>IFERROR(INDEX('Fluxos de Recebimento'!$I$7:$BH$58, MATCH(Curvas!$AB54, 'Fluxos de Recebimento'!$F$7:$F$58, 0), MATCH(Curvas!AZ$2,'Fluxos de Recebimento'!$I$5:$BH$5, 0))+INDEX('Fluxos de Recebimento'!$I$65:$BH$116, MATCH(Curvas!$AB54, 'Fluxos de Recebimento'!$F$65:$F$116, 0), MATCH(Curvas!AZ$2, 'Fluxos de Recebimento'!$I$63:$BH$63, 0)),0)*INDEX($E:$E, MATCH(AZ$2, $B:$B, 0))</f>
        <v>0</v>
      </c>
      <c r="BA54" s="193">
        <f>IFERROR(INDEX('Fluxos de Recebimento'!$I$7:$BH$58, MATCH(Curvas!$AB54, 'Fluxos de Recebimento'!$F$7:$F$58, 0), MATCH(Curvas!BA$2,'Fluxos de Recebimento'!$I$5:$BH$5, 0))+INDEX('Fluxos de Recebimento'!$I$65:$BH$116, MATCH(Curvas!$AB54, 'Fluxos de Recebimento'!$F$65:$F$116, 0), MATCH(Curvas!BA$2, 'Fluxos de Recebimento'!$I$63:$BH$63, 0)),0)*INDEX($E:$E, MATCH(BA$2, $B:$B, 0))</f>
        <v>0</v>
      </c>
      <c r="BB54" s="193">
        <f>IFERROR(INDEX('Fluxos de Recebimento'!$I$7:$BH$58, MATCH(Curvas!$AB54, 'Fluxos de Recebimento'!$F$7:$F$58, 0), MATCH(Curvas!BB$2,'Fluxos de Recebimento'!$I$5:$BH$5, 0))+INDEX('Fluxos de Recebimento'!$I$65:$BH$116, MATCH(Curvas!$AB54, 'Fluxos de Recebimento'!$F$65:$F$116, 0), MATCH(Curvas!BB$2, 'Fluxos de Recebimento'!$I$63:$BH$63, 0)),0)*INDEX($E:$E, MATCH(BB$2, $B:$B, 0))</f>
        <v>0</v>
      </c>
      <c r="BC54" s="193">
        <f>IFERROR(INDEX('Fluxos de Recebimento'!$I$7:$BH$58, MATCH(Curvas!$AB54, 'Fluxos de Recebimento'!$F$7:$F$58, 0), MATCH(Curvas!BC$2,'Fluxos de Recebimento'!$I$5:$BH$5, 0))+INDEX('Fluxos de Recebimento'!$I$65:$BH$116, MATCH(Curvas!$AB54, 'Fluxos de Recebimento'!$F$65:$F$116, 0), MATCH(Curvas!BC$2, 'Fluxos de Recebimento'!$I$63:$BH$63, 0)),0)*INDEX($E:$E, MATCH(BC$2, $B:$B, 0))</f>
        <v>0</v>
      </c>
      <c r="BD54" s="193">
        <f>IFERROR(INDEX('Fluxos de Recebimento'!$I$7:$BH$58, MATCH(Curvas!$AB54, 'Fluxos de Recebimento'!$F$7:$F$58, 0), MATCH(Curvas!BD$2,'Fluxos de Recebimento'!$I$5:$BH$5, 0))+INDEX('Fluxos de Recebimento'!$I$65:$BH$116, MATCH(Curvas!$AB54, 'Fluxos de Recebimento'!$F$65:$F$116, 0), MATCH(Curvas!BD$2, 'Fluxos de Recebimento'!$I$63:$BH$63, 0)),0)*INDEX($E:$E, MATCH(BD$2, $B:$B, 0))</f>
        <v>0</v>
      </c>
      <c r="BE54" s="193">
        <f>IFERROR(INDEX('Fluxos de Recebimento'!$I$7:$BH$58, MATCH(Curvas!$AB54, 'Fluxos de Recebimento'!$F$7:$F$58, 0), MATCH(Curvas!BE$2,'Fluxos de Recebimento'!$I$5:$BH$5, 0))+INDEX('Fluxos de Recebimento'!$I$65:$BH$116, MATCH(Curvas!$AB54, 'Fluxos de Recebimento'!$F$65:$F$116, 0), MATCH(Curvas!BE$2, 'Fluxos de Recebimento'!$I$63:$BH$63, 0)),0)*INDEX($E:$E, MATCH(BE$2, $B:$B, 0))</f>
        <v>0</v>
      </c>
      <c r="BF54" s="193">
        <f>IFERROR(INDEX('Fluxos de Recebimento'!$I$7:$BH$58, MATCH(Curvas!$AB54, 'Fluxos de Recebimento'!$F$7:$F$58, 0), MATCH(Curvas!BF$2,'Fluxos de Recebimento'!$I$5:$BH$5, 0))+INDEX('Fluxos de Recebimento'!$I$65:$BH$116, MATCH(Curvas!$AB54, 'Fluxos de Recebimento'!$F$65:$F$116, 0), MATCH(Curvas!BF$2, 'Fluxos de Recebimento'!$I$63:$BH$63, 0)),0)*INDEX($E:$E, MATCH(BF$2, $B:$B, 0))</f>
        <v>0</v>
      </c>
      <c r="BG54" s="193">
        <f>IFERROR(INDEX('Fluxos de Recebimento'!$I$7:$BH$58, MATCH(Curvas!$AB54, 'Fluxos de Recebimento'!$F$7:$F$58, 0), MATCH(Curvas!BG$2,'Fluxos de Recebimento'!$I$5:$BH$5, 0))+INDEX('Fluxos de Recebimento'!$I$65:$BH$116, MATCH(Curvas!$AB54, 'Fluxos de Recebimento'!$F$65:$F$116, 0), MATCH(Curvas!BG$2, 'Fluxos de Recebimento'!$I$63:$BH$63, 0)),0)*INDEX($E:$E, MATCH(BG$2, $B:$B, 0))</f>
        <v>0</v>
      </c>
      <c r="BH54" s="193">
        <f>IFERROR(INDEX('Fluxos de Recebimento'!$I$7:$BH$58, MATCH(Curvas!$AB54, 'Fluxos de Recebimento'!$F$7:$F$58, 0), MATCH(Curvas!BH$2,'Fluxos de Recebimento'!$I$5:$BH$5, 0))+INDEX('Fluxos de Recebimento'!$I$65:$BH$116, MATCH(Curvas!$AB54, 'Fluxos de Recebimento'!$F$65:$F$116, 0), MATCH(Curvas!BH$2, 'Fluxos de Recebimento'!$I$63:$BH$63, 0)),0)*INDEX($E:$E, MATCH(BH$2, $B:$B, 0))</f>
        <v>0</v>
      </c>
      <c r="BI54" s="193">
        <f>IFERROR(INDEX('Fluxos de Recebimento'!$I$7:$BH$58, MATCH(Curvas!$AB54, 'Fluxos de Recebimento'!$F$7:$F$58, 0), MATCH(Curvas!BI$2,'Fluxos de Recebimento'!$I$5:$BH$5, 0))+INDEX('Fluxos de Recebimento'!$I$65:$BH$116, MATCH(Curvas!$AB54, 'Fluxos de Recebimento'!$F$65:$F$116, 0), MATCH(Curvas!BI$2, 'Fluxos de Recebimento'!$I$63:$BH$63, 0)),0)*INDEX($E:$E, MATCH(BI$2, $B:$B, 0))</f>
        <v>0</v>
      </c>
      <c r="BJ54" s="193">
        <f>IFERROR(INDEX('Fluxos de Recebimento'!$I$7:$BH$58, MATCH(Curvas!$AB54, 'Fluxos de Recebimento'!$F$7:$F$58, 0), MATCH(Curvas!BJ$2,'Fluxos de Recebimento'!$I$5:$BH$5, 0))+INDEX('Fluxos de Recebimento'!$I$65:$BH$116, MATCH(Curvas!$AB54, 'Fluxos de Recebimento'!$F$65:$F$116, 0), MATCH(Curvas!BJ$2, 'Fluxos de Recebimento'!$I$63:$BH$63, 0)),0)*INDEX($E:$E, MATCH(BJ$2, $B:$B, 0))</f>
        <v>0</v>
      </c>
      <c r="BK54" s="193">
        <f>IFERROR(INDEX('Fluxos de Recebimento'!$I$7:$BH$58, MATCH(Curvas!$AB54, 'Fluxos de Recebimento'!$F$7:$F$58, 0), MATCH(Curvas!BK$2,'Fluxos de Recebimento'!$I$5:$BH$5, 0))+INDEX('Fluxos de Recebimento'!$I$65:$BH$116, MATCH(Curvas!$AB54, 'Fluxos de Recebimento'!$F$65:$F$116, 0), MATCH(Curvas!BK$2, 'Fluxos de Recebimento'!$I$63:$BH$63, 0)),0)*INDEX($E:$E, MATCH(BK$2, $B:$B, 0))</f>
        <v>0</v>
      </c>
      <c r="BL54" s="193">
        <f>IFERROR(INDEX('Fluxos de Recebimento'!$I$7:$BH$58, MATCH(Curvas!$AB54, 'Fluxos de Recebimento'!$F$7:$F$58, 0), MATCH(Curvas!BL$2,'Fluxos de Recebimento'!$I$5:$BH$5, 0))+INDEX('Fluxos de Recebimento'!$I$65:$BH$116, MATCH(Curvas!$AB54, 'Fluxos de Recebimento'!$F$65:$F$116, 0), MATCH(Curvas!BL$2, 'Fluxos de Recebimento'!$I$63:$BH$63, 0)),0)*INDEX($E:$E, MATCH(BL$2, $B:$B, 0))</f>
        <v>0</v>
      </c>
      <c r="BM54" s="193">
        <f>IFERROR(INDEX('Fluxos de Recebimento'!$I$7:$BH$58, MATCH(Curvas!$AB54, 'Fluxos de Recebimento'!$F$7:$F$58, 0), MATCH(Curvas!BM$2,'Fluxos de Recebimento'!$I$5:$BH$5, 0))+INDEX('Fluxos de Recebimento'!$I$65:$BH$116, MATCH(Curvas!$AB54, 'Fluxos de Recebimento'!$F$65:$F$116, 0), MATCH(Curvas!BM$2, 'Fluxos de Recebimento'!$I$63:$BH$63, 0)),0)*INDEX($E:$E, MATCH(BM$2, $B:$B, 0))</f>
        <v>0</v>
      </c>
      <c r="BN54" s="193">
        <f>IFERROR(INDEX('Fluxos de Recebimento'!$I$7:$BH$58, MATCH(Curvas!$AB54, 'Fluxos de Recebimento'!$F$7:$F$58, 0), MATCH(Curvas!BN$2,'Fluxos de Recebimento'!$I$5:$BH$5, 0))+INDEX('Fluxos de Recebimento'!$I$65:$BH$116, MATCH(Curvas!$AB54, 'Fluxos de Recebimento'!$F$65:$F$116, 0), MATCH(Curvas!BN$2, 'Fluxos de Recebimento'!$I$63:$BH$63, 0)),0)*INDEX($E:$E, MATCH(BN$2, $B:$B, 0))</f>
        <v>0</v>
      </c>
      <c r="BO54" s="193">
        <f>IFERROR(INDEX('Fluxos de Recebimento'!$I$7:$BH$58, MATCH(Curvas!$AB54, 'Fluxos de Recebimento'!$F$7:$F$58, 0), MATCH(Curvas!BO$2,'Fluxos de Recebimento'!$I$5:$BH$5, 0))+INDEX('Fluxos de Recebimento'!$I$65:$BH$116, MATCH(Curvas!$AB54, 'Fluxos de Recebimento'!$F$65:$F$116, 0), MATCH(Curvas!BO$2, 'Fluxos de Recebimento'!$I$63:$BH$63, 0)),0)*INDEX($E:$E, MATCH(BO$2, $B:$B, 0))</f>
        <v>0</v>
      </c>
      <c r="BP54" s="193">
        <f>IFERROR(INDEX('Fluxos de Recebimento'!$I$7:$BH$58, MATCH(Curvas!$AB54, 'Fluxos de Recebimento'!$F$7:$F$58, 0), MATCH(Curvas!BP$2,'Fluxos de Recebimento'!$I$5:$BH$5, 0))+INDEX('Fluxos de Recebimento'!$I$65:$BH$116, MATCH(Curvas!$AB54, 'Fluxos de Recebimento'!$F$65:$F$116, 0), MATCH(Curvas!BP$2, 'Fluxos de Recebimento'!$I$63:$BH$63, 0)),0)*INDEX($E:$E, MATCH(BP$2, $B:$B, 0))</f>
        <v>0</v>
      </c>
      <c r="BQ54" s="193">
        <f>IFERROR(INDEX('Fluxos de Recebimento'!$I$7:$BH$58, MATCH(Curvas!$AB54, 'Fluxos de Recebimento'!$F$7:$F$58, 0), MATCH(Curvas!BQ$2,'Fluxos de Recebimento'!$I$5:$BH$5, 0))+INDEX('Fluxos de Recebimento'!$I$65:$BH$116, MATCH(Curvas!$AB54, 'Fluxos de Recebimento'!$F$65:$F$116, 0), MATCH(Curvas!BQ$2, 'Fluxos de Recebimento'!$I$63:$BH$63, 0)),0)*INDEX($E:$E, MATCH(BQ$2, $B:$B, 0))</f>
        <v>0</v>
      </c>
      <c r="BR54" s="193">
        <f>IFERROR(INDEX('Fluxos de Recebimento'!$I$7:$BH$58, MATCH(Curvas!$AB54, 'Fluxos de Recebimento'!$F$7:$F$58, 0), MATCH(Curvas!BR$2,'Fluxos de Recebimento'!$I$5:$BH$5, 0))+INDEX('Fluxos de Recebimento'!$I$65:$BH$116, MATCH(Curvas!$AB54, 'Fluxos de Recebimento'!$F$65:$F$116, 0), MATCH(Curvas!BR$2, 'Fluxos de Recebimento'!$I$63:$BH$63, 0)),0)*INDEX($E:$E, MATCH(BR$2, $B:$B, 0))</f>
        <v>0</v>
      </c>
      <c r="BS54" s="193">
        <f>IFERROR(INDEX('Fluxos de Recebimento'!$I$7:$BH$58, MATCH(Curvas!$AB54, 'Fluxos de Recebimento'!$F$7:$F$58, 0), MATCH(Curvas!BS$2,'Fluxos de Recebimento'!$I$5:$BH$5, 0))+INDEX('Fluxos de Recebimento'!$I$65:$BH$116, MATCH(Curvas!$AB54, 'Fluxos de Recebimento'!$F$65:$F$116, 0), MATCH(Curvas!BS$2, 'Fluxos de Recebimento'!$I$63:$BH$63, 0)),0)*INDEX($E:$E, MATCH(BS$2, $B:$B, 0))</f>
        <v>0</v>
      </c>
      <c r="BT54" s="193">
        <f>IFERROR(INDEX('Fluxos de Recebimento'!$I$7:$BH$58, MATCH(Curvas!$AB54, 'Fluxos de Recebimento'!$F$7:$F$58, 0), MATCH(Curvas!BT$2,'Fluxos de Recebimento'!$I$5:$BH$5, 0))+INDEX('Fluxos de Recebimento'!$I$65:$BH$116, MATCH(Curvas!$AB54, 'Fluxos de Recebimento'!$F$65:$F$116, 0), MATCH(Curvas!BT$2, 'Fluxos de Recebimento'!$I$63:$BH$63, 0)),0)*INDEX($E:$E, MATCH(BT$2, $B:$B, 0))</f>
        <v>0</v>
      </c>
      <c r="BU54" s="193">
        <f>IFERROR(INDEX('Fluxos de Recebimento'!$I$7:$BH$58, MATCH(Curvas!$AB54, 'Fluxos de Recebimento'!$F$7:$F$58, 0), MATCH(Curvas!BU$2,'Fluxos de Recebimento'!$I$5:$BH$5, 0))+INDEX('Fluxos de Recebimento'!$I$65:$BH$116, MATCH(Curvas!$AB54, 'Fluxos de Recebimento'!$F$65:$F$116, 0), MATCH(Curvas!BU$2, 'Fluxos de Recebimento'!$I$63:$BH$63, 0)),0)*INDEX($E:$E, MATCH(BU$2, $B:$B, 0))</f>
        <v>0</v>
      </c>
      <c r="BV54" s="193">
        <f>IFERROR(INDEX('Fluxos de Recebimento'!$I$7:$BH$58, MATCH(Curvas!$AB54, 'Fluxos de Recebimento'!$F$7:$F$58, 0), MATCH(Curvas!BV$2,'Fluxos de Recebimento'!$I$5:$BH$5, 0))+INDEX('Fluxos de Recebimento'!$I$65:$BH$116, MATCH(Curvas!$AB54, 'Fluxos de Recebimento'!$F$65:$F$116, 0), MATCH(Curvas!BV$2, 'Fluxos de Recebimento'!$I$63:$BH$63, 0)),0)*INDEX($E:$E, MATCH(BV$2, $B:$B, 0))</f>
        <v>0</v>
      </c>
      <c r="BW54" s="193">
        <f>IFERROR(INDEX('Fluxos de Recebimento'!$I$7:$BH$58, MATCH(Curvas!$AB54, 'Fluxos de Recebimento'!$F$7:$F$58, 0), MATCH(Curvas!BW$2,'Fluxos de Recebimento'!$I$5:$BH$5, 0))+INDEX('Fluxos de Recebimento'!$I$65:$BH$116, MATCH(Curvas!$AB54, 'Fluxos de Recebimento'!$F$65:$F$116, 0), MATCH(Curvas!BW$2, 'Fluxos de Recebimento'!$I$63:$BH$63, 0)),0)*INDEX($E:$E, MATCH(BW$2, $B:$B, 0))</f>
        <v>0</v>
      </c>
      <c r="BX54" s="193">
        <f>IFERROR(INDEX('Fluxos de Recebimento'!$I$7:$BH$58, MATCH(Curvas!$AB54, 'Fluxos de Recebimento'!$F$7:$F$58, 0), MATCH(Curvas!BX$2,'Fluxos de Recebimento'!$I$5:$BH$5, 0))+INDEX('Fluxos de Recebimento'!$I$65:$BH$116, MATCH(Curvas!$AB54, 'Fluxos de Recebimento'!$F$65:$F$116, 0), MATCH(Curvas!BX$2, 'Fluxos de Recebimento'!$I$63:$BH$63, 0)),0)*INDEX($E:$E, MATCH(BX$2, $B:$B, 0))</f>
        <v>0</v>
      </c>
      <c r="BY54" s="193">
        <f>IFERROR(INDEX('Fluxos de Recebimento'!$I$7:$BH$58, MATCH(Curvas!$AB54, 'Fluxos de Recebimento'!$F$7:$F$58, 0), MATCH(Curvas!BY$2,'Fluxos de Recebimento'!$I$5:$BH$5, 0))+INDEX('Fluxos de Recebimento'!$I$65:$BH$116, MATCH(Curvas!$AB54, 'Fluxos de Recebimento'!$F$65:$F$116, 0), MATCH(Curvas!BY$2, 'Fluxos de Recebimento'!$I$63:$BH$63, 0)),0)*INDEX($E:$E, MATCH(BY$2, $B:$B, 0))</f>
        <v>0</v>
      </c>
      <c r="BZ54" s="193">
        <f>IFERROR(INDEX('Fluxos de Recebimento'!$I$7:$BH$58, MATCH(Curvas!$AB54, 'Fluxos de Recebimento'!$F$7:$F$58, 0), MATCH(Curvas!BZ$2,'Fluxos de Recebimento'!$I$5:$BH$5, 0))+INDEX('Fluxos de Recebimento'!$I$65:$BH$116, MATCH(Curvas!$AB54, 'Fluxos de Recebimento'!$F$65:$F$116, 0), MATCH(Curvas!BZ$2, 'Fluxos de Recebimento'!$I$63:$BH$63, 0)),0)*INDEX($E:$E, MATCH(BZ$2, $B:$B, 0))</f>
        <v>0</v>
      </c>
      <c r="CA54" s="193">
        <f>IFERROR(INDEX('Fluxos de Recebimento'!$I$7:$BH$58, MATCH(Curvas!$AB54, 'Fluxos de Recebimento'!$F$7:$F$58, 0), MATCH(Curvas!CA$2,'Fluxos de Recebimento'!$I$5:$BH$5, 0))+INDEX('Fluxos de Recebimento'!$I$65:$BH$116, MATCH(Curvas!$AB54, 'Fluxos de Recebimento'!$F$65:$F$116, 0), MATCH(Curvas!CA$2, 'Fluxos de Recebimento'!$I$63:$BH$63, 0)),0)*INDEX($E:$E, MATCH(CA$2, $B:$B, 0))</f>
        <v>0</v>
      </c>
      <c r="CB54" s="193">
        <f>IFERROR(INDEX('Fluxos de Recebimento'!$I$7:$BH$58, MATCH(Curvas!$AB54, 'Fluxos de Recebimento'!$F$7:$F$58, 0), MATCH(Curvas!CB$2,'Fluxos de Recebimento'!$I$5:$BH$5, 0))+INDEX('Fluxos de Recebimento'!$I$65:$BH$116, MATCH(Curvas!$AB54, 'Fluxos de Recebimento'!$F$65:$F$116, 0), MATCH(Curvas!CB$2, 'Fluxos de Recebimento'!$I$63:$BH$63, 0)),0)*INDEX($E:$E, MATCH(CB$2, $B:$B, 0))</f>
        <v>0</v>
      </c>
      <c r="CC54" s="193">
        <f>IFERROR(INDEX('Fluxos de Recebimento'!$I$7:$BH$58, MATCH(Curvas!$AB54, 'Fluxos de Recebimento'!$F$7:$F$58, 0), MATCH(Curvas!CC$2,'Fluxos de Recebimento'!$I$5:$BH$5, 0))+INDEX('Fluxos de Recebimento'!$I$65:$BH$116, MATCH(Curvas!$AB54, 'Fluxos de Recebimento'!$F$65:$F$116, 0), MATCH(Curvas!CC$2, 'Fluxos de Recebimento'!$I$63:$BH$63, 0)),0)*INDEX($E:$E, MATCH(CC$2, $B:$B, 0))</f>
        <v>0</v>
      </c>
    </row>
    <row r="55" spans="1:81" x14ac:dyDescent="0.25">
      <c r="A55" s="2"/>
      <c r="B55" s="477">
        <f t="shared" si="34"/>
        <v>45717</v>
      </c>
      <c r="C55" s="52">
        <f t="shared" si="35"/>
        <v>52</v>
      </c>
      <c r="D55" s="2"/>
      <c r="E55" s="187">
        <f t="shared" si="22"/>
        <v>0</v>
      </c>
      <c r="F55" s="48">
        <f t="shared" si="36"/>
        <v>0.99999999999999978</v>
      </c>
      <c r="G55" s="46">
        <f t="shared" ca="1" si="23"/>
        <v>0</v>
      </c>
      <c r="H55" s="48">
        <f t="shared" ca="1" si="37"/>
        <v>0.99999999999999989</v>
      </c>
      <c r="I55" s="2"/>
      <c r="J55" s="69">
        <f t="shared" ca="1" si="24"/>
        <v>0</v>
      </c>
      <c r="K55" s="479">
        <f t="shared" ca="1" si="25"/>
        <v>0</v>
      </c>
      <c r="L55" s="70">
        <f t="shared" ca="1" si="26"/>
        <v>0</v>
      </c>
      <c r="M55" s="2"/>
      <c r="N55" s="69">
        <f t="shared" si="27"/>
        <v>1</v>
      </c>
      <c r="O55" s="479">
        <f t="shared" si="28"/>
        <v>0</v>
      </c>
      <c r="P55" s="70">
        <f t="shared" si="29"/>
        <v>1</v>
      </c>
      <c r="Q55" s="2"/>
      <c r="R55" s="71">
        <f t="shared" ca="1" si="30"/>
        <v>1</v>
      </c>
      <c r="S55" s="196"/>
      <c r="T55" s="46">
        <v>0</v>
      </c>
      <c r="U55" s="48">
        <f t="shared" si="38"/>
        <v>0.99999999999999978</v>
      </c>
      <c r="V55" s="2"/>
      <c r="W55" s="56"/>
      <c r="X55" s="48"/>
      <c r="Y55" s="2"/>
      <c r="Z55" s="194">
        <f t="shared" si="31"/>
        <v>0</v>
      </c>
      <c r="AA55" s="2"/>
      <c r="AB55" s="477">
        <f t="shared" si="32"/>
        <v>45717</v>
      </c>
      <c r="AC55" s="52">
        <f t="shared" si="33"/>
        <v>52</v>
      </c>
      <c r="AD55" s="193">
        <f>IFERROR(INDEX('Fluxos de Recebimento'!$I$7:$BH$58, MATCH(Curvas!$AB55, 'Fluxos de Recebimento'!$F$7:$F$58, 0), MATCH(Curvas!AD$2,'Fluxos de Recebimento'!$I$5:$BH$5, 0))+INDEX('Fluxos de Recebimento'!$I$65:$BH$116, MATCH(Curvas!$AB55, 'Fluxos de Recebimento'!$F$65:$F$116, 0), MATCH(Curvas!AD$2, 'Fluxos de Recebimento'!$I$63:$BH$63, 0)),0)*INDEX($E:$E, MATCH(AD$2, $B:$B, 0))</f>
        <v>0</v>
      </c>
      <c r="AE55" s="193">
        <f>IFERROR(INDEX('Fluxos de Recebimento'!$I$7:$BH$58, MATCH(Curvas!$AB55, 'Fluxos de Recebimento'!$F$7:$F$58, 0), MATCH(Curvas!AE$2,'Fluxos de Recebimento'!$I$5:$BH$5, 0))+INDEX('Fluxos de Recebimento'!$I$65:$BH$116, MATCH(Curvas!$AB55, 'Fluxos de Recebimento'!$F$65:$F$116, 0), MATCH(Curvas!AE$2, 'Fluxos de Recebimento'!$I$63:$BH$63, 0)),0)*INDEX($E:$E, MATCH(AE$2, $B:$B, 0))</f>
        <v>0</v>
      </c>
      <c r="AF55" s="193">
        <f>IFERROR(INDEX('Fluxos de Recebimento'!$I$7:$BH$58, MATCH(Curvas!$AB55, 'Fluxos de Recebimento'!$F$7:$F$58, 0), MATCH(Curvas!AF$2,'Fluxos de Recebimento'!$I$5:$BH$5, 0))+INDEX('Fluxos de Recebimento'!$I$65:$BH$116, MATCH(Curvas!$AB55, 'Fluxos de Recebimento'!$F$65:$F$116, 0), MATCH(Curvas!AF$2, 'Fluxos de Recebimento'!$I$63:$BH$63, 0)),0)*INDEX($E:$E, MATCH(AF$2, $B:$B, 0))</f>
        <v>0</v>
      </c>
      <c r="AG55" s="193">
        <f>IFERROR(INDEX('Fluxos de Recebimento'!$I$7:$BH$58, MATCH(Curvas!$AB55, 'Fluxos de Recebimento'!$F$7:$F$58, 0), MATCH(Curvas!AG$2,'Fluxos de Recebimento'!$I$5:$BH$5, 0))+INDEX('Fluxos de Recebimento'!$I$65:$BH$116, MATCH(Curvas!$AB55, 'Fluxos de Recebimento'!$F$65:$F$116, 0), MATCH(Curvas!AG$2, 'Fluxos de Recebimento'!$I$63:$BH$63, 0)),0)*INDEX($E:$E, MATCH(AG$2, $B:$B, 0))</f>
        <v>0</v>
      </c>
      <c r="AH55" s="193">
        <f>IFERROR(INDEX('Fluxos de Recebimento'!$I$7:$BH$58, MATCH(Curvas!$AB55, 'Fluxos de Recebimento'!$F$7:$F$58, 0), MATCH(Curvas!AH$2,'Fluxos de Recebimento'!$I$5:$BH$5, 0))+INDEX('Fluxos de Recebimento'!$I$65:$BH$116, MATCH(Curvas!$AB55, 'Fluxos de Recebimento'!$F$65:$F$116, 0), MATCH(Curvas!AH$2, 'Fluxos de Recebimento'!$I$63:$BH$63, 0)),0)*INDEX($E:$E, MATCH(AH$2, $B:$B, 0))</f>
        <v>0</v>
      </c>
      <c r="AI55" s="193">
        <f>IFERROR(INDEX('Fluxos de Recebimento'!$I$7:$BH$58, MATCH(Curvas!$AB55, 'Fluxos de Recebimento'!$F$7:$F$58, 0), MATCH(Curvas!AI$2,'Fluxos de Recebimento'!$I$5:$BH$5, 0))+INDEX('Fluxos de Recebimento'!$I$65:$BH$116, MATCH(Curvas!$AB55, 'Fluxos de Recebimento'!$F$65:$F$116, 0), MATCH(Curvas!AI$2, 'Fluxos de Recebimento'!$I$63:$BH$63, 0)),0)*INDEX($E:$E, MATCH(AI$2, $B:$B, 0))</f>
        <v>0</v>
      </c>
      <c r="AJ55" s="193">
        <f>IFERROR(INDEX('Fluxos de Recebimento'!$I$7:$BH$58, MATCH(Curvas!$AB55, 'Fluxos de Recebimento'!$F$7:$F$58, 0), MATCH(Curvas!AJ$2,'Fluxos de Recebimento'!$I$5:$BH$5, 0))+INDEX('Fluxos de Recebimento'!$I$65:$BH$116, MATCH(Curvas!$AB55, 'Fluxos de Recebimento'!$F$65:$F$116, 0), MATCH(Curvas!AJ$2, 'Fluxos de Recebimento'!$I$63:$BH$63, 0)),0)*INDEX($E:$E, MATCH(AJ$2, $B:$B, 0))</f>
        <v>0</v>
      </c>
      <c r="AK55" s="193">
        <f>IFERROR(INDEX('Fluxos de Recebimento'!$I$7:$BH$58, MATCH(Curvas!$AB55, 'Fluxos de Recebimento'!$F$7:$F$58, 0), MATCH(Curvas!AK$2,'Fluxos de Recebimento'!$I$5:$BH$5, 0))+INDEX('Fluxos de Recebimento'!$I$65:$BH$116, MATCH(Curvas!$AB55, 'Fluxos de Recebimento'!$F$65:$F$116, 0), MATCH(Curvas!AK$2, 'Fluxos de Recebimento'!$I$63:$BH$63, 0)),0)*INDEX($E:$E, MATCH(AK$2, $B:$B, 0))</f>
        <v>0</v>
      </c>
      <c r="AL55" s="193">
        <f>IFERROR(INDEX('Fluxos de Recebimento'!$I$7:$BH$58, MATCH(Curvas!$AB55, 'Fluxos de Recebimento'!$F$7:$F$58, 0), MATCH(Curvas!AL$2,'Fluxos de Recebimento'!$I$5:$BH$5, 0))+INDEX('Fluxos de Recebimento'!$I$65:$BH$116, MATCH(Curvas!$AB55, 'Fluxos de Recebimento'!$F$65:$F$116, 0), MATCH(Curvas!AL$2, 'Fluxos de Recebimento'!$I$63:$BH$63, 0)),0)*INDEX($E:$E, MATCH(AL$2, $B:$B, 0))</f>
        <v>0</v>
      </c>
      <c r="AM55" s="193">
        <f>IFERROR(INDEX('Fluxos de Recebimento'!$I$7:$BH$58, MATCH(Curvas!$AB55, 'Fluxos de Recebimento'!$F$7:$F$58, 0), MATCH(Curvas!AM$2,'Fluxos de Recebimento'!$I$5:$BH$5, 0))+INDEX('Fluxos de Recebimento'!$I$65:$BH$116, MATCH(Curvas!$AB55, 'Fluxos de Recebimento'!$F$65:$F$116, 0), MATCH(Curvas!AM$2, 'Fluxos de Recebimento'!$I$63:$BH$63, 0)),0)*INDEX($E:$E, MATCH(AM$2, $B:$B, 0))</f>
        <v>0</v>
      </c>
      <c r="AN55" s="193">
        <f>IFERROR(INDEX('Fluxos de Recebimento'!$I$7:$BH$58, MATCH(Curvas!$AB55, 'Fluxos de Recebimento'!$F$7:$F$58, 0), MATCH(Curvas!AN$2,'Fluxos de Recebimento'!$I$5:$BH$5, 0))+INDEX('Fluxos de Recebimento'!$I$65:$BH$116, MATCH(Curvas!$AB55, 'Fluxos de Recebimento'!$F$65:$F$116, 0), MATCH(Curvas!AN$2, 'Fluxos de Recebimento'!$I$63:$BH$63, 0)),0)*INDEX($E:$E, MATCH(AN$2, $B:$B, 0))</f>
        <v>0</v>
      </c>
      <c r="AO55" s="193">
        <f>IFERROR(INDEX('Fluxos de Recebimento'!$I$7:$BH$58, MATCH(Curvas!$AB55, 'Fluxos de Recebimento'!$F$7:$F$58, 0), MATCH(Curvas!AO$2,'Fluxos de Recebimento'!$I$5:$BH$5, 0))+INDEX('Fluxos de Recebimento'!$I$65:$BH$116, MATCH(Curvas!$AB55, 'Fluxos de Recebimento'!$F$65:$F$116, 0), MATCH(Curvas!AO$2, 'Fluxos de Recebimento'!$I$63:$BH$63, 0)),0)*INDEX($E:$E, MATCH(AO$2, $B:$B, 0))</f>
        <v>0</v>
      </c>
      <c r="AP55" s="193">
        <f>IFERROR(INDEX('Fluxos de Recebimento'!$I$7:$BH$58, MATCH(Curvas!$AB55, 'Fluxos de Recebimento'!$F$7:$F$58, 0), MATCH(Curvas!AP$2,'Fluxos de Recebimento'!$I$5:$BH$5, 0))+INDEX('Fluxos de Recebimento'!$I$65:$BH$116, MATCH(Curvas!$AB55, 'Fluxos de Recebimento'!$F$65:$F$116, 0), MATCH(Curvas!AP$2, 'Fluxos de Recebimento'!$I$63:$BH$63, 0)),0)*INDEX($E:$E, MATCH(AP$2, $B:$B, 0))</f>
        <v>0</v>
      </c>
      <c r="AQ55" s="193">
        <f>IFERROR(INDEX('Fluxos de Recebimento'!$I$7:$BH$58, MATCH(Curvas!$AB55, 'Fluxos de Recebimento'!$F$7:$F$58, 0), MATCH(Curvas!AQ$2,'Fluxos de Recebimento'!$I$5:$BH$5, 0))+INDEX('Fluxos de Recebimento'!$I$65:$BH$116, MATCH(Curvas!$AB55, 'Fluxos de Recebimento'!$F$65:$F$116, 0), MATCH(Curvas!AQ$2, 'Fluxos de Recebimento'!$I$63:$BH$63, 0)),0)*INDEX($E:$E, MATCH(AQ$2, $B:$B, 0))</f>
        <v>0</v>
      </c>
      <c r="AR55" s="193">
        <f>IFERROR(INDEX('Fluxos de Recebimento'!$I$7:$BH$58, MATCH(Curvas!$AB55, 'Fluxos de Recebimento'!$F$7:$F$58, 0), MATCH(Curvas!AR$2,'Fluxos de Recebimento'!$I$5:$BH$5, 0))+INDEX('Fluxos de Recebimento'!$I$65:$BH$116, MATCH(Curvas!$AB55, 'Fluxos de Recebimento'!$F$65:$F$116, 0), MATCH(Curvas!AR$2, 'Fluxos de Recebimento'!$I$63:$BH$63, 0)),0)*INDEX($E:$E, MATCH(AR$2, $B:$B, 0))</f>
        <v>0</v>
      </c>
      <c r="AS55" s="193">
        <f>IFERROR(INDEX('Fluxos de Recebimento'!$I$7:$BH$58, MATCH(Curvas!$AB55, 'Fluxos de Recebimento'!$F$7:$F$58, 0), MATCH(Curvas!AS$2,'Fluxos de Recebimento'!$I$5:$BH$5, 0))+INDEX('Fluxos de Recebimento'!$I$65:$BH$116, MATCH(Curvas!$AB55, 'Fluxos de Recebimento'!$F$65:$F$116, 0), MATCH(Curvas!AS$2, 'Fluxos de Recebimento'!$I$63:$BH$63, 0)),0)*INDEX($E:$E, MATCH(AS$2, $B:$B, 0))</f>
        <v>0</v>
      </c>
      <c r="AT55" s="193">
        <f>IFERROR(INDEX('Fluxos de Recebimento'!$I$7:$BH$58, MATCH(Curvas!$AB55, 'Fluxos de Recebimento'!$F$7:$F$58, 0), MATCH(Curvas!AT$2,'Fluxos de Recebimento'!$I$5:$BH$5, 0))+INDEX('Fluxos de Recebimento'!$I$65:$BH$116, MATCH(Curvas!$AB55, 'Fluxos de Recebimento'!$F$65:$F$116, 0), MATCH(Curvas!AT$2, 'Fluxos de Recebimento'!$I$63:$BH$63, 0)),0)*INDEX($E:$E, MATCH(AT$2, $B:$B, 0))</f>
        <v>0</v>
      </c>
      <c r="AU55" s="193">
        <f>IFERROR(INDEX('Fluxos de Recebimento'!$I$7:$BH$58, MATCH(Curvas!$AB55, 'Fluxos de Recebimento'!$F$7:$F$58, 0), MATCH(Curvas!AU$2,'Fluxos de Recebimento'!$I$5:$BH$5, 0))+INDEX('Fluxos de Recebimento'!$I$65:$BH$116, MATCH(Curvas!$AB55, 'Fluxos de Recebimento'!$F$65:$F$116, 0), MATCH(Curvas!AU$2, 'Fluxos de Recebimento'!$I$63:$BH$63, 0)),0)*INDEX($E:$E, MATCH(AU$2, $B:$B, 0))</f>
        <v>0</v>
      </c>
      <c r="AV55" s="193">
        <f>IFERROR(INDEX('Fluxos de Recebimento'!$I$7:$BH$58, MATCH(Curvas!$AB55, 'Fluxos de Recebimento'!$F$7:$F$58, 0), MATCH(Curvas!AV$2,'Fluxos de Recebimento'!$I$5:$BH$5, 0))+INDEX('Fluxos de Recebimento'!$I$65:$BH$116, MATCH(Curvas!$AB55, 'Fluxos de Recebimento'!$F$65:$F$116, 0), MATCH(Curvas!AV$2, 'Fluxos de Recebimento'!$I$63:$BH$63, 0)),0)*INDEX($E:$E, MATCH(AV$2, $B:$B, 0))</f>
        <v>0</v>
      </c>
      <c r="AW55" s="193">
        <f>IFERROR(INDEX('Fluxos de Recebimento'!$I$7:$BH$58, MATCH(Curvas!$AB55, 'Fluxos de Recebimento'!$F$7:$F$58, 0), MATCH(Curvas!AW$2,'Fluxos de Recebimento'!$I$5:$BH$5, 0))+INDEX('Fluxos de Recebimento'!$I$65:$BH$116, MATCH(Curvas!$AB55, 'Fluxos de Recebimento'!$F$65:$F$116, 0), MATCH(Curvas!AW$2, 'Fluxos de Recebimento'!$I$63:$BH$63, 0)),0)*INDEX($E:$E, MATCH(AW$2, $B:$B, 0))</f>
        <v>0</v>
      </c>
      <c r="AX55" s="193">
        <f>IFERROR(INDEX('Fluxos de Recebimento'!$I$7:$BH$58, MATCH(Curvas!$AB55, 'Fluxos de Recebimento'!$F$7:$F$58, 0), MATCH(Curvas!AX$2,'Fluxos de Recebimento'!$I$5:$BH$5, 0))+INDEX('Fluxos de Recebimento'!$I$65:$BH$116, MATCH(Curvas!$AB55, 'Fluxos de Recebimento'!$F$65:$F$116, 0), MATCH(Curvas!AX$2, 'Fluxos de Recebimento'!$I$63:$BH$63, 0)),0)*INDEX($E:$E, MATCH(AX$2, $B:$B, 0))</f>
        <v>0</v>
      </c>
      <c r="AY55" s="193">
        <f>IFERROR(INDEX('Fluxos de Recebimento'!$I$7:$BH$58, MATCH(Curvas!$AB55, 'Fluxos de Recebimento'!$F$7:$F$58, 0), MATCH(Curvas!AY$2,'Fluxos de Recebimento'!$I$5:$BH$5, 0))+INDEX('Fluxos de Recebimento'!$I$65:$BH$116, MATCH(Curvas!$AB55, 'Fluxos de Recebimento'!$F$65:$F$116, 0), MATCH(Curvas!AY$2, 'Fluxos de Recebimento'!$I$63:$BH$63, 0)),0)*INDEX($E:$E, MATCH(AY$2, $B:$B, 0))</f>
        <v>0</v>
      </c>
      <c r="AZ55" s="193">
        <f>IFERROR(INDEX('Fluxos de Recebimento'!$I$7:$BH$58, MATCH(Curvas!$AB55, 'Fluxos de Recebimento'!$F$7:$F$58, 0), MATCH(Curvas!AZ$2,'Fluxos de Recebimento'!$I$5:$BH$5, 0))+INDEX('Fluxos de Recebimento'!$I$65:$BH$116, MATCH(Curvas!$AB55, 'Fluxos de Recebimento'!$F$65:$F$116, 0), MATCH(Curvas!AZ$2, 'Fluxos de Recebimento'!$I$63:$BH$63, 0)),0)*INDEX($E:$E, MATCH(AZ$2, $B:$B, 0))</f>
        <v>0</v>
      </c>
      <c r="BA55" s="193">
        <f>IFERROR(INDEX('Fluxos de Recebimento'!$I$7:$BH$58, MATCH(Curvas!$AB55, 'Fluxos de Recebimento'!$F$7:$F$58, 0), MATCH(Curvas!BA$2,'Fluxos de Recebimento'!$I$5:$BH$5, 0))+INDEX('Fluxos de Recebimento'!$I$65:$BH$116, MATCH(Curvas!$AB55, 'Fluxos de Recebimento'!$F$65:$F$116, 0), MATCH(Curvas!BA$2, 'Fluxos de Recebimento'!$I$63:$BH$63, 0)),0)*INDEX($E:$E, MATCH(BA$2, $B:$B, 0))</f>
        <v>0</v>
      </c>
      <c r="BB55" s="193">
        <f>IFERROR(INDEX('Fluxos de Recebimento'!$I$7:$BH$58, MATCH(Curvas!$AB55, 'Fluxos de Recebimento'!$F$7:$F$58, 0), MATCH(Curvas!BB$2,'Fluxos de Recebimento'!$I$5:$BH$5, 0))+INDEX('Fluxos de Recebimento'!$I$65:$BH$116, MATCH(Curvas!$AB55, 'Fluxos de Recebimento'!$F$65:$F$116, 0), MATCH(Curvas!BB$2, 'Fluxos de Recebimento'!$I$63:$BH$63, 0)),0)*INDEX($E:$E, MATCH(BB$2, $B:$B, 0))</f>
        <v>0</v>
      </c>
      <c r="BC55" s="193">
        <f>IFERROR(INDEX('Fluxos de Recebimento'!$I$7:$BH$58, MATCH(Curvas!$AB55, 'Fluxos de Recebimento'!$F$7:$F$58, 0), MATCH(Curvas!BC$2,'Fluxos de Recebimento'!$I$5:$BH$5, 0))+INDEX('Fluxos de Recebimento'!$I$65:$BH$116, MATCH(Curvas!$AB55, 'Fluxos de Recebimento'!$F$65:$F$116, 0), MATCH(Curvas!BC$2, 'Fluxos de Recebimento'!$I$63:$BH$63, 0)),0)*INDEX($E:$E, MATCH(BC$2, $B:$B, 0))</f>
        <v>0</v>
      </c>
      <c r="BD55" s="193">
        <f>IFERROR(INDEX('Fluxos de Recebimento'!$I$7:$BH$58, MATCH(Curvas!$AB55, 'Fluxos de Recebimento'!$F$7:$F$58, 0), MATCH(Curvas!BD$2,'Fluxos de Recebimento'!$I$5:$BH$5, 0))+INDEX('Fluxos de Recebimento'!$I$65:$BH$116, MATCH(Curvas!$AB55, 'Fluxos de Recebimento'!$F$65:$F$116, 0), MATCH(Curvas!BD$2, 'Fluxos de Recebimento'!$I$63:$BH$63, 0)),0)*INDEX($E:$E, MATCH(BD$2, $B:$B, 0))</f>
        <v>0</v>
      </c>
      <c r="BE55" s="193">
        <f>IFERROR(INDEX('Fluxos de Recebimento'!$I$7:$BH$58, MATCH(Curvas!$AB55, 'Fluxos de Recebimento'!$F$7:$F$58, 0), MATCH(Curvas!BE$2,'Fluxos de Recebimento'!$I$5:$BH$5, 0))+INDEX('Fluxos de Recebimento'!$I$65:$BH$116, MATCH(Curvas!$AB55, 'Fluxos de Recebimento'!$F$65:$F$116, 0), MATCH(Curvas!BE$2, 'Fluxos de Recebimento'!$I$63:$BH$63, 0)),0)*INDEX($E:$E, MATCH(BE$2, $B:$B, 0))</f>
        <v>0</v>
      </c>
      <c r="BF55" s="193">
        <f>IFERROR(INDEX('Fluxos de Recebimento'!$I$7:$BH$58, MATCH(Curvas!$AB55, 'Fluxos de Recebimento'!$F$7:$F$58, 0), MATCH(Curvas!BF$2,'Fluxos de Recebimento'!$I$5:$BH$5, 0))+INDEX('Fluxos de Recebimento'!$I$65:$BH$116, MATCH(Curvas!$AB55, 'Fluxos de Recebimento'!$F$65:$F$116, 0), MATCH(Curvas!BF$2, 'Fluxos de Recebimento'!$I$63:$BH$63, 0)),0)*INDEX($E:$E, MATCH(BF$2, $B:$B, 0))</f>
        <v>0</v>
      </c>
      <c r="BG55" s="193">
        <f>IFERROR(INDEX('Fluxos de Recebimento'!$I$7:$BH$58, MATCH(Curvas!$AB55, 'Fluxos de Recebimento'!$F$7:$F$58, 0), MATCH(Curvas!BG$2,'Fluxos de Recebimento'!$I$5:$BH$5, 0))+INDEX('Fluxos de Recebimento'!$I$65:$BH$116, MATCH(Curvas!$AB55, 'Fluxos de Recebimento'!$F$65:$F$116, 0), MATCH(Curvas!BG$2, 'Fluxos de Recebimento'!$I$63:$BH$63, 0)),0)*INDEX($E:$E, MATCH(BG$2, $B:$B, 0))</f>
        <v>0</v>
      </c>
      <c r="BH55" s="193">
        <f>IFERROR(INDEX('Fluxos de Recebimento'!$I$7:$BH$58, MATCH(Curvas!$AB55, 'Fluxos de Recebimento'!$F$7:$F$58, 0), MATCH(Curvas!BH$2,'Fluxos de Recebimento'!$I$5:$BH$5, 0))+INDEX('Fluxos de Recebimento'!$I$65:$BH$116, MATCH(Curvas!$AB55, 'Fluxos de Recebimento'!$F$65:$F$116, 0), MATCH(Curvas!BH$2, 'Fluxos de Recebimento'!$I$63:$BH$63, 0)),0)*INDEX($E:$E, MATCH(BH$2, $B:$B, 0))</f>
        <v>0</v>
      </c>
      <c r="BI55" s="193">
        <f>IFERROR(INDEX('Fluxos de Recebimento'!$I$7:$BH$58, MATCH(Curvas!$AB55, 'Fluxos de Recebimento'!$F$7:$F$58, 0), MATCH(Curvas!BI$2,'Fluxos de Recebimento'!$I$5:$BH$5, 0))+INDEX('Fluxos de Recebimento'!$I$65:$BH$116, MATCH(Curvas!$AB55, 'Fluxos de Recebimento'!$F$65:$F$116, 0), MATCH(Curvas!BI$2, 'Fluxos de Recebimento'!$I$63:$BH$63, 0)),0)*INDEX($E:$E, MATCH(BI$2, $B:$B, 0))</f>
        <v>0</v>
      </c>
      <c r="BJ55" s="193">
        <f>IFERROR(INDEX('Fluxos de Recebimento'!$I$7:$BH$58, MATCH(Curvas!$AB55, 'Fluxos de Recebimento'!$F$7:$F$58, 0), MATCH(Curvas!BJ$2,'Fluxos de Recebimento'!$I$5:$BH$5, 0))+INDEX('Fluxos de Recebimento'!$I$65:$BH$116, MATCH(Curvas!$AB55, 'Fluxos de Recebimento'!$F$65:$F$116, 0), MATCH(Curvas!BJ$2, 'Fluxos de Recebimento'!$I$63:$BH$63, 0)),0)*INDEX($E:$E, MATCH(BJ$2, $B:$B, 0))</f>
        <v>0</v>
      </c>
      <c r="BK55" s="193">
        <f>IFERROR(INDEX('Fluxos de Recebimento'!$I$7:$BH$58, MATCH(Curvas!$AB55, 'Fluxos de Recebimento'!$F$7:$F$58, 0), MATCH(Curvas!BK$2,'Fluxos de Recebimento'!$I$5:$BH$5, 0))+INDEX('Fluxos de Recebimento'!$I$65:$BH$116, MATCH(Curvas!$AB55, 'Fluxos de Recebimento'!$F$65:$F$116, 0), MATCH(Curvas!BK$2, 'Fluxos de Recebimento'!$I$63:$BH$63, 0)),0)*INDEX($E:$E, MATCH(BK$2, $B:$B, 0))</f>
        <v>0</v>
      </c>
      <c r="BL55" s="193">
        <f>IFERROR(INDEX('Fluxos de Recebimento'!$I$7:$BH$58, MATCH(Curvas!$AB55, 'Fluxos de Recebimento'!$F$7:$F$58, 0), MATCH(Curvas!BL$2,'Fluxos de Recebimento'!$I$5:$BH$5, 0))+INDEX('Fluxos de Recebimento'!$I$65:$BH$116, MATCH(Curvas!$AB55, 'Fluxos de Recebimento'!$F$65:$F$116, 0), MATCH(Curvas!BL$2, 'Fluxos de Recebimento'!$I$63:$BH$63, 0)),0)*INDEX($E:$E, MATCH(BL$2, $B:$B, 0))</f>
        <v>0</v>
      </c>
      <c r="BM55" s="193">
        <f>IFERROR(INDEX('Fluxos de Recebimento'!$I$7:$BH$58, MATCH(Curvas!$AB55, 'Fluxos de Recebimento'!$F$7:$F$58, 0), MATCH(Curvas!BM$2,'Fluxos de Recebimento'!$I$5:$BH$5, 0))+INDEX('Fluxos de Recebimento'!$I$65:$BH$116, MATCH(Curvas!$AB55, 'Fluxos de Recebimento'!$F$65:$F$116, 0), MATCH(Curvas!BM$2, 'Fluxos de Recebimento'!$I$63:$BH$63, 0)),0)*INDEX($E:$E, MATCH(BM$2, $B:$B, 0))</f>
        <v>0</v>
      </c>
      <c r="BN55" s="193">
        <f>IFERROR(INDEX('Fluxos de Recebimento'!$I$7:$BH$58, MATCH(Curvas!$AB55, 'Fluxos de Recebimento'!$F$7:$F$58, 0), MATCH(Curvas!BN$2,'Fluxos de Recebimento'!$I$5:$BH$5, 0))+INDEX('Fluxos de Recebimento'!$I$65:$BH$116, MATCH(Curvas!$AB55, 'Fluxos de Recebimento'!$F$65:$F$116, 0), MATCH(Curvas!BN$2, 'Fluxos de Recebimento'!$I$63:$BH$63, 0)),0)*INDEX($E:$E, MATCH(BN$2, $B:$B, 0))</f>
        <v>0</v>
      </c>
      <c r="BO55" s="193">
        <f>IFERROR(INDEX('Fluxos de Recebimento'!$I$7:$BH$58, MATCH(Curvas!$AB55, 'Fluxos de Recebimento'!$F$7:$F$58, 0), MATCH(Curvas!BO$2,'Fluxos de Recebimento'!$I$5:$BH$5, 0))+INDEX('Fluxos de Recebimento'!$I$65:$BH$116, MATCH(Curvas!$AB55, 'Fluxos de Recebimento'!$F$65:$F$116, 0), MATCH(Curvas!BO$2, 'Fluxos de Recebimento'!$I$63:$BH$63, 0)),0)*INDEX($E:$E, MATCH(BO$2, $B:$B, 0))</f>
        <v>0</v>
      </c>
      <c r="BP55" s="193">
        <f>IFERROR(INDEX('Fluxos de Recebimento'!$I$7:$BH$58, MATCH(Curvas!$AB55, 'Fluxos de Recebimento'!$F$7:$F$58, 0), MATCH(Curvas!BP$2,'Fluxos de Recebimento'!$I$5:$BH$5, 0))+INDEX('Fluxos de Recebimento'!$I$65:$BH$116, MATCH(Curvas!$AB55, 'Fluxos de Recebimento'!$F$65:$F$116, 0), MATCH(Curvas!BP$2, 'Fluxos de Recebimento'!$I$63:$BH$63, 0)),0)*INDEX($E:$E, MATCH(BP$2, $B:$B, 0))</f>
        <v>0</v>
      </c>
      <c r="BQ55" s="193">
        <f>IFERROR(INDEX('Fluxos de Recebimento'!$I$7:$BH$58, MATCH(Curvas!$AB55, 'Fluxos de Recebimento'!$F$7:$F$58, 0), MATCH(Curvas!BQ$2,'Fluxos de Recebimento'!$I$5:$BH$5, 0))+INDEX('Fluxos de Recebimento'!$I$65:$BH$116, MATCH(Curvas!$AB55, 'Fluxos de Recebimento'!$F$65:$F$116, 0), MATCH(Curvas!BQ$2, 'Fluxos de Recebimento'!$I$63:$BH$63, 0)),0)*INDEX($E:$E, MATCH(BQ$2, $B:$B, 0))</f>
        <v>0</v>
      </c>
      <c r="BR55" s="193">
        <f>IFERROR(INDEX('Fluxos de Recebimento'!$I$7:$BH$58, MATCH(Curvas!$AB55, 'Fluxos de Recebimento'!$F$7:$F$58, 0), MATCH(Curvas!BR$2,'Fluxos de Recebimento'!$I$5:$BH$5, 0))+INDEX('Fluxos de Recebimento'!$I$65:$BH$116, MATCH(Curvas!$AB55, 'Fluxos de Recebimento'!$F$65:$F$116, 0), MATCH(Curvas!BR$2, 'Fluxos de Recebimento'!$I$63:$BH$63, 0)),0)*INDEX($E:$E, MATCH(BR$2, $B:$B, 0))</f>
        <v>0</v>
      </c>
      <c r="BS55" s="193">
        <f>IFERROR(INDEX('Fluxos de Recebimento'!$I$7:$BH$58, MATCH(Curvas!$AB55, 'Fluxos de Recebimento'!$F$7:$F$58, 0), MATCH(Curvas!BS$2,'Fluxos de Recebimento'!$I$5:$BH$5, 0))+INDEX('Fluxos de Recebimento'!$I$65:$BH$116, MATCH(Curvas!$AB55, 'Fluxos de Recebimento'!$F$65:$F$116, 0), MATCH(Curvas!BS$2, 'Fluxos de Recebimento'!$I$63:$BH$63, 0)),0)*INDEX($E:$E, MATCH(BS$2, $B:$B, 0))</f>
        <v>0</v>
      </c>
      <c r="BT55" s="193">
        <f>IFERROR(INDEX('Fluxos de Recebimento'!$I$7:$BH$58, MATCH(Curvas!$AB55, 'Fluxos de Recebimento'!$F$7:$F$58, 0), MATCH(Curvas!BT$2,'Fluxos de Recebimento'!$I$5:$BH$5, 0))+INDEX('Fluxos de Recebimento'!$I$65:$BH$116, MATCH(Curvas!$AB55, 'Fluxos de Recebimento'!$F$65:$F$116, 0), MATCH(Curvas!BT$2, 'Fluxos de Recebimento'!$I$63:$BH$63, 0)),0)*INDEX($E:$E, MATCH(BT$2, $B:$B, 0))</f>
        <v>0</v>
      </c>
      <c r="BU55" s="193">
        <f>IFERROR(INDEX('Fluxos de Recebimento'!$I$7:$BH$58, MATCH(Curvas!$AB55, 'Fluxos de Recebimento'!$F$7:$F$58, 0), MATCH(Curvas!BU$2,'Fluxos de Recebimento'!$I$5:$BH$5, 0))+INDEX('Fluxos de Recebimento'!$I$65:$BH$116, MATCH(Curvas!$AB55, 'Fluxos de Recebimento'!$F$65:$F$116, 0), MATCH(Curvas!BU$2, 'Fluxos de Recebimento'!$I$63:$BH$63, 0)),0)*INDEX($E:$E, MATCH(BU$2, $B:$B, 0))</f>
        <v>0</v>
      </c>
      <c r="BV55" s="193">
        <f>IFERROR(INDEX('Fluxos de Recebimento'!$I$7:$BH$58, MATCH(Curvas!$AB55, 'Fluxos de Recebimento'!$F$7:$F$58, 0), MATCH(Curvas!BV$2,'Fluxos de Recebimento'!$I$5:$BH$5, 0))+INDEX('Fluxos de Recebimento'!$I$65:$BH$116, MATCH(Curvas!$AB55, 'Fluxos de Recebimento'!$F$65:$F$116, 0), MATCH(Curvas!BV$2, 'Fluxos de Recebimento'!$I$63:$BH$63, 0)),0)*INDEX($E:$E, MATCH(BV$2, $B:$B, 0))</f>
        <v>0</v>
      </c>
      <c r="BW55" s="193">
        <f>IFERROR(INDEX('Fluxos de Recebimento'!$I$7:$BH$58, MATCH(Curvas!$AB55, 'Fluxos de Recebimento'!$F$7:$F$58, 0), MATCH(Curvas!BW$2,'Fluxos de Recebimento'!$I$5:$BH$5, 0))+INDEX('Fluxos de Recebimento'!$I$65:$BH$116, MATCH(Curvas!$AB55, 'Fluxos de Recebimento'!$F$65:$F$116, 0), MATCH(Curvas!BW$2, 'Fluxos de Recebimento'!$I$63:$BH$63, 0)),0)*INDEX($E:$E, MATCH(BW$2, $B:$B, 0))</f>
        <v>0</v>
      </c>
      <c r="BX55" s="193">
        <f>IFERROR(INDEX('Fluxos de Recebimento'!$I$7:$BH$58, MATCH(Curvas!$AB55, 'Fluxos de Recebimento'!$F$7:$F$58, 0), MATCH(Curvas!BX$2,'Fluxos de Recebimento'!$I$5:$BH$5, 0))+INDEX('Fluxos de Recebimento'!$I$65:$BH$116, MATCH(Curvas!$AB55, 'Fluxos de Recebimento'!$F$65:$F$116, 0), MATCH(Curvas!BX$2, 'Fluxos de Recebimento'!$I$63:$BH$63, 0)),0)*INDEX($E:$E, MATCH(BX$2, $B:$B, 0))</f>
        <v>0</v>
      </c>
      <c r="BY55" s="193">
        <f>IFERROR(INDEX('Fluxos de Recebimento'!$I$7:$BH$58, MATCH(Curvas!$AB55, 'Fluxos de Recebimento'!$F$7:$F$58, 0), MATCH(Curvas!BY$2,'Fluxos de Recebimento'!$I$5:$BH$5, 0))+INDEX('Fluxos de Recebimento'!$I$65:$BH$116, MATCH(Curvas!$AB55, 'Fluxos de Recebimento'!$F$65:$F$116, 0), MATCH(Curvas!BY$2, 'Fluxos de Recebimento'!$I$63:$BH$63, 0)),0)*INDEX($E:$E, MATCH(BY$2, $B:$B, 0))</f>
        <v>0</v>
      </c>
      <c r="BZ55" s="193">
        <f>IFERROR(INDEX('Fluxos de Recebimento'!$I$7:$BH$58, MATCH(Curvas!$AB55, 'Fluxos de Recebimento'!$F$7:$F$58, 0), MATCH(Curvas!BZ$2,'Fluxos de Recebimento'!$I$5:$BH$5, 0))+INDEX('Fluxos de Recebimento'!$I$65:$BH$116, MATCH(Curvas!$AB55, 'Fluxos de Recebimento'!$F$65:$F$116, 0), MATCH(Curvas!BZ$2, 'Fluxos de Recebimento'!$I$63:$BH$63, 0)),0)*INDEX($E:$E, MATCH(BZ$2, $B:$B, 0))</f>
        <v>0</v>
      </c>
      <c r="CA55" s="193">
        <f>IFERROR(INDEX('Fluxos de Recebimento'!$I$7:$BH$58, MATCH(Curvas!$AB55, 'Fluxos de Recebimento'!$F$7:$F$58, 0), MATCH(Curvas!CA$2,'Fluxos de Recebimento'!$I$5:$BH$5, 0))+INDEX('Fluxos de Recebimento'!$I$65:$BH$116, MATCH(Curvas!$AB55, 'Fluxos de Recebimento'!$F$65:$F$116, 0), MATCH(Curvas!CA$2, 'Fluxos de Recebimento'!$I$63:$BH$63, 0)),0)*INDEX($E:$E, MATCH(CA$2, $B:$B, 0))</f>
        <v>0</v>
      </c>
      <c r="CB55" s="193">
        <f>IFERROR(INDEX('Fluxos de Recebimento'!$I$7:$BH$58, MATCH(Curvas!$AB55, 'Fluxos de Recebimento'!$F$7:$F$58, 0), MATCH(Curvas!CB$2,'Fluxos de Recebimento'!$I$5:$BH$5, 0))+INDEX('Fluxos de Recebimento'!$I$65:$BH$116, MATCH(Curvas!$AB55, 'Fluxos de Recebimento'!$F$65:$F$116, 0), MATCH(Curvas!CB$2, 'Fluxos de Recebimento'!$I$63:$BH$63, 0)),0)*INDEX($E:$E, MATCH(CB$2, $B:$B, 0))</f>
        <v>0</v>
      </c>
      <c r="CC55" s="193">
        <f>IFERROR(INDEX('Fluxos de Recebimento'!$I$7:$BH$58, MATCH(Curvas!$AB55, 'Fluxos de Recebimento'!$F$7:$F$58, 0), MATCH(Curvas!CC$2,'Fluxos de Recebimento'!$I$5:$BH$5, 0))+INDEX('Fluxos de Recebimento'!$I$65:$BH$116, MATCH(Curvas!$AB55, 'Fluxos de Recebimento'!$F$65:$F$116, 0), MATCH(Curvas!CC$2, 'Fluxos de Recebimento'!$I$63:$BH$63, 0)),0)*INDEX($E:$E, MATCH(CC$2, $B:$B, 0))</f>
        <v>0</v>
      </c>
    </row>
    <row r="56" spans="1:81" x14ac:dyDescent="0.25">
      <c r="A56" s="2"/>
      <c r="B56" s="477">
        <f t="shared" si="34"/>
        <v>45748</v>
      </c>
      <c r="C56" s="52">
        <f t="shared" si="35"/>
        <v>53</v>
      </c>
      <c r="D56" s="2"/>
      <c r="E56" s="187">
        <f t="shared" si="22"/>
        <v>0</v>
      </c>
      <c r="F56" s="48">
        <f t="shared" si="36"/>
        <v>0.99999999999999978</v>
      </c>
      <c r="G56" s="46">
        <f t="shared" ca="1" si="23"/>
        <v>0</v>
      </c>
      <c r="H56" s="48">
        <f t="shared" ca="1" si="37"/>
        <v>0.99999999999999989</v>
      </c>
      <c r="I56" s="2"/>
      <c r="J56" s="69">
        <f t="shared" ca="1" si="24"/>
        <v>0</v>
      </c>
      <c r="K56" s="479">
        <f t="shared" ca="1" si="25"/>
        <v>0</v>
      </c>
      <c r="L56" s="70">
        <f t="shared" ca="1" si="26"/>
        <v>0</v>
      </c>
      <c r="M56" s="2"/>
      <c r="N56" s="69">
        <f t="shared" si="27"/>
        <v>1</v>
      </c>
      <c r="O56" s="479">
        <f t="shared" si="28"/>
        <v>0</v>
      </c>
      <c r="P56" s="70">
        <f t="shared" si="29"/>
        <v>1</v>
      </c>
      <c r="Q56" s="2"/>
      <c r="R56" s="71">
        <f t="shared" ca="1" si="30"/>
        <v>1</v>
      </c>
      <c r="S56" s="196"/>
      <c r="T56" s="46">
        <v>0</v>
      </c>
      <c r="U56" s="48">
        <f t="shared" si="38"/>
        <v>0.99999999999999978</v>
      </c>
      <c r="V56" s="2"/>
      <c r="W56" s="56"/>
      <c r="X56" s="48"/>
      <c r="Y56" s="2"/>
      <c r="Z56" s="194">
        <f t="shared" si="31"/>
        <v>0</v>
      </c>
      <c r="AA56" s="2"/>
      <c r="AB56" s="477">
        <f t="shared" si="32"/>
        <v>45748</v>
      </c>
      <c r="AC56" s="52">
        <f t="shared" si="33"/>
        <v>53</v>
      </c>
      <c r="AD56" s="193">
        <f>IFERROR(INDEX('Fluxos de Recebimento'!$I$7:$BH$58, MATCH(Curvas!$AB56, 'Fluxos de Recebimento'!$F$7:$F$58, 0), MATCH(Curvas!AD$2,'Fluxos de Recebimento'!$I$5:$BH$5, 0))+INDEX('Fluxos de Recebimento'!$I$65:$BH$116, MATCH(Curvas!$AB56, 'Fluxos de Recebimento'!$F$65:$F$116, 0), MATCH(Curvas!AD$2, 'Fluxos de Recebimento'!$I$63:$BH$63, 0)),0)*INDEX($E:$E, MATCH(AD$2, $B:$B, 0))</f>
        <v>0</v>
      </c>
      <c r="AE56" s="193">
        <f>IFERROR(INDEX('Fluxos de Recebimento'!$I$7:$BH$58, MATCH(Curvas!$AB56, 'Fluxos de Recebimento'!$F$7:$F$58, 0), MATCH(Curvas!AE$2,'Fluxos de Recebimento'!$I$5:$BH$5, 0))+INDEX('Fluxos de Recebimento'!$I$65:$BH$116, MATCH(Curvas!$AB56, 'Fluxos de Recebimento'!$F$65:$F$116, 0), MATCH(Curvas!AE$2, 'Fluxos de Recebimento'!$I$63:$BH$63, 0)),0)*INDEX($E:$E, MATCH(AE$2, $B:$B, 0))</f>
        <v>0</v>
      </c>
      <c r="AF56" s="193">
        <f>IFERROR(INDEX('Fluxos de Recebimento'!$I$7:$BH$58, MATCH(Curvas!$AB56, 'Fluxos de Recebimento'!$F$7:$F$58, 0), MATCH(Curvas!AF$2,'Fluxos de Recebimento'!$I$5:$BH$5, 0))+INDEX('Fluxos de Recebimento'!$I$65:$BH$116, MATCH(Curvas!$AB56, 'Fluxos de Recebimento'!$F$65:$F$116, 0), MATCH(Curvas!AF$2, 'Fluxos de Recebimento'!$I$63:$BH$63, 0)),0)*INDEX($E:$E, MATCH(AF$2, $B:$B, 0))</f>
        <v>0</v>
      </c>
      <c r="AG56" s="193">
        <f>IFERROR(INDEX('Fluxos de Recebimento'!$I$7:$BH$58, MATCH(Curvas!$AB56, 'Fluxos de Recebimento'!$F$7:$F$58, 0), MATCH(Curvas!AG$2,'Fluxos de Recebimento'!$I$5:$BH$5, 0))+INDEX('Fluxos de Recebimento'!$I$65:$BH$116, MATCH(Curvas!$AB56, 'Fluxos de Recebimento'!$F$65:$F$116, 0), MATCH(Curvas!AG$2, 'Fluxos de Recebimento'!$I$63:$BH$63, 0)),0)*INDEX($E:$E, MATCH(AG$2, $B:$B, 0))</f>
        <v>0</v>
      </c>
      <c r="AH56" s="193">
        <f>IFERROR(INDEX('Fluxos de Recebimento'!$I$7:$BH$58, MATCH(Curvas!$AB56, 'Fluxos de Recebimento'!$F$7:$F$58, 0), MATCH(Curvas!AH$2,'Fluxos de Recebimento'!$I$5:$BH$5, 0))+INDEX('Fluxos de Recebimento'!$I$65:$BH$116, MATCH(Curvas!$AB56, 'Fluxos de Recebimento'!$F$65:$F$116, 0), MATCH(Curvas!AH$2, 'Fluxos de Recebimento'!$I$63:$BH$63, 0)),0)*INDEX($E:$E, MATCH(AH$2, $B:$B, 0))</f>
        <v>0</v>
      </c>
      <c r="AI56" s="193">
        <f>IFERROR(INDEX('Fluxos de Recebimento'!$I$7:$BH$58, MATCH(Curvas!$AB56, 'Fluxos de Recebimento'!$F$7:$F$58, 0), MATCH(Curvas!AI$2,'Fluxos de Recebimento'!$I$5:$BH$5, 0))+INDEX('Fluxos de Recebimento'!$I$65:$BH$116, MATCH(Curvas!$AB56, 'Fluxos de Recebimento'!$F$65:$F$116, 0), MATCH(Curvas!AI$2, 'Fluxos de Recebimento'!$I$63:$BH$63, 0)),0)*INDEX($E:$E, MATCH(AI$2, $B:$B, 0))</f>
        <v>0</v>
      </c>
      <c r="AJ56" s="193">
        <f>IFERROR(INDEX('Fluxos de Recebimento'!$I$7:$BH$58, MATCH(Curvas!$AB56, 'Fluxos de Recebimento'!$F$7:$F$58, 0), MATCH(Curvas!AJ$2,'Fluxos de Recebimento'!$I$5:$BH$5, 0))+INDEX('Fluxos de Recebimento'!$I$65:$BH$116, MATCH(Curvas!$AB56, 'Fluxos de Recebimento'!$F$65:$F$116, 0), MATCH(Curvas!AJ$2, 'Fluxos de Recebimento'!$I$63:$BH$63, 0)),0)*INDEX($E:$E, MATCH(AJ$2, $B:$B, 0))</f>
        <v>0</v>
      </c>
      <c r="AK56" s="193">
        <f>IFERROR(INDEX('Fluxos de Recebimento'!$I$7:$BH$58, MATCH(Curvas!$AB56, 'Fluxos de Recebimento'!$F$7:$F$58, 0), MATCH(Curvas!AK$2,'Fluxos de Recebimento'!$I$5:$BH$5, 0))+INDEX('Fluxos de Recebimento'!$I$65:$BH$116, MATCH(Curvas!$AB56, 'Fluxos de Recebimento'!$F$65:$F$116, 0), MATCH(Curvas!AK$2, 'Fluxos de Recebimento'!$I$63:$BH$63, 0)),0)*INDEX($E:$E, MATCH(AK$2, $B:$B, 0))</f>
        <v>0</v>
      </c>
      <c r="AL56" s="193">
        <f>IFERROR(INDEX('Fluxos de Recebimento'!$I$7:$BH$58, MATCH(Curvas!$AB56, 'Fluxos de Recebimento'!$F$7:$F$58, 0), MATCH(Curvas!AL$2,'Fluxos de Recebimento'!$I$5:$BH$5, 0))+INDEX('Fluxos de Recebimento'!$I$65:$BH$116, MATCH(Curvas!$AB56, 'Fluxos de Recebimento'!$F$65:$F$116, 0), MATCH(Curvas!AL$2, 'Fluxos de Recebimento'!$I$63:$BH$63, 0)),0)*INDEX($E:$E, MATCH(AL$2, $B:$B, 0))</f>
        <v>0</v>
      </c>
      <c r="AM56" s="193">
        <f>IFERROR(INDEX('Fluxos de Recebimento'!$I$7:$BH$58, MATCH(Curvas!$AB56, 'Fluxos de Recebimento'!$F$7:$F$58, 0), MATCH(Curvas!AM$2,'Fluxos de Recebimento'!$I$5:$BH$5, 0))+INDEX('Fluxos de Recebimento'!$I$65:$BH$116, MATCH(Curvas!$AB56, 'Fluxos de Recebimento'!$F$65:$F$116, 0), MATCH(Curvas!AM$2, 'Fluxos de Recebimento'!$I$63:$BH$63, 0)),0)*INDEX($E:$E, MATCH(AM$2, $B:$B, 0))</f>
        <v>0</v>
      </c>
      <c r="AN56" s="193">
        <f>IFERROR(INDEX('Fluxos de Recebimento'!$I$7:$BH$58, MATCH(Curvas!$AB56, 'Fluxos de Recebimento'!$F$7:$F$58, 0), MATCH(Curvas!AN$2,'Fluxos de Recebimento'!$I$5:$BH$5, 0))+INDEX('Fluxos de Recebimento'!$I$65:$BH$116, MATCH(Curvas!$AB56, 'Fluxos de Recebimento'!$F$65:$F$116, 0), MATCH(Curvas!AN$2, 'Fluxos de Recebimento'!$I$63:$BH$63, 0)),0)*INDEX($E:$E, MATCH(AN$2, $B:$B, 0))</f>
        <v>0</v>
      </c>
      <c r="AO56" s="193">
        <f>IFERROR(INDEX('Fluxos de Recebimento'!$I$7:$BH$58, MATCH(Curvas!$AB56, 'Fluxos de Recebimento'!$F$7:$F$58, 0), MATCH(Curvas!AO$2,'Fluxos de Recebimento'!$I$5:$BH$5, 0))+INDEX('Fluxos de Recebimento'!$I$65:$BH$116, MATCH(Curvas!$AB56, 'Fluxos de Recebimento'!$F$65:$F$116, 0), MATCH(Curvas!AO$2, 'Fluxos de Recebimento'!$I$63:$BH$63, 0)),0)*INDEX($E:$E, MATCH(AO$2, $B:$B, 0))</f>
        <v>0</v>
      </c>
      <c r="AP56" s="193">
        <f>IFERROR(INDEX('Fluxos de Recebimento'!$I$7:$BH$58, MATCH(Curvas!$AB56, 'Fluxos de Recebimento'!$F$7:$F$58, 0), MATCH(Curvas!AP$2,'Fluxos de Recebimento'!$I$5:$BH$5, 0))+INDEX('Fluxos de Recebimento'!$I$65:$BH$116, MATCH(Curvas!$AB56, 'Fluxos de Recebimento'!$F$65:$F$116, 0), MATCH(Curvas!AP$2, 'Fluxos de Recebimento'!$I$63:$BH$63, 0)),0)*INDEX($E:$E, MATCH(AP$2, $B:$B, 0))</f>
        <v>0</v>
      </c>
      <c r="AQ56" s="193">
        <f>IFERROR(INDEX('Fluxos de Recebimento'!$I$7:$BH$58, MATCH(Curvas!$AB56, 'Fluxos de Recebimento'!$F$7:$F$58, 0), MATCH(Curvas!AQ$2,'Fluxos de Recebimento'!$I$5:$BH$5, 0))+INDEX('Fluxos de Recebimento'!$I$65:$BH$116, MATCH(Curvas!$AB56, 'Fluxos de Recebimento'!$F$65:$F$116, 0), MATCH(Curvas!AQ$2, 'Fluxos de Recebimento'!$I$63:$BH$63, 0)),0)*INDEX($E:$E, MATCH(AQ$2, $B:$B, 0))</f>
        <v>0</v>
      </c>
      <c r="AR56" s="193">
        <f>IFERROR(INDEX('Fluxos de Recebimento'!$I$7:$BH$58, MATCH(Curvas!$AB56, 'Fluxos de Recebimento'!$F$7:$F$58, 0), MATCH(Curvas!AR$2,'Fluxos de Recebimento'!$I$5:$BH$5, 0))+INDEX('Fluxos de Recebimento'!$I$65:$BH$116, MATCH(Curvas!$AB56, 'Fluxos de Recebimento'!$F$65:$F$116, 0), MATCH(Curvas!AR$2, 'Fluxos de Recebimento'!$I$63:$BH$63, 0)),0)*INDEX($E:$E, MATCH(AR$2, $B:$B, 0))</f>
        <v>0</v>
      </c>
      <c r="AS56" s="193">
        <f>IFERROR(INDEX('Fluxos de Recebimento'!$I$7:$BH$58, MATCH(Curvas!$AB56, 'Fluxos de Recebimento'!$F$7:$F$58, 0), MATCH(Curvas!AS$2,'Fluxos de Recebimento'!$I$5:$BH$5, 0))+INDEX('Fluxos de Recebimento'!$I$65:$BH$116, MATCH(Curvas!$AB56, 'Fluxos de Recebimento'!$F$65:$F$116, 0), MATCH(Curvas!AS$2, 'Fluxos de Recebimento'!$I$63:$BH$63, 0)),0)*INDEX($E:$E, MATCH(AS$2, $B:$B, 0))</f>
        <v>0</v>
      </c>
      <c r="AT56" s="193">
        <f>IFERROR(INDEX('Fluxos de Recebimento'!$I$7:$BH$58, MATCH(Curvas!$AB56, 'Fluxos de Recebimento'!$F$7:$F$58, 0), MATCH(Curvas!AT$2,'Fluxos de Recebimento'!$I$5:$BH$5, 0))+INDEX('Fluxos de Recebimento'!$I$65:$BH$116, MATCH(Curvas!$AB56, 'Fluxos de Recebimento'!$F$65:$F$116, 0), MATCH(Curvas!AT$2, 'Fluxos de Recebimento'!$I$63:$BH$63, 0)),0)*INDEX($E:$E, MATCH(AT$2, $B:$B, 0))</f>
        <v>0</v>
      </c>
      <c r="AU56" s="193">
        <f>IFERROR(INDEX('Fluxos de Recebimento'!$I$7:$BH$58, MATCH(Curvas!$AB56, 'Fluxos de Recebimento'!$F$7:$F$58, 0), MATCH(Curvas!AU$2,'Fluxos de Recebimento'!$I$5:$BH$5, 0))+INDEX('Fluxos de Recebimento'!$I$65:$BH$116, MATCH(Curvas!$AB56, 'Fluxos de Recebimento'!$F$65:$F$116, 0), MATCH(Curvas!AU$2, 'Fluxos de Recebimento'!$I$63:$BH$63, 0)),0)*INDEX($E:$E, MATCH(AU$2, $B:$B, 0))</f>
        <v>0</v>
      </c>
      <c r="AV56" s="193">
        <f>IFERROR(INDEX('Fluxos de Recebimento'!$I$7:$BH$58, MATCH(Curvas!$AB56, 'Fluxos de Recebimento'!$F$7:$F$58, 0), MATCH(Curvas!AV$2,'Fluxos de Recebimento'!$I$5:$BH$5, 0))+INDEX('Fluxos de Recebimento'!$I$65:$BH$116, MATCH(Curvas!$AB56, 'Fluxos de Recebimento'!$F$65:$F$116, 0), MATCH(Curvas!AV$2, 'Fluxos de Recebimento'!$I$63:$BH$63, 0)),0)*INDEX($E:$E, MATCH(AV$2, $B:$B, 0))</f>
        <v>0</v>
      </c>
      <c r="AW56" s="193">
        <f>IFERROR(INDEX('Fluxos de Recebimento'!$I$7:$BH$58, MATCH(Curvas!$AB56, 'Fluxos de Recebimento'!$F$7:$F$58, 0), MATCH(Curvas!AW$2,'Fluxos de Recebimento'!$I$5:$BH$5, 0))+INDEX('Fluxos de Recebimento'!$I$65:$BH$116, MATCH(Curvas!$AB56, 'Fluxos de Recebimento'!$F$65:$F$116, 0), MATCH(Curvas!AW$2, 'Fluxos de Recebimento'!$I$63:$BH$63, 0)),0)*INDEX($E:$E, MATCH(AW$2, $B:$B, 0))</f>
        <v>0</v>
      </c>
      <c r="AX56" s="193">
        <f>IFERROR(INDEX('Fluxos de Recebimento'!$I$7:$BH$58, MATCH(Curvas!$AB56, 'Fluxos de Recebimento'!$F$7:$F$58, 0), MATCH(Curvas!AX$2,'Fluxos de Recebimento'!$I$5:$BH$5, 0))+INDEX('Fluxos de Recebimento'!$I$65:$BH$116, MATCH(Curvas!$AB56, 'Fluxos de Recebimento'!$F$65:$F$116, 0), MATCH(Curvas!AX$2, 'Fluxos de Recebimento'!$I$63:$BH$63, 0)),0)*INDEX($E:$E, MATCH(AX$2, $B:$B, 0))</f>
        <v>0</v>
      </c>
      <c r="AY56" s="193">
        <f>IFERROR(INDEX('Fluxos de Recebimento'!$I$7:$BH$58, MATCH(Curvas!$AB56, 'Fluxos de Recebimento'!$F$7:$F$58, 0), MATCH(Curvas!AY$2,'Fluxos de Recebimento'!$I$5:$BH$5, 0))+INDEX('Fluxos de Recebimento'!$I$65:$BH$116, MATCH(Curvas!$AB56, 'Fluxos de Recebimento'!$F$65:$F$116, 0), MATCH(Curvas!AY$2, 'Fluxos de Recebimento'!$I$63:$BH$63, 0)),0)*INDEX($E:$E, MATCH(AY$2, $B:$B, 0))</f>
        <v>0</v>
      </c>
      <c r="AZ56" s="193">
        <f>IFERROR(INDEX('Fluxos de Recebimento'!$I$7:$BH$58, MATCH(Curvas!$AB56, 'Fluxos de Recebimento'!$F$7:$F$58, 0), MATCH(Curvas!AZ$2,'Fluxos de Recebimento'!$I$5:$BH$5, 0))+INDEX('Fluxos de Recebimento'!$I$65:$BH$116, MATCH(Curvas!$AB56, 'Fluxos de Recebimento'!$F$65:$F$116, 0), MATCH(Curvas!AZ$2, 'Fluxos de Recebimento'!$I$63:$BH$63, 0)),0)*INDEX($E:$E, MATCH(AZ$2, $B:$B, 0))</f>
        <v>0</v>
      </c>
      <c r="BA56" s="193">
        <f>IFERROR(INDEX('Fluxos de Recebimento'!$I$7:$BH$58, MATCH(Curvas!$AB56, 'Fluxos de Recebimento'!$F$7:$F$58, 0), MATCH(Curvas!BA$2,'Fluxos de Recebimento'!$I$5:$BH$5, 0))+INDEX('Fluxos de Recebimento'!$I$65:$BH$116, MATCH(Curvas!$AB56, 'Fluxos de Recebimento'!$F$65:$F$116, 0), MATCH(Curvas!BA$2, 'Fluxos de Recebimento'!$I$63:$BH$63, 0)),0)*INDEX($E:$E, MATCH(BA$2, $B:$B, 0))</f>
        <v>0</v>
      </c>
      <c r="BB56" s="193">
        <f>IFERROR(INDEX('Fluxos de Recebimento'!$I$7:$BH$58, MATCH(Curvas!$AB56, 'Fluxos de Recebimento'!$F$7:$F$58, 0), MATCH(Curvas!BB$2,'Fluxos de Recebimento'!$I$5:$BH$5, 0))+INDEX('Fluxos de Recebimento'!$I$65:$BH$116, MATCH(Curvas!$AB56, 'Fluxos de Recebimento'!$F$65:$F$116, 0), MATCH(Curvas!BB$2, 'Fluxos de Recebimento'!$I$63:$BH$63, 0)),0)*INDEX($E:$E, MATCH(BB$2, $B:$B, 0))</f>
        <v>0</v>
      </c>
      <c r="BC56" s="193">
        <f>IFERROR(INDEX('Fluxos de Recebimento'!$I$7:$BH$58, MATCH(Curvas!$AB56, 'Fluxos de Recebimento'!$F$7:$F$58, 0), MATCH(Curvas!BC$2,'Fluxos de Recebimento'!$I$5:$BH$5, 0))+INDEX('Fluxos de Recebimento'!$I$65:$BH$116, MATCH(Curvas!$AB56, 'Fluxos de Recebimento'!$F$65:$F$116, 0), MATCH(Curvas!BC$2, 'Fluxos de Recebimento'!$I$63:$BH$63, 0)),0)*INDEX($E:$E, MATCH(BC$2, $B:$B, 0))</f>
        <v>0</v>
      </c>
      <c r="BD56" s="193">
        <f>IFERROR(INDEX('Fluxos de Recebimento'!$I$7:$BH$58, MATCH(Curvas!$AB56, 'Fluxos de Recebimento'!$F$7:$F$58, 0), MATCH(Curvas!BD$2,'Fluxos de Recebimento'!$I$5:$BH$5, 0))+INDEX('Fluxos de Recebimento'!$I$65:$BH$116, MATCH(Curvas!$AB56, 'Fluxos de Recebimento'!$F$65:$F$116, 0), MATCH(Curvas!BD$2, 'Fluxos de Recebimento'!$I$63:$BH$63, 0)),0)*INDEX($E:$E, MATCH(BD$2, $B:$B, 0))</f>
        <v>0</v>
      </c>
      <c r="BE56" s="193">
        <f>IFERROR(INDEX('Fluxos de Recebimento'!$I$7:$BH$58, MATCH(Curvas!$AB56, 'Fluxos de Recebimento'!$F$7:$F$58, 0), MATCH(Curvas!BE$2,'Fluxos de Recebimento'!$I$5:$BH$5, 0))+INDEX('Fluxos de Recebimento'!$I$65:$BH$116, MATCH(Curvas!$AB56, 'Fluxos de Recebimento'!$F$65:$F$116, 0), MATCH(Curvas!BE$2, 'Fluxos de Recebimento'!$I$63:$BH$63, 0)),0)*INDEX($E:$E, MATCH(BE$2, $B:$B, 0))</f>
        <v>0</v>
      </c>
      <c r="BF56" s="193">
        <f>IFERROR(INDEX('Fluxos de Recebimento'!$I$7:$BH$58, MATCH(Curvas!$AB56, 'Fluxos de Recebimento'!$F$7:$F$58, 0), MATCH(Curvas!BF$2,'Fluxos de Recebimento'!$I$5:$BH$5, 0))+INDEX('Fluxos de Recebimento'!$I$65:$BH$116, MATCH(Curvas!$AB56, 'Fluxos de Recebimento'!$F$65:$F$116, 0), MATCH(Curvas!BF$2, 'Fluxos de Recebimento'!$I$63:$BH$63, 0)),0)*INDEX($E:$E, MATCH(BF$2, $B:$B, 0))</f>
        <v>0</v>
      </c>
      <c r="BG56" s="193">
        <f>IFERROR(INDEX('Fluxos de Recebimento'!$I$7:$BH$58, MATCH(Curvas!$AB56, 'Fluxos de Recebimento'!$F$7:$F$58, 0), MATCH(Curvas!BG$2,'Fluxos de Recebimento'!$I$5:$BH$5, 0))+INDEX('Fluxos de Recebimento'!$I$65:$BH$116, MATCH(Curvas!$AB56, 'Fluxos de Recebimento'!$F$65:$F$116, 0), MATCH(Curvas!BG$2, 'Fluxos de Recebimento'!$I$63:$BH$63, 0)),0)*INDEX($E:$E, MATCH(BG$2, $B:$B, 0))</f>
        <v>0</v>
      </c>
      <c r="BH56" s="193">
        <f>IFERROR(INDEX('Fluxos de Recebimento'!$I$7:$BH$58, MATCH(Curvas!$AB56, 'Fluxos de Recebimento'!$F$7:$F$58, 0), MATCH(Curvas!BH$2,'Fluxos de Recebimento'!$I$5:$BH$5, 0))+INDEX('Fluxos de Recebimento'!$I$65:$BH$116, MATCH(Curvas!$AB56, 'Fluxos de Recebimento'!$F$65:$F$116, 0), MATCH(Curvas!BH$2, 'Fluxos de Recebimento'!$I$63:$BH$63, 0)),0)*INDEX($E:$E, MATCH(BH$2, $B:$B, 0))</f>
        <v>0</v>
      </c>
      <c r="BI56" s="193">
        <f>IFERROR(INDEX('Fluxos de Recebimento'!$I$7:$BH$58, MATCH(Curvas!$AB56, 'Fluxos de Recebimento'!$F$7:$F$58, 0), MATCH(Curvas!BI$2,'Fluxos de Recebimento'!$I$5:$BH$5, 0))+INDEX('Fluxos de Recebimento'!$I$65:$BH$116, MATCH(Curvas!$AB56, 'Fluxos de Recebimento'!$F$65:$F$116, 0), MATCH(Curvas!BI$2, 'Fluxos de Recebimento'!$I$63:$BH$63, 0)),0)*INDEX($E:$E, MATCH(BI$2, $B:$B, 0))</f>
        <v>0</v>
      </c>
      <c r="BJ56" s="193">
        <f>IFERROR(INDEX('Fluxos de Recebimento'!$I$7:$BH$58, MATCH(Curvas!$AB56, 'Fluxos de Recebimento'!$F$7:$F$58, 0), MATCH(Curvas!BJ$2,'Fluxos de Recebimento'!$I$5:$BH$5, 0))+INDEX('Fluxos de Recebimento'!$I$65:$BH$116, MATCH(Curvas!$AB56, 'Fluxos de Recebimento'!$F$65:$F$116, 0), MATCH(Curvas!BJ$2, 'Fluxos de Recebimento'!$I$63:$BH$63, 0)),0)*INDEX($E:$E, MATCH(BJ$2, $B:$B, 0))</f>
        <v>0</v>
      </c>
      <c r="BK56" s="193">
        <f>IFERROR(INDEX('Fluxos de Recebimento'!$I$7:$BH$58, MATCH(Curvas!$AB56, 'Fluxos de Recebimento'!$F$7:$F$58, 0), MATCH(Curvas!BK$2,'Fluxos de Recebimento'!$I$5:$BH$5, 0))+INDEX('Fluxos de Recebimento'!$I$65:$BH$116, MATCH(Curvas!$AB56, 'Fluxos de Recebimento'!$F$65:$F$116, 0), MATCH(Curvas!BK$2, 'Fluxos de Recebimento'!$I$63:$BH$63, 0)),0)*INDEX($E:$E, MATCH(BK$2, $B:$B, 0))</f>
        <v>0</v>
      </c>
      <c r="BL56" s="193">
        <f>IFERROR(INDEX('Fluxos de Recebimento'!$I$7:$BH$58, MATCH(Curvas!$AB56, 'Fluxos de Recebimento'!$F$7:$F$58, 0), MATCH(Curvas!BL$2,'Fluxos de Recebimento'!$I$5:$BH$5, 0))+INDEX('Fluxos de Recebimento'!$I$65:$BH$116, MATCH(Curvas!$AB56, 'Fluxos de Recebimento'!$F$65:$F$116, 0), MATCH(Curvas!BL$2, 'Fluxos de Recebimento'!$I$63:$BH$63, 0)),0)*INDEX($E:$E, MATCH(BL$2, $B:$B, 0))</f>
        <v>0</v>
      </c>
      <c r="BM56" s="193">
        <f>IFERROR(INDEX('Fluxos de Recebimento'!$I$7:$BH$58, MATCH(Curvas!$AB56, 'Fluxos de Recebimento'!$F$7:$F$58, 0), MATCH(Curvas!BM$2,'Fluxos de Recebimento'!$I$5:$BH$5, 0))+INDEX('Fluxos de Recebimento'!$I$65:$BH$116, MATCH(Curvas!$AB56, 'Fluxos de Recebimento'!$F$65:$F$116, 0), MATCH(Curvas!BM$2, 'Fluxos de Recebimento'!$I$63:$BH$63, 0)),0)*INDEX($E:$E, MATCH(BM$2, $B:$B, 0))</f>
        <v>0</v>
      </c>
      <c r="BN56" s="193">
        <f>IFERROR(INDEX('Fluxos de Recebimento'!$I$7:$BH$58, MATCH(Curvas!$AB56, 'Fluxos de Recebimento'!$F$7:$F$58, 0), MATCH(Curvas!BN$2,'Fluxos de Recebimento'!$I$5:$BH$5, 0))+INDEX('Fluxos de Recebimento'!$I$65:$BH$116, MATCH(Curvas!$AB56, 'Fluxos de Recebimento'!$F$65:$F$116, 0), MATCH(Curvas!BN$2, 'Fluxos de Recebimento'!$I$63:$BH$63, 0)),0)*INDEX($E:$E, MATCH(BN$2, $B:$B, 0))</f>
        <v>0</v>
      </c>
      <c r="BO56" s="193">
        <f>IFERROR(INDEX('Fluxos de Recebimento'!$I$7:$BH$58, MATCH(Curvas!$AB56, 'Fluxos de Recebimento'!$F$7:$F$58, 0), MATCH(Curvas!BO$2,'Fluxos de Recebimento'!$I$5:$BH$5, 0))+INDEX('Fluxos de Recebimento'!$I$65:$BH$116, MATCH(Curvas!$AB56, 'Fluxos de Recebimento'!$F$65:$F$116, 0), MATCH(Curvas!BO$2, 'Fluxos de Recebimento'!$I$63:$BH$63, 0)),0)*INDEX($E:$E, MATCH(BO$2, $B:$B, 0))</f>
        <v>0</v>
      </c>
      <c r="BP56" s="193">
        <f>IFERROR(INDEX('Fluxos de Recebimento'!$I$7:$BH$58, MATCH(Curvas!$AB56, 'Fluxos de Recebimento'!$F$7:$F$58, 0), MATCH(Curvas!BP$2,'Fluxos de Recebimento'!$I$5:$BH$5, 0))+INDEX('Fluxos de Recebimento'!$I$65:$BH$116, MATCH(Curvas!$AB56, 'Fluxos de Recebimento'!$F$65:$F$116, 0), MATCH(Curvas!BP$2, 'Fluxos de Recebimento'!$I$63:$BH$63, 0)),0)*INDEX($E:$E, MATCH(BP$2, $B:$B, 0))</f>
        <v>0</v>
      </c>
      <c r="BQ56" s="193">
        <f>IFERROR(INDEX('Fluxos de Recebimento'!$I$7:$BH$58, MATCH(Curvas!$AB56, 'Fluxos de Recebimento'!$F$7:$F$58, 0), MATCH(Curvas!BQ$2,'Fluxos de Recebimento'!$I$5:$BH$5, 0))+INDEX('Fluxos de Recebimento'!$I$65:$BH$116, MATCH(Curvas!$AB56, 'Fluxos de Recebimento'!$F$65:$F$116, 0), MATCH(Curvas!BQ$2, 'Fluxos de Recebimento'!$I$63:$BH$63, 0)),0)*INDEX($E:$E, MATCH(BQ$2, $B:$B, 0))</f>
        <v>0</v>
      </c>
      <c r="BR56" s="193">
        <f>IFERROR(INDEX('Fluxos de Recebimento'!$I$7:$BH$58, MATCH(Curvas!$AB56, 'Fluxos de Recebimento'!$F$7:$F$58, 0), MATCH(Curvas!BR$2,'Fluxos de Recebimento'!$I$5:$BH$5, 0))+INDEX('Fluxos de Recebimento'!$I$65:$BH$116, MATCH(Curvas!$AB56, 'Fluxos de Recebimento'!$F$65:$F$116, 0), MATCH(Curvas!BR$2, 'Fluxos de Recebimento'!$I$63:$BH$63, 0)),0)*INDEX($E:$E, MATCH(BR$2, $B:$B, 0))</f>
        <v>0</v>
      </c>
      <c r="BS56" s="193">
        <f>IFERROR(INDEX('Fluxos de Recebimento'!$I$7:$BH$58, MATCH(Curvas!$AB56, 'Fluxos de Recebimento'!$F$7:$F$58, 0), MATCH(Curvas!BS$2,'Fluxos de Recebimento'!$I$5:$BH$5, 0))+INDEX('Fluxos de Recebimento'!$I$65:$BH$116, MATCH(Curvas!$AB56, 'Fluxos de Recebimento'!$F$65:$F$116, 0), MATCH(Curvas!BS$2, 'Fluxos de Recebimento'!$I$63:$BH$63, 0)),0)*INDEX($E:$E, MATCH(BS$2, $B:$B, 0))</f>
        <v>0</v>
      </c>
      <c r="BT56" s="193">
        <f>IFERROR(INDEX('Fluxos de Recebimento'!$I$7:$BH$58, MATCH(Curvas!$AB56, 'Fluxos de Recebimento'!$F$7:$F$58, 0), MATCH(Curvas!BT$2,'Fluxos de Recebimento'!$I$5:$BH$5, 0))+INDEX('Fluxos de Recebimento'!$I$65:$BH$116, MATCH(Curvas!$AB56, 'Fluxos de Recebimento'!$F$65:$F$116, 0), MATCH(Curvas!BT$2, 'Fluxos de Recebimento'!$I$63:$BH$63, 0)),0)*INDEX($E:$E, MATCH(BT$2, $B:$B, 0))</f>
        <v>0</v>
      </c>
      <c r="BU56" s="193">
        <f>IFERROR(INDEX('Fluxos de Recebimento'!$I$7:$BH$58, MATCH(Curvas!$AB56, 'Fluxos de Recebimento'!$F$7:$F$58, 0), MATCH(Curvas!BU$2,'Fluxos de Recebimento'!$I$5:$BH$5, 0))+INDEX('Fluxos de Recebimento'!$I$65:$BH$116, MATCH(Curvas!$AB56, 'Fluxos de Recebimento'!$F$65:$F$116, 0), MATCH(Curvas!BU$2, 'Fluxos de Recebimento'!$I$63:$BH$63, 0)),0)*INDEX($E:$E, MATCH(BU$2, $B:$B, 0))</f>
        <v>0</v>
      </c>
      <c r="BV56" s="193">
        <f>IFERROR(INDEX('Fluxos de Recebimento'!$I$7:$BH$58, MATCH(Curvas!$AB56, 'Fluxos de Recebimento'!$F$7:$F$58, 0), MATCH(Curvas!BV$2,'Fluxos de Recebimento'!$I$5:$BH$5, 0))+INDEX('Fluxos de Recebimento'!$I$65:$BH$116, MATCH(Curvas!$AB56, 'Fluxos de Recebimento'!$F$65:$F$116, 0), MATCH(Curvas!BV$2, 'Fluxos de Recebimento'!$I$63:$BH$63, 0)),0)*INDEX($E:$E, MATCH(BV$2, $B:$B, 0))</f>
        <v>0</v>
      </c>
      <c r="BW56" s="193">
        <f>IFERROR(INDEX('Fluxos de Recebimento'!$I$7:$BH$58, MATCH(Curvas!$AB56, 'Fluxos de Recebimento'!$F$7:$F$58, 0), MATCH(Curvas!BW$2,'Fluxos de Recebimento'!$I$5:$BH$5, 0))+INDEX('Fluxos de Recebimento'!$I$65:$BH$116, MATCH(Curvas!$AB56, 'Fluxos de Recebimento'!$F$65:$F$116, 0), MATCH(Curvas!BW$2, 'Fluxos de Recebimento'!$I$63:$BH$63, 0)),0)*INDEX($E:$E, MATCH(BW$2, $B:$B, 0))</f>
        <v>0</v>
      </c>
      <c r="BX56" s="193">
        <f>IFERROR(INDEX('Fluxos de Recebimento'!$I$7:$BH$58, MATCH(Curvas!$AB56, 'Fluxos de Recebimento'!$F$7:$F$58, 0), MATCH(Curvas!BX$2,'Fluxos de Recebimento'!$I$5:$BH$5, 0))+INDEX('Fluxos de Recebimento'!$I$65:$BH$116, MATCH(Curvas!$AB56, 'Fluxos de Recebimento'!$F$65:$F$116, 0), MATCH(Curvas!BX$2, 'Fluxos de Recebimento'!$I$63:$BH$63, 0)),0)*INDEX($E:$E, MATCH(BX$2, $B:$B, 0))</f>
        <v>0</v>
      </c>
      <c r="BY56" s="193">
        <f>IFERROR(INDEX('Fluxos de Recebimento'!$I$7:$BH$58, MATCH(Curvas!$AB56, 'Fluxos de Recebimento'!$F$7:$F$58, 0), MATCH(Curvas!BY$2,'Fluxos de Recebimento'!$I$5:$BH$5, 0))+INDEX('Fluxos de Recebimento'!$I$65:$BH$116, MATCH(Curvas!$AB56, 'Fluxos de Recebimento'!$F$65:$F$116, 0), MATCH(Curvas!BY$2, 'Fluxos de Recebimento'!$I$63:$BH$63, 0)),0)*INDEX($E:$E, MATCH(BY$2, $B:$B, 0))</f>
        <v>0</v>
      </c>
      <c r="BZ56" s="193">
        <f>IFERROR(INDEX('Fluxos de Recebimento'!$I$7:$BH$58, MATCH(Curvas!$AB56, 'Fluxos de Recebimento'!$F$7:$F$58, 0), MATCH(Curvas!BZ$2,'Fluxos de Recebimento'!$I$5:$BH$5, 0))+INDEX('Fluxos de Recebimento'!$I$65:$BH$116, MATCH(Curvas!$AB56, 'Fluxos de Recebimento'!$F$65:$F$116, 0), MATCH(Curvas!BZ$2, 'Fluxos de Recebimento'!$I$63:$BH$63, 0)),0)*INDEX($E:$E, MATCH(BZ$2, $B:$B, 0))</f>
        <v>0</v>
      </c>
      <c r="CA56" s="193">
        <f>IFERROR(INDEX('Fluxos de Recebimento'!$I$7:$BH$58, MATCH(Curvas!$AB56, 'Fluxos de Recebimento'!$F$7:$F$58, 0), MATCH(Curvas!CA$2,'Fluxos de Recebimento'!$I$5:$BH$5, 0))+INDEX('Fluxos de Recebimento'!$I$65:$BH$116, MATCH(Curvas!$AB56, 'Fluxos de Recebimento'!$F$65:$F$116, 0), MATCH(Curvas!CA$2, 'Fluxos de Recebimento'!$I$63:$BH$63, 0)),0)*INDEX($E:$E, MATCH(CA$2, $B:$B, 0))</f>
        <v>0</v>
      </c>
      <c r="CB56" s="193">
        <f>IFERROR(INDEX('Fluxos de Recebimento'!$I$7:$BH$58, MATCH(Curvas!$AB56, 'Fluxos de Recebimento'!$F$7:$F$58, 0), MATCH(Curvas!CB$2,'Fluxos de Recebimento'!$I$5:$BH$5, 0))+INDEX('Fluxos de Recebimento'!$I$65:$BH$116, MATCH(Curvas!$AB56, 'Fluxos de Recebimento'!$F$65:$F$116, 0), MATCH(Curvas!CB$2, 'Fluxos de Recebimento'!$I$63:$BH$63, 0)),0)*INDEX($E:$E, MATCH(CB$2, $B:$B, 0))</f>
        <v>0</v>
      </c>
      <c r="CC56" s="193">
        <f>IFERROR(INDEX('Fluxos de Recebimento'!$I$7:$BH$58, MATCH(Curvas!$AB56, 'Fluxos de Recebimento'!$F$7:$F$58, 0), MATCH(Curvas!CC$2,'Fluxos de Recebimento'!$I$5:$BH$5, 0))+INDEX('Fluxos de Recebimento'!$I$65:$BH$116, MATCH(Curvas!$AB56, 'Fluxos de Recebimento'!$F$65:$F$116, 0), MATCH(Curvas!CC$2, 'Fluxos de Recebimento'!$I$63:$BH$63, 0)),0)*INDEX($E:$E, MATCH(CC$2, $B:$B, 0))</f>
        <v>0</v>
      </c>
    </row>
    <row r="57" spans="1:81" x14ac:dyDescent="0.25">
      <c r="A57" s="2"/>
      <c r="B57" s="477">
        <f t="shared" si="34"/>
        <v>45778</v>
      </c>
      <c r="C57" s="52">
        <f t="shared" si="35"/>
        <v>54</v>
      </c>
      <c r="D57" s="2"/>
      <c r="E57" s="187">
        <f t="shared" si="22"/>
        <v>0</v>
      </c>
      <c r="F57" s="48">
        <f t="shared" si="36"/>
        <v>0.99999999999999978</v>
      </c>
      <c r="G57" s="46">
        <f t="shared" ca="1" si="23"/>
        <v>0</v>
      </c>
      <c r="H57" s="48">
        <f t="shared" ca="1" si="37"/>
        <v>0.99999999999999989</v>
      </c>
      <c r="I57" s="2"/>
      <c r="J57" s="69">
        <f t="shared" ca="1" si="24"/>
        <v>0</v>
      </c>
      <c r="K57" s="479">
        <f t="shared" ca="1" si="25"/>
        <v>0</v>
      </c>
      <c r="L57" s="70">
        <f t="shared" ca="1" si="26"/>
        <v>0</v>
      </c>
      <c r="M57" s="2"/>
      <c r="N57" s="69">
        <f t="shared" si="27"/>
        <v>1</v>
      </c>
      <c r="O57" s="479">
        <f t="shared" si="28"/>
        <v>0</v>
      </c>
      <c r="P57" s="70">
        <f t="shared" si="29"/>
        <v>1</v>
      </c>
      <c r="Q57" s="2"/>
      <c r="R57" s="71">
        <f t="shared" ca="1" si="30"/>
        <v>1</v>
      </c>
      <c r="S57" s="196"/>
      <c r="T57" s="46">
        <v>0</v>
      </c>
      <c r="U57" s="48">
        <f t="shared" si="38"/>
        <v>0.99999999999999978</v>
      </c>
      <c r="V57" s="2"/>
      <c r="W57" s="56"/>
      <c r="X57" s="48"/>
      <c r="Y57" s="2"/>
      <c r="Z57" s="194">
        <f t="shared" si="31"/>
        <v>0</v>
      </c>
      <c r="AA57" s="2"/>
      <c r="AB57" s="477">
        <f t="shared" si="32"/>
        <v>45778</v>
      </c>
      <c r="AC57" s="52">
        <f t="shared" si="33"/>
        <v>54</v>
      </c>
      <c r="AD57" s="193">
        <f>IFERROR(INDEX('Fluxos de Recebimento'!$I$7:$BH$58, MATCH(Curvas!$AB57, 'Fluxos de Recebimento'!$F$7:$F$58, 0), MATCH(Curvas!AD$2,'Fluxos de Recebimento'!$I$5:$BH$5, 0))+INDEX('Fluxos de Recebimento'!$I$65:$BH$116, MATCH(Curvas!$AB57, 'Fluxos de Recebimento'!$F$65:$F$116, 0), MATCH(Curvas!AD$2, 'Fluxos de Recebimento'!$I$63:$BH$63, 0)),0)*INDEX($E:$E, MATCH(AD$2, $B:$B, 0))</f>
        <v>0</v>
      </c>
      <c r="AE57" s="193">
        <f>IFERROR(INDEX('Fluxos de Recebimento'!$I$7:$BH$58, MATCH(Curvas!$AB57, 'Fluxos de Recebimento'!$F$7:$F$58, 0), MATCH(Curvas!AE$2,'Fluxos de Recebimento'!$I$5:$BH$5, 0))+INDEX('Fluxos de Recebimento'!$I$65:$BH$116, MATCH(Curvas!$AB57, 'Fluxos de Recebimento'!$F$65:$F$116, 0), MATCH(Curvas!AE$2, 'Fluxos de Recebimento'!$I$63:$BH$63, 0)),0)*INDEX($E:$E, MATCH(AE$2, $B:$B, 0))</f>
        <v>0</v>
      </c>
      <c r="AF57" s="193">
        <f>IFERROR(INDEX('Fluxos de Recebimento'!$I$7:$BH$58, MATCH(Curvas!$AB57, 'Fluxos de Recebimento'!$F$7:$F$58, 0), MATCH(Curvas!AF$2,'Fluxos de Recebimento'!$I$5:$BH$5, 0))+INDEX('Fluxos de Recebimento'!$I$65:$BH$116, MATCH(Curvas!$AB57, 'Fluxos de Recebimento'!$F$65:$F$116, 0), MATCH(Curvas!AF$2, 'Fluxos de Recebimento'!$I$63:$BH$63, 0)),0)*INDEX($E:$E, MATCH(AF$2, $B:$B, 0))</f>
        <v>0</v>
      </c>
      <c r="AG57" s="193">
        <f>IFERROR(INDEX('Fluxos de Recebimento'!$I$7:$BH$58, MATCH(Curvas!$AB57, 'Fluxos de Recebimento'!$F$7:$F$58, 0), MATCH(Curvas!AG$2,'Fluxos de Recebimento'!$I$5:$BH$5, 0))+INDEX('Fluxos de Recebimento'!$I$65:$BH$116, MATCH(Curvas!$AB57, 'Fluxos de Recebimento'!$F$65:$F$116, 0), MATCH(Curvas!AG$2, 'Fluxos de Recebimento'!$I$63:$BH$63, 0)),0)*INDEX($E:$E, MATCH(AG$2, $B:$B, 0))</f>
        <v>0</v>
      </c>
      <c r="AH57" s="193">
        <f>IFERROR(INDEX('Fluxos de Recebimento'!$I$7:$BH$58, MATCH(Curvas!$AB57, 'Fluxos de Recebimento'!$F$7:$F$58, 0), MATCH(Curvas!AH$2,'Fluxos de Recebimento'!$I$5:$BH$5, 0))+INDEX('Fluxos de Recebimento'!$I$65:$BH$116, MATCH(Curvas!$AB57, 'Fluxos de Recebimento'!$F$65:$F$116, 0), MATCH(Curvas!AH$2, 'Fluxos de Recebimento'!$I$63:$BH$63, 0)),0)*INDEX($E:$E, MATCH(AH$2, $B:$B, 0))</f>
        <v>0</v>
      </c>
      <c r="AI57" s="193">
        <f>IFERROR(INDEX('Fluxos de Recebimento'!$I$7:$BH$58, MATCH(Curvas!$AB57, 'Fluxos de Recebimento'!$F$7:$F$58, 0), MATCH(Curvas!AI$2,'Fluxos de Recebimento'!$I$5:$BH$5, 0))+INDEX('Fluxos de Recebimento'!$I$65:$BH$116, MATCH(Curvas!$AB57, 'Fluxos de Recebimento'!$F$65:$F$116, 0), MATCH(Curvas!AI$2, 'Fluxos de Recebimento'!$I$63:$BH$63, 0)),0)*INDEX($E:$E, MATCH(AI$2, $B:$B, 0))</f>
        <v>0</v>
      </c>
      <c r="AJ57" s="193">
        <f>IFERROR(INDEX('Fluxos de Recebimento'!$I$7:$BH$58, MATCH(Curvas!$AB57, 'Fluxos de Recebimento'!$F$7:$F$58, 0), MATCH(Curvas!AJ$2,'Fluxos de Recebimento'!$I$5:$BH$5, 0))+INDEX('Fluxos de Recebimento'!$I$65:$BH$116, MATCH(Curvas!$AB57, 'Fluxos de Recebimento'!$F$65:$F$116, 0), MATCH(Curvas!AJ$2, 'Fluxos de Recebimento'!$I$63:$BH$63, 0)),0)*INDEX($E:$E, MATCH(AJ$2, $B:$B, 0))</f>
        <v>0</v>
      </c>
      <c r="AK57" s="193">
        <f>IFERROR(INDEX('Fluxos de Recebimento'!$I$7:$BH$58, MATCH(Curvas!$AB57, 'Fluxos de Recebimento'!$F$7:$F$58, 0), MATCH(Curvas!AK$2,'Fluxos de Recebimento'!$I$5:$BH$5, 0))+INDEX('Fluxos de Recebimento'!$I$65:$BH$116, MATCH(Curvas!$AB57, 'Fluxos de Recebimento'!$F$65:$F$116, 0), MATCH(Curvas!AK$2, 'Fluxos de Recebimento'!$I$63:$BH$63, 0)),0)*INDEX($E:$E, MATCH(AK$2, $B:$B, 0))</f>
        <v>0</v>
      </c>
      <c r="AL57" s="193">
        <f>IFERROR(INDEX('Fluxos de Recebimento'!$I$7:$BH$58, MATCH(Curvas!$AB57, 'Fluxos de Recebimento'!$F$7:$F$58, 0), MATCH(Curvas!AL$2,'Fluxos de Recebimento'!$I$5:$BH$5, 0))+INDEX('Fluxos de Recebimento'!$I$65:$BH$116, MATCH(Curvas!$AB57, 'Fluxos de Recebimento'!$F$65:$F$116, 0), MATCH(Curvas!AL$2, 'Fluxos de Recebimento'!$I$63:$BH$63, 0)),0)*INDEX($E:$E, MATCH(AL$2, $B:$B, 0))</f>
        <v>0</v>
      </c>
      <c r="AM57" s="193">
        <f>IFERROR(INDEX('Fluxos de Recebimento'!$I$7:$BH$58, MATCH(Curvas!$AB57, 'Fluxos de Recebimento'!$F$7:$F$58, 0), MATCH(Curvas!AM$2,'Fluxos de Recebimento'!$I$5:$BH$5, 0))+INDEX('Fluxos de Recebimento'!$I$65:$BH$116, MATCH(Curvas!$AB57, 'Fluxos de Recebimento'!$F$65:$F$116, 0), MATCH(Curvas!AM$2, 'Fluxos de Recebimento'!$I$63:$BH$63, 0)),0)*INDEX($E:$E, MATCH(AM$2, $B:$B, 0))</f>
        <v>0</v>
      </c>
      <c r="AN57" s="193">
        <f>IFERROR(INDEX('Fluxos de Recebimento'!$I$7:$BH$58, MATCH(Curvas!$AB57, 'Fluxos de Recebimento'!$F$7:$F$58, 0), MATCH(Curvas!AN$2,'Fluxos de Recebimento'!$I$5:$BH$5, 0))+INDEX('Fluxos de Recebimento'!$I$65:$BH$116, MATCH(Curvas!$AB57, 'Fluxos de Recebimento'!$F$65:$F$116, 0), MATCH(Curvas!AN$2, 'Fluxos de Recebimento'!$I$63:$BH$63, 0)),0)*INDEX($E:$E, MATCH(AN$2, $B:$B, 0))</f>
        <v>0</v>
      </c>
      <c r="AO57" s="193">
        <f>IFERROR(INDEX('Fluxos de Recebimento'!$I$7:$BH$58, MATCH(Curvas!$AB57, 'Fluxos de Recebimento'!$F$7:$F$58, 0), MATCH(Curvas!AO$2,'Fluxos de Recebimento'!$I$5:$BH$5, 0))+INDEX('Fluxos de Recebimento'!$I$65:$BH$116, MATCH(Curvas!$AB57, 'Fluxos de Recebimento'!$F$65:$F$116, 0), MATCH(Curvas!AO$2, 'Fluxos de Recebimento'!$I$63:$BH$63, 0)),0)*INDEX($E:$E, MATCH(AO$2, $B:$B, 0))</f>
        <v>0</v>
      </c>
      <c r="AP57" s="193">
        <f>IFERROR(INDEX('Fluxos de Recebimento'!$I$7:$BH$58, MATCH(Curvas!$AB57, 'Fluxos de Recebimento'!$F$7:$F$58, 0), MATCH(Curvas!AP$2,'Fluxos de Recebimento'!$I$5:$BH$5, 0))+INDEX('Fluxos de Recebimento'!$I$65:$BH$116, MATCH(Curvas!$AB57, 'Fluxos de Recebimento'!$F$65:$F$116, 0), MATCH(Curvas!AP$2, 'Fluxos de Recebimento'!$I$63:$BH$63, 0)),0)*INDEX($E:$E, MATCH(AP$2, $B:$B, 0))</f>
        <v>0</v>
      </c>
      <c r="AQ57" s="193">
        <f>IFERROR(INDEX('Fluxos de Recebimento'!$I$7:$BH$58, MATCH(Curvas!$AB57, 'Fluxos de Recebimento'!$F$7:$F$58, 0), MATCH(Curvas!AQ$2,'Fluxos de Recebimento'!$I$5:$BH$5, 0))+INDEX('Fluxos de Recebimento'!$I$65:$BH$116, MATCH(Curvas!$AB57, 'Fluxos de Recebimento'!$F$65:$F$116, 0), MATCH(Curvas!AQ$2, 'Fluxos de Recebimento'!$I$63:$BH$63, 0)),0)*INDEX($E:$E, MATCH(AQ$2, $B:$B, 0))</f>
        <v>0</v>
      </c>
      <c r="AR57" s="193">
        <f>IFERROR(INDEX('Fluxos de Recebimento'!$I$7:$BH$58, MATCH(Curvas!$AB57, 'Fluxos de Recebimento'!$F$7:$F$58, 0), MATCH(Curvas!AR$2,'Fluxos de Recebimento'!$I$5:$BH$5, 0))+INDEX('Fluxos de Recebimento'!$I$65:$BH$116, MATCH(Curvas!$AB57, 'Fluxos de Recebimento'!$F$65:$F$116, 0), MATCH(Curvas!AR$2, 'Fluxos de Recebimento'!$I$63:$BH$63, 0)),0)*INDEX($E:$E, MATCH(AR$2, $B:$B, 0))</f>
        <v>0</v>
      </c>
      <c r="AS57" s="193">
        <f>IFERROR(INDEX('Fluxos de Recebimento'!$I$7:$BH$58, MATCH(Curvas!$AB57, 'Fluxos de Recebimento'!$F$7:$F$58, 0), MATCH(Curvas!AS$2,'Fluxos de Recebimento'!$I$5:$BH$5, 0))+INDEX('Fluxos de Recebimento'!$I$65:$BH$116, MATCH(Curvas!$AB57, 'Fluxos de Recebimento'!$F$65:$F$116, 0), MATCH(Curvas!AS$2, 'Fluxos de Recebimento'!$I$63:$BH$63, 0)),0)*INDEX($E:$E, MATCH(AS$2, $B:$B, 0))</f>
        <v>0</v>
      </c>
      <c r="AT57" s="193">
        <f>IFERROR(INDEX('Fluxos de Recebimento'!$I$7:$BH$58, MATCH(Curvas!$AB57, 'Fluxos de Recebimento'!$F$7:$F$58, 0), MATCH(Curvas!AT$2,'Fluxos de Recebimento'!$I$5:$BH$5, 0))+INDEX('Fluxos de Recebimento'!$I$65:$BH$116, MATCH(Curvas!$AB57, 'Fluxos de Recebimento'!$F$65:$F$116, 0), MATCH(Curvas!AT$2, 'Fluxos de Recebimento'!$I$63:$BH$63, 0)),0)*INDEX($E:$E, MATCH(AT$2, $B:$B, 0))</f>
        <v>0</v>
      </c>
      <c r="AU57" s="193">
        <f>IFERROR(INDEX('Fluxos de Recebimento'!$I$7:$BH$58, MATCH(Curvas!$AB57, 'Fluxos de Recebimento'!$F$7:$F$58, 0), MATCH(Curvas!AU$2,'Fluxos de Recebimento'!$I$5:$BH$5, 0))+INDEX('Fluxos de Recebimento'!$I$65:$BH$116, MATCH(Curvas!$AB57, 'Fluxos de Recebimento'!$F$65:$F$116, 0), MATCH(Curvas!AU$2, 'Fluxos de Recebimento'!$I$63:$BH$63, 0)),0)*INDEX($E:$E, MATCH(AU$2, $B:$B, 0))</f>
        <v>0</v>
      </c>
      <c r="AV57" s="193">
        <f>IFERROR(INDEX('Fluxos de Recebimento'!$I$7:$BH$58, MATCH(Curvas!$AB57, 'Fluxos de Recebimento'!$F$7:$F$58, 0), MATCH(Curvas!AV$2,'Fluxos de Recebimento'!$I$5:$BH$5, 0))+INDEX('Fluxos de Recebimento'!$I$65:$BH$116, MATCH(Curvas!$AB57, 'Fluxos de Recebimento'!$F$65:$F$116, 0), MATCH(Curvas!AV$2, 'Fluxos de Recebimento'!$I$63:$BH$63, 0)),0)*INDEX($E:$E, MATCH(AV$2, $B:$B, 0))</f>
        <v>0</v>
      </c>
      <c r="AW57" s="193">
        <f>IFERROR(INDEX('Fluxos de Recebimento'!$I$7:$BH$58, MATCH(Curvas!$AB57, 'Fluxos de Recebimento'!$F$7:$F$58, 0), MATCH(Curvas!AW$2,'Fluxos de Recebimento'!$I$5:$BH$5, 0))+INDEX('Fluxos de Recebimento'!$I$65:$BH$116, MATCH(Curvas!$AB57, 'Fluxos de Recebimento'!$F$65:$F$116, 0), MATCH(Curvas!AW$2, 'Fluxos de Recebimento'!$I$63:$BH$63, 0)),0)*INDEX($E:$E, MATCH(AW$2, $B:$B, 0))</f>
        <v>0</v>
      </c>
      <c r="AX57" s="193">
        <f>IFERROR(INDEX('Fluxos de Recebimento'!$I$7:$BH$58, MATCH(Curvas!$AB57, 'Fluxos de Recebimento'!$F$7:$F$58, 0), MATCH(Curvas!AX$2,'Fluxos de Recebimento'!$I$5:$BH$5, 0))+INDEX('Fluxos de Recebimento'!$I$65:$BH$116, MATCH(Curvas!$AB57, 'Fluxos de Recebimento'!$F$65:$F$116, 0), MATCH(Curvas!AX$2, 'Fluxos de Recebimento'!$I$63:$BH$63, 0)),0)*INDEX($E:$E, MATCH(AX$2, $B:$B, 0))</f>
        <v>0</v>
      </c>
      <c r="AY57" s="193">
        <f>IFERROR(INDEX('Fluxos de Recebimento'!$I$7:$BH$58, MATCH(Curvas!$AB57, 'Fluxos de Recebimento'!$F$7:$F$58, 0), MATCH(Curvas!AY$2,'Fluxos de Recebimento'!$I$5:$BH$5, 0))+INDEX('Fluxos de Recebimento'!$I$65:$BH$116, MATCH(Curvas!$AB57, 'Fluxos de Recebimento'!$F$65:$F$116, 0), MATCH(Curvas!AY$2, 'Fluxos de Recebimento'!$I$63:$BH$63, 0)),0)*INDEX($E:$E, MATCH(AY$2, $B:$B, 0))</f>
        <v>0</v>
      </c>
      <c r="AZ57" s="193">
        <f>IFERROR(INDEX('Fluxos de Recebimento'!$I$7:$BH$58, MATCH(Curvas!$AB57, 'Fluxos de Recebimento'!$F$7:$F$58, 0), MATCH(Curvas!AZ$2,'Fluxos de Recebimento'!$I$5:$BH$5, 0))+INDEX('Fluxos de Recebimento'!$I$65:$BH$116, MATCH(Curvas!$AB57, 'Fluxos de Recebimento'!$F$65:$F$116, 0), MATCH(Curvas!AZ$2, 'Fluxos de Recebimento'!$I$63:$BH$63, 0)),0)*INDEX($E:$E, MATCH(AZ$2, $B:$B, 0))</f>
        <v>0</v>
      </c>
      <c r="BA57" s="193">
        <f>IFERROR(INDEX('Fluxos de Recebimento'!$I$7:$BH$58, MATCH(Curvas!$AB57, 'Fluxos de Recebimento'!$F$7:$F$58, 0), MATCH(Curvas!BA$2,'Fluxos de Recebimento'!$I$5:$BH$5, 0))+INDEX('Fluxos de Recebimento'!$I$65:$BH$116, MATCH(Curvas!$AB57, 'Fluxos de Recebimento'!$F$65:$F$116, 0), MATCH(Curvas!BA$2, 'Fluxos de Recebimento'!$I$63:$BH$63, 0)),0)*INDEX($E:$E, MATCH(BA$2, $B:$B, 0))</f>
        <v>0</v>
      </c>
      <c r="BB57" s="193">
        <f>IFERROR(INDEX('Fluxos de Recebimento'!$I$7:$BH$58, MATCH(Curvas!$AB57, 'Fluxos de Recebimento'!$F$7:$F$58, 0), MATCH(Curvas!BB$2,'Fluxos de Recebimento'!$I$5:$BH$5, 0))+INDEX('Fluxos de Recebimento'!$I$65:$BH$116, MATCH(Curvas!$AB57, 'Fluxos de Recebimento'!$F$65:$F$116, 0), MATCH(Curvas!BB$2, 'Fluxos de Recebimento'!$I$63:$BH$63, 0)),0)*INDEX($E:$E, MATCH(BB$2, $B:$B, 0))</f>
        <v>0</v>
      </c>
      <c r="BC57" s="193">
        <f>IFERROR(INDEX('Fluxos de Recebimento'!$I$7:$BH$58, MATCH(Curvas!$AB57, 'Fluxos de Recebimento'!$F$7:$F$58, 0), MATCH(Curvas!BC$2,'Fluxos de Recebimento'!$I$5:$BH$5, 0))+INDEX('Fluxos de Recebimento'!$I$65:$BH$116, MATCH(Curvas!$AB57, 'Fluxos de Recebimento'!$F$65:$F$116, 0), MATCH(Curvas!BC$2, 'Fluxos de Recebimento'!$I$63:$BH$63, 0)),0)*INDEX($E:$E, MATCH(BC$2, $B:$B, 0))</f>
        <v>0</v>
      </c>
      <c r="BD57" s="193">
        <f>IFERROR(INDEX('Fluxos de Recebimento'!$I$7:$BH$58, MATCH(Curvas!$AB57, 'Fluxos de Recebimento'!$F$7:$F$58, 0), MATCH(Curvas!BD$2,'Fluxos de Recebimento'!$I$5:$BH$5, 0))+INDEX('Fluxos de Recebimento'!$I$65:$BH$116, MATCH(Curvas!$AB57, 'Fluxos de Recebimento'!$F$65:$F$116, 0), MATCH(Curvas!BD$2, 'Fluxos de Recebimento'!$I$63:$BH$63, 0)),0)*INDEX($E:$E, MATCH(BD$2, $B:$B, 0))</f>
        <v>0</v>
      </c>
      <c r="BE57" s="193">
        <f>IFERROR(INDEX('Fluxos de Recebimento'!$I$7:$BH$58, MATCH(Curvas!$AB57, 'Fluxos de Recebimento'!$F$7:$F$58, 0), MATCH(Curvas!BE$2,'Fluxos de Recebimento'!$I$5:$BH$5, 0))+INDEX('Fluxos de Recebimento'!$I$65:$BH$116, MATCH(Curvas!$AB57, 'Fluxos de Recebimento'!$F$65:$F$116, 0), MATCH(Curvas!BE$2, 'Fluxos de Recebimento'!$I$63:$BH$63, 0)),0)*INDEX($E:$E, MATCH(BE$2, $B:$B, 0))</f>
        <v>0</v>
      </c>
      <c r="BF57" s="193">
        <f>IFERROR(INDEX('Fluxos de Recebimento'!$I$7:$BH$58, MATCH(Curvas!$AB57, 'Fluxos de Recebimento'!$F$7:$F$58, 0), MATCH(Curvas!BF$2,'Fluxos de Recebimento'!$I$5:$BH$5, 0))+INDEX('Fluxos de Recebimento'!$I$65:$BH$116, MATCH(Curvas!$AB57, 'Fluxos de Recebimento'!$F$65:$F$116, 0), MATCH(Curvas!BF$2, 'Fluxos de Recebimento'!$I$63:$BH$63, 0)),0)*INDEX($E:$E, MATCH(BF$2, $B:$B, 0))</f>
        <v>0</v>
      </c>
      <c r="BG57" s="193">
        <f>IFERROR(INDEX('Fluxos de Recebimento'!$I$7:$BH$58, MATCH(Curvas!$AB57, 'Fluxos de Recebimento'!$F$7:$F$58, 0), MATCH(Curvas!BG$2,'Fluxos de Recebimento'!$I$5:$BH$5, 0))+INDEX('Fluxos de Recebimento'!$I$65:$BH$116, MATCH(Curvas!$AB57, 'Fluxos de Recebimento'!$F$65:$F$116, 0), MATCH(Curvas!BG$2, 'Fluxos de Recebimento'!$I$63:$BH$63, 0)),0)*INDEX($E:$E, MATCH(BG$2, $B:$B, 0))</f>
        <v>0</v>
      </c>
      <c r="BH57" s="193">
        <f>IFERROR(INDEX('Fluxos de Recebimento'!$I$7:$BH$58, MATCH(Curvas!$AB57, 'Fluxos de Recebimento'!$F$7:$F$58, 0), MATCH(Curvas!BH$2,'Fluxos de Recebimento'!$I$5:$BH$5, 0))+INDEX('Fluxos de Recebimento'!$I$65:$BH$116, MATCH(Curvas!$AB57, 'Fluxos de Recebimento'!$F$65:$F$116, 0), MATCH(Curvas!BH$2, 'Fluxos de Recebimento'!$I$63:$BH$63, 0)),0)*INDEX($E:$E, MATCH(BH$2, $B:$B, 0))</f>
        <v>0</v>
      </c>
      <c r="BI57" s="193">
        <f>IFERROR(INDEX('Fluxos de Recebimento'!$I$7:$BH$58, MATCH(Curvas!$AB57, 'Fluxos de Recebimento'!$F$7:$F$58, 0), MATCH(Curvas!BI$2,'Fluxos de Recebimento'!$I$5:$BH$5, 0))+INDEX('Fluxos de Recebimento'!$I$65:$BH$116, MATCH(Curvas!$AB57, 'Fluxos de Recebimento'!$F$65:$F$116, 0), MATCH(Curvas!BI$2, 'Fluxos de Recebimento'!$I$63:$BH$63, 0)),0)*INDEX($E:$E, MATCH(BI$2, $B:$B, 0))</f>
        <v>0</v>
      </c>
      <c r="BJ57" s="193">
        <f>IFERROR(INDEX('Fluxos de Recebimento'!$I$7:$BH$58, MATCH(Curvas!$AB57, 'Fluxos de Recebimento'!$F$7:$F$58, 0), MATCH(Curvas!BJ$2,'Fluxos de Recebimento'!$I$5:$BH$5, 0))+INDEX('Fluxos de Recebimento'!$I$65:$BH$116, MATCH(Curvas!$AB57, 'Fluxos de Recebimento'!$F$65:$F$116, 0), MATCH(Curvas!BJ$2, 'Fluxos de Recebimento'!$I$63:$BH$63, 0)),0)*INDEX($E:$E, MATCH(BJ$2, $B:$B, 0))</f>
        <v>0</v>
      </c>
      <c r="BK57" s="193">
        <f>IFERROR(INDEX('Fluxos de Recebimento'!$I$7:$BH$58, MATCH(Curvas!$AB57, 'Fluxos de Recebimento'!$F$7:$F$58, 0), MATCH(Curvas!BK$2,'Fluxos de Recebimento'!$I$5:$BH$5, 0))+INDEX('Fluxos de Recebimento'!$I$65:$BH$116, MATCH(Curvas!$AB57, 'Fluxos de Recebimento'!$F$65:$F$116, 0), MATCH(Curvas!BK$2, 'Fluxos de Recebimento'!$I$63:$BH$63, 0)),0)*INDEX($E:$E, MATCH(BK$2, $B:$B, 0))</f>
        <v>0</v>
      </c>
      <c r="BL57" s="193">
        <f>IFERROR(INDEX('Fluxos de Recebimento'!$I$7:$BH$58, MATCH(Curvas!$AB57, 'Fluxos de Recebimento'!$F$7:$F$58, 0), MATCH(Curvas!BL$2,'Fluxos de Recebimento'!$I$5:$BH$5, 0))+INDEX('Fluxos de Recebimento'!$I$65:$BH$116, MATCH(Curvas!$AB57, 'Fluxos de Recebimento'!$F$65:$F$116, 0), MATCH(Curvas!BL$2, 'Fluxos de Recebimento'!$I$63:$BH$63, 0)),0)*INDEX($E:$E, MATCH(BL$2, $B:$B, 0))</f>
        <v>0</v>
      </c>
      <c r="BM57" s="193">
        <f>IFERROR(INDEX('Fluxos de Recebimento'!$I$7:$BH$58, MATCH(Curvas!$AB57, 'Fluxos de Recebimento'!$F$7:$F$58, 0), MATCH(Curvas!BM$2,'Fluxos de Recebimento'!$I$5:$BH$5, 0))+INDEX('Fluxos de Recebimento'!$I$65:$BH$116, MATCH(Curvas!$AB57, 'Fluxos de Recebimento'!$F$65:$F$116, 0), MATCH(Curvas!BM$2, 'Fluxos de Recebimento'!$I$63:$BH$63, 0)),0)*INDEX($E:$E, MATCH(BM$2, $B:$B, 0))</f>
        <v>0</v>
      </c>
      <c r="BN57" s="193">
        <f>IFERROR(INDEX('Fluxos de Recebimento'!$I$7:$BH$58, MATCH(Curvas!$AB57, 'Fluxos de Recebimento'!$F$7:$F$58, 0), MATCH(Curvas!BN$2,'Fluxos de Recebimento'!$I$5:$BH$5, 0))+INDEX('Fluxos de Recebimento'!$I$65:$BH$116, MATCH(Curvas!$AB57, 'Fluxos de Recebimento'!$F$65:$F$116, 0), MATCH(Curvas!BN$2, 'Fluxos de Recebimento'!$I$63:$BH$63, 0)),0)*INDEX($E:$E, MATCH(BN$2, $B:$B, 0))</f>
        <v>0</v>
      </c>
      <c r="BO57" s="193">
        <f>IFERROR(INDEX('Fluxos de Recebimento'!$I$7:$BH$58, MATCH(Curvas!$AB57, 'Fluxos de Recebimento'!$F$7:$F$58, 0), MATCH(Curvas!BO$2,'Fluxos de Recebimento'!$I$5:$BH$5, 0))+INDEX('Fluxos de Recebimento'!$I$65:$BH$116, MATCH(Curvas!$AB57, 'Fluxos de Recebimento'!$F$65:$F$116, 0), MATCH(Curvas!BO$2, 'Fluxos de Recebimento'!$I$63:$BH$63, 0)),0)*INDEX($E:$E, MATCH(BO$2, $B:$B, 0))</f>
        <v>0</v>
      </c>
      <c r="BP57" s="193">
        <f>IFERROR(INDEX('Fluxos de Recebimento'!$I$7:$BH$58, MATCH(Curvas!$AB57, 'Fluxos de Recebimento'!$F$7:$F$58, 0), MATCH(Curvas!BP$2,'Fluxos de Recebimento'!$I$5:$BH$5, 0))+INDEX('Fluxos de Recebimento'!$I$65:$BH$116, MATCH(Curvas!$AB57, 'Fluxos de Recebimento'!$F$65:$F$116, 0), MATCH(Curvas!BP$2, 'Fluxos de Recebimento'!$I$63:$BH$63, 0)),0)*INDEX($E:$E, MATCH(BP$2, $B:$B, 0))</f>
        <v>0</v>
      </c>
      <c r="BQ57" s="193">
        <f>IFERROR(INDEX('Fluxos de Recebimento'!$I$7:$BH$58, MATCH(Curvas!$AB57, 'Fluxos de Recebimento'!$F$7:$F$58, 0), MATCH(Curvas!BQ$2,'Fluxos de Recebimento'!$I$5:$BH$5, 0))+INDEX('Fluxos de Recebimento'!$I$65:$BH$116, MATCH(Curvas!$AB57, 'Fluxos de Recebimento'!$F$65:$F$116, 0), MATCH(Curvas!BQ$2, 'Fluxos de Recebimento'!$I$63:$BH$63, 0)),0)*INDEX($E:$E, MATCH(BQ$2, $B:$B, 0))</f>
        <v>0</v>
      </c>
      <c r="BR57" s="193">
        <f>IFERROR(INDEX('Fluxos de Recebimento'!$I$7:$BH$58, MATCH(Curvas!$AB57, 'Fluxos de Recebimento'!$F$7:$F$58, 0), MATCH(Curvas!BR$2,'Fluxos de Recebimento'!$I$5:$BH$5, 0))+INDEX('Fluxos de Recebimento'!$I$65:$BH$116, MATCH(Curvas!$AB57, 'Fluxos de Recebimento'!$F$65:$F$116, 0), MATCH(Curvas!BR$2, 'Fluxos de Recebimento'!$I$63:$BH$63, 0)),0)*INDEX($E:$E, MATCH(BR$2, $B:$B, 0))</f>
        <v>0</v>
      </c>
      <c r="BS57" s="193">
        <f>IFERROR(INDEX('Fluxos de Recebimento'!$I$7:$BH$58, MATCH(Curvas!$AB57, 'Fluxos de Recebimento'!$F$7:$F$58, 0), MATCH(Curvas!BS$2,'Fluxos de Recebimento'!$I$5:$BH$5, 0))+INDEX('Fluxos de Recebimento'!$I$65:$BH$116, MATCH(Curvas!$AB57, 'Fluxos de Recebimento'!$F$65:$F$116, 0), MATCH(Curvas!BS$2, 'Fluxos de Recebimento'!$I$63:$BH$63, 0)),0)*INDEX($E:$E, MATCH(BS$2, $B:$B, 0))</f>
        <v>0</v>
      </c>
      <c r="BT57" s="193">
        <f>IFERROR(INDEX('Fluxos de Recebimento'!$I$7:$BH$58, MATCH(Curvas!$AB57, 'Fluxos de Recebimento'!$F$7:$F$58, 0), MATCH(Curvas!BT$2,'Fluxos de Recebimento'!$I$5:$BH$5, 0))+INDEX('Fluxos de Recebimento'!$I$65:$BH$116, MATCH(Curvas!$AB57, 'Fluxos de Recebimento'!$F$65:$F$116, 0), MATCH(Curvas!BT$2, 'Fluxos de Recebimento'!$I$63:$BH$63, 0)),0)*INDEX($E:$E, MATCH(BT$2, $B:$B, 0))</f>
        <v>0</v>
      </c>
      <c r="BU57" s="193">
        <f>IFERROR(INDEX('Fluxos de Recebimento'!$I$7:$BH$58, MATCH(Curvas!$AB57, 'Fluxos de Recebimento'!$F$7:$F$58, 0), MATCH(Curvas!BU$2,'Fluxos de Recebimento'!$I$5:$BH$5, 0))+INDEX('Fluxos de Recebimento'!$I$65:$BH$116, MATCH(Curvas!$AB57, 'Fluxos de Recebimento'!$F$65:$F$116, 0), MATCH(Curvas!BU$2, 'Fluxos de Recebimento'!$I$63:$BH$63, 0)),0)*INDEX($E:$E, MATCH(BU$2, $B:$B, 0))</f>
        <v>0</v>
      </c>
      <c r="BV57" s="193">
        <f>IFERROR(INDEX('Fluxos de Recebimento'!$I$7:$BH$58, MATCH(Curvas!$AB57, 'Fluxos de Recebimento'!$F$7:$F$58, 0), MATCH(Curvas!BV$2,'Fluxos de Recebimento'!$I$5:$BH$5, 0))+INDEX('Fluxos de Recebimento'!$I$65:$BH$116, MATCH(Curvas!$AB57, 'Fluxos de Recebimento'!$F$65:$F$116, 0), MATCH(Curvas!BV$2, 'Fluxos de Recebimento'!$I$63:$BH$63, 0)),0)*INDEX($E:$E, MATCH(BV$2, $B:$B, 0))</f>
        <v>0</v>
      </c>
      <c r="BW57" s="193">
        <f>IFERROR(INDEX('Fluxos de Recebimento'!$I$7:$BH$58, MATCH(Curvas!$AB57, 'Fluxos de Recebimento'!$F$7:$F$58, 0), MATCH(Curvas!BW$2,'Fluxos de Recebimento'!$I$5:$BH$5, 0))+INDEX('Fluxos de Recebimento'!$I$65:$BH$116, MATCH(Curvas!$AB57, 'Fluxos de Recebimento'!$F$65:$F$116, 0), MATCH(Curvas!BW$2, 'Fluxos de Recebimento'!$I$63:$BH$63, 0)),0)*INDEX($E:$E, MATCH(BW$2, $B:$B, 0))</f>
        <v>0</v>
      </c>
      <c r="BX57" s="193">
        <f>IFERROR(INDEX('Fluxos de Recebimento'!$I$7:$BH$58, MATCH(Curvas!$AB57, 'Fluxos de Recebimento'!$F$7:$F$58, 0), MATCH(Curvas!BX$2,'Fluxos de Recebimento'!$I$5:$BH$5, 0))+INDEX('Fluxos de Recebimento'!$I$65:$BH$116, MATCH(Curvas!$AB57, 'Fluxos de Recebimento'!$F$65:$F$116, 0), MATCH(Curvas!BX$2, 'Fluxos de Recebimento'!$I$63:$BH$63, 0)),0)*INDEX($E:$E, MATCH(BX$2, $B:$B, 0))</f>
        <v>0</v>
      </c>
      <c r="BY57" s="193">
        <f>IFERROR(INDEX('Fluxos de Recebimento'!$I$7:$BH$58, MATCH(Curvas!$AB57, 'Fluxos de Recebimento'!$F$7:$F$58, 0), MATCH(Curvas!BY$2,'Fluxos de Recebimento'!$I$5:$BH$5, 0))+INDEX('Fluxos de Recebimento'!$I$65:$BH$116, MATCH(Curvas!$AB57, 'Fluxos de Recebimento'!$F$65:$F$116, 0), MATCH(Curvas!BY$2, 'Fluxos de Recebimento'!$I$63:$BH$63, 0)),0)*INDEX($E:$E, MATCH(BY$2, $B:$B, 0))</f>
        <v>0</v>
      </c>
      <c r="BZ57" s="193">
        <f>IFERROR(INDEX('Fluxos de Recebimento'!$I$7:$BH$58, MATCH(Curvas!$AB57, 'Fluxos de Recebimento'!$F$7:$F$58, 0), MATCH(Curvas!BZ$2,'Fluxos de Recebimento'!$I$5:$BH$5, 0))+INDEX('Fluxos de Recebimento'!$I$65:$BH$116, MATCH(Curvas!$AB57, 'Fluxos de Recebimento'!$F$65:$F$116, 0), MATCH(Curvas!BZ$2, 'Fluxos de Recebimento'!$I$63:$BH$63, 0)),0)*INDEX($E:$E, MATCH(BZ$2, $B:$B, 0))</f>
        <v>0</v>
      </c>
      <c r="CA57" s="193">
        <f>IFERROR(INDEX('Fluxos de Recebimento'!$I$7:$BH$58, MATCH(Curvas!$AB57, 'Fluxos de Recebimento'!$F$7:$F$58, 0), MATCH(Curvas!CA$2,'Fluxos de Recebimento'!$I$5:$BH$5, 0))+INDEX('Fluxos de Recebimento'!$I$65:$BH$116, MATCH(Curvas!$AB57, 'Fluxos de Recebimento'!$F$65:$F$116, 0), MATCH(Curvas!CA$2, 'Fluxos de Recebimento'!$I$63:$BH$63, 0)),0)*INDEX($E:$E, MATCH(CA$2, $B:$B, 0))</f>
        <v>0</v>
      </c>
      <c r="CB57" s="193">
        <f>IFERROR(INDEX('Fluxos de Recebimento'!$I$7:$BH$58, MATCH(Curvas!$AB57, 'Fluxos de Recebimento'!$F$7:$F$58, 0), MATCH(Curvas!CB$2,'Fluxos de Recebimento'!$I$5:$BH$5, 0))+INDEX('Fluxos de Recebimento'!$I$65:$BH$116, MATCH(Curvas!$AB57, 'Fluxos de Recebimento'!$F$65:$F$116, 0), MATCH(Curvas!CB$2, 'Fluxos de Recebimento'!$I$63:$BH$63, 0)),0)*INDEX($E:$E, MATCH(CB$2, $B:$B, 0))</f>
        <v>0</v>
      </c>
      <c r="CC57" s="193">
        <f>IFERROR(INDEX('Fluxos de Recebimento'!$I$7:$BH$58, MATCH(Curvas!$AB57, 'Fluxos de Recebimento'!$F$7:$F$58, 0), MATCH(Curvas!CC$2,'Fluxos de Recebimento'!$I$5:$BH$5, 0))+INDEX('Fluxos de Recebimento'!$I$65:$BH$116, MATCH(Curvas!$AB57, 'Fluxos de Recebimento'!$F$65:$F$116, 0), MATCH(Curvas!CC$2, 'Fluxos de Recebimento'!$I$63:$BH$63, 0)),0)*INDEX($E:$E, MATCH(CC$2, $B:$B, 0))</f>
        <v>0</v>
      </c>
    </row>
    <row r="58" spans="1:81" x14ac:dyDescent="0.25">
      <c r="A58" s="2"/>
      <c r="B58" s="477">
        <f t="shared" si="34"/>
        <v>45809</v>
      </c>
      <c r="C58" s="52">
        <f t="shared" si="35"/>
        <v>55</v>
      </c>
      <c r="D58" s="2"/>
      <c r="E58" s="187">
        <f t="shared" si="22"/>
        <v>0</v>
      </c>
      <c r="F58" s="48">
        <f t="shared" si="36"/>
        <v>0.99999999999999978</v>
      </c>
      <c r="G58" s="46">
        <f t="shared" ca="1" si="23"/>
        <v>0</v>
      </c>
      <c r="H58" s="48">
        <f t="shared" ca="1" si="37"/>
        <v>0.99999999999999989</v>
      </c>
      <c r="I58" s="2"/>
      <c r="J58" s="69">
        <f t="shared" ca="1" si="24"/>
        <v>0</v>
      </c>
      <c r="K58" s="479">
        <f t="shared" ca="1" si="25"/>
        <v>0</v>
      </c>
      <c r="L58" s="70">
        <f t="shared" ca="1" si="26"/>
        <v>0</v>
      </c>
      <c r="M58" s="2"/>
      <c r="N58" s="69">
        <f t="shared" si="27"/>
        <v>1</v>
      </c>
      <c r="O58" s="479">
        <f t="shared" si="28"/>
        <v>0</v>
      </c>
      <c r="P58" s="70">
        <f t="shared" si="29"/>
        <v>1</v>
      </c>
      <c r="Q58" s="2"/>
      <c r="R58" s="71">
        <f t="shared" ca="1" si="30"/>
        <v>1</v>
      </c>
      <c r="S58" s="196"/>
      <c r="T58" s="46">
        <v>0</v>
      </c>
      <c r="U58" s="48">
        <f t="shared" si="38"/>
        <v>0.99999999999999978</v>
      </c>
      <c r="V58" s="2"/>
      <c r="W58" s="56"/>
      <c r="X58" s="48"/>
      <c r="Y58" s="2"/>
      <c r="Z58" s="194">
        <f t="shared" si="31"/>
        <v>0</v>
      </c>
      <c r="AA58" s="2"/>
      <c r="AB58" s="477">
        <f t="shared" si="32"/>
        <v>45809</v>
      </c>
      <c r="AC58" s="52">
        <f t="shared" si="33"/>
        <v>55</v>
      </c>
      <c r="AD58" s="193">
        <f>IFERROR(INDEX('Fluxos de Recebimento'!$I$7:$BH$58, MATCH(Curvas!$AB58, 'Fluxos de Recebimento'!$F$7:$F$58, 0), MATCH(Curvas!AD$2,'Fluxos de Recebimento'!$I$5:$BH$5, 0))+INDEX('Fluxos de Recebimento'!$I$65:$BH$116, MATCH(Curvas!$AB58, 'Fluxos de Recebimento'!$F$65:$F$116, 0), MATCH(Curvas!AD$2, 'Fluxos de Recebimento'!$I$63:$BH$63, 0)),0)*INDEX($E:$E, MATCH(AD$2, $B:$B, 0))</f>
        <v>0</v>
      </c>
      <c r="AE58" s="193">
        <f>IFERROR(INDEX('Fluxos de Recebimento'!$I$7:$BH$58, MATCH(Curvas!$AB58, 'Fluxos de Recebimento'!$F$7:$F$58, 0), MATCH(Curvas!AE$2,'Fluxos de Recebimento'!$I$5:$BH$5, 0))+INDEX('Fluxos de Recebimento'!$I$65:$BH$116, MATCH(Curvas!$AB58, 'Fluxos de Recebimento'!$F$65:$F$116, 0), MATCH(Curvas!AE$2, 'Fluxos de Recebimento'!$I$63:$BH$63, 0)),0)*INDEX($E:$E, MATCH(AE$2, $B:$B, 0))</f>
        <v>0</v>
      </c>
      <c r="AF58" s="193">
        <f>IFERROR(INDEX('Fluxos de Recebimento'!$I$7:$BH$58, MATCH(Curvas!$AB58, 'Fluxos de Recebimento'!$F$7:$F$58, 0), MATCH(Curvas!AF$2,'Fluxos de Recebimento'!$I$5:$BH$5, 0))+INDEX('Fluxos de Recebimento'!$I$65:$BH$116, MATCH(Curvas!$AB58, 'Fluxos de Recebimento'!$F$65:$F$116, 0), MATCH(Curvas!AF$2, 'Fluxos de Recebimento'!$I$63:$BH$63, 0)),0)*INDEX($E:$E, MATCH(AF$2, $B:$B, 0))</f>
        <v>0</v>
      </c>
      <c r="AG58" s="193">
        <f>IFERROR(INDEX('Fluxos de Recebimento'!$I$7:$BH$58, MATCH(Curvas!$AB58, 'Fluxos de Recebimento'!$F$7:$F$58, 0), MATCH(Curvas!AG$2,'Fluxos de Recebimento'!$I$5:$BH$5, 0))+INDEX('Fluxos de Recebimento'!$I$65:$BH$116, MATCH(Curvas!$AB58, 'Fluxos de Recebimento'!$F$65:$F$116, 0), MATCH(Curvas!AG$2, 'Fluxos de Recebimento'!$I$63:$BH$63, 0)),0)*INDEX($E:$E, MATCH(AG$2, $B:$B, 0))</f>
        <v>0</v>
      </c>
      <c r="AH58" s="193">
        <f>IFERROR(INDEX('Fluxos de Recebimento'!$I$7:$BH$58, MATCH(Curvas!$AB58, 'Fluxos de Recebimento'!$F$7:$F$58, 0), MATCH(Curvas!AH$2,'Fluxos de Recebimento'!$I$5:$BH$5, 0))+INDEX('Fluxos de Recebimento'!$I$65:$BH$116, MATCH(Curvas!$AB58, 'Fluxos de Recebimento'!$F$65:$F$116, 0), MATCH(Curvas!AH$2, 'Fluxos de Recebimento'!$I$63:$BH$63, 0)),0)*INDEX($E:$E, MATCH(AH$2, $B:$B, 0))</f>
        <v>0</v>
      </c>
      <c r="AI58" s="193">
        <f>IFERROR(INDEX('Fluxos de Recebimento'!$I$7:$BH$58, MATCH(Curvas!$AB58, 'Fluxos de Recebimento'!$F$7:$F$58, 0), MATCH(Curvas!AI$2,'Fluxos de Recebimento'!$I$5:$BH$5, 0))+INDEX('Fluxos de Recebimento'!$I$65:$BH$116, MATCH(Curvas!$AB58, 'Fluxos de Recebimento'!$F$65:$F$116, 0), MATCH(Curvas!AI$2, 'Fluxos de Recebimento'!$I$63:$BH$63, 0)),0)*INDEX($E:$E, MATCH(AI$2, $B:$B, 0))</f>
        <v>0</v>
      </c>
      <c r="AJ58" s="193">
        <f>IFERROR(INDEX('Fluxos de Recebimento'!$I$7:$BH$58, MATCH(Curvas!$AB58, 'Fluxos de Recebimento'!$F$7:$F$58, 0), MATCH(Curvas!AJ$2,'Fluxos de Recebimento'!$I$5:$BH$5, 0))+INDEX('Fluxos de Recebimento'!$I$65:$BH$116, MATCH(Curvas!$AB58, 'Fluxos de Recebimento'!$F$65:$F$116, 0), MATCH(Curvas!AJ$2, 'Fluxos de Recebimento'!$I$63:$BH$63, 0)),0)*INDEX($E:$E, MATCH(AJ$2, $B:$B, 0))</f>
        <v>0</v>
      </c>
      <c r="AK58" s="193">
        <f>IFERROR(INDEX('Fluxos de Recebimento'!$I$7:$BH$58, MATCH(Curvas!$AB58, 'Fluxos de Recebimento'!$F$7:$F$58, 0), MATCH(Curvas!AK$2,'Fluxos de Recebimento'!$I$5:$BH$5, 0))+INDEX('Fluxos de Recebimento'!$I$65:$BH$116, MATCH(Curvas!$AB58, 'Fluxos de Recebimento'!$F$65:$F$116, 0), MATCH(Curvas!AK$2, 'Fluxos de Recebimento'!$I$63:$BH$63, 0)),0)*INDEX($E:$E, MATCH(AK$2, $B:$B, 0))</f>
        <v>0</v>
      </c>
      <c r="AL58" s="193">
        <f>IFERROR(INDEX('Fluxos de Recebimento'!$I$7:$BH$58, MATCH(Curvas!$AB58, 'Fluxos de Recebimento'!$F$7:$F$58, 0), MATCH(Curvas!AL$2,'Fluxos de Recebimento'!$I$5:$BH$5, 0))+INDEX('Fluxos de Recebimento'!$I$65:$BH$116, MATCH(Curvas!$AB58, 'Fluxos de Recebimento'!$F$65:$F$116, 0), MATCH(Curvas!AL$2, 'Fluxos de Recebimento'!$I$63:$BH$63, 0)),0)*INDEX($E:$E, MATCH(AL$2, $B:$B, 0))</f>
        <v>0</v>
      </c>
      <c r="AM58" s="193">
        <f>IFERROR(INDEX('Fluxos de Recebimento'!$I$7:$BH$58, MATCH(Curvas!$AB58, 'Fluxos de Recebimento'!$F$7:$F$58, 0), MATCH(Curvas!AM$2,'Fluxos de Recebimento'!$I$5:$BH$5, 0))+INDEX('Fluxos de Recebimento'!$I$65:$BH$116, MATCH(Curvas!$AB58, 'Fluxos de Recebimento'!$F$65:$F$116, 0), MATCH(Curvas!AM$2, 'Fluxos de Recebimento'!$I$63:$BH$63, 0)),0)*INDEX($E:$E, MATCH(AM$2, $B:$B, 0))</f>
        <v>0</v>
      </c>
      <c r="AN58" s="193">
        <f>IFERROR(INDEX('Fluxos de Recebimento'!$I$7:$BH$58, MATCH(Curvas!$AB58, 'Fluxos de Recebimento'!$F$7:$F$58, 0), MATCH(Curvas!AN$2,'Fluxos de Recebimento'!$I$5:$BH$5, 0))+INDEX('Fluxos de Recebimento'!$I$65:$BH$116, MATCH(Curvas!$AB58, 'Fluxos de Recebimento'!$F$65:$F$116, 0), MATCH(Curvas!AN$2, 'Fluxos de Recebimento'!$I$63:$BH$63, 0)),0)*INDEX($E:$E, MATCH(AN$2, $B:$B, 0))</f>
        <v>0</v>
      </c>
      <c r="AO58" s="193">
        <f>IFERROR(INDEX('Fluxos de Recebimento'!$I$7:$BH$58, MATCH(Curvas!$AB58, 'Fluxos de Recebimento'!$F$7:$F$58, 0), MATCH(Curvas!AO$2,'Fluxos de Recebimento'!$I$5:$BH$5, 0))+INDEX('Fluxos de Recebimento'!$I$65:$BH$116, MATCH(Curvas!$AB58, 'Fluxos de Recebimento'!$F$65:$F$116, 0), MATCH(Curvas!AO$2, 'Fluxos de Recebimento'!$I$63:$BH$63, 0)),0)*INDEX($E:$E, MATCH(AO$2, $B:$B, 0))</f>
        <v>0</v>
      </c>
      <c r="AP58" s="193">
        <f>IFERROR(INDEX('Fluxos de Recebimento'!$I$7:$BH$58, MATCH(Curvas!$AB58, 'Fluxos de Recebimento'!$F$7:$F$58, 0), MATCH(Curvas!AP$2,'Fluxos de Recebimento'!$I$5:$BH$5, 0))+INDEX('Fluxos de Recebimento'!$I$65:$BH$116, MATCH(Curvas!$AB58, 'Fluxos de Recebimento'!$F$65:$F$116, 0), MATCH(Curvas!AP$2, 'Fluxos de Recebimento'!$I$63:$BH$63, 0)),0)*INDEX($E:$E, MATCH(AP$2, $B:$B, 0))</f>
        <v>0</v>
      </c>
      <c r="AQ58" s="193">
        <f>IFERROR(INDEX('Fluxos de Recebimento'!$I$7:$BH$58, MATCH(Curvas!$AB58, 'Fluxos de Recebimento'!$F$7:$F$58, 0), MATCH(Curvas!AQ$2,'Fluxos de Recebimento'!$I$5:$BH$5, 0))+INDEX('Fluxos de Recebimento'!$I$65:$BH$116, MATCH(Curvas!$AB58, 'Fluxos de Recebimento'!$F$65:$F$116, 0), MATCH(Curvas!AQ$2, 'Fluxos de Recebimento'!$I$63:$BH$63, 0)),0)*INDEX($E:$E, MATCH(AQ$2, $B:$B, 0))</f>
        <v>0</v>
      </c>
      <c r="AR58" s="193">
        <f>IFERROR(INDEX('Fluxos de Recebimento'!$I$7:$BH$58, MATCH(Curvas!$AB58, 'Fluxos de Recebimento'!$F$7:$F$58, 0), MATCH(Curvas!AR$2,'Fluxos de Recebimento'!$I$5:$BH$5, 0))+INDEX('Fluxos de Recebimento'!$I$65:$BH$116, MATCH(Curvas!$AB58, 'Fluxos de Recebimento'!$F$65:$F$116, 0), MATCH(Curvas!AR$2, 'Fluxos de Recebimento'!$I$63:$BH$63, 0)),0)*INDEX($E:$E, MATCH(AR$2, $B:$B, 0))</f>
        <v>0</v>
      </c>
      <c r="AS58" s="193">
        <f>IFERROR(INDEX('Fluxos de Recebimento'!$I$7:$BH$58, MATCH(Curvas!$AB58, 'Fluxos de Recebimento'!$F$7:$F$58, 0), MATCH(Curvas!AS$2,'Fluxos de Recebimento'!$I$5:$BH$5, 0))+INDEX('Fluxos de Recebimento'!$I$65:$BH$116, MATCH(Curvas!$AB58, 'Fluxos de Recebimento'!$F$65:$F$116, 0), MATCH(Curvas!AS$2, 'Fluxos de Recebimento'!$I$63:$BH$63, 0)),0)*INDEX($E:$E, MATCH(AS$2, $B:$B, 0))</f>
        <v>0</v>
      </c>
      <c r="AT58" s="193">
        <f>IFERROR(INDEX('Fluxos de Recebimento'!$I$7:$BH$58, MATCH(Curvas!$AB58, 'Fluxos de Recebimento'!$F$7:$F$58, 0), MATCH(Curvas!AT$2,'Fluxos de Recebimento'!$I$5:$BH$5, 0))+INDEX('Fluxos de Recebimento'!$I$65:$BH$116, MATCH(Curvas!$AB58, 'Fluxos de Recebimento'!$F$65:$F$116, 0), MATCH(Curvas!AT$2, 'Fluxos de Recebimento'!$I$63:$BH$63, 0)),0)*INDEX($E:$E, MATCH(AT$2, $B:$B, 0))</f>
        <v>0</v>
      </c>
      <c r="AU58" s="193">
        <f>IFERROR(INDEX('Fluxos de Recebimento'!$I$7:$BH$58, MATCH(Curvas!$AB58, 'Fluxos de Recebimento'!$F$7:$F$58, 0), MATCH(Curvas!AU$2,'Fluxos de Recebimento'!$I$5:$BH$5, 0))+INDEX('Fluxos de Recebimento'!$I$65:$BH$116, MATCH(Curvas!$AB58, 'Fluxos de Recebimento'!$F$65:$F$116, 0), MATCH(Curvas!AU$2, 'Fluxos de Recebimento'!$I$63:$BH$63, 0)),0)*INDEX($E:$E, MATCH(AU$2, $B:$B, 0))</f>
        <v>0</v>
      </c>
      <c r="AV58" s="193">
        <f>IFERROR(INDEX('Fluxos de Recebimento'!$I$7:$BH$58, MATCH(Curvas!$AB58, 'Fluxos de Recebimento'!$F$7:$F$58, 0), MATCH(Curvas!AV$2,'Fluxos de Recebimento'!$I$5:$BH$5, 0))+INDEX('Fluxos de Recebimento'!$I$65:$BH$116, MATCH(Curvas!$AB58, 'Fluxos de Recebimento'!$F$65:$F$116, 0), MATCH(Curvas!AV$2, 'Fluxos de Recebimento'!$I$63:$BH$63, 0)),0)*INDEX($E:$E, MATCH(AV$2, $B:$B, 0))</f>
        <v>0</v>
      </c>
      <c r="AW58" s="193">
        <f>IFERROR(INDEX('Fluxos de Recebimento'!$I$7:$BH$58, MATCH(Curvas!$AB58, 'Fluxos de Recebimento'!$F$7:$F$58, 0), MATCH(Curvas!AW$2,'Fluxos de Recebimento'!$I$5:$BH$5, 0))+INDEX('Fluxos de Recebimento'!$I$65:$BH$116, MATCH(Curvas!$AB58, 'Fluxos de Recebimento'!$F$65:$F$116, 0), MATCH(Curvas!AW$2, 'Fluxos de Recebimento'!$I$63:$BH$63, 0)),0)*INDEX($E:$E, MATCH(AW$2, $B:$B, 0))</f>
        <v>0</v>
      </c>
      <c r="AX58" s="193">
        <f>IFERROR(INDEX('Fluxos de Recebimento'!$I$7:$BH$58, MATCH(Curvas!$AB58, 'Fluxos de Recebimento'!$F$7:$F$58, 0), MATCH(Curvas!AX$2,'Fluxos de Recebimento'!$I$5:$BH$5, 0))+INDEX('Fluxos de Recebimento'!$I$65:$BH$116, MATCH(Curvas!$AB58, 'Fluxos de Recebimento'!$F$65:$F$116, 0), MATCH(Curvas!AX$2, 'Fluxos de Recebimento'!$I$63:$BH$63, 0)),0)*INDEX($E:$E, MATCH(AX$2, $B:$B, 0))</f>
        <v>0</v>
      </c>
      <c r="AY58" s="193">
        <f>IFERROR(INDEX('Fluxos de Recebimento'!$I$7:$BH$58, MATCH(Curvas!$AB58, 'Fluxos de Recebimento'!$F$7:$F$58, 0), MATCH(Curvas!AY$2,'Fluxos de Recebimento'!$I$5:$BH$5, 0))+INDEX('Fluxos de Recebimento'!$I$65:$BH$116, MATCH(Curvas!$AB58, 'Fluxos de Recebimento'!$F$65:$F$116, 0), MATCH(Curvas!AY$2, 'Fluxos de Recebimento'!$I$63:$BH$63, 0)),0)*INDEX($E:$E, MATCH(AY$2, $B:$B, 0))</f>
        <v>0</v>
      </c>
      <c r="AZ58" s="193">
        <f>IFERROR(INDEX('Fluxos de Recebimento'!$I$7:$BH$58, MATCH(Curvas!$AB58, 'Fluxos de Recebimento'!$F$7:$F$58, 0), MATCH(Curvas!AZ$2,'Fluxos de Recebimento'!$I$5:$BH$5, 0))+INDEX('Fluxos de Recebimento'!$I$65:$BH$116, MATCH(Curvas!$AB58, 'Fluxos de Recebimento'!$F$65:$F$116, 0), MATCH(Curvas!AZ$2, 'Fluxos de Recebimento'!$I$63:$BH$63, 0)),0)*INDEX($E:$E, MATCH(AZ$2, $B:$B, 0))</f>
        <v>0</v>
      </c>
      <c r="BA58" s="193">
        <f>IFERROR(INDEX('Fluxos de Recebimento'!$I$7:$BH$58, MATCH(Curvas!$AB58, 'Fluxos de Recebimento'!$F$7:$F$58, 0), MATCH(Curvas!BA$2,'Fluxos de Recebimento'!$I$5:$BH$5, 0))+INDEX('Fluxos de Recebimento'!$I$65:$BH$116, MATCH(Curvas!$AB58, 'Fluxos de Recebimento'!$F$65:$F$116, 0), MATCH(Curvas!BA$2, 'Fluxos de Recebimento'!$I$63:$BH$63, 0)),0)*INDEX($E:$E, MATCH(BA$2, $B:$B, 0))</f>
        <v>0</v>
      </c>
      <c r="BB58" s="193">
        <f>IFERROR(INDEX('Fluxos de Recebimento'!$I$7:$BH$58, MATCH(Curvas!$AB58, 'Fluxos de Recebimento'!$F$7:$F$58, 0), MATCH(Curvas!BB$2,'Fluxos de Recebimento'!$I$5:$BH$5, 0))+INDEX('Fluxos de Recebimento'!$I$65:$BH$116, MATCH(Curvas!$AB58, 'Fluxos de Recebimento'!$F$65:$F$116, 0), MATCH(Curvas!BB$2, 'Fluxos de Recebimento'!$I$63:$BH$63, 0)),0)*INDEX($E:$E, MATCH(BB$2, $B:$B, 0))</f>
        <v>0</v>
      </c>
      <c r="BC58" s="193">
        <f>IFERROR(INDEX('Fluxos de Recebimento'!$I$7:$BH$58, MATCH(Curvas!$AB58, 'Fluxos de Recebimento'!$F$7:$F$58, 0), MATCH(Curvas!BC$2,'Fluxos de Recebimento'!$I$5:$BH$5, 0))+INDEX('Fluxos de Recebimento'!$I$65:$BH$116, MATCH(Curvas!$AB58, 'Fluxos de Recebimento'!$F$65:$F$116, 0), MATCH(Curvas!BC$2, 'Fluxos de Recebimento'!$I$63:$BH$63, 0)),0)*INDEX($E:$E, MATCH(BC$2, $B:$B, 0))</f>
        <v>0</v>
      </c>
      <c r="BD58" s="193">
        <f>IFERROR(INDEX('Fluxos de Recebimento'!$I$7:$BH$58, MATCH(Curvas!$AB58, 'Fluxos de Recebimento'!$F$7:$F$58, 0), MATCH(Curvas!BD$2,'Fluxos de Recebimento'!$I$5:$BH$5, 0))+INDEX('Fluxos de Recebimento'!$I$65:$BH$116, MATCH(Curvas!$AB58, 'Fluxos de Recebimento'!$F$65:$F$116, 0), MATCH(Curvas!BD$2, 'Fluxos de Recebimento'!$I$63:$BH$63, 0)),0)*INDEX($E:$E, MATCH(BD$2, $B:$B, 0))</f>
        <v>0</v>
      </c>
      <c r="BE58" s="193">
        <f>IFERROR(INDEX('Fluxos de Recebimento'!$I$7:$BH$58, MATCH(Curvas!$AB58, 'Fluxos de Recebimento'!$F$7:$F$58, 0), MATCH(Curvas!BE$2,'Fluxos de Recebimento'!$I$5:$BH$5, 0))+INDEX('Fluxos de Recebimento'!$I$65:$BH$116, MATCH(Curvas!$AB58, 'Fluxos de Recebimento'!$F$65:$F$116, 0), MATCH(Curvas!BE$2, 'Fluxos de Recebimento'!$I$63:$BH$63, 0)),0)*INDEX($E:$E, MATCH(BE$2, $B:$B, 0))</f>
        <v>0</v>
      </c>
      <c r="BF58" s="193">
        <f>IFERROR(INDEX('Fluxos de Recebimento'!$I$7:$BH$58, MATCH(Curvas!$AB58, 'Fluxos de Recebimento'!$F$7:$F$58, 0), MATCH(Curvas!BF$2,'Fluxos de Recebimento'!$I$5:$BH$5, 0))+INDEX('Fluxos de Recebimento'!$I$65:$BH$116, MATCH(Curvas!$AB58, 'Fluxos de Recebimento'!$F$65:$F$116, 0), MATCH(Curvas!BF$2, 'Fluxos de Recebimento'!$I$63:$BH$63, 0)),0)*INDEX($E:$E, MATCH(BF$2, $B:$B, 0))</f>
        <v>0</v>
      </c>
      <c r="BG58" s="193">
        <f>IFERROR(INDEX('Fluxos de Recebimento'!$I$7:$BH$58, MATCH(Curvas!$AB58, 'Fluxos de Recebimento'!$F$7:$F$58, 0), MATCH(Curvas!BG$2,'Fluxos de Recebimento'!$I$5:$BH$5, 0))+INDEX('Fluxos de Recebimento'!$I$65:$BH$116, MATCH(Curvas!$AB58, 'Fluxos de Recebimento'!$F$65:$F$116, 0), MATCH(Curvas!BG$2, 'Fluxos de Recebimento'!$I$63:$BH$63, 0)),0)*INDEX($E:$E, MATCH(BG$2, $B:$B, 0))</f>
        <v>0</v>
      </c>
      <c r="BH58" s="193">
        <f>IFERROR(INDEX('Fluxos de Recebimento'!$I$7:$BH$58, MATCH(Curvas!$AB58, 'Fluxos de Recebimento'!$F$7:$F$58, 0), MATCH(Curvas!BH$2,'Fluxos de Recebimento'!$I$5:$BH$5, 0))+INDEX('Fluxos de Recebimento'!$I$65:$BH$116, MATCH(Curvas!$AB58, 'Fluxos de Recebimento'!$F$65:$F$116, 0), MATCH(Curvas!BH$2, 'Fluxos de Recebimento'!$I$63:$BH$63, 0)),0)*INDEX($E:$E, MATCH(BH$2, $B:$B, 0))</f>
        <v>0</v>
      </c>
      <c r="BI58" s="193">
        <f>IFERROR(INDEX('Fluxos de Recebimento'!$I$7:$BH$58, MATCH(Curvas!$AB58, 'Fluxos de Recebimento'!$F$7:$F$58, 0), MATCH(Curvas!BI$2,'Fluxos de Recebimento'!$I$5:$BH$5, 0))+INDEX('Fluxos de Recebimento'!$I$65:$BH$116, MATCH(Curvas!$AB58, 'Fluxos de Recebimento'!$F$65:$F$116, 0), MATCH(Curvas!BI$2, 'Fluxos de Recebimento'!$I$63:$BH$63, 0)),0)*INDEX($E:$E, MATCH(BI$2, $B:$B, 0))</f>
        <v>0</v>
      </c>
      <c r="BJ58" s="193">
        <f>IFERROR(INDEX('Fluxos de Recebimento'!$I$7:$BH$58, MATCH(Curvas!$AB58, 'Fluxos de Recebimento'!$F$7:$F$58, 0), MATCH(Curvas!BJ$2,'Fluxos de Recebimento'!$I$5:$BH$5, 0))+INDEX('Fluxos de Recebimento'!$I$65:$BH$116, MATCH(Curvas!$AB58, 'Fluxos de Recebimento'!$F$65:$F$116, 0), MATCH(Curvas!BJ$2, 'Fluxos de Recebimento'!$I$63:$BH$63, 0)),0)*INDEX($E:$E, MATCH(BJ$2, $B:$B, 0))</f>
        <v>0</v>
      </c>
      <c r="BK58" s="193">
        <f>IFERROR(INDEX('Fluxos de Recebimento'!$I$7:$BH$58, MATCH(Curvas!$AB58, 'Fluxos de Recebimento'!$F$7:$F$58, 0), MATCH(Curvas!BK$2,'Fluxos de Recebimento'!$I$5:$BH$5, 0))+INDEX('Fluxos de Recebimento'!$I$65:$BH$116, MATCH(Curvas!$AB58, 'Fluxos de Recebimento'!$F$65:$F$116, 0), MATCH(Curvas!BK$2, 'Fluxos de Recebimento'!$I$63:$BH$63, 0)),0)*INDEX($E:$E, MATCH(BK$2, $B:$B, 0))</f>
        <v>0</v>
      </c>
      <c r="BL58" s="193">
        <f>IFERROR(INDEX('Fluxos de Recebimento'!$I$7:$BH$58, MATCH(Curvas!$AB58, 'Fluxos de Recebimento'!$F$7:$F$58, 0), MATCH(Curvas!BL$2,'Fluxos de Recebimento'!$I$5:$BH$5, 0))+INDEX('Fluxos de Recebimento'!$I$65:$BH$116, MATCH(Curvas!$AB58, 'Fluxos de Recebimento'!$F$65:$F$116, 0), MATCH(Curvas!BL$2, 'Fluxos de Recebimento'!$I$63:$BH$63, 0)),0)*INDEX($E:$E, MATCH(BL$2, $B:$B, 0))</f>
        <v>0</v>
      </c>
      <c r="BM58" s="193">
        <f>IFERROR(INDEX('Fluxos de Recebimento'!$I$7:$BH$58, MATCH(Curvas!$AB58, 'Fluxos de Recebimento'!$F$7:$F$58, 0), MATCH(Curvas!BM$2,'Fluxos de Recebimento'!$I$5:$BH$5, 0))+INDEX('Fluxos de Recebimento'!$I$65:$BH$116, MATCH(Curvas!$AB58, 'Fluxos de Recebimento'!$F$65:$F$116, 0), MATCH(Curvas!BM$2, 'Fluxos de Recebimento'!$I$63:$BH$63, 0)),0)*INDEX($E:$E, MATCH(BM$2, $B:$B, 0))</f>
        <v>0</v>
      </c>
      <c r="BN58" s="193">
        <f>IFERROR(INDEX('Fluxos de Recebimento'!$I$7:$BH$58, MATCH(Curvas!$AB58, 'Fluxos de Recebimento'!$F$7:$F$58, 0), MATCH(Curvas!BN$2,'Fluxos de Recebimento'!$I$5:$BH$5, 0))+INDEX('Fluxos de Recebimento'!$I$65:$BH$116, MATCH(Curvas!$AB58, 'Fluxos de Recebimento'!$F$65:$F$116, 0), MATCH(Curvas!BN$2, 'Fluxos de Recebimento'!$I$63:$BH$63, 0)),0)*INDEX($E:$E, MATCH(BN$2, $B:$B, 0))</f>
        <v>0</v>
      </c>
      <c r="BO58" s="193">
        <f>IFERROR(INDEX('Fluxos de Recebimento'!$I$7:$BH$58, MATCH(Curvas!$AB58, 'Fluxos de Recebimento'!$F$7:$F$58, 0), MATCH(Curvas!BO$2,'Fluxos de Recebimento'!$I$5:$BH$5, 0))+INDEX('Fluxos de Recebimento'!$I$65:$BH$116, MATCH(Curvas!$AB58, 'Fluxos de Recebimento'!$F$65:$F$116, 0), MATCH(Curvas!BO$2, 'Fluxos de Recebimento'!$I$63:$BH$63, 0)),0)*INDEX($E:$E, MATCH(BO$2, $B:$B, 0))</f>
        <v>0</v>
      </c>
      <c r="BP58" s="193">
        <f>IFERROR(INDEX('Fluxos de Recebimento'!$I$7:$BH$58, MATCH(Curvas!$AB58, 'Fluxos de Recebimento'!$F$7:$F$58, 0), MATCH(Curvas!BP$2,'Fluxos de Recebimento'!$I$5:$BH$5, 0))+INDEX('Fluxos de Recebimento'!$I$65:$BH$116, MATCH(Curvas!$AB58, 'Fluxos de Recebimento'!$F$65:$F$116, 0), MATCH(Curvas!BP$2, 'Fluxos de Recebimento'!$I$63:$BH$63, 0)),0)*INDEX($E:$E, MATCH(BP$2, $B:$B, 0))</f>
        <v>0</v>
      </c>
      <c r="BQ58" s="193">
        <f>IFERROR(INDEX('Fluxos de Recebimento'!$I$7:$BH$58, MATCH(Curvas!$AB58, 'Fluxos de Recebimento'!$F$7:$F$58, 0), MATCH(Curvas!BQ$2,'Fluxos de Recebimento'!$I$5:$BH$5, 0))+INDEX('Fluxos de Recebimento'!$I$65:$BH$116, MATCH(Curvas!$AB58, 'Fluxos de Recebimento'!$F$65:$F$116, 0), MATCH(Curvas!BQ$2, 'Fluxos de Recebimento'!$I$63:$BH$63, 0)),0)*INDEX($E:$E, MATCH(BQ$2, $B:$B, 0))</f>
        <v>0</v>
      </c>
      <c r="BR58" s="193">
        <f>IFERROR(INDEX('Fluxos de Recebimento'!$I$7:$BH$58, MATCH(Curvas!$AB58, 'Fluxos de Recebimento'!$F$7:$F$58, 0), MATCH(Curvas!BR$2,'Fluxos de Recebimento'!$I$5:$BH$5, 0))+INDEX('Fluxos de Recebimento'!$I$65:$BH$116, MATCH(Curvas!$AB58, 'Fluxos de Recebimento'!$F$65:$F$116, 0), MATCH(Curvas!BR$2, 'Fluxos de Recebimento'!$I$63:$BH$63, 0)),0)*INDEX($E:$E, MATCH(BR$2, $B:$B, 0))</f>
        <v>0</v>
      </c>
      <c r="BS58" s="193">
        <f>IFERROR(INDEX('Fluxos de Recebimento'!$I$7:$BH$58, MATCH(Curvas!$AB58, 'Fluxos de Recebimento'!$F$7:$F$58, 0), MATCH(Curvas!BS$2,'Fluxos de Recebimento'!$I$5:$BH$5, 0))+INDEX('Fluxos de Recebimento'!$I$65:$BH$116, MATCH(Curvas!$AB58, 'Fluxos de Recebimento'!$F$65:$F$116, 0), MATCH(Curvas!BS$2, 'Fluxos de Recebimento'!$I$63:$BH$63, 0)),0)*INDEX($E:$E, MATCH(BS$2, $B:$B, 0))</f>
        <v>0</v>
      </c>
      <c r="BT58" s="193">
        <f>IFERROR(INDEX('Fluxos de Recebimento'!$I$7:$BH$58, MATCH(Curvas!$AB58, 'Fluxos de Recebimento'!$F$7:$F$58, 0), MATCH(Curvas!BT$2,'Fluxos de Recebimento'!$I$5:$BH$5, 0))+INDEX('Fluxos de Recebimento'!$I$65:$BH$116, MATCH(Curvas!$AB58, 'Fluxos de Recebimento'!$F$65:$F$116, 0), MATCH(Curvas!BT$2, 'Fluxos de Recebimento'!$I$63:$BH$63, 0)),0)*INDEX($E:$E, MATCH(BT$2, $B:$B, 0))</f>
        <v>0</v>
      </c>
      <c r="BU58" s="193">
        <f>IFERROR(INDEX('Fluxos de Recebimento'!$I$7:$BH$58, MATCH(Curvas!$AB58, 'Fluxos de Recebimento'!$F$7:$F$58, 0), MATCH(Curvas!BU$2,'Fluxos de Recebimento'!$I$5:$BH$5, 0))+INDEX('Fluxos de Recebimento'!$I$65:$BH$116, MATCH(Curvas!$AB58, 'Fluxos de Recebimento'!$F$65:$F$116, 0), MATCH(Curvas!BU$2, 'Fluxos de Recebimento'!$I$63:$BH$63, 0)),0)*INDEX($E:$E, MATCH(BU$2, $B:$B, 0))</f>
        <v>0</v>
      </c>
      <c r="BV58" s="193">
        <f>IFERROR(INDEX('Fluxos de Recebimento'!$I$7:$BH$58, MATCH(Curvas!$AB58, 'Fluxos de Recebimento'!$F$7:$F$58, 0), MATCH(Curvas!BV$2,'Fluxos de Recebimento'!$I$5:$BH$5, 0))+INDEX('Fluxos de Recebimento'!$I$65:$BH$116, MATCH(Curvas!$AB58, 'Fluxos de Recebimento'!$F$65:$F$116, 0), MATCH(Curvas!BV$2, 'Fluxos de Recebimento'!$I$63:$BH$63, 0)),0)*INDEX($E:$E, MATCH(BV$2, $B:$B, 0))</f>
        <v>0</v>
      </c>
      <c r="BW58" s="193">
        <f>IFERROR(INDEX('Fluxos de Recebimento'!$I$7:$BH$58, MATCH(Curvas!$AB58, 'Fluxos de Recebimento'!$F$7:$F$58, 0), MATCH(Curvas!BW$2,'Fluxos de Recebimento'!$I$5:$BH$5, 0))+INDEX('Fluxos de Recebimento'!$I$65:$BH$116, MATCH(Curvas!$AB58, 'Fluxos de Recebimento'!$F$65:$F$116, 0), MATCH(Curvas!BW$2, 'Fluxos de Recebimento'!$I$63:$BH$63, 0)),0)*INDEX($E:$E, MATCH(BW$2, $B:$B, 0))</f>
        <v>0</v>
      </c>
      <c r="BX58" s="193">
        <f>IFERROR(INDEX('Fluxos de Recebimento'!$I$7:$BH$58, MATCH(Curvas!$AB58, 'Fluxos de Recebimento'!$F$7:$F$58, 0), MATCH(Curvas!BX$2,'Fluxos de Recebimento'!$I$5:$BH$5, 0))+INDEX('Fluxos de Recebimento'!$I$65:$BH$116, MATCH(Curvas!$AB58, 'Fluxos de Recebimento'!$F$65:$F$116, 0), MATCH(Curvas!BX$2, 'Fluxos de Recebimento'!$I$63:$BH$63, 0)),0)*INDEX($E:$E, MATCH(BX$2, $B:$B, 0))</f>
        <v>0</v>
      </c>
      <c r="BY58" s="193">
        <f>IFERROR(INDEX('Fluxos de Recebimento'!$I$7:$BH$58, MATCH(Curvas!$AB58, 'Fluxos de Recebimento'!$F$7:$F$58, 0), MATCH(Curvas!BY$2,'Fluxos de Recebimento'!$I$5:$BH$5, 0))+INDEX('Fluxos de Recebimento'!$I$65:$BH$116, MATCH(Curvas!$AB58, 'Fluxos de Recebimento'!$F$65:$F$116, 0), MATCH(Curvas!BY$2, 'Fluxos de Recebimento'!$I$63:$BH$63, 0)),0)*INDEX($E:$E, MATCH(BY$2, $B:$B, 0))</f>
        <v>0</v>
      </c>
      <c r="BZ58" s="193">
        <f>IFERROR(INDEX('Fluxos de Recebimento'!$I$7:$BH$58, MATCH(Curvas!$AB58, 'Fluxos de Recebimento'!$F$7:$F$58, 0), MATCH(Curvas!BZ$2,'Fluxos de Recebimento'!$I$5:$BH$5, 0))+INDEX('Fluxos de Recebimento'!$I$65:$BH$116, MATCH(Curvas!$AB58, 'Fluxos de Recebimento'!$F$65:$F$116, 0), MATCH(Curvas!BZ$2, 'Fluxos de Recebimento'!$I$63:$BH$63, 0)),0)*INDEX($E:$E, MATCH(BZ$2, $B:$B, 0))</f>
        <v>0</v>
      </c>
      <c r="CA58" s="193">
        <f>IFERROR(INDEX('Fluxos de Recebimento'!$I$7:$BH$58, MATCH(Curvas!$AB58, 'Fluxos de Recebimento'!$F$7:$F$58, 0), MATCH(Curvas!CA$2,'Fluxos de Recebimento'!$I$5:$BH$5, 0))+INDEX('Fluxos de Recebimento'!$I$65:$BH$116, MATCH(Curvas!$AB58, 'Fluxos de Recebimento'!$F$65:$F$116, 0), MATCH(Curvas!CA$2, 'Fluxos de Recebimento'!$I$63:$BH$63, 0)),0)*INDEX($E:$E, MATCH(CA$2, $B:$B, 0))</f>
        <v>0</v>
      </c>
      <c r="CB58" s="193">
        <f>IFERROR(INDEX('Fluxos de Recebimento'!$I$7:$BH$58, MATCH(Curvas!$AB58, 'Fluxos de Recebimento'!$F$7:$F$58, 0), MATCH(Curvas!CB$2,'Fluxos de Recebimento'!$I$5:$BH$5, 0))+INDEX('Fluxos de Recebimento'!$I$65:$BH$116, MATCH(Curvas!$AB58, 'Fluxos de Recebimento'!$F$65:$F$116, 0), MATCH(Curvas!CB$2, 'Fluxos de Recebimento'!$I$63:$BH$63, 0)),0)*INDEX($E:$E, MATCH(CB$2, $B:$B, 0))</f>
        <v>0</v>
      </c>
      <c r="CC58" s="193">
        <f>IFERROR(INDEX('Fluxos de Recebimento'!$I$7:$BH$58, MATCH(Curvas!$AB58, 'Fluxos de Recebimento'!$F$7:$F$58, 0), MATCH(Curvas!CC$2,'Fluxos de Recebimento'!$I$5:$BH$5, 0))+INDEX('Fluxos de Recebimento'!$I$65:$BH$116, MATCH(Curvas!$AB58, 'Fluxos de Recebimento'!$F$65:$F$116, 0), MATCH(Curvas!CC$2, 'Fluxos de Recebimento'!$I$63:$BH$63, 0)),0)*INDEX($E:$E, MATCH(CC$2, $B:$B, 0))</f>
        <v>0</v>
      </c>
    </row>
    <row r="59" spans="1:81" x14ac:dyDescent="0.25">
      <c r="A59" s="2"/>
      <c r="B59" s="477">
        <f t="shared" si="34"/>
        <v>45839</v>
      </c>
      <c r="C59" s="52">
        <f t="shared" si="35"/>
        <v>56</v>
      </c>
      <c r="D59" s="2"/>
      <c r="E59" s="187">
        <f t="shared" si="22"/>
        <v>0</v>
      </c>
      <c r="F59" s="48">
        <f t="shared" si="36"/>
        <v>0.99999999999999978</v>
      </c>
      <c r="G59" s="46">
        <f t="shared" ca="1" si="23"/>
        <v>0</v>
      </c>
      <c r="H59" s="48">
        <f t="shared" ca="1" si="37"/>
        <v>0.99999999999999989</v>
      </c>
      <c r="I59" s="2"/>
      <c r="J59" s="69">
        <f t="shared" ca="1" si="24"/>
        <v>0</v>
      </c>
      <c r="K59" s="479">
        <f t="shared" ca="1" si="25"/>
        <v>0</v>
      </c>
      <c r="L59" s="70">
        <f t="shared" ca="1" si="26"/>
        <v>0</v>
      </c>
      <c r="M59" s="2"/>
      <c r="N59" s="69">
        <f t="shared" si="27"/>
        <v>1</v>
      </c>
      <c r="O59" s="479">
        <f t="shared" si="28"/>
        <v>0</v>
      </c>
      <c r="P59" s="70">
        <f t="shared" si="29"/>
        <v>1</v>
      </c>
      <c r="Q59" s="2"/>
      <c r="R59" s="71">
        <f t="shared" ca="1" si="30"/>
        <v>1</v>
      </c>
      <c r="S59" s="196"/>
      <c r="T59" s="46">
        <v>0</v>
      </c>
      <c r="U59" s="48">
        <f t="shared" si="38"/>
        <v>0.99999999999999978</v>
      </c>
      <c r="V59" s="2"/>
      <c r="W59" s="56"/>
      <c r="X59" s="48"/>
      <c r="Y59" s="2"/>
      <c r="Z59" s="194">
        <f t="shared" si="31"/>
        <v>0</v>
      </c>
      <c r="AA59" s="2"/>
      <c r="AB59" s="477">
        <f t="shared" si="32"/>
        <v>45839</v>
      </c>
      <c r="AC59" s="52">
        <f t="shared" si="33"/>
        <v>56</v>
      </c>
      <c r="AD59" s="193">
        <f>IFERROR(INDEX('Fluxos de Recebimento'!$I$7:$BH$58, MATCH(Curvas!$AB59, 'Fluxos de Recebimento'!$F$7:$F$58, 0), MATCH(Curvas!AD$2,'Fluxos de Recebimento'!$I$5:$BH$5, 0))+INDEX('Fluxos de Recebimento'!$I$65:$BH$116, MATCH(Curvas!$AB59, 'Fluxos de Recebimento'!$F$65:$F$116, 0), MATCH(Curvas!AD$2, 'Fluxos de Recebimento'!$I$63:$BH$63, 0)),0)*INDEX($E:$E, MATCH(AD$2, $B:$B, 0))</f>
        <v>0</v>
      </c>
      <c r="AE59" s="193">
        <f>IFERROR(INDEX('Fluxos de Recebimento'!$I$7:$BH$58, MATCH(Curvas!$AB59, 'Fluxos de Recebimento'!$F$7:$F$58, 0), MATCH(Curvas!AE$2,'Fluxos de Recebimento'!$I$5:$BH$5, 0))+INDEX('Fluxos de Recebimento'!$I$65:$BH$116, MATCH(Curvas!$AB59, 'Fluxos de Recebimento'!$F$65:$F$116, 0), MATCH(Curvas!AE$2, 'Fluxos de Recebimento'!$I$63:$BH$63, 0)),0)*INDEX($E:$E, MATCH(AE$2, $B:$B, 0))</f>
        <v>0</v>
      </c>
      <c r="AF59" s="193">
        <f>IFERROR(INDEX('Fluxos de Recebimento'!$I$7:$BH$58, MATCH(Curvas!$AB59, 'Fluxos de Recebimento'!$F$7:$F$58, 0), MATCH(Curvas!AF$2,'Fluxos de Recebimento'!$I$5:$BH$5, 0))+INDEX('Fluxos de Recebimento'!$I$65:$BH$116, MATCH(Curvas!$AB59, 'Fluxos de Recebimento'!$F$65:$F$116, 0), MATCH(Curvas!AF$2, 'Fluxos de Recebimento'!$I$63:$BH$63, 0)),0)*INDEX($E:$E, MATCH(AF$2, $B:$B, 0))</f>
        <v>0</v>
      </c>
      <c r="AG59" s="193">
        <f>IFERROR(INDEX('Fluxos de Recebimento'!$I$7:$BH$58, MATCH(Curvas!$AB59, 'Fluxos de Recebimento'!$F$7:$F$58, 0), MATCH(Curvas!AG$2,'Fluxos de Recebimento'!$I$5:$BH$5, 0))+INDEX('Fluxos de Recebimento'!$I$65:$BH$116, MATCH(Curvas!$AB59, 'Fluxos de Recebimento'!$F$65:$F$116, 0), MATCH(Curvas!AG$2, 'Fluxos de Recebimento'!$I$63:$BH$63, 0)),0)*INDEX($E:$E, MATCH(AG$2, $B:$B, 0))</f>
        <v>0</v>
      </c>
      <c r="AH59" s="193">
        <f>IFERROR(INDEX('Fluxos de Recebimento'!$I$7:$BH$58, MATCH(Curvas!$AB59, 'Fluxos de Recebimento'!$F$7:$F$58, 0), MATCH(Curvas!AH$2,'Fluxos de Recebimento'!$I$5:$BH$5, 0))+INDEX('Fluxos de Recebimento'!$I$65:$BH$116, MATCH(Curvas!$AB59, 'Fluxos de Recebimento'!$F$65:$F$116, 0), MATCH(Curvas!AH$2, 'Fluxos de Recebimento'!$I$63:$BH$63, 0)),0)*INDEX($E:$E, MATCH(AH$2, $B:$B, 0))</f>
        <v>0</v>
      </c>
      <c r="AI59" s="193">
        <f>IFERROR(INDEX('Fluxos de Recebimento'!$I$7:$BH$58, MATCH(Curvas!$AB59, 'Fluxos de Recebimento'!$F$7:$F$58, 0), MATCH(Curvas!AI$2,'Fluxos de Recebimento'!$I$5:$BH$5, 0))+INDEX('Fluxos de Recebimento'!$I$65:$BH$116, MATCH(Curvas!$AB59, 'Fluxos de Recebimento'!$F$65:$F$116, 0), MATCH(Curvas!AI$2, 'Fluxos de Recebimento'!$I$63:$BH$63, 0)),0)*INDEX($E:$E, MATCH(AI$2, $B:$B, 0))</f>
        <v>0</v>
      </c>
      <c r="AJ59" s="193">
        <f>IFERROR(INDEX('Fluxos de Recebimento'!$I$7:$BH$58, MATCH(Curvas!$AB59, 'Fluxos de Recebimento'!$F$7:$F$58, 0), MATCH(Curvas!AJ$2,'Fluxos de Recebimento'!$I$5:$BH$5, 0))+INDEX('Fluxos de Recebimento'!$I$65:$BH$116, MATCH(Curvas!$AB59, 'Fluxos de Recebimento'!$F$65:$F$116, 0), MATCH(Curvas!AJ$2, 'Fluxos de Recebimento'!$I$63:$BH$63, 0)),0)*INDEX($E:$E, MATCH(AJ$2, $B:$B, 0))</f>
        <v>0</v>
      </c>
      <c r="AK59" s="193">
        <f>IFERROR(INDEX('Fluxos de Recebimento'!$I$7:$BH$58, MATCH(Curvas!$AB59, 'Fluxos de Recebimento'!$F$7:$F$58, 0), MATCH(Curvas!AK$2,'Fluxos de Recebimento'!$I$5:$BH$5, 0))+INDEX('Fluxos de Recebimento'!$I$65:$BH$116, MATCH(Curvas!$AB59, 'Fluxos de Recebimento'!$F$65:$F$116, 0), MATCH(Curvas!AK$2, 'Fluxos de Recebimento'!$I$63:$BH$63, 0)),0)*INDEX($E:$E, MATCH(AK$2, $B:$B, 0))</f>
        <v>0</v>
      </c>
      <c r="AL59" s="193">
        <f>IFERROR(INDEX('Fluxos de Recebimento'!$I$7:$BH$58, MATCH(Curvas!$AB59, 'Fluxos de Recebimento'!$F$7:$F$58, 0), MATCH(Curvas!AL$2,'Fluxos de Recebimento'!$I$5:$BH$5, 0))+INDEX('Fluxos de Recebimento'!$I$65:$BH$116, MATCH(Curvas!$AB59, 'Fluxos de Recebimento'!$F$65:$F$116, 0), MATCH(Curvas!AL$2, 'Fluxos de Recebimento'!$I$63:$BH$63, 0)),0)*INDEX($E:$E, MATCH(AL$2, $B:$B, 0))</f>
        <v>0</v>
      </c>
      <c r="AM59" s="193">
        <f>IFERROR(INDEX('Fluxos de Recebimento'!$I$7:$BH$58, MATCH(Curvas!$AB59, 'Fluxos de Recebimento'!$F$7:$F$58, 0), MATCH(Curvas!AM$2,'Fluxos de Recebimento'!$I$5:$BH$5, 0))+INDEX('Fluxos de Recebimento'!$I$65:$BH$116, MATCH(Curvas!$AB59, 'Fluxos de Recebimento'!$F$65:$F$116, 0), MATCH(Curvas!AM$2, 'Fluxos de Recebimento'!$I$63:$BH$63, 0)),0)*INDEX($E:$E, MATCH(AM$2, $B:$B, 0))</f>
        <v>0</v>
      </c>
      <c r="AN59" s="193">
        <f>IFERROR(INDEX('Fluxos de Recebimento'!$I$7:$BH$58, MATCH(Curvas!$AB59, 'Fluxos de Recebimento'!$F$7:$F$58, 0), MATCH(Curvas!AN$2,'Fluxos de Recebimento'!$I$5:$BH$5, 0))+INDEX('Fluxos de Recebimento'!$I$65:$BH$116, MATCH(Curvas!$AB59, 'Fluxos de Recebimento'!$F$65:$F$116, 0), MATCH(Curvas!AN$2, 'Fluxos de Recebimento'!$I$63:$BH$63, 0)),0)*INDEX($E:$E, MATCH(AN$2, $B:$B, 0))</f>
        <v>0</v>
      </c>
      <c r="AO59" s="193">
        <f>IFERROR(INDEX('Fluxos de Recebimento'!$I$7:$BH$58, MATCH(Curvas!$AB59, 'Fluxos de Recebimento'!$F$7:$F$58, 0), MATCH(Curvas!AO$2,'Fluxos de Recebimento'!$I$5:$BH$5, 0))+INDEX('Fluxos de Recebimento'!$I$65:$BH$116, MATCH(Curvas!$AB59, 'Fluxos de Recebimento'!$F$65:$F$116, 0), MATCH(Curvas!AO$2, 'Fluxos de Recebimento'!$I$63:$BH$63, 0)),0)*INDEX($E:$E, MATCH(AO$2, $B:$B, 0))</f>
        <v>0</v>
      </c>
      <c r="AP59" s="193">
        <f>IFERROR(INDEX('Fluxos de Recebimento'!$I$7:$BH$58, MATCH(Curvas!$AB59, 'Fluxos de Recebimento'!$F$7:$F$58, 0), MATCH(Curvas!AP$2,'Fluxos de Recebimento'!$I$5:$BH$5, 0))+INDEX('Fluxos de Recebimento'!$I$65:$BH$116, MATCH(Curvas!$AB59, 'Fluxos de Recebimento'!$F$65:$F$116, 0), MATCH(Curvas!AP$2, 'Fluxos de Recebimento'!$I$63:$BH$63, 0)),0)*INDEX($E:$E, MATCH(AP$2, $B:$B, 0))</f>
        <v>0</v>
      </c>
      <c r="AQ59" s="193">
        <f>IFERROR(INDEX('Fluxos de Recebimento'!$I$7:$BH$58, MATCH(Curvas!$AB59, 'Fluxos de Recebimento'!$F$7:$F$58, 0), MATCH(Curvas!AQ$2,'Fluxos de Recebimento'!$I$5:$BH$5, 0))+INDEX('Fluxos de Recebimento'!$I$65:$BH$116, MATCH(Curvas!$AB59, 'Fluxos de Recebimento'!$F$65:$F$116, 0), MATCH(Curvas!AQ$2, 'Fluxos de Recebimento'!$I$63:$BH$63, 0)),0)*INDEX($E:$E, MATCH(AQ$2, $B:$B, 0))</f>
        <v>0</v>
      </c>
      <c r="AR59" s="193">
        <f>IFERROR(INDEX('Fluxos de Recebimento'!$I$7:$BH$58, MATCH(Curvas!$AB59, 'Fluxos de Recebimento'!$F$7:$F$58, 0), MATCH(Curvas!AR$2,'Fluxos de Recebimento'!$I$5:$BH$5, 0))+INDEX('Fluxos de Recebimento'!$I$65:$BH$116, MATCH(Curvas!$AB59, 'Fluxos de Recebimento'!$F$65:$F$116, 0), MATCH(Curvas!AR$2, 'Fluxos de Recebimento'!$I$63:$BH$63, 0)),0)*INDEX($E:$E, MATCH(AR$2, $B:$B, 0))</f>
        <v>0</v>
      </c>
      <c r="AS59" s="193">
        <f>IFERROR(INDEX('Fluxos de Recebimento'!$I$7:$BH$58, MATCH(Curvas!$AB59, 'Fluxos de Recebimento'!$F$7:$F$58, 0), MATCH(Curvas!AS$2,'Fluxos de Recebimento'!$I$5:$BH$5, 0))+INDEX('Fluxos de Recebimento'!$I$65:$BH$116, MATCH(Curvas!$AB59, 'Fluxos de Recebimento'!$F$65:$F$116, 0), MATCH(Curvas!AS$2, 'Fluxos de Recebimento'!$I$63:$BH$63, 0)),0)*INDEX($E:$E, MATCH(AS$2, $B:$B, 0))</f>
        <v>0</v>
      </c>
      <c r="AT59" s="193">
        <f>IFERROR(INDEX('Fluxos de Recebimento'!$I$7:$BH$58, MATCH(Curvas!$AB59, 'Fluxos de Recebimento'!$F$7:$F$58, 0), MATCH(Curvas!AT$2,'Fluxos de Recebimento'!$I$5:$BH$5, 0))+INDEX('Fluxos de Recebimento'!$I$65:$BH$116, MATCH(Curvas!$AB59, 'Fluxos de Recebimento'!$F$65:$F$116, 0), MATCH(Curvas!AT$2, 'Fluxos de Recebimento'!$I$63:$BH$63, 0)),0)*INDEX($E:$E, MATCH(AT$2, $B:$B, 0))</f>
        <v>0</v>
      </c>
      <c r="AU59" s="193">
        <f>IFERROR(INDEX('Fluxos de Recebimento'!$I$7:$BH$58, MATCH(Curvas!$AB59, 'Fluxos de Recebimento'!$F$7:$F$58, 0), MATCH(Curvas!AU$2,'Fluxos de Recebimento'!$I$5:$BH$5, 0))+INDEX('Fluxos de Recebimento'!$I$65:$BH$116, MATCH(Curvas!$AB59, 'Fluxos de Recebimento'!$F$65:$F$116, 0), MATCH(Curvas!AU$2, 'Fluxos de Recebimento'!$I$63:$BH$63, 0)),0)*INDEX($E:$E, MATCH(AU$2, $B:$B, 0))</f>
        <v>0</v>
      </c>
      <c r="AV59" s="193">
        <f>IFERROR(INDEX('Fluxos de Recebimento'!$I$7:$BH$58, MATCH(Curvas!$AB59, 'Fluxos de Recebimento'!$F$7:$F$58, 0), MATCH(Curvas!AV$2,'Fluxos de Recebimento'!$I$5:$BH$5, 0))+INDEX('Fluxos de Recebimento'!$I$65:$BH$116, MATCH(Curvas!$AB59, 'Fluxos de Recebimento'!$F$65:$F$116, 0), MATCH(Curvas!AV$2, 'Fluxos de Recebimento'!$I$63:$BH$63, 0)),0)*INDEX($E:$E, MATCH(AV$2, $B:$B, 0))</f>
        <v>0</v>
      </c>
      <c r="AW59" s="193">
        <f>IFERROR(INDEX('Fluxos de Recebimento'!$I$7:$BH$58, MATCH(Curvas!$AB59, 'Fluxos de Recebimento'!$F$7:$F$58, 0), MATCH(Curvas!AW$2,'Fluxos de Recebimento'!$I$5:$BH$5, 0))+INDEX('Fluxos de Recebimento'!$I$65:$BH$116, MATCH(Curvas!$AB59, 'Fluxos de Recebimento'!$F$65:$F$116, 0), MATCH(Curvas!AW$2, 'Fluxos de Recebimento'!$I$63:$BH$63, 0)),0)*INDEX($E:$E, MATCH(AW$2, $B:$B, 0))</f>
        <v>0</v>
      </c>
      <c r="AX59" s="193">
        <f>IFERROR(INDEX('Fluxos de Recebimento'!$I$7:$BH$58, MATCH(Curvas!$AB59, 'Fluxos de Recebimento'!$F$7:$F$58, 0), MATCH(Curvas!AX$2,'Fluxos de Recebimento'!$I$5:$BH$5, 0))+INDEX('Fluxos de Recebimento'!$I$65:$BH$116, MATCH(Curvas!$AB59, 'Fluxos de Recebimento'!$F$65:$F$116, 0), MATCH(Curvas!AX$2, 'Fluxos de Recebimento'!$I$63:$BH$63, 0)),0)*INDEX($E:$E, MATCH(AX$2, $B:$B, 0))</f>
        <v>0</v>
      </c>
      <c r="AY59" s="193">
        <f>IFERROR(INDEX('Fluxos de Recebimento'!$I$7:$BH$58, MATCH(Curvas!$AB59, 'Fluxos de Recebimento'!$F$7:$F$58, 0), MATCH(Curvas!AY$2,'Fluxos de Recebimento'!$I$5:$BH$5, 0))+INDEX('Fluxos de Recebimento'!$I$65:$BH$116, MATCH(Curvas!$AB59, 'Fluxos de Recebimento'!$F$65:$F$116, 0), MATCH(Curvas!AY$2, 'Fluxos de Recebimento'!$I$63:$BH$63, 0)),0)*INDEX($E:$E, MATCH(AY$2, $B:$B, 0))</f>
        <v>0</v>
      </c>
      <c r="AZ59" s="193">
        <f>IFERROR(INDEX('Fluxos de Recebimento'!$I$7:$BH$58, MATCH(Curvas!$AB59, 'Fluxos de Recebimento'!$F$7:$F$58, 0), MATCH(Curvas!AZ$2,'Fluxos de Recebimento'!$I$5:$BH$5, 0))+INDEX('Fluxos de Recebimento'!$I$65:$BH$116, MATCH(Curvas!$AB59, 'Fluxos de Recebimento'!$F$65:$F$116, 0), MATCH(Curvas!AZ$2, 'Fluxos de Recebimento'!$I$63:$BH$63, 0)),0)*INDEX($E:$E, MATCH(AZ$2, $B:$B, 0))</f>
        <v>0</v>
      </c>
      <c r="BA59" s="193">
        <f>IFERROR(INDEX('Fluxos de Recebimento'!$I$7:$BH$58, MATCH(Curvas!$AB59, 'Fluxos de Recebimento'!$F$7:$F$58, 0), MATCH(Curvas!BA$2,'Fluxos de Recebimento'!$I$5:$BH$5, 0))+INDEX('Fluxos de Recebimento'!$I$65:$BH$116, MATCH(Curvas!$AB59, 'Fluxos de Recebimento'!$F$65:$F$116, 0), MATCH(Curvas!BA$2, 'Fluxos de Recebimento'!$I$63:$BH$63, 0)),0)*INDEX($E:$E, MATCH(BA$2, $B:$B, 0))</f>
        <v>0</v>
      </c>
      <c r="BB59" s="193">
        <f>IFERROR(INDEX('Fluxos de Recebimento'!$I$7:$BH$58, MATCH(Curvas!$AB59, 'Fluxos de Recebimento'!$F$7:$F$58, 0), MATCH(Curvas!BB$2,'Fluxos de Recebimento'!$I$5:$BH$5, 0))+INDEX('Fluxos de Recebimento'!$I$65:$BH$116, MATCH(Curvas!$AB59, 'Fluxos de Recebimento'!$F$65:$F$116, 0), MATCH(Curvas!BB$2, 'Fluxos de Recebimento'!$I$63:$BH$63, 0)),0)*INDEX($E:$E, MATCH(BB$2, $B:$B, 0))</f>
        <v>0</v>
      </c>
      <c r="BC59" s="193">
        <f>IFERROR(INDEX('Fluxos de Recebimento'!$I$7:$BH$58, MATCH(Curvas!$AB59, 'Fluxos de Recebimento'!$F$7:$F$58, 0), MATCH(Curvas!BC$2,'Fluxos de Recebimento'!$I$5:$BH$5, 0))+INDEX('Fluxos de Recebimento'!$I$65:$BH$116, MATCH(Curvas!$AB59, 'Fluxos de Recebimento'!$F$65:$F$116, 0), MATCH(Curvas!BC$2, 'Fluxos de Recebimento'!$I$63:$BH$63, 0)),0)*INDEX($E:$E, MATCH(BC$2, $B:$B, 0))</f>
        <v>0</v>
      </c>
      <c r="BD59" s="193">
        <f>IFERROR(INDEX('Fluxos de Recebimento'!$I$7:$BH$58, MATCH(Curvas!$AB59, 'Fluxos de Recebimento'!$F$7:$F$58, 0), MATCH(Curvas!BD$2,'Fluxos de Recebimento'!$I$5:$BH$5, 0))+INDEX('Fluxos de Recebimento'!$I$65:$BH$116, MATCH(Curvas!$AB59, 'Fluxos de Recebimento'!$F$65:$F$116, 0), MATCH(Curvas!BD$2, 'Fluxos de Recebimento'!$I$63:$BH$63, 0)),0)*INDEX($E:$E, MATCH(BD$2, $B:$B, 0))</f>
        <v>0</v>
      </c>
      <c r="BE59" s="193">
        <f>IFERROR(INDEX('Fluxos de Recebimento'!$I$7:$BH$58, MATCH(Curvas!$AB59, 'Fluxos de Recebimento'!$F$7:$F$58, 0), MATCH(Curvas!BE$2,'Fluxos de Recebimento'!$I$5:$BH$5, 0))+INDEX('Fluxos de Recebimento'!$I$65:$BH$116, MATCH(Curvas!$AB59, 'Fluxos de Recebimento'!$F$65:$F$116, 0), MATCH(Curvas!BE$2, 'Fluxos de Recebimento'!$I$63:$BH$63, 0)),0)*INDEX($E:$E, MATCH(BE$2, $B:$B, 0))</f>
        <v>0</v>
      </c>
      <c r="BF59" s="193">
        <f>IFERROR(INDEX('Fluxos de Recebimento'!$I$7:$BH$58, MATCH(Curvas!$AB59, 'Fluxos de Recebimento'!$F$7:$F$58, 0), MATCH(Curvas!BF$2,'Fluxos de Recebimento'!$I$5:$BH$5, 0))+INDEX('Fluxos de Recebimento'!$I$65:$BH$116, MATCH(Curvas!$AB59, 'Fluxos de Recebimento'!$F$65:$F$116, 0), MATCH(Curvas!BF$2, 'Fluxos de Recebimento'!$I$63:$BH$63, 0)),0)*INDEX($E:$E, MATCH(BF$2, $B:$B, 0))</f>
        <v>0</v>
      </c>
      <c r="BG59" s="193">
        <f>IFERROR(INDEX('Fluxos de Recebimento'!$I$7:$BH$58, MATCH(Curvas!$AB59, 'Fluxos de Recebimento'!$F$7:$F$58, 0), MATCH(Curvas!BG$2,'Fluxos de Recebimento'!$I$5:$BH$5, 0))+INDEX('Fluxos de Recebimento'!$I$65:$BH$116, MATCH(Curvas!$AB59, 'Fluxos de Recebimento'!$F$65:$F$116, 0), MATCH(Curvas!BG$2, 'Fluxos de Recebimento'!$I$63:$BH$63, 0)),0)*INDEX($E:$E, MATCH(BG$2, $B:$B, 0))</f>
        <v>0</v>
      </c>
      <c r="BH59" s="193">
        <f>IFERROR(INDEX('Fluxos de Recebimento'!$I$7:$BH$58, MATCH(Curvas!$AB59, 'Fluxos de Recebimento'!$F$7:$F$58, 0), MATCH(Curvas!BH$2,'Fluxos de Recebimento'!$I$5:$BH$5, 0))+INDEX('Fluxos de Recebimento'!$I$65:$BH$116, MATCH(Curvas!$AB59, 'Fluxos de Recebimento'!$F$65:$F$116, 0), MATCH(Curvas!BH$2, 'Fluxos de Recebimento'!$I$63:$BH$63, 0)),0)*INDEX($E:$E, MATCH(BH$2, $B:$B, 0))</f>
        <v>0</v>
      </c>
      <c r="BI59" s="193">
        <f>IFERROR(INDEX('Fluxos de Recebimento'!$I$7:$BH$58, MATCH(Curvas!$AB59, 'Fluxos de Recebimento'!$F$7:$F$58, 0), MATCH(Curvas!BI$2,'Fluxos de Recebimento'!$I$5:$BH$5, 0))+INDEX('Fluxos de Recebimento'!$I$65:$BH$116, MATCH(Curvas!$AB59, 'Fluxos de Recebimento'!$F$65:$F$116, 0), MATCH(Curvas!BI$2, 'Fluxos de Recebimento'!$I$63:$BH$63, 0)),0)*INDEX($E:$E, MATCH(BI$2, $B:$B, 0))</f>
        <v>0</v>
      </c>
      <c r="BJ59" s="193">
        <f>IFERROR(INDEX('Fluxos de Recebimento'!$I$7:$BH$58, MATCH(Curvas!$AB59, 'Fluxos de Recebimento'!$F$7:$F$58, 0), MATCH(Curvas!BJ$2,'Fluxos de Recebimento'!$I$5:$BH$5, 0))+INDEX('Fluxos de Recebimento'!$I$65:$BH$116, MATCH(Curvas!$AB59, 'Fluxos de Recebimento'!$F$65:$F$116, 0), MATCH(Curvas!BJ$2, 'Fluxos de Recebimento'!$I$63:$BH$63, 0)),0)*INDEX($E:$E, MATCH(BJ$2, $B:$B, 0))</f>
        <v>0</v>
      </c>
      <c r="BK59" s="193">
        <f>IFERROR(INDEX('Fluxos de Recebimento'!$I$7:$BH$58, MATCH(Curvas!$AB59, 'Fluxos de Recebimento'!$F$7:$F$58, 0), MATCH(Curvas!BK$2,'Fluxos de Recebimento'!$I$5:$BH$5, 0))+INDEX('Fluxos de Recebimento'!$I$65:$BH$116, MATCH(Curvas!$AB59, 'Fluxos de Recebimento'!$F$65:$F$116, 0), MATCH(Curvas!BK$2, 'Fluxos de Recebimento'!$I$63:$BH$63, 0)),0)*INDEX($E:$E, MATCH(BK$2, $B:$B, 0))</f>
        <v>0</v>
      </c>
      <c r="BL59" s="193">
        <f>IFERROR(INDEX('Fluxos de Recebimento'!$I$7:$BH$58, MATCH(Curvas!$AB59, 'Fluxos de Recebimento'!$F$7:$F$58, 0), MATCH(Curvas!BL$2,'Fluxos de Recebimento'!$I$5:$BH$5, 0))+INDEX('Fluxos de Recebimento'!$I$65:$BH$116, MATCH(Curvas!$AB59, 'Fluxos de Recebimento'!$F$65:$F$116, 0), MATCH(Curvas!BL$2, 'Fluxos de Recebimento'!$I$63:$BH$63, 0)),0)*INDEX($E:$E, MATCH(BL$2, $B:$B, 0))</f>
        <v>0</v>
      </c>
      <c r="BM59" s="193">
        <f>IFERROR(INDEX('Fluxos de Recebimento'!$I$7:$BH$58, MATCH(Curvas!$AB59, 'Fluxos de Recebimento'!$F$7:$F$58, 0), MATCH(Curvas!BM$2,'Fluxos de Recebimento'!$I$5:$BH$5, 0))+INDEX('Fluxos de Recebimento'!$I$65:$BH$116, MATCH(Curvas!$AB59, 'Fluxos de Recebimento'!$F$65:$F$116, 0), MATCH(Curvas!BM$2, 'Fluxos de Recebimento'!$I$63:$BH$63, 0)),0)*INDEX($E:$E, MATCH(BM$2, $B:$B, 0))</f>
        <v>0</v>
      </c>
      <c r="BN59" s="193">
        <f>IFERROR(INDEX('Fluxos de Recebimento'!$I$7:$BH$58, MATCH(Curvas!$AB59, 'Fluxos de Recebimento'!$F$7:$F$58, 0), MATCH(Curvas!BN$2,'Fluxos de Recebimento'!$I$5:$BH$5, 0))+INDEX('Fluxos de Recebimento'!$I$65:$BH$116, MATCH(Curvas!$AB59, 'Fluxos de Recebimento'!$F$65:$F$116, 0), MATCH(Curvas!BN$2, 'Fluxos de Recebimento'!$I$63:$BH$63, 0)),0)*INDEX($E:$E, MATCH(BN$2, $B:$B, 0))</f>
        <v>0</v>
      </c>
      <c r="BO59" s="193">
        <f>IFERROR(INDEX('Fluxos de Recebimento'!$I$7:$BH$58, MATCH(Curvas!$AB59, 'Fluxos de Recebimento'!$F$7:$F$58, 0), MATCH(Curvas!BO$2,'Fluxos de Recebimento'!$I$5:$BH$5, 0))+INDEX('Fluxos de Recebimento'!$I$65:$BH$116, MATCH(Curvas!$AB59, 'Fluxos de Recebimento'!$F$65:$F$116, 0), MATCH(Curvas!BO$2, 'Fluxos de Recebimento'!$I$63:$BH$63, 0)),0)*INDEX($E:$E, MATCH(BO$2, $B:$B, 0))</f>
        <v>0</v>
      </c>
      <c r="BP59" s="193">
        <f>IFERROR(INDEX('Fluxos de Recebimento'!$I$7:$BH$58, MATCH(Curvas!$AB59, 'Fluxos de Recebimento'!$F$7:$F$58, 0), MATCH(Curvas!BP$2,'Fluxos de Recebimento'!$I$5:$BH$5, 0))+INDEX('Fluxos de Recebimento'!$I$65:$BH$116, MATCH(Curvas!$AB59, 'Fluxos de Recebimento'!$F$65:$F$116, 0), MATCH(Curvas!BP$2, 'Fluxos de Recebimento'!$I$63:$BH$63, 0)),0)*INDEX($E:$E, MATCH(BP$2, $B:$B, 0))</f>
        <v>0</v>
      </c>
      <c r="BQ59" s="193">
        <f>IFERROR(INDEX('Fluxos de Recebimento'!$I$7:$BH$58, MATCH(Curvas!$AB59, 'Fluxos de Recebimento'!$F$7:$F$58, 0), MATCH(Curvas!BQ$2,'Fluxos de Recebimento'!$I$5:$BH$5, 0))+INDEX('Fluxos de Recebimento'!$I$65:$BH$116, MATCH(Curvas!$AB59, 'Fluxos de Recebimento'!$F$65:$F$116, 0), MATCH(Curvas!BQ$2, 'Fluxos de Recebimento'!$I$63:$BH$63, 0)),0)*INDEX($E:$E, MATCH(BQ$2, $B:$B, 0))</f>
        <v>0</v>
      </c>
      <c r="BR59" s="193">
        <f>IFERROR(INDEX('Fluxos de Recebimento'!$I$7:$BH$58, MATCH(Curvas!$AB59, 'Fluxos de Recebimento'!$F$7:$F$58, 0), MATCH(Curvas!BR$2,'Fluxos de Recebimento'!$I$5:$BH$5, 0))+INDEX('Fluxos de Recebimento'!$I$65:$BH$116, MATCH(Curvas!$AB59, 'Fluxos de Recebimento'!$F$65:$F$116, 0), MATCH(Curvas!BR$2, 'Fluxos de Recebimento'!$I$63:$BH$63, 0)),0)*INDEX($E:$E, MATCH(BR$2, $B:$B, 0))</f>
        <v>0</v>
      </c>
      <c r="BS59" s="193">
        <f>IFERROR(INDEX('Fluxos de Recebimento'!$I$7:$BH$58, MATCH(Curvas!$AB59, 'Fluxos de Recebimento'!$F$7:$F$58, 0), MATCH(Curvas!BS$2,'Fluxos de Recebimento'!$I$5:$BH$5, 0))+INDEX('Fluxos de Recebimento'!$I$65:$BH$116, MATCH(Curvas!$AB59, 'Fluxos de Recebimento'!$F$65:$F$116, 0), MATCH(Curvas!BS$2, 'Fluxos de Recebimento'!$I$63:$BH$63, 0)),0)*INDEX($E:$E, MATCH(BS$2, $B:$B, 0))</f>
        <v>0</v>
      </c>
      <c r="BT59" s="193">
        <f>IFERROR(INDEX('Fluxos de Recebimento'!$I$7:$BH$58, MATCH(Curvas!$AB59, 'Fluxos de Recebimento'!$F$7:$F$58, 0), MATCH(Curvas!BT$2,'Fluxos de Recebimento'!$I$5:$BH$5, 0))+INDEX('Fluxos de Recebimento'!$I$65:$BH$116, MATCH(Curvas!$AB59, 'Fluxos de Recebimento'!$F$65:$F$116, 0), MATCH(Curvas!BT$2, 'Fluxos de Recebimento'!$I$63:$BH$63, 0)),0)*INDEX($E:$E, MATCH(BT$2, $B:$B, 0))</f>
        <v>0</v>
      </c>
      <c r="BU59" s="193">
        <f>IFERROR(INDEX('Fluxos de Recebimento'!$I$7:$BH$58, MATCH(Curvas!$AB59, 'Fluxos de Recebimento'!$F$7:$F$58, 0), MATCH(Curvas!BU$2,'Fluxos de Recebimento'!$I$5:$BH$5, 0))+INDEX('Fluxos de Recebimento'!$I$65:$BH$116, MATCH(Curvas!$AB59, 'Fluxos de Recebimento'!$F$65:$F$116, 0), MATCH(Curvas!BU$2, 'Fluxos de Recebimento'!$I$63:$BH$63, 0)),0)*INDEX($E:$E, MATCH(BU$2, $B:$B, 0))</f>
        <v>0</v>
      </c>
      <c r="BV59" s="193">
        <f>IFERROR(INDEX('Fluxos de Recebimento'!$I$7:$BH$58, MATCH(Curvas!$AB59, 'Fluxos de Recebimento'!$F$7:$F$58, 0), MATCH(Curvas!BV$2,'Fluxos de Recebimento'!$I$5:$BH$5, 0))+INDEX('Fluxos de Recebimento'!$I$65:$BH$116, MATCH(Curvas!$AB59, 'Fluxos de Recebimento'!$F$65:$F$116, 0), MATCH(Curvas!BV$2, 'Fluxos de Recebimento'!$I$63:$BH$63, 0)),0)*INDEX($E:$E, MATCH(BV$2, $B:$B, 0))</f>
        <v>0</v>
      </c>
      <c r="BW59" s="193">
        <f>IFERROR(INDEX('Fluxos de Recebimento'!$I$7:$BH$58, MATCH(Curvas!$AB59, 'Fluxos de Recebimento'!$F$7:$F$58, 0), MATCH(Curvas!BW$2,'Fluxos de Recebimento'!$I$5:$BH$5, 0))+INDEX('Fluxos de Recebimento'!$I$65:$BH$116, MATCH(Curvas!$AB59, 'Fluxos de Recebimento'!$F$65:$F$116, 0), MATCH(Curvas!BW$2, 'Fluxos de Recebimento'!$I$63:$BH$63, 0)),0)*INDEX($E:$E, MATCH(BW$2, $B:$B, 0))</f>
        <v>0</v>
      </c>
      <c r="BX59" s="193">
        <f>IFERROR(INDEX('Fluxos de Recebimento'!$I$7:$BH$58, MATCH(Curvas!$AB59, 'Fluxos de Recebimento'!$F$7:$F$58, 0), MATCH(Curvas!BX$2,'Fluxos de Recebimento'!$I$5:$BH$5, 0))+INDEX('Fluxos de Recebimento'!$I$65:$BH$116, MATCH(Curvas!$AB59, 'Fluxos de Recebimento'!$F$65:$F$116, 0), MATCH(Curvas!BX$2, 'Fluxos de Recebimento'!$I$63:$BH$63, 0)),0)*INDEX($E:$E, MATCH(BX$2, $B:$B, 0))</f>
        <v>0</v>
      </c>
      <c r="BY59" s="193">
        <f>IFERROR(INDEX('Fluxos de Recebimento'!$I$7:$BH$58, MATCH(Curvas!$AB59, 'Fluxos de Recebimento'!$F$7:$F$58, 0), MATCH(Curvas!BY$2,'Fluxos de Recebimento'!$I$5:$BH$5, 0))+INDEX('Fluxos de Recebimento'!$I$65:$BH$116, MATCH(Curvas!$AB59, 'Fluxos de Recebimento'!$F$65:$F$116, 0), MATCH(Curvas!BY$2, 'Fluxos de Recebimento'!$I$63:$BH$63, 0)),0)*INDEX($E:$E, MATCH(BY$2, $B:$B, 0))</f>
        <v>0</v>
      </c>
      <c r="BZ59" s="193">
        <f>IFERROR(INDEX('Fluxos de Recebimento'!$I$7:$BH$58, MATCH(Curvas!$AB59, 'Fluxos de Recebimento'!$F$7:$F$58, 0), MATCH(Curvas!BZ$2,'Fluxos de Recebimento'!$I$5:$BH$5, 0))+INDEX('Fluxos de Recebimento'!$I$65:$BH$116, MATCH(Curvas!$AB59, 'Fluxos de Recebimento'!$F$65:$F$116, 0), MATCH(Curvas!BZ$2, 'Fluxos de Recebimento'!$I$63:$BH$63, 0)),0)*INDEX($E:$E, MATCH(BZ$2, $B:$B, 0))</f>
        <v>0</v>
      </c>
      <c r="CA59" s="193">
        <f>IFERROR(INDEX('Fluxos de Recebimento'!$I$7:$BH$58, MATCH(Curvas!$AB59, 'Fluxos de Recebimento'!$F$7:$F$58, 0), MATCH(Curvas!CA$2,'Fluxos de Recebimento'!$I$5:$BH$5, 0))+INDEX('Fluxos de Recebimento'!$I$65:$BH$116, MATCH(Curvas!$AB59, 'Fluxos de Recebimento'!$F$65:$F$116, 0), MATCH(Curvas!CA$2, 'Fluxos de Recebimento'!$I$63:$BH$63, 0)),0)*INDEX($E:$E, MATCH(CA$2, $B:$B, 0))</f>
        <v>0</v>
      </c>
      <c r="CB59" s="193">
        <f>IFERROR(INDEX('Fluxos de Recebimento'!$I$7:$BH$58, MATCH(Curvas!$AB59, 'Fluxos de Recebimento'!$F$7:$F$58, 0), MATCH(Curvas!CB$2,'Fluxos de Recebimento'!$I$5:$BH$5, 0))+INDEX('Fluxos de Recebimento'!$I$65:$BH$116, MATCH(Curvas!$AB59, 'Fluxos de Recebimento'!$F$65:$F$116, 0), MATCH(Curvas!CB$2, 'Fluxos de Recebimento'!$I$63:$BH$63, 0)),0)*INDEX($E:$E, MATCH(CB$2, $B:$B, 0))</f>
        <v>0</v>
      </c>
      <c r="CC59" s="193">
        <f>IFERROR(INDEX('Fluxos de Recebimento'!$I$7:$BH$58, MATCH(Curvas!$AB59, 'Fluxos de Recebimento'!$F$7:$F$58, 0), MATCH(Curvas!CC$2,'Fluxos de Recebimento'!$I$5:$BH$5, 0))+INDEX('Fluxos de Recebimento'!$I$65:$BH$116, MATCH(Curvas!$AB59, 'Fluxos de Recebimento'!$F$65:$F$116, 0), MATCH(Curvas!CC$2, 'Fluxos de Recebimento'!$I$63:$BH$63, 0)),0)*INDEX($E:$E, MATCH(CC$2, $B:$B, 0))</f>
        <v>0</v>
      </c>
    </row>
    <row r="60" spans="1:81" x14ac:dyDescent="0.25">
      <c r="A60" s="2"/>
      <c r="D60" s="2"/>
      <c r="I60" s="2"/>
      <c r="M60" s="2"/>
      <c r="Q60" s="2"/>
      <c r="V60" s="2"/>
      <c r="Y60" s="2"/>
      <c r="AA60" s="2"/>
    </row>
    <row r="61" spans="1:81" x14ac:dyDescent="0.25">
      <c r="A61" s="2"/>
      <c r="D61" s="2"/>
      <c r="I61" s="2"/>
      <c r="M61" s="2"/>
      <c r="Q61" s="2"/>
      <c r="V61" s="2"/>
      <c r="Y61" s="2"/>
      <c r="AA61" s="2"/>
    </row>
    <row r="62" spans="1:81" x14ac:dyDescent="0.25">
      <c r="A62" s="2"/>
      <c r="D62" s="2"/>
      <c r="I62" s="2"/>
      <c r="M62" s="2"/>
      <c r="Q62" s="2"/>
      <c r="V62" s="2"/>
      <c r="Y62" s="2"/>
      <c r="AA62" s="2"/>
    </row>
    <row r="63" spans="1:81" x14ac:dyDescent="0.25">
      <c r="A63" s="2"/>
      <c r="D63" s="2"/>
      <c r="I63" s="2"/>
      <c r="M63" s="2"/>
      <c r="Q63" s="2"/>
      <c r="V63" s="2"/>
      <c r="Y63" s="2"/>
      <c r="AA63" s="2"/>
    </row>
    <row r="64" spans="1:81" x14ac:dyDescent="0.25">
      <c r="A64" s="2"/>
      <c r="D64" s="2"/>
      <c r="I64" s="2"/>
      <c r="M64" s="2"/>
      <c r="Q64" s="2"/>
      <c r="V64" s="2"/>
      <c r="Y64" s="2"/>
      <c r="AA64" s="2"/>
    </row>
    <row r="65" spans="1:27" x14ac:dyDescent="0.25">
      <c r="A65" s="2"/>
      <c r="D65" s="2"/>
      <c r="I65" s="2"/>
      <c r="M65" s="2"/>
      <c r="Q65" s="2"/>
      <c r="V65" s="2"/>
      <c r="Y65" s="2"/>
      <c r="AA65" s="2"/>
    </row>
    <row r="66" spans="1:27" x14ac:dyDescent="0.25">
      <c r="A66" s="2"/>
      <c r="D66" s="2"/>
      <c r="I66" s="2"/>
      <c r="M66" s="2"/>
      <c r="Q66" s="2"/>
      <c r="V66" s="2"/>
      <c r="Y66" s="2"/>
      <c r="AA66" s="2"/>
    </row>
    <row r="67" spans="1:27" x14ac:dyDescent="0.25">
      <c r="A67" s="2"/>
      <c r="D67" s="2"/>
      <c r="I67" s="2"/>
      <c r="M67" s="2"/>
      <c r="Q67" s="2"/>
      <c r="V67" s="2"/>
      <c r="Y67" s="2"/>
      <c r="AA67" s="2"/>
    </row>
    <row r="68" spans="1:27" x14ac:dyDescent="0.25">
      <c r="A68" s="2"/>
      <c r="D68" s="2"/>
      <c r="I68" s="2"/>
      <c r="M68" s="2"/>
      <c r="Q68" s="2"/>
      <c r="V68" s="2"/>
      <c r="Y68" s="2"/>
      <c r="AA68" s="2"/>
    </row>
    <row r="69" spans="1:27" x14ac:dyDescent="0.25">
      <c r="A69" s="2"/>
      <c r="D69" s="2"/>
      <c r="I69" s="2"/>
      <c r="M69" s="2"/>
      <c r="Q69" s="2"/>
      <c r="V69" s="2"/>
      <c r="Y69" s="2"/>
      <c r="AA69" s="2"/>
    </row>
    <row r="70" spans="1:27" x14ac:dyDescent="0.25">
      <c r="A70" s="2"/>
      <c r="D70" s="2"/>
      <c r="I70" s="2"/>
      <c r="M70" s="2"/>
      <c r="Q70" s="2"/>
      <c r="V70" s="2"/>
      <c r="Y70" s="2"/>
      <c r="AA70" s="2"/>
    </row>
    <row r="71" spans="1:27" x14ac:dyDescent="0.25">
      <c r="A71" s="2"/>
      <c r="D71" s="2"/>
      <c r="I71" s="2"/>
      <c r="M71" s="2"/>
      <c r="Q71" s="2"/>
      <c r="V71" s="2"/>
      <c r="Y71" s="2"/>
      <c r="AA71" s="2"/>
    </row>
    <row r="72" spans="1:27" x14ac:dyDescent="0.25">
      <c r="A72" s="2"/>
      <c r="D72" s="2"/>
      <c r="I72" s="2"/>
      <c r="M72" s="2"/>
      <c r="Q72" s="2"/>
      <c r="V72" s="2"/>
      <c r="Y72" s="2"/>
      <c r="AA72" s="2"/>
    </row>
    <row r="73" spans="1:27" x14ac:dyDescent="0.25">
      <c r="A73" s="2"/>
      <c r="D73" s="2"/>
      <c r="I73" s="2"/>
      <c r="M73" s="2"/>
      <c r="Q73" s="2"/>
      <c r="V73" s="2"/>
      <c r="Y73" s="2"/>
      <c r="AA73" s="2"/>
    </row>
    <row r="74" spans="1:27" x14ac:dyDescent="0.25">
      <c r="A74" s="2"/>
      <c r="D74" s="2"/>
      <c r="I74" s="2"/>
      <c r="M74" s="2"/>
      <c r="Q74" s="2"/>
      <c r="V74" s="2"/>
      <c r="Y74" s="2"/>
      <c r="AA74" s="2"/>
    </row>
    <row r="75" spans="1:27" x14ac:dyDescent="0.25">
      <c r="A75" s="2"/>
      <c r="D75" s="2"/>
      <c r="I75" s="2"/>
      <c r="M75" s="2"/>
      <c r="Q75" s="2"/>
      <c r="V75" s="2"/>
      <c r="Y75" s="2"/>
      <c r="AA75" s="2"/>
    </row>
    <row r="76" spans="1:27" x14ac:dyDescent="0.25">
      <c r="A76" s="2"/>
      <c r="D76" s="2"/>
      <c r="I76" s="2"/>
      <c r="M76" s="2"/>
      <c r="Q76" s="2"/>
      <c r="V76" s="2"/>
      <c r="Y76" s="2"/>
      <c r="AA76" s="2"/>
    </row>
    <row r="77" spans="1:27" x14ac:dyDescent="0.25">
      <c r="A77" s="2"/>
      <c r="D77" s="2"/>
      <c r="I77" s="2"/>
      <c r="M77" s="2"/>
      <c r="Q77" s="2"/>
      <c r="V77" s="2"/>
      <c r="Y77" s="2"/>
      <c r="AA77" s="2"/>
    </row>
    <row r="78" spans="1:27" x14ac:dyDescent="0.25">
      <c r="A78" s="2"/>
      <c r="D78" s="2"/>
      <c r="I78" s="2"/>
      <c r="M78" s="2"/>
      <c r="Q78" s="2"/>
      <c r="V78" s="2"/>
      <c r="Y78" s="2"/>
      <c r="AA78" s="2"/>
    </row>
    <row r="79" spans="1:27" x14ac:dyDescent="0.25">
      <c r="A79" s="2"/>
      <c r="D79" s="2"/>
      <c r="I79" s="2"/>
      <c r="M79" s="2"/>
      <c r="Q79" s="2"/>
      <c r="V79" s="2"/>
      <c r="Y79" s="2"/>
      <c r="AA79" s="2"/>
    </row>
    <row r="80" spans="1:27" x14ac:dyDescent="0.25">
      <c r="A80" s="2"/>
      <c r="D80" s="2"/>
      <c r="I80" s="2"/>
      <c r="M80" s="2"/>
      <c r="Q80" s="2"/>
      <c r="V80" s="2"/>
      <c r="Y80" s="2"/>
      <c r="AA80" s="2"/>
    </row>
    <row r="81" spans="1:27" x14ac:dyDescent="0.25">
      <c r="A81" s="2"/>
      <c r="D81" s="2"/>
      <c r="I81" s="2"/>
      <c r="M81" s="2"/>
      <c r="Q81" s="2"/>
      <c r="V81" s="2"/>
      <c r="Y81" s="2"/>
      <c r="AA81" s="2"/>
    </row>
    <row r="82" spans="1:27" x14ac:dyDescent="0.25">
      <c r="A82" s="2"/>
      <c r="D82" s="2"/>
      <c r="I82" s="2"/>
      <c r="M82" s="2"/>
      <c r="Q82" s="2"/>
      <c r="V82" s="2"/>
      <c r="Y82" s="2"/>
      <c r="AA82" s="2"/>
    </row>
    <row r="83" spans="1:27" x14ac:dyDescent="0.25">
      <c r="A83" s="2"/>
      <c r="D83" s="2"/>
      <c r="I83" s="2"/>
      <c r="M83" s="2"/>
      <c r="Q83" s="2"/>
      <c r="V83" s="2"/>
      <c r="Y83" s="2"/>
      <c r="AA83" s="2"/>
    </row>
    <row r="84" spans="1:27" x14ac:dyDescent="0.25">
      <c r="A84" s="2"/>
      <c r="D84" s="2"/>
      <c r="I84" s="2"/>
      <c r="M84" s="2"/>
      <c r="Q84" s="2"/>
      <c r="V84" s="2"/>
      <c r="Y84" s="2"/>
      <c r="AA84" s="2"/>
    </row>
    <row r="85" spans="1:27" x14ac:dyDescent="0.25">
      <c r="A85" s="2"/>
      <c r="D85" s="2"/>
      <c r="I85" s="2"/>
      <c r="M85" s="2"/>
      <c r="Q85" s="2"/>
      <c r="V85" s="2"/>
      <c r="Y85" s="2"/>
      <c r="AA85" s="2"/>
    </row>
    <row r="86" spans="1:27" x14ac:dyDescent="0.25">
      <c r="A86" s="2"/>
      <c r="D86" s="2"/>
      <c r="I86" s="2"/>
      <c r="M86" s="2"/>
      <c r="Q86" s="2"/>
      <c r="V86" s="2"/>
      <c r="Y86" s="2"/>
      <c r="AA86" s="2"/>
    </row>
    <row r="87" spans="1:27" x14ac:dyDescent="0.25">
      <c r="A87" s="2"/>
      <c r="D87" s="2"/>
      <c r="I87" s="2"/>
      <c r="M87" s="2"/>
      <c r="Q87" s="2"/>
      <c r="V87" s="2"/>
      <c r="Y87" s="2"/>
      <c r="AA87" s="2"/>
    </row>
    <row r="88" spans="1:27" x14ac:dyDescent="0.25">
      <c r="A88" s="2"/>
      <c r="D88" s="2"/>
      <c r="I88" s="2"/>
      <c r="M88" s="2"/>
      <c r="Q88" s="2"/>
      <c r="V88" s="2"/>
      <c r="Y88" s="2"/>
      <c r="AA88" s="2"/>
    </row>
    <row r="89" spans="1:27" x14ac:dyDescent="0.25">
      <c r="A89" s="2"/>
      <c r="D89" s="2"/>
      <c r="I89" s="2"/>
      <c r="M89" s="2"/>
      <c r="Q89" s="2"/>
      <c r="V89" s="2"/>
      <c r="Y89" s="2"/>
      <c r="AA89" s="2"/>
    </row>
    <row r="90" spans="1:27" x14ac:dyDescent="0.25">
      <c r="A90" s="2"/>
      <c r="D90" s="2"/>
      <c r="I90" s="2"/>
      <c r="M90" s="2"/>
      <c r="Q90" s="2"/>
      <c r="V90" s="2"/>
      <c r="Y90" s="2"/>
      <c r="AA90" s="2"/>
    </row>
    <row r="91" spans="1:27" x14ac:dyDescent="0.25">
      <c r="A91" s="2"/>
      <c r="D91" s="2"/>
      <c r="I91" s="2"/>
      <c r="M91" s="2"/>
      <c r="Q91" s="2"/>
      <c r="V91" s="2"/>
      <c r="Y91" s="2"/>
      <c r="AA91" s="2"/>
    </row>
    <row r="92" spans="1:27" x14ac:dyDescent="0.25">
      <c r="A92" s="2"/>
      <c r="D92" s="2"/>
      <c r="I92" s="2"/>
      <c r="M92" s="2"/>
      <c r="Q92" s="2"/>
      <c r="V92" s="2"/>
      <c r="Y92" s="2"/>
      <c r="AA92" s="2"/>
    </row>
    <row r="93" spans="1:27" x14ac:dyDescent="0.25">
      <c r="A93" s="2"/>
      <c r="D93" s="2"/>
      <c r="I93" s="2"/>
      <c r="M93" s="2"/>
      <c r="Q93" s="2"/>
      <c r="V93" s="2"/>
      <c r="Y93" s="2"/>
      <c r="AA93" s="2"/>
    </row>
    <row r="94" spans="1:27" x14ac:dyDescent="0.25">
      <c r="A94" s="2"/>
      <c r="D94" s="2"/>
      <c r="I94" s="2"/>
      <c r="M94" s="2"/>
      <c r="Q94" s="2"/>
      <c r="V94" s="2"/>
      <c r="Y94" s="2"/>
      <c r="AA94" s="2"/>
    </row>
    <row r="95" spans="1:27" x14ac:dyDescent="0.25">
      <c r="A95" s="2"/>
      <c r="D95" s="2"/>
      <c r="I95" s="2"/>
      <c r="M95" s="2"/>
      <c r="Q95" s="2"/>
      <c r="V95" s="2"/>
      <c r="Y95" s="2"/>
      <c r="AA95" s="2"/>
    </row>
    <row r="96" spans="1:27" x14ac:dyDescent="0.25">
      <c r="A96" s="2"/>
      <c r="D96" s="2"/>
      <c r="I96" s="2"/>
      <c r="M96" s="2"/>
      <c r="Q96" s="2"/>
      <c r="V96" s="2"/>
      <c r="Y96" s="2"/>
      <c r="AA96" s="2"/>
    </row>
    <row r="97" spans="1:27" x14ac:dyDescent="0.25">
      <c r="A97" s="2"/>
      <c r="D97" s="2"/>
      <c r="I97" s="2"/>
      <c r="M97" s="2"/>
      <c r="Q97" s="2"/>
      <c r="V97" s="2"/>
      <c r="Y97" s="2"/>
      <c r="AA97" s="2"/>
    </row>
  </sheetData>
  <conditionalFormatting sqref="AD4:BI37 CB4:CC37">
    <cfRule type="cellIs" dxfId="1537" priority="161" operator="equal">
      <formula>0</formula>
    </cfRule>
  </conditionalFormatting>
  <conditionalFormatting sqref="AD38:BI38 CB38:CC38">
    <cfRule type="cellIs" dxfId="1536" priority="160" operator="equal">
      <formula>0</formula>
    </cfRule>
  </conditionalFormatting>
  <conditionalFormatting sqref="AD39:BI39 CB39:CC39">
    <cfRule type="cellIs" dxfId="1535" priority="159" operator="equal">
      <formula>0</formula>
    </cfRule>
  </conditionalFormatting>
  <conditionalFormatting sqref="AD40:BI40 CB40:CC40">
    <cfRule type="cellIs" dxfId="1534" priority="158" operator="equal">
      <formula>0</formula>
    </cfRule>
  </conditionalFormatting>
  <conditionalFormatting sqref="AD41:BI41 CB41:CC41">
    <cfRule type="cellIs" dxfId="1533" priority="157" operator="equal">
      <formula>0</formula>
    </cfRule>
  </conditionalFormatting>
  <conditionalFormatting sqref="AD42:BI42 CB42:CC42">
    <cfRule type="cellIs" dxfId="1532" priority="156" operator="equal">
      <formula>0</formula>
    </cfRule>
  </conditionalFormatting>
  <conditionalFormatting sqref="AD43:BI43 CB43:CC43">
    <cfRule type="cellIs" dxfId="1531" priority="155" operator="equal">
      <formula>0</formula>
    </cfRule>
  </conditionalFormatting>
  <conditionalFormatting sqref="AD44:BI44 CB44:CC44">
    <cfRule type="cellIs" dxfId="1530" priority="154" operator="equal">
      <formula>0</formula>
    </cfRule>
  </conditionalFormatting>
  <conditionalFormatting sqref="AD45:BI45 CB45:CC45">
    <cfRule type="cellIs" dxfId="1529" priority="153" operator="equal">
      <formula>0</formula>
    </cfRule>
  </conditionalFormatting>
  <conditionalFormatting sqref="AD46:BI46 CB46:CC46">
    <cfRule type="cellIs" dxfId="1528" priority="152" operator="equal">
      <formula>0</formula>
    </cfRule>
  </conditionalFormatting>
  <conditionalFormatting sqref="AD47:BI47 CB47:CC47">
    <cfRule type="cellIs" dxfId="1527" priority="151" operator="equal">
      <formula>0</formula>
    </cfRule>
  </conditionalFormatting>
  <conditionalFormatting sqref="AD48:BI48 CB48:CC48">
    <cfRule type="cellIs" dxfId="1526" priority="150" operator="equal">
      <formula>0</formula>
    </cfRule>
  </conditionalFormatting>
  <conditionalFormatting sqref="AD49:BI49 CB49:CC49">
    <cfRule type="cellIs" dxfId="1525" priority="149" operator="equal">
      <formula>0</formula>
    </cfRule>
  </conditionalFormatting>
  <conditionalFormatting sqref="AD50:BI50 CB50:CC50">
    <cfRule type="cellIs" dxfId="1524" priority="148" operator="equal">
      <formula>0</formula>
    </cfRule>
  </conditionalFormatting>
  <conditionalFormatting sqref="AD51:BI51 CB51:CC51">
    <cfRule type="cellIs" dxfId="1523" priority="147" operator="equal">
      <formula>0</formula>
    </cfRule>
  </conditionalFormatting>
  <conditionalFormatting sqref="AD52:BI52 CB52:CC52">
    <cfRule type="cellIs" dxfId="1522" priority="146" operator="equal">
      <formula>0</formula>
    </cfRule>
  </conditionalFormatting>
  <conditionalFormatting sqref="AD53:BI53 CB53:CC53">
    <cfRule type="cellIs" dxfId="1521" priority="145" operator="equal">
      <formula>0</formula>
    </cfRule>
  </conditionalFormatting>
  <conditionalFormatting sqref="AD54:BI54 CB54:CC54">
    <cfRule type="cellIs" dxfId="1520" priority="144" operator="equal">
      <formula>0</formula>
    </cfRule>
  </conditionalFormatting>
  <conditionalFormatting sqref="AD55:BI55 CB55:CC55">
    <cfRule type="cellIs" dxfId="1519" priority="143" operator="equal">
      <formula>0</formula>
    </cfRule>
  </conditionalFormatting>
  <conditionalFormatting sqref="BJ4:BJ37">
    <cfRule type="cellIs" dxfId="1518" priority="142" operator="equal">
      <formula>0</formula>
    </cfRule>
  </conditionalFormatting>
  <conditionalFormatting sqref="BJ38">
    <cfRule type="cellIs" dxfId="1517" priority="141" operator="equal">
      <formula>0</formula>
    </cfRule>
  </conditionalFormatting>
  <conditionalFormatting sqref="BJ39">
    <cfRule type="cellIs" dxfId="1516" priority="140" operator="equal">
      <formula>0</formula>
    </cfRule>
  </conditionalFormatting>
  <conditionalFormatting sqref="BJ40">
    <cfRule type="cellIs" dxfId="1515" priority="139" operator="equal">
      <formula>0</formula>
    </cfRule>
  </conditionalFormatting>
  <conditionalFormatting sqref="BJ41">
    <cfRule type="cellIs" dxfId="1514" priority="138" operator="equal">
      <formula>0</formula>
    </cfRule>
  </conditionalFormatting>
  <conditionalFormatting sqref="BJ42">
    <cfRule type="cellIs" dxfId="1513" priority="137" operator="equal">
      <formula>0</formula>
    </cfRule>
  </conditionalFormatting>
  <conditionalFormatting sqref="BJ43">
    <cfRule type="cellIs" dxfId="1512" priority="136" operator="equal">
      <formula>0</formula>
    </cfRule>
  </conditionalFormatting>
  <conditionalFormatting sqref="BJ44">
    <cfRule type="cellIs" dxfId="1511" priority="135" operator="equal">
      <formula>0</formula>
    </cfRule>
  </conditionalFormatting>
  <conditionalFormatting sqref="BJ45">
    <cfRule type="cellIs" dxfId="1510" priority="134" operator="equal">
      <formula>0</formula>
    </cfRule>
  </conditionalFormatting>
  <conditionalFormatting sqref="BJ46">
    <cfRule type="cellIs" dxfId="1509" priority="133" operator="equal">
      <formula>0</formula>
    </cfRule>
  </conditionalFormatting>
  <conditionalFormatting sqref="BJ47">
    <cfRule type="cellIs" dxfId="1508" priority="132" operator="equal">
      <formula>0</formula>
    </cfRule>
  </conditionalFormatting>
  <conditionalFormatting sqref="BJ48">
    <cfRule type="cellIs" dxfId="1507" priority="131" operator="equal">
      <formula>0</formula>
    </cfRule>
  </conditionalFormatting>
  <conditionalFormatting sqref="BJ49">
    <cfRule type="cellIs" dxfId="1506" priority="130" operator="equal">
      <formula>0</formula>
    </cfRule>
  </conditionalFormatting>
  <conditionalFormatting sqref="BJ50">
    <cfRule type="cellIs" dxfId="1505" priority="129" operator="equal">
      <formula>0</formula>
    </cfRule>
  </conditionalFormatting>
  <conditionalFormatting sqref="BJ51">
    <cfRule type="cellIs" dxfId="1504" priority="128" operator="equal">
      <formula>0</formula>
    </cfRule>
  </conditionalFormatting>
  <conditionalFormatting sqref="BJ52">
    <cfRule type="cellIs" dxfId="1503" priority="127" operator="equal">
      <formula>0</formula>
    </cfRule>
  </conditionalFormatting>
  <conditionalFormatting sqref="BJ53">
    <cfRule type="cellIs" dxfId="1502" priority="126" operator="equal">
      <formula>0</formula>
    </cfRule>
  </conditionalFormatting>
  <conditionalFormatting sqref="BJ54">
    <cfRule type="cellIs" dxfId="1501" priority="125" operator="equal">
      <formula>0</formula>
    </cfRule>
  </conditionalFormatting>
  <conditionalFormatting sqref="BJ55">
    <cfRule type="cellIs" dxfId="1500" priority="124" operator="equal">
      <formula>0</formula>
    </cfRule>
  </conditionalFormatting>
  <conditionalFormatting sqref="BK4:BK37">
    <cfRule type="cellIs" dxfId="1499" priority="123" operator="equal">
      <formula>0</formula>
    </cfRule>
  </conditionalFormatting>
  <conditionalFormatting sqref="BK38">
    <cfRule type="cellIs" dxfId="1498" priority="122" operator="equal">
      <formula>0</formula>
    </cfRule>
  </conditionalFormatting>
  <conditionalFormatting sqref="BK39">
    <cfRule type="cellIs" dxfId="1497" priority="121" operator="equal">
      <formula>0</formula>
    </cfRule>
  </conditionalFormatting>
  <conditionalFormatting sqref="BK40">
    <cfRule type="cellIs" dxfId="1496" priority="120" operator="equal">
      <formula>0</formula>
    </cfRule>
  </conditionalFormatting>
  <conditionalFormatting sqref="BK41">
    <cfRule type="cellIs" dxfId="1495" priority="119" operator="equal">
      <formula>0</formula>
    </cfRule>
  </conditionalFormatting>
  <conditionalFormatting sqref="BK42">
    <cfRule type="cellIs" dxfId="1494" priority="118" operator="equal">
      <formula>0</formula>
    </cfRule>
  </conditionalFormatting>
  <conditionalFormatting sqref="BK43">
    <cfRule type="cellIs" dxfId="1493" priority="117" operator="equal">
      <formula>0</formula>
    </cfRule>
  </conditionalFormatting>
  <conditionalFormatting sqref="BK44">
    <cfRule type="cellIs" dxfId="1492" priority="116" operator="equal">
      <formula>0</formula>
    </cfRule>
  </conditionalFormatting>
  <conditionalFormatting sqref="BK45">
    <cfRule type="cellIs" dxfId="1491" priority="115" operator="equal">
      <formula>0</formula>
    </cfRule>
  </conditionalFormatting>
  <conditionalFormatting sqref="BK46">
    <cfRule type="cellIs" dxfId="1490" priority="114" operator="equal">
      <formula>0</formula>
    </cfRule>
  </conditionalFormatting>
  <conditionalFormatting sqref="BK47">
    <cfRule type="cellIs" dxfId="1489" priority="113" operator="equal">
      <formula>0</formula>
    </cfRule>
  </conditionalFormatting>
  <conditionalFormatting sqref="BK48">
    <cfRule type="cellIs" dxfId="1488" priority="112" operator="equal">
      <formula>0</formula>
    </cfRule>
  </conditionalFormatting>
  <conditionalFormatting sqref="BK49">
    <cfRule type="cellIs" dxfId="1487" priority="111" operator="equal">
      <formula>0</formula>
    </cfRule>
  </conditionalFormatting>
  <conditionalFormatting sqref="BK50">
    <cfRule type="cellIs" dxfId="1486" priority="110" operator="equal">
      <formula>0</formula>
    </cfRule>
  </conditionalFormatting>
  <conditionalFormatting sqref="BK51">
    <cfRule type="cellIs" dxfId="1485" priority="109" operator="equal">
      <formula>0</formula>
    </cfRule>
  </conditionalFormatting>
  <conditionalFormatting sqref="BK52">
    <cfRule type="cellIs" dxfId="1484" priority="108" operator="equal">
      <formula>0</formula>
    </cfRule>
  </conditionalFormatting>
  <conditionalFormatting sqref="BK53">
    <cfRule type="cellIs" dxfId="1483" priority="107" operator="equal">
      <formula>0</formula>
    </cfRule>
  </conditionalFormatting>
  <conditionalFormatting sqref="BK54">
    <cfRule type="cellIs" dxfId="1482" priority="106" operator="equal">
      <formula>0</formula>
    </cfRule>
  </conditionalFormatting>
  <conditionalFormatting sqref="BK55">
    <cfRule type="cellIs" dxfId="1481" priority="105" operator="equal">
      <formula>0</formula>
    </cfRule>
  </conditionalFormatting>
  <conditionalFormatting sqref="BL4:BL37">
    <cfRule type="cellIs" dxfId="1480" priority="104" operator="equal">
      <formula>0</formula>
    </cfRule>
  </conditionalFormatting>
  <conditionalFormatting sqref="BL38">
    <cfRule type="cellIs" dxfId="1479" priority="103" operator="equal">
      <formula>0</formula>
    </cfRule>
  </conditionalFormatting>
  <conditionalFormatting sqref="BL39">
    <cfRule type="cellIs" dxfId="1478" priority="102" operator="equal">
      <formula>0</formula>
    </cfRule>
  </conditionalFormatting>
  <conditionalFormatting sqref="BL40">
    <cfRule type="cellIs" dxfId="1477" priority="101" operator="equal">
      <formula>0</formula>
    </cfRule>
  </conditionalFormatting>
  <conditionalFormatting sqref="BL41">
    <cfRule type="cellIs" dxfId="1476" priority="100" operator="equal">
      <formula>0</formula>
    </cfRule>
  </conditionalFormatting>
  <conditionalFormatting sqref="BL42">
    <cfRule type="cellIs" dxfId="1475" priority="99" operator="equal">
      <formula>0</formula>
    </cfRule>
  </conditionalFormatting>
  <conditionalFormatting sqref="BL43">
    <cfRule type="cellIs" dxfId="1474" priority="98" operator="equal">
      <formula>0</formula>
    </cfRule>
  </conditionalFormatting>
  <conditionalFormatting sqref="BL44">
    <cfRule type="cellIs" dxfId="1473" priority="97" operator="equal">
      <formula>0</formula>
    </cfRule>
  </conditionalFormatting>
  <conditionalFormatting sqref="BL45">
    <cfRule type="cellIs" dxfId="1472" priority="96" operator="equal">
      <formula>0</formula>
    </cfRule>
  </conditionalFormatting>
  <conditionalFormatting sqref="BL46">
    <cfRule type="cellIs" dxfId="1471" priority="95" operator="equal">
      <formula>0</formula>
    </cfRule>
  </conditionalFormatting>
  <conditionalFormatting sqref="BL47">
    <cfRule type="cellIs" dxfId="1470" priority="94" operator="equal">
      <formula>0</formula>
    </cfRule>
  </conditionalFormatting>
  <conditionalFormatting sqref="BL48">
    <cfRule type="cellIs" dxfId="1469" priority="93" operator="equal">
      <formula>0</formula>
    </cfRule>
  </conditionalFormatting>
  <conditionalFormatting sqref="BL49">
    <cfRule type="cellIs" dxfId="1468" priority="92" operator="equal">
      <formula>0</formula>
    </cfRule>
  </conditionalFormatting>
  <conditionalFormatting sqref="BL50">
    <cfRule type="cellIs" dxfId="1467" priority="91" operator="equal">
      <formula>0</formula>
    </cfRule>
  </conditionalFormatting>
  <conditionalFormatting sqref="BL51">
    <cfRule type="cellIs" dxfId="1466" priority="90" operator="equal">
      <formula>0</formula>
    </cfRule>
  </conditionalFormatting>
  <conditionalFormatting sqref="BL52">
    <cfRule type="cellIs" dxfId="1465" priority="89" operator="equal">
      <formula>0</formula>
    </cfRule>
  </conditionalFormatting>
  <conditionalFormatting sqref="BL53">
    <cfRule type="cellIs" dxfId="1464" priority="88" operator="equal">
      <formula>0</formula>
    </cfRule>
  </conditionalFormatting>
  <conditionalFormatting sqref="BL54">
    <cfRule type="cellIs" dxfId="1463" priority="87" operator="equal">
      <formula>0</formula>
    </cfRule>
  </conditionalFormatting>
  <conditionalFormatting sqref="BL55">
    <cfRule type="cellIs" dxfId="1462" priority="86" operator="equal">
      <formula>0</formula>
    </cfRule>
  </conditionalFormatting>
  <conditionalFormatting sqref="BM4:BM37">
    <cfRule type="cellIs" dxfId="1461" priority="85" operator="equal">
      <formula>0</formula>
    </cfRule>
  </conditionalFormatting>
  <conditionalFormatting sqref="BM38">
    <cfRule type="cellIs" dxfId="1460" priority="84" operator="equal">
      <formula>0</formula>
    </cfRule>
  </conditionalFormatting>
  <conditionalFormatting sqref="BM39">
    <cfRule type="cellIs" dxfId="1459" priority="83" operator="equal">
      <formula>0</formula>
    </cfRule>
  </conditionalFormatting>
  <conditionalFormatting sqref="BM40">
    <cfRule type="cellIs" dxfId="1458" priority="82" operator="equal">
      <formula>0</formula>
    </cfRule>
  </conditionalFormatting>
  <conditionalFormatting sqref="BM41">
    <cfRule type="cellIs" dxfId="1457" priority="81" operator="equal">
      <formula>0</formula>
    </cfRule>
  </conditionalFormatting>
  <conditionalFormatting sqref="BM42">
    <cfRule type="cellIs" dxfId="1456" priority="80" operator="equal">
      <formula>0</formula>
    </cfRule>
  </conditionalFormatting>
  <conditionalFormatting sqref="BM43">
    <cfRule type="cellIs" dxfId="1455" priority="79" operator="equal">
      <formula>0</formula>
    </cfRule>
  </conditionalFormatting>
  <conditionalFormatting sqref="BM44">
    <cfRule type="cellIs" dxfId="1454" priority="78" operator="equal">
      <formula>0</formula>
    </cfRule>
  </conditionalFormatting>
  <conditionalFormatting sqref="BM45">
    <cfRule type="cellIs" dxfId="1453" priority="77" operator="equal">
      <formula>0</formula>
    </cfRule>
  </conditionalFormatting>
  <conditionalFormatting sqref="BM46">
    <cfRule type="cellIs" dxfId="1452" priority="76" operator="equal">
      <formula>0</formula>
    </cfRule>
  </conditionalFormatting>
  <conditionalFormatting sqref="BM47">
    <cfRule type="cellIs" dxfId="1451" priority="75" operator="equal">
      <formula>0</formula>
    </cfRule>
  </conditionalFormatting>
  <conditionalFormatting sqref="BM48">
    <cfRule type="cellIs" dxfId="1450" priority="74" operator="equal">
      <formula>0</formula>
    </cfRule>
  </conditionalFormatting>
  <conditionalFormatting sqref="BM49">
    <cfRule type="cellIs" dxfId="1449" priority="73" operator="equal">
      <formula>0</formula>
    </cfRule>
  </conditionalFormatting>
  <conditionalFormatting sqref="BM50">
    <cfRule type="cellIs" dxfId="1448" priority="72" operator="equal">
      <formula>0</formula>
    </cfRule>
  </conditionalFormatting>
  <conditionalFormatting sqref="BM51">
    <cfRule type="cellIs" dxfId="1447" priority="71" operator="equal">
      <formula>0</formula>
    </cfRule>
  </conditionalFormatting>
  <conditionalFormatting sqref="BM52">
    <cfRule type="cellIs" dxfId="1446" priority="70" operator="equal">
      <formula>0</formula>
    </cfRule>
  </conditionalFormatting>
  <conditionalFormatting sqref="BM53">
    <cfRule type="cellIs" dxfId="1445" priority="69" operator="equal">
      <formula>0</formula>
    </cfRule>
  </conditionalFormatting>
  <conditionalFormatting sqref="BM54">
    <cfRule type="cellIs" dxfId="1444" priority="68" operator="equal">
      <formula>0</formula>
    </cfRule>
  </conditionalFormatting>
  <conditionalFormatting sqref="BM55">
    <cfRule type="cellIs" dxfId="1443" priority="67" operator="equal">
      <formula>0</formula>
    </cfRule>
  </conditionalFormatting>
  <conditionalFormatting sqref="BN4:BN37">
    <cfRule type="cellIs" dxfId="1442" priority="66" operator="equal">
      <formula>0</formula>
    </cfRule>
  </conditionalFormatting>
  <conditionalFormatting sqref="BN38">
    <cfRule type="cellIs" dxfId="1441" priority="65" operator="equal">
      <formula>0</formula>
    </cfRule>
  </conditionalFormatting>
  <conditionalFormatting sqref="BN39">
    <cfRule type="cellIs" dxfId="1440" priority="64" operator="equal">
      <formula>0</formula>
    </cfRule>
  </conditionalFormatting>
  <conditionalFormatting sqref="BN40">
    <cfRule type="cellIs" dxfId="1439" priority="63" operator="equal">
      <formula>0</formula>
    </cfRule>
  </conditionalFormatting>
  <conditionalFormatting sqref="BN41">
    <cfRule type="cellIs" dxfId="1438" priority="62" operator="equal">
      <formula>0</formula>
    </cfRule>
  </conditionalFormatting>
  <conditionalFormatting sqref="BN42">
    <cfRule type="cellIs" dxfId="1437" priority="61" operator="equal">
      <formula>0</formula>
    </cfRule>
  </conditionalFormatting>
  <conditionalFormatting sqref="BN43">
    <cfRule type="cellIs" dxfId="1436" priority="60" operator="equal">
      <formula>0</formula>
    </cfRule>
  </conditionalFormatting>
  <conditionalFormatting sqref="BN44">
    <cfRule type="cellIs" dxfId="1435" priority="59" operator="equal">
      <formula>0</formula>
    </cfRule>
  </conditionalFormatting>
  <conditionalFormatting sqref="BN45">
    <cfRule type="cellIs" dxfId="1434" priority="58" operator="equal">
      <formula>0</formula>
    </cfRule>
  </conditionalFormatting>
  <conditionalFormatting sqref="BN46">
    <cfRule type="cellIs" dxfId="1433" priority="57" operator="equal">
      <formula>0</formula>
    </cfRule>
  </conditionalFormatting>
  <conditionalFormatting sqref="BN47">
    <cfRule type="cellIs" dxfId="1432" priority="56" operator="equal">
      <formula>0</formula>
    </cfRule>
  </conditionalFormatting>
  <conditionalFormatting sqref="BN48">
    <cfRule type="cellIs" dxfId="1431" priority="55" operator="equal">
      <formula>0</formula>
    </cfRule>
  </conditionalFormatting>
  <conditionalFormatting sqref="BN49">
    <cfRule type="cellIs" dxfId="1430" priority="54" operator="equal">
      <formula>0</formula>
    </cfRule>
  </conditionalFormatting>
  <conditionalFormatting sqref="BN50">
    <cfRule type="cellIs" dxfId="1429" priority="53" operator="equal">
      <formula>0</formula>
    </cfRule>
  </conditionalFormatting>
  <conditionalFormatting sqref="BN51">
    <cfRule type="cellIs" dxfId="1428" priority="52" operator="equal">
      <formula>0</formula>
    </cfRule>
  </conditionalFormatting>
  <conditionalFormatting sqref="BN52">
    <cfRule type="cellIs" dxfId="1427" priority="51" operator="equal">
      <formula>0</formula>
    </cfRule>
  </conditionalFormatting>
  <conditionalFormatting sqref="BN53">
    <cfRule type="cellIs" dxfId="1426" priority="50" operator="equal">
      <formula>0</formula>
    </cfRule>
  </conditionalFormatting>
  <conditionalFormatting sqref="BN54">
    <cfRule type="cellIs" dxfId="1425" priority="49" operator="equal">
      <formula>0</formula>
    </cfRule>
  </conditionalFormatting>
  <conditionalFormatting sqref="BN55">
    <cfRule type="cellIs" dxfId="1424" priority="48" operator="equal">
      <formula>0</formula>
    </cfRule>
  </conditionalFormatting>
  <conditionalFormatting sqref="BO4:CA37">
    <cfRule type="cellIs" dxfId="1423" priority="47" operator="equal">
      <formula>0</formula>
    </cfRule>
  </conditionalFormatting>
  <conditionalFormatting sqref="BO38:CA38">
    <cfRule type="cellIs" dxfId="1422" priority="46" operator="equal">
      <formula>0</formula>
    </cfRule>
  </conditionalFormatting>
  <conditionalFormatting sqref="BO39:CA39">
    <cfRule type="cellIs" dxfId="1421" priority="45" operator="equal">
      <formula>0</formula>
    </cfRule>
  </conditionalFormatting>
  <conditionalFormatting sqref="BO40:CA40">
    <cfRule type="cellIs" dxfId="1420" priority="44" operator="equal">
      <formula>0</formula>
    </cfRule>
  </conditionalFormatting>
  <conditionalFormatting sqref="BO41:CA41">
    <cfRule type="cellIs" dxfId="1419" priority="43" operator="equal">
      <formula>0</formula>
    </cfRule>
  </conditionalFormatting>
  <conditionalFormatting sqref="BO42:CA42">
    <cfRule type="cellIs" dxfId="1418" priority="42" operator="equal">
      <formula>0</formula>
    </cfRule>
  </conditionalFormatting>
  <conditionalFormatting sqref="BO43:CA43">
    <cfRule type="cellIs" dxfId="1417" priority="41" operator="equal">
      <formula>0</formula>
    </cfRule>
  </conditionalFormatting>
  <conditionalFormatting sqref="BO44:CA44">
    <cfRule type="cellIs" dxfId="1416" priority="40" operator="equal">
      <formula>0</formula>
    </cfRule>
  </conditionalFormatting>
  <conditionalFormatting sqref="BO45:CA45">
    <cfRule type="cellIs" dxfId="1415" priority="39" operator="equal">
      <formula>0</formula>
    </cfRule>
  </conditionalFormatting>
  <conditionalFormatting sqref="BO46:CA46">
    <cfRule type="cellIs" dxfId="1414" priority="38" operator="equal">
      <formula>0</formula>
    </cfRule>
  </conditionalFormatting>
  <conditionalFormatting sqref="BO47:CA47">
    <cfRule type="cellIs" dxfId="1413" priority="37" operator="equal">
      <formula>0</formula>
    </cfRule>
  </conditionalFormatting>
  <conditionalFormatting sqref="BO48:CA48">
    <cfRule type="cellIs" dxfId="1412" priority="36" operator="equal">
      <formula>0</formula>
    </cfRule>
  </conditionalFormatting>
  <conditionalFormatting sqref="BO49:CA49">
    <cfRule type="cellIs" dxfId="1411" priority="35" operator="equal">
      <formula>0</formula>
    </cfRule>
  </conditionalFormatting>
  <conditionalFormatting sqref="BO50:CA50">
    <cfRule type="cellIs" dxfId="1410" priority="34" operator="equal">
      <formula>0</formula>
    </cfRule>
  </conditionalFormatting>
  <conditionalFormatting sqref="BO51:CA51">
    <cfRule type="cellIs" dxfId="1409" priority="33" operator="equal">
      <formula>0</formula>
    </cfRule>
  </conditionalFormatting>
  <conditionalFormatting sqref="BO52:CA52">
    <cfRule type="cellIs" dxfId="1408" priority="32" operator="equal">
      <formula>0</formula>
    </cfRule>
  </conditionalFormatting>
  <conditionalFormatting sqref="BO53:CA53">
    <cfRule type="cellIs" dxfId="1407" priority="31" operator="equal">
      <formula>0</formula>
    </cfRule>
  </conditionalFormatting>
  <conditionalFormatting sqref="BO54:CA54">
    <cfRule type="cellIs" dxfId="1406" priority="30" operator="equal">
      <formula>0</formula>
    </cfRule>
  </conditionalFormatting>
  <conditionalFormatting sqref="BO55:CA55">
    <cfRule type="cellIs" dxfId="1405" priority="29" operator="equal">
      <formula>0</formula>
    </cfRule>
  </conditionalFormatting>
  <conditionalFormatting sqref="AD56:BI56 CB56:CC56">
    <cfRule type="cellIs" dxfId="1404" priority="28" operator="equal">
      <formula>0</formula>
    </cfRule>
  </conditionalFormatting>
  <conditionalFormatting sqref="BJ56">
    <cfRule type="cellIs" dxfId="1403" priority="27" operator="equal">
      <formula>0</formula>
    </cfRule>
  </conditionalFormatting>
  <conditionalFormatting sqref="BK56">
    <cfRule type="cellIs" dxfId="1402" priority="26" operator="equal">
      <formula>0</formula>
    </cfRule>
  </conditionalFormatting>
  <conditionalFormatting sqref="BL56">
    <cfRule type="cellIs" dxfId="1401" priority="25" operator="equal">
      <formula>0</formula>
    </cfRule>
  </conditionalFormatting>
  <conditionalFormatting sqref="BM56">
    <cfRule type="cellIs" dxfId="1400" priority="24" operator="equal">
      <formula>0</formula>
    </cfRule>
  </conditionalFormatting>
  <conditionalFormatting sqref="BN56">
    <cfRule type="cellIs" dxfId="1399" priority="23" operator="equal">
      <formula>0</formula>
    </cfRule>
  </conditionalFormatting>
  <conditionalFormatting sqref="BO56:CA56">
    <cfRule type="cellIs" dxfId="1398" priority="22" operator="equal">
      <formula>0</formula>
    </cfRule>
  </conditionalFormatting>
  <conditionalFormatting sqref="AD57:BI57 CB57:CC57">
    <cfRule type="cellIs" dxfId="1397" priority="21" operator="equal">
      <formula>0</formula>
    </cfRule>
  </conditionalFormatting>
  <conditionalFormatting sqref="BJ57">
    <cfRule type="cellIs" dxfId="1396" priority="20" operator="equal">
      <formula>0</formula>
    </cfRule>
  </conditionalFormatting>
  <conditionalFormatting sqref="BK57">
    <cfRule type="cellIs" dxfId="1395" priority="19" operator="equal">
      <formula>0</formula>
    </cfRule>
  </conditionalFormatting>
  <conditionalFormatting sqref="BL57">
    <cfRule type="cellIs" dxfId="1394" priority="18" operator="equal">
      <formula>0</formula>
    </cfRule>
  </conditionalFormatting>
  <conditionalFormatting sqref="BM57">
    <cfRule type="cellIs" dxfId="1393" priority="17" operator="equal">
      <formula>0</formula>
    </cfRule>
  </conditionalFormatting>
  <conditionalFormatting sqref="BN57">
    <cfRule type="cellIs" dxfId="1392" priority="16" operator="equal">
      <formula>0</formula>
    </cfRule>
  </conditionalFormatting>
  <conditionalFormatting sqref="BO57:CA57">
    <cfRule type="cellIs" dxfId="1391" priority="15" operator="equal">
      <formula>0</formula>
    </cfRule>
  </conditionalFormatting>
  <conditionalFormatting sqref="AD58:BI58 CB58:CC58">
    <cfRule type="cellIs" dxfId="1390" priority="14" operator="equal">
      <formula>0</formula>
    </cfRule>
  </conditionalFormatting>
  <conditionalFormatting sqref="BJ58">
    <cfRule type="cellIs" dxfId="1389" priority="13" operator="equal">
      <formula>0</formula>
    </cfRule>
  </conditionalFormatting>
  <conditionalFormatting sqref="BK58">
    <cfRule type="cellIs" dxfId="1388" priority="12" operator="equal">
      <formula>0</formula>
    </cfRule>
  </conditionalFormatting>
  <conditionalFormatting sqref="BL58">
    <cfRule type="cellIs" dxfId="1387" priority="11" operator="equal">
      <formula>0</formula>
    </cfRule>
  </conditionalFormatting>
  <conditionalFormatting sqref="BM58">
    <cfRule type="cellIs" dxfId="1386" priority="10" operator="equal">
      <formula>0</formula>
    </cfRule>
  </conditionalFormatting>
  <conditionalFormatting sqref="BN58">
    <cfRule type="cellIs" dxfId="1385" priority="9" operator="equal">
      <formula>0</formula>
    </cfRule>
  </conditionalFormatting>
  <conditionalFormatting sqref="BO58:CA58">
    <cfRule type="cellIs" dxfId="1384" priority="8" operator="equal">
      <formula>0</formula>
    </cfRule>
  </conditionalFormatting>
  <conditionalFormatting sqref="AD59:BI59 CB59:CC59">
    <cfRule type="cellIs" dxfId="1383" priority="7" operator="equal">
      <formula>0</formula>
    </cfRule>
  </conditionalFormatting>
  <conditionalFormatting sqref="BJ59">
    <cfRule type="cellIs" dxfId="1382" priority="6" operator="equal">
      <formula>0</formula>
    </cfRule>
  </conditionalFormatting>
  <conditionalFormatting sqref="BK59">
    <cfRule type="cellIs" dxfId="1381" priority="5" operator="equal">
      <formula>0</formula>
    </cfRule>
  </conditionalFormatting>
  <conditionalFormatting sqref="BL59">
    <cfRule type="cellIs" dxfId="1380" priority="4" operator="equal">
      <formula>0</formula>
    </cfRule>
  </conditionalFormatting>
  <conditionalFormatting sqref="BM59">
    <cfRule type="cellIs" dxfId="1379" priority="3" operator="equal">
      <formula>0</formula>
    </cfRule>
  </conditionalFormatting>
  <conditionalFormatting sqref="BN59">
    <cfRule type="cellIs" dxfId="1378" priority="2" operator="equal">
      <formula>0</formula>
    </cfRule>
  </conditionalFormatting>
  <conditionalFormatting sqref="BO59:CA59">
    <cfRule type="cellIs" dxfId="1377" priority="1" operator="equal">
      <formula>0</formula>
    </cfRule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BH119"/>
  <sheetViews>
    <sheetView showGridLines="0" workbookViewId="0">
      <selection activeCell="G18" sqref="G18"/>
    </sheetView>
  </sheetViews>
  <sheetFormatPr defaultRowHeight="15" x14ac:dyDescent="0.25"/>
  <cols>
    <col min="2" max="2" width="19" style="186" customWidth="1"/>
    <col min="3" max="3" width="10.5703125" style="186" customWidth="1"/>
  </cols>
  <sheetData>
    <row r="1" spans="1:60" ht="15.75" customHeight="1" thickBot="1" x14ac:dyDescent="0.3"/>
    <row r="2" spans="1:60" ht="15.75" customHeight="1" thickBot="1" x14ac:dyDescent="0.3">
      <c r="A2" s="189"/>
      <c r="B2" s="152" t="s">
        <v>397</v>
      </c>
      <c r="C2" s="480">
        <f>EDATE(baseData, 1)</f>
        <v>44166</v>
      </c>
      <c r="D2" s="157">
        <v>1</v>
      </c>
      <c r="G2" s="610" t="s">
        <v>398</v>
      </c>
      <c r="H2" s="611"/>
      <c r="I2" s="612"/>
    </row>
    <row r="3" spans="1:60" ht="15.75" customHeight="1" thickBot="1" x14ac:dyDescent="0.3">
      <c r="A3" t="s">
        <v>399</v>
      </c>
      <c r="B3" s="212" t="s">
        <v>400</v>
      </c>
      <c r="C3" s="481">
        <f>lçto</f>
        <v>43983</v>
      </c>
      <c r="D3" s="213">
        <v>1</v>
      </c>
    </row>
    <row r="4" spans="1:60" ht="15.75" customHeight="1" thickBot="1" x14ac:dyDescent="0.3">
      <c r="A4" t="s">
        <v>401</v>
      </c>
      <c r="B4" s="212" t="s">
        <v>253</v>
      </c>
      <c r="C4" s="481">
        <f>inicioObra</f>
        <v>44166</v>
      </c>
      <c r="D4" s="213">
        <f>DATEDIF($C$2, C4, "m")+1</f>
        <v>1</v>
      </c>
      <c r="G4" s="146" t="s">
        <v>402</v>
      </c>
      <c r="H4" s="147"/>
      <c r="I4" s="190">
        <f>IFERROR(INDEX(Curvas!$E:$E, MATCH('Fluxos de Recebimento'!I$5, Curvas!$B:$B, 0)), 0)</f>
        <v>2.298850574712644E-2</v>
      </c>
      <c r="J4" s="190">
        <f>IFERROR(INDEX(Curvas!$E:$E, MATCH('Fluxos de Recebimento'!J$5, Curvas!$B:$B, 0)), 0)</f>
        <v>2.298850574712644E-2</v>
      </c>
      <c r="K4" s="190">
        <f>IFERROR(INDEX(Curvas!$E:$E, MATCH('Fluxos de Recebimento'!K$5, Curvas!$B:$B, 0)), 0)</f>
        <v>2.298850574712644E-2</v>
      </c>
      <c r="L4" s="190">
        <f>IFERROR(INDEX(Curvas!$E:$E, MATCH('Fluxos de Recebimento'!L$5, Curvas!$B:$B, 0)), 0)</f>
        <v>2.298850574712644E-2</v>
      </c>
      <c r="M4" s="190">
        <f>IFERROR(INDEX(Curvas!$E:$E, MATCH('Fluxos de Recebimento'!M$5, Curvas!$B:$B, 0)), 0)</f>
        <v>2.298850574712644E-2</v>
      </c>
      <c r="N4" s="190">
        <f>IFERROR(INDEX(Curvas!$E:$E, MATCH('Fluxos de Recebimento'!N$5, Curvas!$B:$B, 0)), 0)</f>
        <v>2.298850574712644E-2</v>
      </c>
      <c r="O4" s="190">
        <f>IFERROR(INDEX(Curvas!$E:$E, MATCH('Fluxos de Recebimento'!O$5, Curvas!$B:$B, 0)), 0)</f>
        <v>2.298850574712644E-2</v>
      </c>
      <c r="P4" s="190">
        <f>IFERROR(INDEX(Curvas!$E:$E, MATCH('Fluxos de Recebimento'!P$5, Curvas!$B:$B, 0)), 0)</f>
        <v>2.298850574712644E-2</v>
      </c>
      <c r="Q4" s="190">
        <f>IFERROR(INDEX(Curvas!$E:$E, MATCH('Fluxos de Recebimento'!Q$5, Curvas!$B:$B, 0)), 0)</f>
        <v>2.298850574712644E-2</v>
      </c>
      <c r="R4" s="190">
        <f>IFERROR(INDEX(Curvas!$E:$E, MATCH('Fluxos de Recebimento'!R$5, Curvas!$B:$B, 0)), 0)</f>
        <v>2.298850574712644E-2</v>
      </c>
      <c r="S4" s="190">
        <f>IFERROR(INDEX(Curvas!$E:$E, MATCH('Fluxos de Recebimento'!S$5, Curvas!$B:$B, 0)), 0)</f>
        <v>2.298850574712644E-2</v>
      </c>
      <c r="T4" s="190">
        <f>IFERROR(INDEX(Curvas!$E:$E, MATCH('Fluxos de Recebimento'!T$5, Curvas!$B:$B, 0)), 0)</f>
        <v>2.298850574712644E-2</v>
      </c>
      <c r="U4" s="190">
        <f>IFERROR(INDEX(Curvas!$E:$E, MATCH('Fluxos de Recebimento'!U$5, Curvas!$B:$B, 0)), 0)</f>
        <v>2.298850574712644E-2</v>
      </c>
      <c r="V4" s="190">
        <f>IFERROR(INDEX(Curvas!$E:$E, MATCH('Fluxos de Recebimento'!V$5, Curvas!$B:$B, 0)), 0)</f>
        <v>2.298850574712644E-2</v>
      </c>
      <c r="W4" s="190">
        <f>IFERROR(INDEX(Curvas!$E:$E, MATCH('Fluxos de Recebimento'!W$5, Curvas!$B:$B, 0)), 0)</f>
        <v>2.298850574712644E-2</v>
      </c>
      <c r="X4" s="190">
        <f>IFERROR(INDEX(Curvas!$E:$E, MATCH('Fluxos de Recebimento'!X$5, Curvas!$B:$B, 0)), 0)</f>
        <v>2.298850574712644E-2</v>
      </c>
      <c r="Y4" s="190">
        <f>IFERROR(INDEX(Curvas!$E:$E, MATCH('Fluxos de Recebimento'!Y$5, Curvas!$B:$B, 0)), 0)</f>
        <v>2.298850574712644E-2</v>
      </c>
      <c r="Z4" s="190">
        <f>IFERROR(INDEX(Curvas!$E:$E, MATCH('Fluxos de Recebimento'!Z$5, Curvas!$B:$B, 0)), 0)</f>
        <v>2.298850574712644E-2</v>
      </c>
      <c r="AA4" s="190">
        <f>IFERROR(INDEX(Curvas!$E:$E, MATCH('Fluxos de Recebimento'!AA$5, Curvas!$B:$B, 0)), 0)</f>
        <v>2.298850574712644E-2</v>
      </c>
      <c r="AB4" s="190">
        <f>IFERROR(INDEX(Curvas!$E:$E, MATCH('Fluxos de Recebimento'!AB$5, Curvas!$B:$B, 0)), 0)</f>
        <v>2.298850574712644E-2</v>
      </c>
      <c r="AC4" s="190">
        <f>IFERROR(INDEX(Curvas!$E:$E, MATCH('Fluxos de Recebimento'!AC$5, Curvas!$B:$B, 0)), 0)</f>
        <v>2.298850574712644E-2</v>
      </c>
      <c r="AD4" s="190">
        <f>IFERROR(INDEX(Curvas!$E:$E, MATCH('Fluxos de Recebimento'!AD$5, Curvas!$B:$B, 0)), 0)</f>
        <v>2.298850574712644E-2</v>
      </c>
      <c r="AE4" s="190">
        <f>IFERROR(INDEX(Curvas!$E:$E, MATCH('Fluxos de Recebimento'!AE$5, Curvas!$B:$B, 0)), 0)</f>
        <v>2.298850574712644E-2</v>
      </c>
      <c r="AF4" s="190">
        <f>IFERROR(INDEX(Curvas!$E:$E, MATCH('Fluxos de Recebimento'!AF$5, Curvas!$B:$B, 0)), 0)</f>
        <v>2.298850574712644E-2</v>
      </c>
      <c r="AG4" s="190">
        <f>IFERROR(INDEX(Curvas!$E:$E, MATCH('Fluxos de Recebimento'!AG$5, Curvas!$B:$B, 0)), 0)</f>
        <v>2.298850574712644E-2</v>
      </c>
      <c r="AH4" s="190">
        <f>IFERROR(INDEX(Curvas!$E:$E, MATCH('Fluxos de Recebimento'!AH$5, Curvas!$B:$B, 0)), 0)</f>
        <v>2.298850574712644E-2</v>
      </c>
      <c r="AI4" s="190">
        <f>IFERROR(INDEX(Curvas!$E:$E, MATCH('Fluxos de Recebimento'!AI$5, Curvas!$B:$B, 0)), 0)</f>
        <v>2.298850574712644E-2</v>
      </c>
      <c r="AJ4" s="190">
        <f>IFERROR(INDEX(Curvas!$E:$E, MATCH('Fluxos de Recebimento'!AJ$5, Curvas!$B:$B, 0)), 0)</f>
        <v>2.298850574712644E-2</v>
      </c>
      <c r="AK4" s="190">
        <f>IFERROR(INDEX(Curvas!$E:$E, MATCH('Fluxos de Recebimento'!AK$5, Curvas!$B:$B, 0)), 0)</f>
        <v>2.298850574712644E-2</v>
      </c>
      <c r="AL4" s="190">
        <f>IFERROR(INDEX(Curvas!$E:$E, MATCH('Fluxos de Recebimento'!AL$5, Curvas!$B:$B, 0)), 0)</f>
        <v>4.1666666666666671E-2</v>
      </c>
      <c r="AM4" s="190">
        <f>IFERROR(INDEX(Curvas!$E:$E, MATCH('Fluxos de Recebimento'!AM$5, Curvas!$B:$B, 0)), 0)</f>
        <v>4.1666666666666671E-2</v>
      </c>
      <c r="AN4" s="190">
        <f>IFERROR(INDEX(Curvas!$E:$E, MATCH('Fluxos de Recebimento'!AN$5, Curvas!$B:$B, 0)), 0)</f>
        <v>4.1666666666666671E-2</v>
      </c>
      <c r="AO4" s="190">
        <f>IFERROR(INDEX(Curvas!$E:$E, MATCH('Fluxos de Recebimento'!AO$5, Curvas!$B:$B, 0)), 0)</f>
        <v>4.1666666666666671E-2</v>
      </c>
      <c r="AP4" s="190">
        <f>IFERROR(INDEX(Curvas!$E:$E, MATCH('Fluxos de Recebimento'!AP$5, Curvas!$B:$B, 0)), 0)</f>
        <v>4.1666666666666671E-2</v>
      </c>
      <c r="AQ4" s="190">
        <f>IFERROR(INDEX(Curvas!$E:$E, MATCH('Fluxos de Recebimento'!AQ$5, Curvas!$B:$B, 0)), 0)</f>
        <v>4.1666666666666671E-2</v>
      </c>
      <c r="AR4" s="190">
        <f>IFERROR(INDEX(Curvas!$E:$E, MATCH('Fluxos de Recebimento'!AR$5, Curvas!$B:$B, 0)), 0)</f>
        <v>4.1666666666666671E-2</v>
      </c>
      <c r="AS4" s="190">
        <f>IFERROR(INDEX(Curvas!$E:$E, MATCH('Fluxos de Recebimento'!AS$5, Curvas!$B:$B, 0)), 0)</f>
        <v>4.1666666666666671E-2</v>
      </c>
      <c r="AT4" s="190">
        <f>IFERROR(INDEX(Curvas!$E:$E, MATCH('Fluxos de Recebimento'!AT$5, Curvas!$B:$B, 0)), 0)</f>
        <v>0</v>
      </c>
      <c r="AU4" s="190">
        <f>IFERROR(INDEX(Curvas!$E:$E, MATCH('Fluxos de Recebimento'!AU$5, Curvas!$B:$B, 0)), 0)</f>
        <v>0</v>
      </c>
      <c r="AV4" s="190">
        <f>IFERROR(INDEX(Curvas!$E:$E, MATCH('Fluxos de Recebimento'!AV$5, Curvas!$B:$B, 0)), 0)</f>
        <v>0</v>
      </c>
      <c r="AW4" s="190">
        <f>IFERROR(INDEX(Curvas!$E:$E, MATCH('Fluxos de Recebimento'!AW$5, Curvas!$B:$B, 0)), 0)</f>
        <v>0</v>
      </c>
      <c r="AX4" s="190">
        <f>IFERROR(INDEX(Curvas!$E:$E, MATCH('Fluxos de Recebimento'!AX$5, Curvas!$B:$B, 0)), 0)</f>
        <v>0</v>
      </c>
      <c r="AY4" s="190">
        <f>IFERROR(INDEX(Curvas!$E:$E, MATCH('Fluxos de Recebimento'!AY$5, Curvas!$B:$B, 0)), 0)</f>
        <v>0</v>
      </c>
      <c r="AZ4" s="190">
        <f>IFERROR(INDEX(Curvas!$E:$E, MATCH('Fluxos de Recebimento'!AZ$5, Curvas!$B:$B, 0)), 0)</f>
        <v>0</v>
      </c>
      <c r="BA4" s="190">
        <f>IFERROR(INDEX(Curvas!$E:$E, MATCH('Fluxos de Recebimento'!BA$5, Curvas!$B:$B, 0)), 0)</f>
        <v>0</v>
      </c>
      <c r="BB4" s="190">
        <f>IFERROR(INDEX(Curvas!$E:$E, MATCH('Fluxos de Recebimento'!BB$5, Curvas!$B:$B, 0)), 0)</f>
        <v>0</v>
      </c>
      <c r="BC4" s="190">
        <f>IFERROR(INDEX(Curvas!$E:$E, MATCH('Fluxos de Recebimento'!BC$5, Curvas!$B:$B, 0)), 0)</f>
        <v>0</v>
      </c>
      <c r="BD4" s="190">
        <f>IFERROR(INDEX(Curvas!$E:$E, MATCH('Fluxos de Recebimento'!BD$5, Curvas!$B:$B, 0)), 0)</f>
        <v>0</v>
      </c>
      <c r="BE4" s="190">
        <f>IFERROR(INDEX(Curvas!$E:$E, MATCH('Fluxos de Recebimento'!BE$5, Curvas!$B:$B, 0)), 0)</f>
        <v>0</v>
      </c>
      <c r="BF4" s="190">
        <f>IFERROR(INDEX(Curvas!$E:$E, MATCH('Fluxos de Recebimento'!BF$5, Curvas!$B:$B, 0)), 0)</f>
        <v>0</v>
      </c>
      <c r="BG4" s="190">
        <f>IFERROR(INDEX(Curvas!$E:$E, MATCH('Fluxos de Recebimento'!BG$5, Curvas!$B:$B, 0)), 0)</f>
        <v>0</v>
      </c>
      <c r="BH4" s="191">
        <f>IFERROR(INDEX(Curvas!$E:$E, MATCH('Fluxos de Recebimento'!BH$5, Curvas!$B:$B, 0)), 0)</f>
        <v>0</v>
      </c>
    </row>
    <row r="5" spans="1:60" x14ac:dyDescent="0.25">
      <c r="A5" t="s">
        <v>403</v>
      </c>
      <c r="B5" s="212" t="s">
        <v>404</v>
      </c>
      <c r="C5" s="481">
        <f>entrega</f>
        <v>45017</v>
      </c>
      <c r="D5" s="213">
        <f>DATEDIF($C$2, C5, "m")+1</f>
        <v>29</v>
      </c>
      <c r="F5" s="188" t="s">
        <v>291</v>
      </c>
      <c r="G5" s="148"/>
      <c r="H5" s="148"/>
      <c r="I5" s="482">
        <f>EDATE(baseData, 1)</f>
        <v>44166</v>
      </c>
      <c r="J5" s="482">
        <f t="shared" ref="J5:AO5" si="0">EDATE(I5, 1)</f>
        <v>44197</v>
      </c>
      <c r="K5" s="482">
        <f t="shared" si="0"/>
        <v>44228</v>
      </c>
      <c r="L5" s="482">
        <f t="shared" si="0"/>
        <v>44256</v>
      </c>
      <c r="M5" s="482">
        <f t="shared" si="0"/>
        <v>44287</v>
      </c>
      <c r="N5" s="482">
        <f t="shared" si="0"/>
        <v>44317</v>
      </c>
      <c r="O5" s="482">
        <f t="shared" si="0"/>
        <v>44348</v>
      </c>
      <c r="P5" s="482">
        <f t="shared" si="0"/>
        <v>44378</v>
      </c>
      <c r="Q5" s="482">
        <f t="shared" si="0"/>
        <v>44409</v>
      </c>
      <c r="R5" s="482">
        <f t="shared" si="0"/>
        <v>44440</v>
      </c>
      <c r="S5" s="482">
        <f t="shared" si="0"/>
        <v>44470</v>
      </c>
      <c r="T5" s="482">
        <f t="shared" si="0"/>
        <v>44501</v>
      </c>
      <c r="U5" s="482">
        <f t="shared" si="0"/>
        <v>44531</v>
      </c>
      <c r="V5" s="482">
        <f t="shared" si="0"/>
        <v>44562</v>
      </c>
      <c r="W5" s="482">
        <f t="shared" si="0"/>
        <v>44593</v>
      </c>
      <c r="X5" s="482">
        <f t="shared" si="0"/>
        <v>44621</v>
      </c>
      <c r="Y5" s="482">
        <f t="shared" si="0"/>
        <v>44652</v>
      </c>
      <c r="Z5" s="482">
        <f t="shared" si="0"/>
        <v>44682</v>
      </c>
      <c r="AA5" s="482">
        <f t="shared" si="0"/>
        <v>44713</v>
      </c>
      <c r="AB5" s="482">
        <f t="shared" si="0"/>
        <v>44743</v>
      </c>
      <c r="AC5" s="482">
        <f t="shared" si="0"/>
        <v>44774</v>
      </c>
      <c r="AD5" s="482">
        <f t="shared" si="0"/>
        <v>44805</v>
      </c>
      <c r="AE5" s="482">
        <f t="shared" si="0"/>
        <v>44835</v>
      </c>
      <c r="AF5" s="482">
        <f t="shared" si="0"/>
        <v>44866</v>
      </c>
      <c r="AG5" s="482">
        <f t="shared" si="0"/>
        <v>44896</v>
      </c>
      <c r="AH5" s="482">
        <f t="shared" si="0"/>
        <v>44927</v>
      </c>
      <c r="AI5" s="482">
        <f t="shared" si="0"/>
        <v>44958</v>
      </c>
      <c r="AJ5" s="482">
        <f t="shared" si="0"/>
        <v>44986</v>
      </c>
      <c r="AK5" s="482">
        <f t="shared" si="0"/>
        <v>45017</v>
      </c>
      <c r="AL5" s="482">
        <f t="shared" si="0"/>
        <v>45047</v>
      </c>
      <c r="AM5" s="482">
        <f t="shared" si="0"/>
        <v>45078</v>
      </c>
      <c r="AN5" s="482">
        <f t="shared" si="0"/>
        <v>45108</v>
      </c>
      <c r="AO5" s="482">
        <f t="shared" si="0"/>
        <v>45139</v>
      </c>
      <c r="AP5" s="482">
        <f t="shared" ref="AP5:BH5" si="1">EDATE(AO5, 1)</f>
        <v>45170</v>
      </c>
      <c r="AQ5" s="482">
        <f t="shared" si="1"/>
        <v>45200</v>
      </c>
      <c r="AR5" s="482">
        <f t="shared" si="1"/>
        <v>45231</v>
      </c>
      <c r="AS5" s="482">
        <f t="shared" si="1"/>
        <v>45261</v>
      </c>
      <c r="AT5" s="482">
        <f t="shared" si="1"/>
        <v>45292</v>
      </c>
      <c r="AU5" s="482">
        <f t="shared" si="1"/>
        <v>45323</v>
      </c>
      <c r="AV5" s="482">
        <f t="shared" si="1"/>
        <v>45352</v>
      </c>
      <c r="AW5" s="482">
        <f t="shared" si="1"/>
        <v>45383</v>
      </c>
      <c r="AX5" s="482">
        <f t="shared" si="1"/>
        <v>45413</v>
      </c>
      <c r="AY5" s="482">
        <f t="shared" si="1"/>
        <v>45444</v>
      </c>
      <c r="AZ5" s="482">
        <f t="shared" si="1"/>
        <v>45474</v>
      </c>
      <c r="BA5" s="482">
        <f t="shared" si="1"/>
        <v>45505</v>
      </c>
      <c r="BB5" s="482">
        <f t="shared" si="1"/>
        <v>45536</v>
      </c>
      <c r="BC5" s="482">
        <f t="shared" si="1"/>
        <v>45566</v>
      </c>
      <c r="BD5" s="482">
        <f t="shared" si="1"/>
        <v>45597</v>
      </c>
      <c r="BE5" s="482">
        <f t="shared" si="1"/>
        <v>45627</v>
      </c>
      <c r="BF5" s="482">
        <f t="shared" si="1"/>
        <v>45658</v>
      </c>
      <c r="BG5" s="482">
        <f t="shared" si="1"/>
        <v>45689</v>
      </c>
      <c r="BH5" s="483">
        <f t="shared" si="1"/>
        <v>45717</v>
      </c>
    </row>
    <row r="6" spans="1:60" ht="15.75" customHeight="1" thickBot="1" x14ac:dyDescent="0.3">
      <c r="A6" t="s">
        <v>405</v>
      </c>
      <c r="B6" s="153" t="s">
        <v>69</v>
      </c>
      <c r="C6" s="484">
        <f>terminoProjeto</f>
        <v>45383</v>
      </c>
      <c r="D6" s="158">
        <f>DATEDIF($C$2, C6, "m")+1</f>
        <v>41</v>
      </c>
      <c r="F6" s="150"/>
      <c r="G6" s="150" t="s">
        <v>388</v>
      </c>
      <c r="I6" s="312">
        <v>1</v>
      </c>
      <c r="J6" s="312">
        <v>2</v>
      </c>
      <c r="K6" s="312">
        <v>3</v>
      </c>
      <c r="L6" s="312">
        <v>4</v>
      </c>
      <c r="M6" s="312">
        <v>5</v>
      </c>
      <c r="N6" s="312">
        <v>6</v>
      </c>
      <c r="O6" s="312">
        <v>7</v>
      </c>
      <c r="P6" s="312">
        <v>8</v>
      </c>
      <c r="Q6" s="312">
        <v>9</v>
      </c>
      <c r="R6" s="312">
        <v>10</v>
      </c>
      <c r="S6" s="312">
        <v>11</v>
      </c>
      <c r="T6" s="312">
        <v>12</v>
      </c>
      <c r="U6" s="312">
        <v>13</v>
      </c>
      <c r="V6" s="312">
        <v>14</v>
      </c>
      <c r="W6" s="312">
        <v>15</v>
      </c>
      <c r="X6" s="312">
        <v>16</v>
      </c>
      <c r="Y6" s="312">
        <v>17</v>
      </c>
      <c r="Z6" s="312">
        <v>18</v>
      </c>
      <c r="AA6" s="312">
        <v>19</v>
      </c>
      <c r="AB6" s="312">
        <v>20</v>
      </c>
      <c r="AC6" s="312">
        <v>21</v>
      </c>
      <c r="AD6" s="312">
        <v>22</v>
      </c>
      <c r="AE6" s="312">
        <v>23</v>
      </c>
      <c r="AF6" s="312">
        <v>24</v>
      </c>
      <c r="AG6" s="312">
        <v>25</v>
      </c>
      <c r="AH6" s="312">
        <v>26</v>
      </c>
      <c r="AI6" s="312">
        <v>27</v>
      </c>
      <c r="AJ6" s="312">
        <v>28</v>
      </c>
      <c r="AK6" s="312">
        <v>29</v>
      </c>
      <c r="AL6" s="312">
        <v>30</v>
      </c>
      <c r="AM6" s="312">
        <v>31</v>
      </c>
      <c r="AN6" s="312">
        <v>32</v>
      </c>
      <c r="AO6" s="312">
        <v>33</v>
      </c>
      <c r="AP6" s="312">
        <v>34</v>
      </c>
      <c r="AQ6" s="312">
        <v>35</v>
      </c>
      <c r="AR6" s="312">
        <v>36</v>
      </c>
      <c r="AS6" s="312">
        <v>37</v>
      </c>
      <c r="AT6" s="312">
        <v>38</v>
      </c>
      <c r="AU6" s="312">
        <v>39</v>
      </c>
      <c r="AV6" s="312">
        <v>40</v>
      </c>
      <c r="AW6" s="312">
        <v>41</v>
      </c>
      <c r="AX6" s="312">
        <v>42</v>
      </c>
      <c r="AY6" s="312">
        <v>43</v>
      </c>
      <c r="AZ6" s="312">
        <v>44</v>
      </c>
      <c r="BA6" s="312">
        <v>45</v>
      </c>
      <c r="BB6" s="312">
        <v>46</v>
      </c>
      <c r="BC6" s="312">
        <v>47</v>
      </c>
      <c r="BD6" s="312">
        <v>48</v>
      </c>
      <c r="BE6" s="312">
        <v>49</v>
      </c>
      <c r="BF6" s="312">
        <v>50</v>
      </c>
      <c r="BG6" s="312">
        <v>51</v>
      </c>
      <c r="BH6" s="151">
        <v>52</v>
      </c>
    </row>
    <row r="7" spans="1:60" x14ac:dyDescent="0.25">
      <c r="F7" s="485">
        <f>EDATE(baseData, 1)</f>
        <v>44166</v>
      </c>
      <c r="G7" s="312">
        <v>1</v>
      </c>
      <c r="H7">
        <f t="shared" ref="H7:H38" si="2">IFERROR(INDEX($A$2:$A$6, MATCH(G7, $D$2:$D$6, 0)), "")</f>
        <v>0</v>
      </c>
      <c r="I7" s="486">
        <f t="shared" ref="I7:R16" si="3">IF(AND($F7=I$5, $F7&lt;=entrega, $F7&gt;=lçto),atoPreCh,0)+IF(AND($F7&gt;I$5,$F7&lt;=entrega, I$5&gt;=lçto),mensaisPreCh/DATEDIF(I$5, entrega, "m"),IF(AND($F7=entrega, I$5=entrega), mensaisPreCh, 0))+IF(AND($F7&gt;=EDATE(entrega, chRepasse+1), $F7&lt;=EDATE(entrega, chRepasse+periodoRepassePreChaves), I$5&lt;=entrega, I$5&gt;=lçto), repassePreCh/periodoRepassePreChaves, 0)</f>
        <v>0.05</v>
      </c>
      <c r="J7" s="486">
        <f t="shared" si="3"/>
        <v>0</v>
      </c>
      <c r="K7" s="486">
        <f t="shared" si="3"/>
        <v>0</v>
      </c>
      <c r="L7" s="486">
        <f t="shared" si="3"/>
        <v>0</v>
      </c>
      <c r="M7" s="486">
        <f t="shared" si="3"/>
        <v>0</v>
      </c>
      <c r="N7" s="486">
        <f t="shared" si="3"/>
        <v>0</v>
      </c>
      <c r="O7" s="486">
        <f t="shared" si="3"/>
        <v>0</v>
      </c>
      <c r="P7" s="486">
        <f t="shared" si="3"/>
        <v>0</v>
      </c>
      <c r="Q7" s="486">
        <f t="shared" si="3"/>
        <v>0</v>
      </c>
      <c r="R7" s="486">
        <f t="shared" si="3"/>
        <v>0</v>
      </c>
      <c r="S7" s="486">
        <f t="shared" ref="S7:AB16" si="4">IF(AND($F7=S$5, $F7&lt;=entrega, $F7&gt;=lçto),atoPreCh,0)+IF(AND($F7&gt;S$5,$F7&lt;=entrega, S$5&gt;=lçto),mensaisPreCh/DATEDIF(S$5, entrega, "m"),IF(AND($F7=entrega, S$5=entrega), mensaisPreCh, 0))+IF(AND($F7&gt;=EDATE(entrega, chRepasse+1), $F7&lt;=EDATE(entrega, chRepasse+periodoRepassePreChaves), S$5&lt;=entrega, S$5&gt;=lçto), repassePreCh/periodoRepassePreChaves, 0)</f>
        <v>0</v>
      </c>
      <c r="T7" s="486">
        <f t="shared" si="4"/>
        <v>0</v>
      </c>
      <c r="U7" s="486">
        <f t="shared" si="4"/>
        <v>0</v>
      </c>
      <c r="V7" s="486">
        <f t="shared" si="4"/>
        <v>0</v>
      </c>
      <c r="W7" s="486">
        <f t="shared" si="4"/>
        <v>0</v>
      </c>
      <c r="X7" s="486">
        <f t="shared" si="4"/>
        <v>0</v>
      </c>
      <c r="Y7" s="486">
        <f t="shared" si="4"/>
        <v>0</v>
      </c>
      <c r="Z7" s="486">
        <f t="shared" si="4"/>
        <v>0</v>
      </c>
      <c r="AA7" s="486">
        <f t="shared" si="4"/>
        <v>0</v>
      </c>
      <c r="AB7" s="486">
        <f t="shared" si="4"/>
        <v>0</v>
      </c>
      <c r="AC7" s="486">
        <f t="shared" ref="AC7:AL16" si="5">IF(AND($F7=AC$5, $F7&lt;=entrega, $F7&gt;=lçto),atoPreCh,0)+IF(AND($F7&gt;AC$5,$F7&lt;=entrega, AC$5&gt;=lçto),mensaisPreCh/DATEDIF(AC$5, entrega, "m"),IF(AND($F7=entrega, AC$5=entrega), mensaisPreCh, 0))+IF(AND($F7&gt;=EDATE(entrega, chRepasse+1), $F7&lt;=EDATE(entrega, chRepasse+periodoRepassePreChaves), AC$5&lt;=entrega, AC$5&gt;=lçto), repassePreCh/periodoRepassePreChaves, 0)</f>
        <v>0</v>
      </c>
      <c r="AD7" s="486">
        <f t="shared" si="5"/>
        <v>0</v>
      </c>
      <c r="AE7" s="486">
        <f t="shared" si="5"/>
        <v>0</v>
      </c>
      <c r="AF7" s="486">
        <f t="shared" si="5"/>
        <v>0</v>
      </c>
      <c r="AG7" s="486">
        <f t="shared" si="5"/>
        <v>0</v>
      </c>
      <c r="AH7" s="486">
        <f t="shared" si="5"/>
        <v>0</v>
      </c>
      <c r="AI7" s="486">
        <f t="shared" si="5"/>
        <v>0</v>
      </c>
      <c r="AJ7" s="486">
        <f t="shared" si="5"/>
        <v>0</v>
      </c>
      <c r="AK7" s="486">
        <f t="shared" si="5"/>
        <v>0</v>
      </c>
      <c r="AL7" s="486">
        <f t="shared" si="5"/>
        <v>0</v>
      </c>
      <c r="AM7" s="486">
        <f t="shared" ref="AM7:AV16" si="6">IF(AND($F7=AM$5, $F7&lt;=entrega, $F7&gt;=lçto),atoPreCh,0)+IF(AND($F7&gt;AM$5,$F7&lt;=entrega, AM$5&gt;=lçto),mensaisPreCh/DATEDIF(AM$5, entrega, "m"),IF(AND($F7=entrega, AM$5=entrega), mensaisPreCh, 0))+IF(AND($F7&gt;=EDATE(entrega, chRepasse+1), $F7&lt;=EDATE(entrega, chRepasse+periodoRepassePreChaves), AM$5&lt;=entrega, AM$5&gt;=lçto), repassePreCh/periodoRepassePreChaves, 0)</f>
        <v>0</v>
      </c>
      <c r="AN7" s="486">
        <f t="shared" si="6"/>
        <v>0</v>
      </c>
      <c r="AO7" s="486">
        <f t="shared" si="6"/>
        <v>0</v>
      </c>
      <c r="AP7" s="486">
        <f t="shared" si="6"/>
        <v>0</v>
      </c>
      <c r="AQ7" s="486">
        <f t="shared" si="6"/>
        <v>0</v>
      </c>
      <c r="AR7" s="486">
        <f t="shared" si="6"/>
        <v>0</v>
      </c>
      <c r="AS7" s="486">
        <f t="shared" si="6"/>
        <v>0</v>
      </c>
      <c r="AT7" s="486">
        <f t="shared" si="6"/>
        <v>0</v>
      </c>
      <c r="AU7" s="486">
        <f t="shared" si="6"/>
        <v>0</v>
      </c>
      <c r="AV7" s="486">
        <f t="shared" si="6"/>
        <v>0</v>
      </c>
      <c r="AW7" s="486">
        <f t="shared" ref="AW7:BH16" si="7">IF(AND($F7=AW$5, $F7&lt;=entrega, $F7&gt;=lçto),atoPreCh,0)+IF(AND($F7&gt;AW$5,$F7&lt;=entrega, AW$5&gt;=lçto),mensaisPreCh/DATEDIF(AW$5, entrega, "m"),IF(AND($F7=entrega, AW$5=entrega), mensaisPreCh, 0))+IF(AND($F7&gt;=EDATE(entrega, chRepasse+1), $F7&lt;=EDATE(entrega, chRepasse+periodoRepassePreChaves), AW$5&lt;=entrega, AW$5&gt;=lçto), repassePreCh/periodoRepassePreChaves, 0)</f>
        <v>0</v>
      </c>
      <c r="AX7" s="486">
        <f t="shared" si="7"/>
        <v>0</v>
      </c>
      <c r="AY7" s="486">
        <f t="shared" si="7"/>
        <v>0</v>
      </c>
      <c r="AZ7" s="486">
        <f t="shared" si="7"/>
        <v>0</v>
      </c>
      <c r="BA7" s="486">
        <f t="shared" si="7"/>
        <v>0</v>
      </c>
      <c r="BB7" s="486">
        <f t="shared" si="7"/>
        <v>0</v>
      </c>
      <c r="BC7" s="486">
        <f t="shared" si="7"/>
        <v>0</v>
      </c>
      <c r="BD7" s="486">
        <f t="shared" si="7"/>
        <v>0</v>
      </c>
      <c r="BE7" s="486">
        <f t="shared" si="7"/>
        <v>0</v>
      </c>
      <c r="BF7" s="486">
        <f t="shared" si="7"/>
        <v>0</v>
      </c>
      <c r="BG7" s="486">
        <f t="shared" si="7"/>
        <v>0</v>
      </c>
      <c r="BH7" s="487">
        <f t="shared" si="7"/>
        <v>0</v>
      </c>
    </row>
    <row r="8" spans="1:60" x14ac:dyDescent="0.25">
      <c r="F8" s="488">
        <f t="shared" ref="F8:F39" si="8">EDATE(F7, 1)</f>
        <v>44197</v>
      </c>
      <c r="G8" s="312">
        <v>2</v>
      </c>
      <c r="H8" t="str">
        <f t="shared" si="2"/>
        <v/>
      </c>
      <c r="I8" s="486">
        <f t="shared" si="3"/>
        <v>7.1428571428571435E-3</v>
      </c>
      <c r="J8" s="486">
        <f t="shared" si="3"/>
        <v>0.05</v>
      </c>
      <c r="K8" s="486">
        <f t="shared" si="3"/>
        <v>0</v>
      </c>
      <c r="L8" s="486">
        <f t="shared" si="3"/>
        <v>0</v>
      </c>
      <c r="M8" s="486">
        <f t="shared" si="3"/>
        <v>0</v>
      </c>
      <c r="N8" s="486">
        <f t="shared" si="3"/>
        <v>0</v>
      </c>
      <c r="O8" s="486">
        <f t="shared" si="3"/>
        <v>0</v>
      </c>
      <c r="P8" s="486">
        <f t="shared" si="3"/>
        <v>0</v>
      </c>
      <c r="Q8" s="486">
        <f t="shared" si="3"/>
        <v>0</v>
      </c>
      <c r="R8" s="486">
        <f t="shared" si="3"/>
        <v>0</v>
      </c>
      <c r="S8" s="486">
        <f t="shared" si="4"/>
        <v>0</v>
      </c>
      <c r="T8" s="486">
        <f t="shared" si="4"/>
        <v>0</v>
      </c>
      <c r="U8" s="486">
        <f t="shared" si="4"/>
        <v>0</v>
      </c>
      <c r="V8" s="486">
        <f t="shared" si="4"/>
        <v>0</v>
      </c>
      <c r="W8" s="486">
        <f t="shared" si="4"/>
        <v>0</v>
      </c>
      <c r="X8" s="486">
        <f t="shared" si="4"/>
        <v>0</v>
      </c>
      <c r="Y8" s="486">
        <f t="shared" si="4"/>
        <v>0</v>
      </c>
      <c r="Z8" s="486">
        <f t="shared" si="4"/>
        <v>0</v>
      </c>
      <c r="AA8" s="486">
        <f t="shared" si="4"/>
        <v>0</v>
      </c>
      <c r="AB8" s="486">
        <f t="shared" si="4"/>
        <v>0</v>
      </c>
      <c r="AC8" s="486">
        <f t="shared" si="5"/>
        <v>0</v>
      </c>
      <c r="AD8" s="486">
        <f t="shared" si="5"/>
        <v>0</v>
      </c>
      <c r="AE8" s="486">
        <f t="shared" si="5"/>
        <v>0</v>
      </c>
      <c r="AF8" s="486">
        <f t="shared" si="5"/>
        <v>0</v>
      </c>
      <c r="AG8" s="486">
        <f t="shared" si="5"/>
        <v>0</v>
      </c>
      <c r="AH8" s="486">
        <f t="shared" si="5"/>
        <v>0</v>
      </c>
      <c r="AI8" s="486">
        <f t="shared" si="5"/>
        <v>0</v>
      </c>
      <c r="AJ8" s="486">
        <f t="shared" si="5"/>
        <v>0</v>
      </c>
      <c r="AK8" s="486">
        <f t="shared" si="5"/>
        <v>0</v>
      </c>
      <c r="AL8" s="486">
        <f t="shared" si="5"/>
        <v>0</v>
      </c>
      <c r="AM8" s="486">
        <f t="shared" si="6"/>
        <v>0</v>
      </c>
      <c r="AN8" s="486">
        <f t="shared" si="6"/>
        <v>0</v>
      </c>
      <c r="AO8" s="486">
        <f t="shared" si="6"/>
        <v>0</v>
      </c>
      <c r="AP8" s="486">
        <f t="shared" si="6"/>
        <v>0</v>
      </c>
      <c r="AQ8" s="486">
        <f t="shared" si="6"/>
        <v>0</v>
      </c>
      <c r="AR8" s="486">
        <f t="shared" si="6"/>
        <v>0</v>
      </c>
      <c r="AS8" s="486">
        <f t="shared" si="6"/>
        <v>0</v>
      </c>
      <c r="AT8" s="486">
        <f t="shared" si="6"/>
        <v>0</v>
      </c>
      <c r="AU8" s="486">
        <f t="shared" si="6"/>
        <v>0</v>
      </c>
      <c r="AV8" s="486">
        <f t="shared" si="6"/>
        <v>0</v>
      </c>
      <c r="AW8" s="486">
        <f t="shared" si="7"/>
        <v>0</v>
      </c>
      <c r="AX8" s="486">
        <f t="shared" si="7"/>
        <v>0</v>
      </c>
      <c r="AY8" s="486">
        <f t="shared" si="7"/>
        <v>0</v>
      </c>
      <c r="AZ8" s="486">
        <f t="shared" si="7"/>
        <v>0</v>
      </c>
      <c r="BA8" s="486">
        <f t="shared" si="7"/>
        <v>0</v>
      </c>
      <c r="BB8" s="486">
        <f t="shared" si="7"/>
        <v>0</v>
      </c>
      <c r="BC8" s="486">
        <f t="shared" si="7"/>
        <v>0</v>
      </c>
      <c r="BD8" s="486">
        <f t="shared" si="7"/>
        <v>0</v>
      </c>
      <c r="BE8" s="486">
        <f t="shared" si="7"/>
        <v>0</v>
      </c>
      <c r="BF8" s="486">
        <f t="shared" si="7"/>
        <v>0</v>
      </c>
      <c r="BG8" s="486">
        <f t="shared" si="7"/>
        <v>0</v>
      </c>
      <c r="BH8" s="487">
        <f t="shared" si="7"/>
        <v>0</v>
      </c>
    </row>
    <row r="9" spans="1:60" x14ac:dyDescent="0.25">
      <c r="F9" s="488">
        <f t="shared" si="8"/>
        <v>44228</v>
      </c>
      <c r="G9" s="312">
        <v>3</v>
      </c>
      <c r="H9" t="str">
        <f t="shared" si="2"/>
        <v/>
      </c>
      <c r="I9" s="486">
        <f t="shared" si="3"/>
        <v>7.1428571428571435E-3</v>
      </c>
      <c r="J9" s="486">
        <f t="shared" si="3"/>
        <v>7.4074074074074077E-3</v>
      </c>
      <c r="K9" s="486">
        <f t="shared" si="3"/>
        <v>0.05</v>
      </c>
      <c r="L9" s="486">
        <f t="shared" si="3"/>
        <v>0</v>
      </c>
      <c r="M9" s="486">
        <f t="shared" si="3"/>
        <v>0</v>
      </c>
      <c r="N9" s="486">
        <f t="shared" si="3"/>
        <v>0</v>
      </c>
      <c r="O9" s="486">
        <f t="shared" si="3"/>
        <v>0</v>
      </c>
      <c r="P9" s="486">
        <f t="shared" si="3"/>
        <v>0</v>
      </c>
      <c r="Q9" s="486">
        <f t="shared" si="3"/>
        <v>0</v>
      </c>
      <c r="R9" s="486">
        <f t="shared" si="3"/>
        <v>0</v>
      </c>
      <c r="S9" s="486">
        <f t="shared" si="4"/>
        <v>0</v>
      </c>
      <c r="T9" s="486">
        <f t="shared" si="4"/>
        <v>0</v>
      </c>
      <c r="U9" s="486">
        <f t="shared" si="4"/>
        <v>0</v>
      </c>
      <c r="V9" s="486">
        <f t="shared" si="4"/>
        <v>0</v>
      </c>
      <c r="W9" s="486">
        <f t="shared" si="4"/>
        <v>0</v>
      </c>
      <c r="X9" s="486">
        <f t="shared" si="4"/>
        <v>0</v>
      </c>
      <c r="Y9" s="486">
        <f t="shared" si="4"/>
        <v>0</v>
      </c>
      <c r="Z9" s="486">
        <f t="shared" si="4"/>
        <v>0</v>
      </c>
      <c r="AA9" s="486">
        <f t="shared" si="4"/>
        <v>0</v>
      </c>
      <c r="AB9" s="486">
        <f t="shared" si="4"/>
        <v>0</v>
      </c>
      <c r="AC9" s="486">
        <f t="shared" si="5"/>
        <v>0</v>
      </c>
      <c r="AD9" s="486">
        <f t="shared" si="5"/>
        <v>0</v>
      </c>
      <c r="AE9" s="486">
        <f t="shared" si="5"/>
        <v>0</v>
      </c>
      <c r="AF9" s="486">
        <f t="shared" si="5"/>
        <v>0</v>
      </c>
      <c r="AG9" s="486">
        <f t="shared" si="5"/>
        <v>0</v>
      </c>
      <c r="AH9" s="486">
        <f t="shared" si="5"/>
        <v>0</v>
      </c>
      <c r="AI9" s="486">
        <f t="shared" si="5"/>
        <v>0</v>
      </c>
      <c r="AJ9" s="486">
        <f t="shared" si="5"/>
        <v>0</v>
      </c>
      <c r="AK9" s="486">
        <f t="shared" si="5"/>
        <v>0</v>
      </c>
      <c r="AL9" s="486">
        <f t="shared" si="5"/>
        <v>0</v>
      </c>
      <c r="AM9" s="486">
        <f t="shared" si="6"/>
        <v>0</v>
      </c>
      <c r="AN9" s="486">
        <f t="shared" si="6"/>
        <v>0</v>
      </c>
      <c r="AO9" s="486">
        <f t="shared" si="6"/>
        <v>0</v>
      </c>
      <c r="AP9" s="486">
        <f t="shared" si="6"/>
        <v>0</v>
      </c>
      <c r="AQ9" s="486">
        <f t="shared" si="6"/>
        <v>0</v>
      </c>
      <c r="AR9" s="486">
        <f t="shared" si="6"/>
        <v>0</v>
      </c>
      <c r="AS9" s="486">
        <f t="shared" si="6"/>
        <v>0</v>
      </c>
      <c r="AT9" s="486">
        <f t="shared" si="6"/>
        <v>0</v>
      </c>
      <c r="AU9" s="486">
        <f t="shared" si="6"/>
        <v>0</v>
      </c>
      <c r="AV9" s="486">
        <f t="shared" si="6"/>
        <v>0</v>
      </c>
      <c r="AW9" s="486">
        <f t="shared" si="7"/>
        <v>0</v>
      </c>
      <c r="AX9" s="486">
        <f t="shared" si="7"/>
        <v>0</v>
      </c>
      <c r="AY9" s="486">
        <f t="shared" si="7"/>
        <v>0</v>
      </c>
      <c r="AZ9" s="486">
        <f t="shared" si="7"/>
        <v>0</v>
      </c>
      <c r="BA9" s="486">
        <f t="shared" si="7"/>
        <v>0</v>
      </c>
      <c r="BB9" s="486">
        <f t="shared" si="7"/>
        <v>0</v>
      </c>
      <c r="BC9" s="486">
        <f t="shared" si="7"/>
        <v>0</v>
      </c>
      <c r="BD9" s="486">
        <f t="shared" si="7"/>
        <v>0</v>
      </c>
      <c r="BE9" s="486">
        <f t="shared" si="7"/>
        <v>0</v>
      </c>
      <c r="BF9" s="486">
        <f t="shared" si="7"/>
        <v>0</v>
      </c>
      <c r="BG9" s="486">
        <f t="shared" si="7"/>
        <v>0</v>
      </c>
      <c r="BH9" s="487">
        <f t="shared" si="7"/>
        <v>0</v>
      </c>
    </row>
    <row r="10" spans="1:60" x14ac:dyDescent="0.25">
      <c r="F10" s="488">
        <f t="shared" si="8"/>
        <v>44256</v>
      </c>
      <c r="G10" s="312">
        <v>4</v>
      </c>
      <c r="H10" t="str">
        <f t="shared" si="2"/>
        <v/>
      </c>
      <c r="I10" s="486">
        <f t="shared" si="3"/>
        <v>7.1428571428571435E-3</v>
      </c>
      <c r="J10" s="486">
        <f t="shared" si="3"/>
        <v>7.4074074074074077E-3</v>
      </c>
      <c r="K10" s="486">
        <f t="shared" si="3"/>
        <v>7.6923076923076927E-3</v>
      </c>
      <c r="L10" s="486">
        <f t="shared" si="3"/>
        <v>0.05</v>
      </c>
      <c r="M10" s="486">
        <f t="shared" si="3"/>
        <v>0</v>
      </c>
      <c r="N10" s="486">
        <f t="shared" si="3"/>
        <v>0</v>
      </c>
      <c r="O10" s="486">
        <f t="shared" si="3"/>
        <v>0</v>
      </c>
      <c r="P10" s="486">
        <f t="shared" si="3"/>
        <v>0</v>
      </c>
      <c r="Q10" s="486">
        <f t="shared" si="3"/>
        <v>0</v>
      </c>
      <c r="R10" s="486">
        <f t="shared" si="3"/>
        <v>0</v>
      </c>
      <c r="S10" s="486">
        <f t="shared" si="4"/>
        <v>0</v>
      </c>
      <c r="T10" s="486">
        <f t="shared" si="4"/>
        <v>0</v>
      </c>
      <c r="U10" s="486">
        <f t="shared" si="4"/>
        <v>0</v>
      </c>
      <c r="V10" s="486">
        <f t="shared" si="4"/>
        <v>0</v>
      </c>
      <c r="W10" s="486">
        <f t="shared" si="4"/>
        <v>0</v>
      </c>
      <c r="X10" s="486">
        <f t="shared" si="4"/>
        <v>0</v>
      </c>
      <c r="Y10" s="486">
        <f t="shared" si="4"/>
        <v>0</v>
      </c>
      <c r="Z10" s="486">
        <f t="shared" si="4"/>
        <v>0</v>
      </c>
      <c r="AA10" s="486">
        <f t="shared" si="4"/>
        <v>0</v>
      </c>
      <c r="AB10" s="486">
        <f t="shared" si="4"/>
        <v>0</v>
      </c>
      <c r="AC10" s="486">
        <f t="shared" si="5"/>
        <v>0</v>
      </c>
      <c r="AD10" s="486">
        <f t="shared" si="5"/>
        <v>0</v>
      </c>
      <c r="AE10" s="486">
        <f t="shared" si="5"/>
        <v>0</v>
      </c>
      <c r="AF10" s="486">
        <f t="shared" si="5"/>
        <v>0</v>
      </c>
      <c r="AG10" s="486">
        <f t="shared" si="5"/>
        <v>0</v>
      </c>
      <c r="AH10" s="486">
        <f t="shared" si="5"/>
        <v>0</v>
      </c>
      <c r="AI10" s="486">
        <f t="shared" si="5"/>
        <v>0</v>
      </c>
      <c r="AJ10" s="486">
        <f t="shared" si="5"/>
        <v>0</v>
      </c>
      <c r="AK10" s="486">
        <f t="shared" si="5"/>
        <v>0</v>
      </c>
      <c r="AL10" s="486">
        <f t="shared" si="5"/>
        <v>0</v>
      </c>
      <c r="AM10" s="486">
        <f t="shared" si="6"/>
        <v>0</v>
      </c>
      <c r="AN10" s="486">
        <f t="shared" si="6"/>
        <v>0</v>
      </c>
      <c r="AO10" s="486">
        <f t="shared" si="6"/>
        <v>0</v>
      </c>
      <c r="AP10" s="486">
        <f t="shared" si="6"/>
        <v>0</v>
      </c>
      <c r="AQ10" s="486">
        <f t="shared" si="6"/>
        <v>0</v>
      </c>
      <c r="AR10" s="486">
        <f t="shared" si="6"/>
        <v>0</v>
      </c>
      <c r="AS10" s="486">
        <f t="shared" si="6"/>
        <v>0</v>
      </c>
      <c r="AT10" s="486">
        <f t="shared" si="6"/>
        <v>0</v>
      </c>
      <c r="AU10" s="486">
        <f t="shared" si="6"/>
        <v>0</v>
      </c>
      <c r="AV10" s="486">
        <f t="shared" si="6"/>
        <v>0</v>
      </c>
      <c r="AW10" s="486">
        <f t="shared" si="7"/>
        <v>0</v>
      </c>
      <c r="AX10" s="486">
        <f t="shared" si="7"/>
        <v>0</v>
      </c>
      <c r="AY10" s="486">
        <f t="shared" si="7"/>
        <v>0</v>
      </c>
      <c r="AZ10" s="486">
        <f t="shared" si="7"/>
        <v>0</v>
      </c>
      <c r="BA10" s="486">
        <f t="shared" si="7"/>
        <v>0</v>
      </c>
      <c r="BB10" s="486">
        <f t="shared" si="7"/>
        <v>0</v>
      </c>
      <c r="BC10" s="486">
        <f t="shared" si="7"/>
        <v>0</v>
      </c>
      <c r="BD10" s="486">
        <f t="shared" si="7"/>
        <v>0</v>
      </c>
      <c r="BE10" s="486">
        <f t="shared" si="7"/>
        <v>0</v>
      </c>
      <c r="BF10" s="486">
        <f t="shared" si="7"/>
        <v>0</v>
      </c>
      <c r="BG10" s="486">
        <f t="shared" si="7"/>
        <v>0</v>
      </c>
      <c r="BH10" s="487">
        <f t="shared" si="7"/>
        <v>0</v>
      </c>
    </row>
    <row r="11" spans="1:60" x14ac:dyDescent="0.25">
      <c r="F11" s="488">
        <f t="shared" si="8"/>
        <v>44287</v>
      </c>
      <c r="G11" s="312">
        <v>5</v>
      </c>
      <c r="H11" t="str">
        <f t="shared" si="2"/>
        <v/>
      </c>
      <c r="I11" s="486">
        <f t="shared" si="3"/>
        <v>7.1428571428571435E-3</v>
      </c>
      <c r="J11" s="486">
        <f t="shared" si="3"/>
        <v>7.4074074074074077E-3</v>
      </c>
      <c r="K11" s="486">
        <f t="shared" si="3"/>
        <v>7.6923076923076927E-3</v>
      </c>
      <c r="L11" s="486">
        <f t="shared" si="3"/>
        <v>8.0000000000000002E-3</v>
      </c>
      <c r="M11" s="486">
        <f t="shared" si="3"/>
        <v>0.05</v>
      </c>
      <c r="N11" s="486">
        <f t="shared" si="3"/>
        <v>0</v>
      </c>
      <c r="O11" s="486">
        <f t="shared" si="3"/>
        <v>0</v>
      </c>
      <c r="P11" s="486">
        <f t="shared" si="3"/>
        <v>0</v>
      </c>
      <c r="Q11" s="486">
        <f t="shared" si="3"/>
        <v>0</v>
      </c>
      <c r="R11" s="486">
        <f t="shared" si="3"/>
        <v>0</v>
      </c>
      <c r="S11" s="486">
        <f t="shared" si="4"/>
        <v>0</v>
      </c>
      <c r="T11" s="486">
        <f t="shared" si="4"/>
        <v>0</v>
      </c>
      <c r="U11" s="486">
        <f t="shared" si="4"/>
        <v>0</v>
      </c>
      <c r="V11" s="486">
        <f t="shared" si="4"/>
        <v>0</v>
      </c>
      <c r="W11" s="486">
        <f t="shared" si="4"/>
        <v>0</v>
      </c>
      <c r="X11" s="486">
        <f t="shared" si="4"/>
        <v>0</v>
      </c>
      <c r="Y11" s="486">
        <f t="shared" si="4"/>
        <v>0</v>
      </c>
      <c r="Z11" s="486">
        <f t="shared" si="4"/>
        <v>0</v>
      </c>
      <c r="AA11" s="486">
        <f t="shared" si="4"/>
        <v>0</v>
      </c>
      <c r="AB11" s="486">
        <f t="shared" si="4"/>
        <v>0</v>
      </c>
      <c r="AC11" s="486">
        <f t="shared" si="5"/>
        <v>0</v>
      </c>
      <c r="AD11" s="486">
        <f t="shared" si="5"/>
        <v>0</v>
      </c>
      <c r="AE11" s="486">
        <f t="shared" si="5"/>
        <v>0</v>
      </c>
      <c r="AF11" s="486">
        <f t="shared" si="5"/>
        <v>0</v>
      </c>
      <c r="AG11" s="486">
        <f t="shared" si="5"/>
        <v>0</v>
      </c>
      <c r="AH11" s="486">
        <f t="shared" si="5"/>
        <v>0</v>
      </c>
      <c r="AI11" s="486">
        <f t="shared" si="5"/>
        <v>0</v>
      </c>
      <c r="AJ11" s="486">
        <f t="shared" si="5"/>
        <v>0</v>
      </c>
      <c r="AK11" s="486">
        <f t="shared" si="5"/>
        <v>0</v>
      </c>
      <c r="AL11" s="486">
        <f t="shared" si="5"/>
        <v>0</v>
      </c>
      <c r="AM11" s="486">
        <f t="shared" si="6"/>
        <v>0</v>
      </c>
      <c r="AN11" s="486">
        <f t="shared" si="6"/>
        <v>0</v>
      </c>
      <c r="AO11" s="486">
        <f t="shared" si="6"/>
        <v>0</v>
      </c>
      <c r="AP11" s="486">
        <f t="shared" si="6"/>
        <v>0</v>
      </c>
      <c r="AQ11" s="486">
        <f t="shared" si="6"/>
        <v>0</v>
      </c>
      <c r="AR11" s="486">
        <f t="shared" si="6"/>
        <v>0</v>
      </c>
      <c r="AS11" s="486">
        <f t="shared" si="6"/>
        <v>0</v>
      </c>
      <c r="AT11" s="486">
        <f t="shared" si="6"/>
        <v>0</v>
      </c>
      <c r="AU11" s="486">
        <f t="shared" si="6"/>
        <v>0</v>
      </c>
      <c r="AV11" s="486">
        <f t="shared" si="6"/>
        <v>0</v>
      </c>
      <c r="AW11" s="486">
        <f t="shared" si="7"/>
        <v>0</v>
      </c>
      <c r="AX11" s="486">
        <f t="shared" si="7"/>
        <v>0</v>
      </c>
      <c r="AY11" s="486">
        <f t="shared" si="7"/>
        <v>0</v>
      </c>
      <c r="AZ11" s="486">
        <f t="shared" si="7"/>
        <v>0</v>
      </c>
      <c r="BA11" s="486">
        <f t="shared" si="7"/>
        <v>0</v>
      </c>
      <c r="BB11" s="486">
        <f t="shared" si="7"/>
        <v>0</v>
      </c>
      <c r="BC11" s="486">
        <f t="shared" si="7"/>
        <v>0</v>
      </c>
      <c r="BD11" s="486">
        <f t="shared" si="7"/>
        <v>0</v>
      </c>
      <c r="BE11" s="486">
        <f t="shared" si="7"/>
        <v>0</v>
      </c>
      <c r="BF11" s="486">
        <f t="shared" si="7"/>
        <v>0</v>
      </c>
      <c r="BG11" s="486">
        <f t="shared" si="7"/>
        <v>0</v>
      </c>
      <c r="BH11" s="487">
        <f t="shared" si="7"/>
        <v>0</v>
      </c>
    </row>
    <row r="12" spans="1:60" x14ac:dyDescent="0.25">
      <c r="F12" s="488">
        <f t="shared" si="8"/>
        <v>44317</v>
      </c>
      <c r="G12" s="312">
        <v>6</v>
      </c>
      <c r="H12" t="str">
        <f t="shared" si="2"/>
        <v/>
      </c>
      <c r="I12" s="486">
        <f t="shared" si="3"/>
        <v>7.1428571428571435E-3</v>
      </c>
      <c r="J12" s="486">
        <f t="shared" si="3"/>
        <v>7.4074074074074077E-3</v>
      </c>
      <c r="K12" s="486">
        <f t="shared" si="3"/>
        <v>7.6923076923076927E-3</v>
      </c>
      <c r="L12" s="486">
        <f t="shared" si="3"/>
        <v>8.0000000000000002E-3</v>
      </c>
      <c r="M12" s="486">
        <f t="shared" si="3"/>
        <v>8.3333333333333332E-3</v>
      </c>
      <c r="N12" s="486">
        <f t="shared" si="3"/>
        <v>0.05</v>
      </c>
      <c r="O12" s="486">
        <f t="shared" si="3"/>
        <v>0</v>
      </c>
      <c r="P12" s="486">
        <f t="shared" si="3"/>
        <v>0</v>
      </c>
      <c r="Q12" s="486">
        <f t="shared" si="3"/>
        <v>0</v>
      </c>
      <c r="R12" s="486">
        <f t="shared" si="3"/>
        <v>0</v>
      </c>
      <c r="S12" s="486">
        <f t="shared" si="4"/>
        <v>0</v>
      </c>
      <c r="T12" s="486">
        <f t="shared" si="4"/>
        <v>0</v>
      </c>
      <c r="U12" s="486">
        <f t="shared" si="4"/>
        <v>0</v>
      </c>
      <c r="V12" s="486">
        <f t="shared" si="4"/>
        <v>0</v>
      </c>
      <c r="W12" s="486">
        <f t="shared" si="4"/>
        <v>0</v>
      </c>
      <c r="X12" s="486">
        <f t="shared" si="4"/>
        <v>0</v>
      </c>
      <c r="Y12" s="486">
        <f t="shared" si="4"/>
        <v>0</v>
      </c>
      <c r="Z12" s="486">
        <f t="shared" si="4"/>
        <v>0</v>
      </c>
      <c r="AA12" s="486">
        <f t="shared" si="4"/>
        <v>0</v>
      </c>
      <c r="AB12" s="486">
        <f t="shared" si="4"/>
        <v>0</v>
      </c>
      <c r="AC12" s="486">
        <f t="shared" si="5"/>
        <v>0</v>
      </c>
      <c r="AD12" s="486">
        <f t="shared" si="5"/>
        <v>0</v>
      </c>
      <c r="AE12" s="486">
        <f t="shared" si="5"/>
        <v>0</v>
      </c>
      <c r="AF12" s="486">
        <f t="shared" si="5"/>
        <v>0</v>
      </c>
      <c r="AG12" s="486">
        <f t="shared" si="5"/>
        <v>0</v>
      </c>
      <c r="AH12" s="486">
        <f t="shared" si="5"/>
        <v>0</v>
      </c>
      <c r="AI12" s="486">
        <f t="shared" si="5"/>
        <v>0</v>
      </c>
      <c r="AJ12" s="486">
        <f t="shared" si="5"/>
        <v>0</v>
      </c>
      <c r="AK12" s="486">
        <f t="shared" si="5"/>
        <v>0</v>
      </c>
      <c r="AL12" s="486">
        <f t="shared" si="5"/>
        <v>0</v>
      </c>
      <c r="AM12" s="486">
        <f t="shared" si="6"/>
        <v>0</v>
      </c>
      <c r="AN12" s="486">
        <f t="shared" si="6"/>
        <v>0</v>
      </c>
      <c r="AO12" s="486">
        <f t="shared" si="6"/>
        <v>0</v>
      </c>
      <c r="AP12" s="486">
        <f t="shared" si="6"/>
        <v>0</v>
      </c>
      <c r="AQ12" s="486">
        <f t="shared" si="6"/>
        <v>0</v>
      </c>
      <c r="AR12" s="486">
        <f t="shared" si="6"/>
        <v>0</v>
      </c>
      <c r="AS12" s="486">
        <f t="shared" si="6"/>
        <v>0</v>
      </c>
      <c r="AT12" s="486">
        <f t="shared" si="6"/>
        <v>0</v>
      </c>
      <c r="AU12" s="486">
        <f t="shared" si="6"/>
        <v>0</v>
      </c>
      <c r="AV12" s="486">
        <f t="shared" si="6"/>
        <v>0</v>
      </c>
      <c r="AW12" s="486">
        <f t="shared" si="7"/>
        <v>0</v>
      </c>
      <c r="AX12" s="486">
        <f t="shared" si="7"/>
        <v>0</v>
      </c>
      <c r="AY12" s="486">
        <f t="shared" si="7"/>
        <v>0</v>
      </c>
      <c r="AZ12" s="486">
        <f t="shared" si="7"/>
        <v>0</v>
      </c>
      <c r="BA12" s="486">
        <f t="shared" si="7"/>
        <v>0</v>
      </c>
      <c r="BB12" s="486">
        <f t="shared" si="7"/>
        <v>0</v>
      </c>
      <c r="BC12" s="486">
        <f t="shared" si="7"/>
        <v>0</v>
      </c>
      <c r="BD12" s="486">
        <f t="shared" si="7"/>
        <v>0</v>
      </c>
      <c r="BE12" s="486">
        <f t="shared" si="7"/>
        <v>0</v>
      </c>
      <c r="BF12" s="486">
        <f t="shared" si="7"/>
        <v>0</v>
      </c>
      <c r="BG12" s="486">
        <f t="shared" si="7"/>
        <v>0</v>
      </c>
      <c r="BH12" s="487">
        <f t="shared" si="7"/>
        <v>0</v>
      </c>
    </row>
    <row r="13" spans="1:60" x14ac:dyDescent="0.25">
      <c r="F13" s="488">
        <f t="shared" si="8"/>
        <v>44348</v>
      </c>
      <c r="G13" s="312">
        <v>7</v>
      </c>
      <c r="H13" t="str">
        <f t="shared" si="2"/>
        <v/>
      </c>
      <c r="I13" s="486">
        <f t="shared" si="3"/>
        <v>7.1428571428571435E-3</v>
      </c>
      <c r="J13" s="486">
        <f t="shared" si="3"/>
        <v>7.4074074074074077E-3</v>
      </c>
      <c r="K13" s="486">
        <f t="shared" si="3"/>
        <v>7.6923076923076927E-3</v>
      </c>
      <c r="L13" s="486">
        <f t="shared" si="3"/>
        <v>8.0000000000000002E-3</v>
      </c>
      <c r="M13" s="486">
        <f t="shared" si="3"/>
        <v>8.3333333333333332E-3</v>
      </c>
      <c r="N13" s="486">
        <f t="shared" si="3"/>
        <v>8.6956521739130436E-3</v>
      </c>
      <c r="O13" s="486">
        <f t="shared" si="3"/>
        <v>0.05</v>
      </c>
      <c r="P13" s="486">
        <f t="shared" si="3"/>
        <v>0</v>
      </c>
      <c r="Q13" s="486">
        <f t="shared" si="3"/>
        <v>0</v>
      </c>
      <c r="R13" s="486">
        <f t="shared" si="3"/>
        <v>0</v>
      </c>
      <c r="S13" s="486">
        <f t="shared" si="4"/>
        <v>0</v>
      </c>
      <c r="T13" s="486">
        <f t="shared" si="4"/>
        <v>0</v>
      </c>
      <c r="U13" s="486">
        <f t="shared" si="4"/>
        <v>0</v>
      </c>
      <c r="V13" s="486">
        <f t="shared" si="4"/>
        <v>0</v>
      </c>
      <c r="W13" s="486">
        <f t="shared" si="4"/>
        <v>0</v>
      </c>
      <c r="X13" s="486">
        <f t="shared" si="4"/>
        <v>0</v>
      </c>
      <c r="Y13" s="486">
        <f t="shared" si="4"/>
        <v>0</v>
      </c>
      <c r="Z13" s="486">
        <f t="shared" si="4"/>
        <v>0</v>
      </c>
      <c r="AA13" s="486">
        <f t="shared" si="4"/>
        <v>0</v>
      </c>
      <c r="AB13" s="486">
        <f t="shared" si="4"/>
        <v>0</v>
      </c>
      <c r="AC13" s="486">
        <f t="shared" si="5"/>
        <v>0</v>
      </c>
      <c r="AD13" s="486">
        <f t="shared" si="5"/>
        <v>0</v>
      </c>
      <c r="AE13" s="486">
        <f t="shared" si="5"/>
        <v>0</v>
      </c>
      <c r="AF13" s="486">
        <f t="shared" si="5"/>
        <v>0</v>
      </c>
      <c r="AG13" s="486">
        <f t="shared" si="5"/>
        <v>0</v>
      </c>
      <c r="AH13" s="486">
        <f t="shared" si="5"/>
        <v>0</v>
      </c>
      <c r="AI13" s="486">
        <f t="shared" si="5"/>
        <v>0</v>
      </c>
      <c r="AJ13" s="486">
        <f t="shared" si="5"/>
        <v>0</v>
      </c>
      <c r="AK13" s="486">
        <f t="shared" si="5"/>
        <v>0</v>
      </c>
      <c r="AL13" s="486">
        <f t="shared" si="5"/>
        <v>0</v>
      </c>
      <c r="AM13" s="486">
        <f t="shared" si="6"/>
        <v>0</v>
      </c>
      <c r="AN13" s="486">
        <f t="shared" si="6"/>
        <v>0</v>
      </c>
      <c r="AO13" s="486">
        <f t="shared" si="6"/>
        <v>0</v>
      </c>
      <c r="AP13" s="486">
        <f t="shared" si="6"/>
        <v>0</v>
      </c>
      <c r="AQ13" s="486">
        <f t="shared" si="6"/>
        <v>0</v>
      </c>
      <c r="AR13" s="486">
        <f t="shared" si="6"/>
        <v>0</v>
      </c>
      <c r="AS13" s="486">
        <f t="shared" si="6"/>
        <v>0</v>
      </c>
      <c r="AT13" s="486">
        <f t="shared" si="6"/>
        <v>0</v>
      </c>
      <c r="AU13" s="486">
        <f t="shared" si="6"/>
        <v>0</v>
      </c>
      <c r="AV13" s="486">
        <f t="shared" si="6"/>
        <v>0</v>
      </c>
      <c r="AW13" s="486">
        <f t="shared" si="7"/>
        <v>0</v>
      </c>
      <c r="AX13" s="486">
        <f t="shared" si="7"/>
        <v>0</v>
      </c>
      <c r="AY13" s="486">
        <f t="shared" si="7"/>
        <v>0</v>
      </c>
      <c r="AZ13" s="486">
        <f t="shared" si="7"/>
        <v>0</v>
      </c>
      <c r="BA13" s="486">
        <f t="shared" si="7"/>
        <v>0</v>
      </c>
      <c r="BB13" s="486">
        <f t="shared" si="7"/>
        <v>0</v>
      </c>
      <c r="BC13" s="486">
        <f t="shared" si="7"/>
        <v>0</v>
      </c>
      <c r="BD13" s="486">
        <f t="shared" si="7"/>
        <v>0</v>
      </c>
      <c r="BE13" s="486">
        <f t="shared" si="7"/>
        <v>0</v>
      </c>
      <c r="BF13" s="486">
        <f t="shared" si="7"/>
        <v>0</v>
      </c>
      <c r="BG13" s="486">
        <f t="shared" si="7"/>
        <v>0</v>
      </c>
      <c r="BH13" s="487">
        <f t="shared" si="7"/>
        <v>0</v>
      </c>
    </row>
    <row r="14" spans="1:60" x14ac:dyDescent="0.25">
      <c r="F14" s="488">
        <f t="shared" si="8"/>
        <v>44378</v>
      </c>
      <c r="G14" s="312">
        <v>8</v>
      </c>
      <c r="H14" t="str">
        <f t="shared" si="2"/>
        <v/>
      </c>
      <c r="I14" s="486">
        <f t="shared" si="3"/>
        <v>7.1428571428571435E-3</v>
      </c>
      <c r="J14" s="486">
        <f t="shared" si="3"/>
        <v>7.4074074074074077E-3</v>
      </c>
      <c r="K14" s="486">
        <f t="shared" si="3"/>
        <v>7.6923076923076927E-3</v>
      </c>
      <c r="L14" s="486">
        <f t="shared" si="3"/>
        <v>8.0000000000000002E-3</v>
      </c>
      <c r="M14" s="486">
        <f t="shared" si="3"/>
        <v>8.3333333333333332E-3</v>
      </c>
      <c r="N14" s="486">
        <f t="shared" si="3"/>
        <v>8.6956521739130436E-3</v>
      </c>
      <c r="O14" s="486">
        <f t="shared" si="3"/>
        <v>9.0909090909090922E-3</v>
      </c>
      <c r="P14" s="486">
        <f t="shared" si="3"/>
        <v>0.05</v>
      </c>
      <c r="Q14" s="486">
        <f t="shared" si="3"/>
        <v>0</v>
      </c>
      <c r="R14" s="486">
        <f t="shared" si="3"/>
        <v>0</v>
      </c>
      <c r="S14" s="486">
        <f t="shared" si="4"/>
        <v>0</v>
      </c>
      <c r="T14" s="486">
        <f t="shared" si="4"/>
        <v>0</v>
      </c>
      <c r="U14" s="486">
        <f t="shared" si="4"/>
        <v>0</v>
      </c>
      <c r="V14" s="486">
        <f t="shared" si="4"/>
        <v>0</v>
      </c>
      <c r="W14" s="486">
        <f t="shared" si="4"/>
        <v>0</v>
      </c>
      <c r="X14" s="486">
        <f t="shared" si="4"/>
        <v>0</v>
      </c>
      <c r="Y14" s="486">
        <f t="shared" si="4"/>
        <v>0</v>
      </c>
      <c r="Z14" s="486">
        <f t="shared" si="4"/>
        <v>0</v>
      </c>
      <c r="AA14" s="486">
        <f t="shared" si="4"/>
        <v>0</v>
      </c>
      <c r="AB14" s="486">
        <f t="shared" si="4"/>
        <v>0</v>
      </c>
      <c r="AC14" s="486">
        <f t="shared" si="5"/>
        <v>0</v>
      </c>
      <c r="AD14" s="486">
        <f t="shared" si="5"/>
        <v>0</v>
      </c>
      <c r="AE14" s="486">
        <f t="shared" si="5"/>
        <v>0</v>
      </c>
      <c r="AF14" s="486">
        <f t="shared" si="5"/>
        <v>0</v>
      </c>
      <c r="AG14" s="486">
        <f t="shared" si="5"/>
        <v>0</v>
      </c>
      <c r="AH14" s="486">
        <f t="shared" si="5"/>
        <v>0</v>
      </c>
      <c r="AI14" s="486">
        <f t="shared" si="5"/>
        <v>0</v>
      </c>
      <c r="AJ14" s="486">
        <f t="shared" si="5"/>
        <v>0</v>
      </c>
      <c r="AK14" s="486">
        <f t="shared" si="5"/>
        <v>0</v>
      </c>
      <c r="AL14" s="486">
        <f t="shared" si="5"/>
        <v>0</v>
      </c>
      <c r="AM14" s="486">
        <f t="shared" si="6"/>
        <v>0</v>
      </c>
      <c r="AN14" s="486">
        <f t="shared" si="6"/>
        <v>0</v>
      </c>
      <c r="AO14" s="486">
        <f t="shared" si="6"/>
        <v>0</v>
      </c>
      <c r="AP14" s="486">
        <f t="shared" si="6"/>
        <v>0</v>
      </c>
      <c r="AQ14" s="486">
        <f t="shared" si="6"/>
        <v>0</v>
      </c>
      <c r="AR14" s="486">
        <f t="shared" si="6"/>
        <v>0</v>
      </c>
      <c r="AS14" s="486">
        <f t="shared" si="6"/>
        <v>0</v>
      </c>
      <c r="AT14" s="486">
        <f t="shared" si="6"/>
        <v>0</v>
      </c>
      <c r="AU14" s="486">
        <f t="shared" si="6"/>
        <v>0</v>
      </c>
      <c r="AV14" s="486">
        <f t="shared" si="6"/>
        <v>0</v>
      </c>
      <c r="AW14" s="486">
        <f t="shared" si="7"/>
        <v>0</v>
      </c>
      <c r="AX14" s="486">
        <f t="shared" si="7"/>
        <v>0</v>
      </c>
      <c r="AY14" s="486">
        <f t="shared" si="7"/>
        <v>0</v>
      </c>
      <c r="AZ14" s="486">
        <f t="shared" si="7"/>
        <v>0</v>
      </c>
      <c r="BA14" s="486">
        <f t="shared" si="7"/>
        <v>0</v>
      </c>
      <c r="BB14" s="486">
        <f t="shared" si="7"/>
        <v>0</v>
      </c>
      <c r="BC14" s="486">
        <f t="shared" si="7"/>
        <v>0</v>
      </c>
      <c r="BD14" s="486">
        <f t="shared" si="7"/>
        <v>0</v>
      </c>
      <c r="BE14" s="486">
        <f t="shared" si="7"/>
        <v>0</v>
      </c>
      <c r="BF14" s="486">
        <f t="shared" si="7"/>
        <v>0</v>
      </c>
      <c r="BG14" s="486">
        <f t="shared" si="7"/>
        <v>0</v>
      </c>
      <c r="BH14" s="487">
        <f t="shared" si="7"/>
        <v>0</v>
      </c>
    </row>
    <row r="15" spans="1:60" x14ac:dyDescent="0.25">
      <c r="F15" s="488">
        <f t="shared" si="8"/>
        <v>44409</v>
      </c>
      <c r="G15" s="312">
        <v>9</v>
      </c>
      <c r="H15" t="str">
        <f t="shared" si="2"/>
        <v/>
      </c>
      <c r="I15" s="486">
        <f t="shared" si="3"/>
        <v>7.1428571428571435E-3</v>
      </c>
      <c r="J15" s="486">
        <f t="shared" si="3"/>
        <v>7.4074074074074077E-3</v>
      </c>
      <c r="K15" s="486">
        <f t="shared" si="3"/>
        <v>7.6923076923076927E-3</v>
      </c>
      <c r="L15" s="486">
        <f t="shared" si="3"/>
        <v>8.0000000000000002E-3</v>
      </c>
      <c r="M15" s="486">
        <f t="shared" si="3"/>
        <v>8.3333333333333332E-3</v>
      </c>
      <c r="N15" s="486">
        <f t="shared" si="3"/>
        <v>8.6956521739130436E-3</v>
      </c>
      <c r="O15" s="486">
        <f t="shared" si="3"/>
        <v>9.0909090909090922E-3</v>
      </c>
      <c r="P15" s="486">
        <f t="shared" si="3"/>
        <v>9.5238095238095247E-3</v>
      </c>
      <c r="Q15" s="486">
        <f t="shared" si="3"/>
        <v>0.05</v>
      </c>
      <c r="R15" s="486">
        <f t="shared" si="3"/>
        <v>0</v>
      </c>
      <c r="S15" s="486">
        <f t="shared" si="4"/>
        <v>0</v>
      </c>
      <c r="T15" s="486">
        <f t="shared" si="4"/>
        <v>0</v>
      </c>
      <c r="U15" s="486">
        <f t="shared" si="4"/>
        <v>0</v>
      </c>
      <c r="V15" s="486">
        <f t="shared" si="4"/>
        <v>0</v>
      </c>
      <c r="W15" s="486">
        <f t="shared" si="4"/>
        <v>0</v>
      </c>
      <c r="X15" s="486">
        <f t="shared" si="4"/>
        <v>0</v>
      </c>
      <c r="Y15" s="486">
        <f t="shared" si="4"/>
        <v>0</v>
      </c>
      <c r="Z15" s="486">
        <f t="shared" si="4"/>
        <v>0</v>
      </c>
      <c r="AA15" s="486">
        <f t="shared" si="4"/>
        <v>0</v>
      </c>
      <c r="AB15" s="486">
        <f t="shared" si="4"/>
        <v>0</v>
      </c>
      <c r="AC15" s="486">
        <f t="shared" si="5"/>
        <v>0</v>
      </c>
      <c r="AD15" s="486">
        <f t="shared" si="5"/>
        <v>0</v>
      </c>
      <c r="AE15" s="486">
        <f t="shared" si="5"/>
        <v>0</v>
      </c>
      <c r="AF15" s="486">
        <f t="shared" si="5"/>
        <v>0</v>
      </c>
      <c r="AG15" s="486">
        <f t="shared" si="5"/>
        <v>0</v>
      </c>
      <c r="AH15" s="486">
        <f t="shared" si="5"/>
        <v>0</v>
      </c>
      <c r="AI15" s="486">
        <f t="shared" si="5"/>
        <v>0</v>
      </c>
      <c r="AJ15" s="486">
        <f t="shared" si="5"/>
        <v>0</v>
      </c>
      <c r="AK15" s="486">
        <f t="shared" si="5"/>
        <v>0</v>
      </c>
      <c r="AL15" s="486">
        <f t="shared" si="5"/>
        <v>0</v>
      </c>
      <c r="AM15" s="486">
        <f t="shared" si="6"/>
        <v>0</v>
      </c>
      <c r="AN15" s="486">
        <f t="shared" si="6"/>
        <v>0</v>
      </c>
      <c r="AO15" s="486">
        <f t="shared" si="6"/>
        <v>0</v>
      </c>
      <c r="AP15" s="486">
        <f t="shared" si="6"/>
        <v>0</v>
      </c>
      <c r="AQ15" s="486">
        <f t="shared" si="6"/>
        <v>0</v>
      </c>
      <c r="AR15" s="486">
        <f t="shared" si="6"/>
        <v>0</v>
      </c>
      <c r="AS15" s="486">
        <f t="shared" si="6"/>
        <v>0</v>
      </c>
      <c r="AT15" s="486">
        <f t="shared" si="6"/>
        <v>0</v>
      </c>
      <c r="AU15" s="486">
        <f t="shared" si="6"/>
        <v>0</v>
      </c>
      <c r="AV15" s="486">
        <f t="shared" si="6"/>
        <v>0</v>
      </c>
      <c r="AW15" s="486">
        <f t="shared" si="7"/>
        <v>0</v>
      </c>
      <c r="AX15" s="486">
        <f t="shared" si="7"/>
        <v>0</v>
      </c>
      <c r="AY15" s="486">
        <f t="shared" si="7"/>
        <v>0</v>
      </c>
      <c r="AZ15" s="486">
        <f t="shared" si="7"/>
        <v>0</v>
      </c>
      <c r="BA15" s="486">
        <f t="shared" si="7"/>
        <v>0</v>
      </c>
      <c r="BB15" s="486">
        <f t="shared" si="7"/>
        <v>0</v>
      </c>
      <c r="BC15" s="486">
        <f t="shared" si="7"/>
        <v>0</v>
      </c>
      <c r="BD15" s="486">
        <f t="shared" si="7"/>
        <v>0</v>
      </c>
      <c r="BE15" s="486">
        <f t="shared" si="7"/>
        <v>0</v>
      </c>
      <c r="BF15" s="486">
        <f t="shared" si="7"/>
        <v>0</v>
      </c>
      <c r="BG15" s="486">
        <f t="shared" si="7"/>
        <v>0</v>
      </c>
      <c r="BH15" s="487">
        <f t="shared" si="7"/>
        <v>0</v>
      </c>
    </row>
    <row r="16" spans="1:60" x14ac:dyDescent="0.25">
      <c r="A16" s="189"/>
      <c r="F16" s="488">
        <f t="shared" si="8"/>
        <v>44440</v>
      </c>
      <c r="G16" s="312">
        <v>10</v>
      </c>
      <c r="H16" t="str">
        <f t="shared" si="2"/>
        <v/>
      </c>
      <c r="I16" s="486">
        <f t="shared" si="3"/>
        <v>7.1428571428571435E-3</v>
      </c>
      <c r="J16" s="486">
        <f t="shared" si="3"/>
        <v>7.4074074074074077E-3</v>
      </c>
      <c r="K16" s="486">
        <f t="shared" si="3"/>
        <v>7.6923076923076927E-3</v>
      </c>
      <c r="L16" s="486">
        <f t="shared" si="3"/>
        <v>8.0000000000000002E-3</v>
      </c>
      <c r="M16" s="486">
        <f t="shared" si="3"/>
        <v>8.3333333333333332E-3</v>
      </c>
      <c r="N16" s="486">
        <f t="shared" si="3"/>
        <v>8.6956521739130436E-3</v>
      </c>
      <c r="O16" s="486">
        <f t="shared" si="3"/>
        <v>9.0909090909090922E-3</v>
      </c>
      <c r="P16" s="486">
        <f t="shared" si="3"/>
        <v>9.5238095238095247E-3</v>
      </c>
      <c r="Q16" s="486">
        <f t="shared" si="3"/>
        <v>0.01</v>
      </c>
      <c r="R16" s="486">
        <f t="shared" si="3"/>
        <v>0.05</v>
      </c>
      <c r="S16" s="486">
        <f t="shared" si="4"/>
        <v>0</v>
      </c>
      <c r="T16" s="486">
        <f t="shared" si="4"/>
        <v>0</v>
      </c>
      <c r="U16" s="486">
        <f t="shared" si="4"/>
        <v>0</v>
      </c>
      <c r="V16" s="486">
        <f t="shared" si="4"/>
        <v>0</v>
      </c>
      <c r="W16" s="486">
        <f t="shared" si="4"/>
        <v>0</v>
      </c>
      <c r="X16" s="486">
        <f t="shared" si="4"/>
        <v>0</v>
      </c>
      <c r="Y16" s="486">
        <f t="shared" si="4"/>
        <v>0</v>
      </c>
      <c r="Z16" s="486">
        <f t="shared" si="4"/>
        <v>0</v>
      </c>
      <c r="AA16" s="486">
        <f t="shared" si="4"/>
        <v>0</v>
      </c>
      <c r="AB16" s="486">
        <f t="shared" si="4"/>
        <v>0</v>
      </c>
      <c r="AC16" s="486">
        <f t="shared" si="5"/>
        <v>0</v>
      </c>
      <c r="AD16" s="486">
        <f t="shared" si="5"/>
        <v>0</v>
      </c>
      <c r="AE16" s="486">
        <f t="shared" si="5"/>
        <v>0</v>
      </c>
      <c r="AF16" s="486">
        <f t="shared" si="5"/>
        <v>0</v>
      </c>
      <c r="AG16" s="486">
        <f t="shared" si="5"/>
        <v>0</v>
      </c>
      <c r="AH16" s="486">
        <f t="shared" si="5"/>
        <v>0</v>
      </c>
      <c r="AI16" s="486">
        <f t="shared" si="5"/>
        <v>0</v>
      </c>
      <c r="AJ16" s="486">
        <f t="shared" si="5"/>
        <v>0</v>
      </c>
      <c r="AK16" s="486">
        <f t="shared" si="5"/>
        <v>0</v>
      </c>
      <c r="AL16" s="486">
        <f t="shared" si="5"/>
        <v>0</v>
      </c>
      <c r="AM16" s="486">
        <f t="shared" si="6"/>
        <v>0</v>
      </c>
      <c r="AN16" s="486">
        <f t="shared" si="6"/>
        <v>0</v>
      </c>
      <c r="AO16" s="486">
        <f t="shared" si="6"/>
        <v>0</v>
      </c>
      <c r="AP16" s="486">
        <f t="shared" si="6"/>
        <v>0</v>
      </c>
      <c r="AQ16" s="486">
        <f t="shared" si="6"/>
        <v>0</v>
      </c>
      <c r="AR16" s="486">
        <f t="shared" si="6"/>
        <v>0</v>
      </c>
      <c r="AS16" s="486">
        <f t="shared" si="6"/>
        <v>0</v>
      </c>
      <c r="AT16" s="486">
        <f t="shared" si="6"/>
        <v>0</v>
      </c>
      <c r="AU16" s="486">
        <f t="shared" si="6"/>
        <v>0</v>
      </c>
      <c r="AV16" s="486">
        <f t="shared" si="6"/>
        <v>0</v>
      </c>
      <c r="AW16" s="486">
        <f t="shared" si="7"/>
        <v>0</v>
      </c>
      <c r="AX16" s="486">
        <f t="shared" si="7"/>
        <v>0</v>
      </c>
      <c r="AY16" s="486">
        <f t="shared" si="7"/>
        <v>0</v>
      </c>
      <c r="AZ16" s="486">
        <f t="shared" si="7"/>
        <v>0</v>
      </c>
      <c r="BA16" s="486">
        <f t="shared" si="7"/>
        <v>0</v>
      </c>
      <c r="BB16" s="486">
        <f t="shared" si="7"/>
        <v>0</v>
      </c>
      <c r="BC16" s="486">
        <f t="shared" si="7"/>
        <v>0</v>
      </c>
      <c r="BD16" s="486">
        <f t="shared" si="7"/>
        <v>0</v>
      </c>
      <c r="BE16" s="486">
        <f t="shared" si="7"/>
        <v>0</v>
      </c>
      <c r="BF16" s="486">
        <f t="shared" si="7"/>
        <v>0</v>
      </c>
      <c r="BG16" s="486">
        <f t="shared" si="7"/>
        <v>0</v>
      </c>
      <c r="BH16" s="487">
        <f t="shared" si="7"/>
        <v>0</v>
      </c>
    </row>
    <row r="17" spans="5:60" x14ac:dyDescent="0.25">
      <c r="F17" s="488">
        <f t="shared" si="8"/>
        <v>44470</v>
      </c>
      <c r="G17" s="312">
        <v>11</v>
      </c>
      <c r="H17" t="str">
        <f t="shared" si="2"/>
        <v/>
      </c>
      <c r="I17" s="486">
        <f t="shared" ref="I17:R26" si="9">IF(AND($F17=I$5, $F17&lt;=entrega, $F17&gt;=lçto),atoPreCh,0)+IF(AND($F17&gt;I$5,$F17&lt;=entrega, I$5&gt;=lçto),mensaisPreCh/DATEDIF(I$5, entrega, "m"),IF(AND($F17=entrega, I$5=entrega), mensaisPreCh, 0))+IF(AND($F17&gt;=EDATE(entrega, chRepasse+1), $F17&lt;=EDATE(entrega, chRepasse+periodoRepassePreChaves), I$5&lt;=entrega, I$5&gt;=lçto), repassePreCh/periodoRepassePreChaves, 0)</f>
        <v>7.1428571428571435E-3</v>
      </c>
      <c r="J17" s="486">
        <f t="shared" si="9"/>
        <v>7.4074074074074077E-3</v>
      </c>
      <c r="K17" s="486">
        <f t="shared" si="9"/>
        <v>7.6923076923076927E-3</v>
      </c>
      <c r="L17" s="486">
        <f t="shared" si="9"/>
        <v>8.0000000000000002E-3</v>
      </c>
      <c r="M17" s="486">
        <f t="shared" si="9"/>
        <v>8.3333333333333332E-3</v>
      </c>
      <c r="N17" s="486">
        <f t="shared" si="9"/>
        <v>8.6956521739130436E-3</v>
      </c>
      <c r="O17" s="486">
        <f t="shared" si="9"/>
        <v>9.0909090909090922E-3</v>
      </c>
      <c r="P17" s="486">
        <f t="shared" si="9"/>
        <v>9.5238095238095247E-3</v>
      </c>
      <c r="Q17" s="486">
        <f t="shared" si="9"/>
        <v>0.01</v>
      </c>
      <c r="R17" s="486">
        <f t="shared" si="9"/>
        <v>1.0526315789473684E-2</v>
      </c>
      <c r="S17" s="486">
        <f t="shared" ref="S17:AB26" si="10">IF(AND($F17=S$5, $F17&lt;=entrega, $F17&gt;=lçto),atoPreCh,0)+IF(AND($F17&gt;S$5,$F17&lt;=entrega, S$5&gt;=lçto),mensaisPreCh/DATEDIF(S$5, entrega, "m"),IF(AND($F17=entrega, S$5=entrega), mensaisPreCh, 0))+IF(AND($F17&gt;=EDATE(entrega, chRepasse+1), $F17&lt;=EDATE(entrega, chRepasse+periodoRepassePreChaves), S$5&lt;=entrega, S$5&gt;=lçto), repassePreCh/periodoRepassePreChaves, 0)</f>
        <v>0.05</v>
      </c>
      <c r="T17" s="486">
        <f t="shared" si="10"/>
        <v>0</v>
      </c>
      <c r="U17" s="486">
        <f t="shared" si="10"/>
        <v>0</v>
      </c>
      <c r="V17" s="486">
        <f t="shared" si="10"/>
        <v>0</v>
      </c>
      <c r="W17" s="486">
        <f t="shared" si="10"/>
        <v>0</v>
      </c>
      <c r="X17" s="486">
        <f t="shared" si="10"/>
        <v>0</v>
      </c>
      <c r="Y17" s="486">
        <f t="shared" si="10"/>
        <v>0</v>
      </c>
      <c r="Z17" s="486">
        <f t="shared" si="10"/>
        <v>0</v>
      </c>
      <c r="AA17" s="486">
        <f t="shared" si="10"/>
        <v>0</v>
      </c>
      <c r="AB17" s="486">
        <f t="shared" si="10"/>
        <v>0</v>
      </c>
      <c r="AC17" s="486">
        <f t="shared" ref="AC17:AL26" si="11">IF(AND($F17=AC$5, $F17&lt;=entrega, $F17&gt;=lçto),atoPreCh,0)+IF(AND($F17&gt;AC$5,$F17&lt;=entrega, AC$5&gt;=lçto),mensaisPreCh/DATEDIF(AC$5, entrega, "m"),IF(AND($F17=entrega, AC$5=entrega), mensaisPreCh, 0))+IF(AND($F17&gt;=EDATE(entrega, chRepasse+1), $F17&lt;=EDATE(entrega, chRepasse+periodoRepassePreChaves), AC$5&lt;=entrega, AC$5&gt;=lçto), repassePreCh/periodoRepassePreChaves, 0)</f>
        <v>0</v>
      </c>
      <c r="AD17" s="486">
        <f t="shared" si="11"/>
        <v>0</v>
      </c>
      <c r="AE17" s="486">
        <f t="shared" si="11"/>
        <v>0</v>
      </c>
      <c r="AF17" s="486">
        <f t="shared" si="11"/>
        <v>0</v>
      </c>
      <c r="AG17" s="486">
        <f t="shared" si="11"/>
        <v>0</v>
      </c>
      <c r="AH17" s="486">
        <f t="shared" si="11"/>
        <v>0</v>
      </c>
      <c r="AI17" s="486">
        <f t="shared" si="11"/>
        <v>0</v>
      </c>
      <c r="AJ17" s="486">
        <f t="shared" si="11"/>
        <v>0</v>
      </c>
      <c r="AK17" s="486">
        <f t="shared" si="11"/>
        <v>0</v>
      </c>
      <c r="AL17" s="486">
        <f t="shared" si="11"/>
        <v>0</v>
      </c>
      <c r="AM17" s="486">
        <f t="shared" ref="AM17:AV26" si="12">IF(AND($F17=AM$5, $F17&lt;=entrega, $F17&gt;=lçto),atoPreCh,0)+IF(AND($F17&gt;AM$5,$F17&lt;=entrega, AM$5&gt;=lçto),mensaisPreCh/DATEDIF(AM$5, entrega, "m"),IF(AND($F17=entrega, AM$5=entrega), mensaisPreCh, 0))+IF(AND($F17&gt;=EDATE(entrega, chRepasse+1), $F17&lt;=EDATE(entrega, chRepasse+periodoRepassePreChaves), AM$5&lt;=entrega, AM$5&gt;=lçto), repassePreCh/periodoRepassePreChaves, 0)</f>
        <v>0</v>
      </c>
      <c r="AN17" s="486">
        <f t="shared" si="12"/>
        <v>0</v>
      </c>
      <c r="AO17" s="486">
        <f t="shared" si="12"/>
        <v>0</v>
      </c>
      <c r="AP17" s="486">
        <f t="shared" si="12"/>
        <v>0</v>
      </c>
      <c r="AQ17" s="486">
        <f t="shared" si="12"/>
        <v>0</v>
      </c>
      <c r="AR17" s="486">
        <f t="shared" si="12"/>
        <v>0</v>
      </c>
      <c r="AS17" s="486">
        <f t="shared" si="12"/>
        <v>0</v>
      </c>
      <c r="AT17" s="486">
        <f t="shared" si="12"/>
        <v>0</v>
      </c>
      <c r="AU17" s="486">
        <f t="shared" si="12"/>
        <v>0</v>
      </c>
      <c r="AV17" s="486">
        <f t="shared" si="12"/>
        <v>0</v>
      </c>
      <c r="AW17" s="486">
        <f t="shared" ref="AW17:BH26" si="13">IF(AND($F17=AW$5, $F17&lt;=entrega, $F17&gt;=lçto),atoPreCh,0)+IF(AND($F17&gt;AW$5,$F17&lt;=entrega, AW$5&gt;=lçto),mensaisPreCh/DATEDIF(AW$5, entrega, "m"),IF(AND($F17=entrega, AW$5=entrega), mensaisPreCh, 0))+IF(AND($F17&gt;=EDATE(entrega, chRepasse+1), $F17&lt;=EDATE(entrega, chRepasse+periodoRepassePreChaves), AW$5&lt;=entrega, AW$5&gt;=lçto), repassePreCh/periodoRepassePreChaves, 0)</f>
        <v>0</v>
      </c>
      <c r="AX17" s="486">
        <f t="shared" si="13"/>
        <v>0</v>
      </c>
      <c r="AY17" s="486">
        <f t="shared" si="13"/>
        <v>0</v>
      </c>
      <c r="AZ17" s="486">
        <f t="shared" si="13"/>
        <v>0</v>
      </c>
      <c r="BA17" s="486">
        <f t="shared" si="13"/>
        <v>0</v>
      </c>
      <c r="BB17" s="486">
        <f t="shared" si="13"/>
        <v>0</v>
      </c>
      <c r="BC17" s="486">
        <f t="shared" si="13"/>
        <v>0</v>
      </c>
      <c r="BD17" s="486">
        <f t="shared" si="13"/>
        <v>0</v>
      </c>
      <c r="BE17" s="486">
        <f t="shared" si="13"/>
        <v>0</v>
      </c>
      <c r="BF17" s="486">
        <f t="shared" si="13"/>
        <v>0</v>
      </c>
      <c r="BG17" s="486">
        <f t="shared" si="13"/>
        <v>0</v>
      </c>
      <c r="BH17" s="487">
        <f t="shared" si="13"/>
        <v>0</v>
      </c>
    </row>
    <row r="18" spans="5:60" x14ac:dyDescent="0.25">
      <c r="F18" s="488">
        <f t="shared" si="8"/>
        <v>44501</v>
      </c>
      <c r="G18" s="312">
        <v>12</v>
      </c>
      <c r="H18" t="str">
        <f t="shared" si="2"/>
        <v/>
      </c>
      <c r="I18" s="486">
        <f t="shared" si="9"/>
        <v>7.1428571428571435E-3</v>
      </c>
      <c r="J18" s="486">
        <f t="shared" si="9"/>
        <v>7.4074074074074077E-3</v>
      </c>
      <c r="K18" s="486">
        <f t="shared" si="9"/>
        <v>7.6923076923076927E-3</v>
      </c>
      <c r="L18" s="486">
        <f t="shared" si="9"/>
        <v>8.0000000000000002E-3</v>
      </c>
      <c r="M18" s="486">
        <f t="shared" si="9"/>
        <v>8.3333333333333332E-3</v>
      </c>
      <c r="N18" s="486">
        <f t="shared" si="9"/>
        <v>8.6956521739130436E-3</v>
      </c>
      <c r="O18" s="486">
        <f t="shared" si="9"/>
        <v>9.0909090909090922E-3</v>
      </c>
      <c r="P18" s="486">
        <f t="shared" si="9"/>
        <v>9.5238095238095247E-3</v>
      </c>
      <c r="Q18" s="486">
        <f t="shared" si="9"/>
        <v>0.01</v>
      </c>
      <c r="R18" s="486">
        <f t="shared" si="9"/>
        <v>1.0526315789473684E-2</v>
      </c>
      <c r="S18" s="486">
        <f t="shared" si="10"/>
        <v>1.1111111111111112E-2</v>
      </c>
      <c r="T18" s="486">
        <f t="shared" si="10"/>
        <v>0.05</v>
      </c>
      <c r="U18" s="486">
        <f t="shared" si="10"/>
        <v>0</v>
      </c>
      <c r="V18" s="486">
        <f t="shared" si="10"/>
        <v>0</v>
      </c>
      <c r="W18" s="486">
        <f t="shared" si="10"/>
        <v>0</v>
      </c>
      <c r="X18" s="486">
        <f t="shared" si="10"/>
        <v>0</v>
      </c>
      <c r="Y18" s="486">
        <f t="shared" si="10"/>
        <v>0</v>
      </c>
      <c r="Z18" s="486">
        <f t="shared" si="10"/>
        <v>0</v>
      </c>
      <c r="AA18" s="486">
        <f t="shared" si="10"/>
        <v>0</v>
      </c>
      <c r="AB18" s="486">
        <f t="shared" si="10"/>
        <v>0</v>
      </c>
      <c r="AC18" s="486">
        <f t="shared" si="11"/>
        <v>0</v>
      </c>
      <c r="AD18" s="486">
        <f t="shared" si="11"/>
        <v>0</v>
      </c>
      <c r="AE18" s="486">
        <f t="shared" si="11"/>
        <v>0</v>
      </c>
      <c r="AF18" s="486">
        <f t="shared" si="11"/>
        <v>0</v>
      </c>
      <c r="AG18" s="486">
        <f t="shared" si="11"/>
        <v>0</v>
      </c>
      <c r="AH18" s="486">
        <f t="shared" si="11"/>
        <v>0</v>
      </c>
      <c r="AI18" s="486">
        <f t="shared" si="11"/>
        <v>0</v>
      </c>
      <c r="AJ18" s="486">
        <f t="shared" si="11"/>
        <v>0</v>
      </c>
      <c r="AK18" s="486">
        <f t="shared" si="11"/>
        <v>0</v>
      </c>
      <c r="AL18" s="486">
        <f t="shared" si="11"/>
        <v>0</v>
      </c>
      <c r="AM18" s="486">
        <f t="shared" si="12"/>
        <v>0</v>
      </c>
      <c r="AN18" s="486">
        <f t="shared" si="12"/>
        <v>0</v>
      </c>
      <c r="AO18" s="486">
        <f t="shared" si="12"/>
        <v>0</v>
      </c>
      <c r="AP18" s="486">
        <f t="shared" si="12"/>
        <v>0</v>
      </c>
      <c r="AQ18" s="486">
        <f t="shared" si="12"/>
        <v>0</v>
      </c>
      <c r="AR18" s="486">
        <f t="shared" si="12"/>
        <v>0</v>
      </c>
      <c r="AS18" s="486">
        <f t="shared" si="12"/>
        <v>0</v>
      </c>
      <c r="AT18" s="486">
        <f t="shared" si="12"/>
        <v>0</v>
      </c>
      <c r="AU18" s="486">
        <f t="shared" si="12"/>
        <v>0</v>
      </c>
      <c r="AV18" s="486">
        <f t="shared" si="12"/>
        <v>0</v>
      </c>
      <c r="AW18" s="486">
        <f t="shared" si="13"/>
        <v>0</v>
      </c>
      <c r="AX18" s="486">
        <f t="shared" si="13"/>
        <v>0</v>
      </c>
      <c r="AY18" s="486">
        <f t="shared" si="13"/>
        <v>0</v>
      </c>
      <c r="AZ18" s="486">
        <f t="shared" si="13"/>
        <v>0</v>
      </c>
      <c r="BA18" s="486">
        <f t="shared" si="13"/>
        <v>0</v>
      </c>
      <c r="BB18" s="486">
        <f t="shared" si="13"/>
        <v>0</v>
      </c>
      <c r="BC18" s="486">
        <f t="shared" si="13"/>
        <v>0</v>
      </c>
      <c r="BD18" s="486">
        <f t="shared" si="13"/>
        <v>0</v>
      </c>
      <c r="BE18" s="486">
        <f t="shared" si="13"/>
        <v>0</v>
      </c>
      <c r="BF18" s="486">
        <f t="shared" si="13"/>
        <v>0</v>
      </c>
      <c r="BG18" s="486">
        <f t="shared" si="13"/>
        <v>0</v>
      </c>
      <c r="BH18" s="487">
        <f t="shared" si="13"/>
        <v>0</v>
      </c>
    </row>
    <row r="19" spans="5:60" x14ac:dyDescent="0.25">
      <c r="E19" s="72"/>
      <c r="F19" s="488">
        <f t="shared" si="8"/>
        <v>44531</v>
      </c>
      <c r="G19" s="312">
        <v>13</v>
      </c>
      <c r="H19" t="str">
        <f t="shared" si="2"/>
        <v/>
      </c>
      <c r="I19" s="486">
        <f t="shared" si="9"/>
        <v>7.1428571428571435E-3</v>
      </c>
      <c r="J19" s="486">
        <f t="shared" si="9"/>
        <v>7.4074074074074077E-3</v>
      </c>
      <c r="K19" s="486">
        <f t="shared" si="9"/>
        <v>7.6923076923076927E-3</v>
      </c>
      <c r="L19" s="486">
        <f t="shared" si="9"/>
        <v>8.0000000000000002E-3</v>
      </c>
      <c r="M19" s="486">
        <f t="shared" si="9"/>
        <v>8.3333333333333332E-3</v>
      </c>
      <c r="N19" s="486">
        <f t="shared" si="9"/>
        <v>8.6956521739130436E-3</v>
      </c>
      <c r="O19" s="486">
        <f t="shared" si="9"/>
        <v>9.0909090909090922E-3</v>
      </c>
      <c r="P19" s="486">
        <f t="shared" si="9"/>
        <v>9.5238095238095247E-3</v>
      </c>
      <c r="Q19" s="486">
        <f t="shared" si="9"/>
        <v>0.01</v>
      </c>
      <c r="R19" s="486">
        <f t="shared" si="9"/>
        <v>1.0526315789473684E-2</v>
      </c>
      <c r="S19" s="486">
        <f t="shared" si="10"/>
        <v>1.1111111111111112E-2</v>
      </c>
      <c r="T19" s="486">
        <f t="shared" si="10"/>
        <v>1.1764705882352941E-2</v>
      </c>
      <c r="U19" s="486">
        <f t="shared" si="10"/>
        <v>0.05</v>
      </c>
      <c r="V19" s="486">
        <f t="shared" si="10"/>
        <v>0</v>
      </c>
      <c r="W19" s="486">
        <f t="shared" si="10"/>
        <v>0</v>
      </c>
      <c r="X19" s="486">
        <f t="shared" si="10"/>
        <v>0</v>
      </c>
      <c r="Y19" s="486">
        <f t="shared" si="10"/>
        <v>0</v>
      </c>
      <c r="Z19" s="486">
        <f t="shared" si="10"/>
        <v>0</v>
      </c>
      <c r="AA19" s="486">
        <f t="shared" si="10"/>
        <v>0</v>
      </c>
      <c r="AB19" s="486">
        <f t="shared" si="10"/>
        <v>0</v>
      </c>
      <c r="AC19" s="486">
        <f t="shared" si="11"/>
        <v>0</v>
      </c>
      <c r="AD19" s="486">
        <f t="shared" si="11"/>
        <v>0</v>
      </c>
      <c r="AE19" s="486">
        <f t="shared" si="11"/>
        <v>0</v>
      </c>
      <c r="AF19" s="486">
        <f t="shared" si="11"/>
        <v>0</v>
      </c>
      <c r="AG19" s="486">
        <f t="shared" si="11"/>
        <v>0</v>
      </c>
      <c r="AH19" s="486">
        <f t="shared" si="11"/>
        <v>0</v>
      </c>
      <c r="AI19" s="486">
        <f t="shared" si="11"/>
        <v>0</v>
      </c>
      <c r="AJ19" s="486">
        <f t="shared" si="11"/>
        <v>0</v>
      </c>
      <c r="AK19" s="486">
        <f t="shared" si="11"/>
        <v>0</v>
      </c>
      <c r="AL19" s="486">
        <f t="shared" si="11"/>
        <v>0</v>
      </c>
      <c r="AM19" s="486">
        <f t="shared" si="12"/>
        <v>0</v>
      </c>
      <c r="AN19" s="486">
        <f t="shared" si="12"/>
        <v>0</v>
      </c>
      <c r="AO19" s="486">
        <f t="shared" si="12"/>
        <v>0</v>
      </c>
      <c r="AP19" s="486">
        <f t="shared" si="12"/>
        <v>0</v>
      </c>
      <c r="AQ19" s="486">
        <f t="shared" si="12"/>
        <v>0</v>
      </c>
      <c r="AR19" s="486">
        <f t="shared" si="12"/>
        <v>0</v>
      </c>
      <c r="AS19" s="486">
        <f t="shared" si="12"/>
        <v>0</v>
      </c>
      <c r="AT19" s="486">
        <f t="shared" si="12"/>
        <v>0</v>
      </c>
      <c r="AU19" s="486">
        <f t="shared" si="12"/>
        <v>0</v>
      </c>
      <c r="AV19" s="486">
        <f t="shared" si="12"/>
        <v>0</v>
      </c>
      <c r="AW19" s="486">
        <f t="shared" si="13"/>
        <v>0</v>
      </c>
      <c r="AX19" s="486">
        <f t="shared" si="13"/>
        <v>0</v>
      </c>
      <c r="AY19" s="486">
        <f t="shared" si="13"/>
        <v>0</v>
      </c>
      <c r="AZ19" s="486">
        <f t="shared" si="13"/>
        <v>0</v>
      </c>
      <c r="BA19" s="486">
        <f t="shared" si="13"/>
        <v>0</v>
      </c>
      <c r="BB19" s="486">
        <f t="shared" si="13"/>
        <v>0</v>
      </c>
      <c r="BC19" s="486">
        <f t="shared" si="13"/>
        <v>0</v>
      </c>
      <c r="BD19" s="486">
        <f t="shared" si="13"/>
        <v>0</v>
      </c>
      <c r="BE19" s="486">
        <f t="shared" si="13"/>
        <v>0</v>
      </c>
      <c r="BF19" s="486">
        <f t="shared" si="13"/>
        <v>0</v>
      </c>
      <c r="BG19" s="486">
        <f t="shared" si="13"/>
        <v>0</v>
      </c>
      <c r="BH19" s="487">
        <f t="shared" si="13"/>
        <v>0</v>
      </c>
    </row>
    <row r="20" spans="5:60" x14ac:dyDescent="0.25">
      <c r="F20" s="488">
        <f t="shared" si="8"/>
        <v>44562</v>
      </c>
      <c r="G20" s="312">
        <v>14</v>
      </c>
      <c r="H20" t="str">
        <f t="shared" si="2"/>
        <v/>
      </c>
      <c r="I20" s="486">
        <f t="shared" si="9"/>
        <v>7.1428571428571435E-3</v>
      </c>
      <c r="J20" s="486">
        <f t="shared" si="9"/>
        <v>7.4074074074074077E-3</v>
      </c>
      <c r="K20" s="486">
        <f t="shared" si="9"/>
        <v>7.6923076923076927E-3</v>
      </c>
      <c r="L20" s="486">
        <f t="shared" si="9"/>
        <v>8.0000000000000002E-3</v>
      </c>
      <c r="M20" s="486">
        <f t="shared" si="9"/>
        <v>8.3333333333333332E-3</v>
      </c>
      <c r="N20" s="486">
        <f t="shared" si="9"/>
        <v>8.6956521739130436E-3</v>
      </c>
      <c r="O20" s="486">
        <f t="shared" si="9"/>
        <v>9.0909090909090922E-3</v>
      </c>
      <c r="P20" s="486">
        <f t="shared" si="9"/>
        <v>9.5238095238095247E-3</v>
      </c>
      <c r="Q20" s="486">
        <f t="shared" si="9"/>
        <v>0.01</v>
      </c>
      <c r="R20" s="486">
        <f t="shared" si="9"/>
        <v>1.0526315789473684E-2</v>
      </c>
      <c r="S20" s="486">
        <f t="shared" si="10"/>
        <v>1.1111111111111112E-2</v>
      </c>
      <c r="T20" s="486">
        <f t="shared" si="10"/>
        <v>1.1764705882352941E-2</v>
      </c>
      <c r="U20" s="486">
        <f t="shared" si="10"/>
        <v>1.2500000000000001E-2</v>
      </c>
      <c r="V20" s="486">
        <f t="shared" si="10"/>
        <v>0.05</v>
      </c>
      <c r="W20" s="486">
        <f t="shared" si="10"/>
        <v>0</v>
      </c>
      <c r="X20" s="486">
        <f t="shared" si="10"/>
        <v>0</v>
      </c>
      <c r="Y20" s="486">
        <f t="shared" si="10"/>
        <v>0</v>
      </c>
      <c r="Z20" s="486">
        <f t="shared" si="10"/>
        <v>0</v>
      </c>
      <c r="AA20" s="486">
        <f t="shared" si="10"/>
        <v>0</v>
      </c>
      <c r="AB20" s="486">
        <f t="shared" si="10"/>
        <v>0</v>
      </c>
      <c r="AC20" s="486">
        <f t="shared" si="11"/>
        <v>0</v>
      </c>
      <c r="AD20" s="486">
        <f t="shared" si="11"/>
        <v>0</v>
      </c>
      <c r="AE20" s="486">
        <f t="shared" si="11"/>
        <v>0</v>
      </c>
      <c r="AF20" s="486">
        <f t="shared" si="11"/>
        <v>0</v>
      </c>
      <c r="AG20" s="486">
        <f t="shared" si="11"/>
        <v>0</v>
      </c>
      <c r="AH20" s="486">
        <f t="shared" si="11"/>
        <v>0</v>
      </c>
      <c r="AI20" s="486">
        <f t="shared" si="11"/>
        <v>0</v>
      </c>
      <c r="AJ20" s="486">
        <f t="shared" si="11"/>
        <v>0</v>
      </c>
      <c r="AK20" s="486">
        <f t="shared" si="11"/>
        <v>0</v>
      </c>
      <c r="AL20" s="486">
        <f t="shared" si="11"/>
        <v>0</v>
      </c>
      <c r="AM20" s="486">
        <f t="shared" si="12"/>
        <v>0</v>
      </c>
      <c r="AN20" s="486">
        <f t="shared" si="12"/>
        <v>0</v>
      </c>
      <c r="AO20" s="486">
        <f t="shared" si="12"/>
        <v>0</v>
      </c>
      <c r="AP20" s="486">
        <f t="shared" si="12"/>
        <v>0</v>
      </c>
      <c r="AQ20" s="486">
        <f t="shared" si="12"/>
        <v>0</v>
      </c>
      <c r="AR20" s="486">
        <f t="shared" si="12"/>
        <v>0</v>
      </c>
      <c r="AS20" s="486">
        <f t="shared" si="12"/>
        <v>0</v>
      </c>
      <c r="AT20" s="486">
        <f t="shared" si="12"/>
        <v>0</v>
      </c>
      <c r="AU20" s="486">
        <f t="shared" si="12"/>
        <v>0</v>
      </c>
      <c r="AV20" s="486">
        <f t="shared" si="12"/>
        <v>0</v>
      </c>
      <c r="AW20" s="486">
        <f t="shared" si="13"/>
        <v>0</v>
      </c>
      <c r="AX20" s="486">
        <f t="shared" si="13"/>
        <v>0</v>
      </c>
      <c r="AY20" s="486">
        <f t="shared" si="13"/>
        <v>0</v>
      </c>
      <c r="AZ20" s="486">
        <f t="shared" si="13"/>
        <v>0</v>
      </c>
      <c r="BA20" s="486">
        <f t="shared" si="13"/>
        <v>0</v>
      </c>
      <c r="BB20" s="486">
        <f t="shared" si="13"/>
        <v>0</v>
      </c>
      <c r="BC20" s="486">
        <f t="shared" si="13"/>
        <v>0</v>
      </c>
      <c r="BD20" s="486">
        <f t="shared" si="13"/>
        <v>0</v>
      </c>
      <c r="BE20" s="486">
        <f t="shared" si="13"/>
        <v>0</v>
      </c>
      <c r="BF20" s="486">
        <f t="shared" si="13"/>
        <v>0</v>
      </c>
      <c r="BG20" s="486">
        <f t="shared" si="13"/>
        <v>0</v>
      </c>
      <c r="BH20" s="487">
        <f t="shared" si="13"/>
        <v>0</v>
      </c>
    </row>
    <row r="21" spans="5:60" x14ac:dyDescent="0.25">
      <c r="F21" s="488">
        <f t="shared" si="8"/>
        <v>44593</v>
      </c>
      <c r="G21" s="312">
        <v>15</v>
      </c>
      <c r="H21" t="str">
        <f t="shared" si="2"/>
        <v/>
      </c>
      <c r="I21" s="486">
        <f t="shared" si="9"/>
        <v>7.1428571428571435E-3</v>
      </c>
      <c r="J21" s="486">
        <f t="shared" si="9"/>
        <v>7.4074074074074077E-3</v>
      </c>
      <c r="K21" s="486">
        <f t="shared" si="9"/>
        <v>7.6923076923076927E-3</v>
      </c>
      <c r="L21" s="486">
        <f t="shared" si="9"/>
        <v>8.0000000000000002E-3</v>
      </c>
      <c r="M21" s="486">
        <f t="shared" si="9"/>
        <v>8.3333333333333332E-3</v>
      </c>
      <c r="N21" s="486">
        <f t="shared" si="9"/>
        <v>8.6956521739130436E-3</v>
      </c>
      <c r="O21" s="486">
        <f t="shared" si="9"/>
        <v>9.0909090909090922E-3</v>
      </c>
      <c r="P21" s="486">
        <f t="shared" si="9"/>
        <v>9.5238095238095247E-3</v>
      </c>
      <c r="Q21" s="486">
        <f t="shared" si="9"/>
        <v>0.01</v>
      </c>
      <c r="R21" s="486">
        <f t="shared" si="9"/>
        <v>1.0526315789473684E-2</v>
      </c>
      <c r="S21" s="486">
        <f t="shared" si="10"/>
        <v>1.1111111111111112E-2</v>
      </c>
      <c r="T21" s="486">
        <f t="shared" si="10"/>
        <v>1.1764705882352941E-2</v>
      </c>
      <c r="U21" s="486">
        <f t="shared" si="10"/>
        <v>1.2500000000000001E-2</v>
      </c>
      <c r="V21" s="486">
        <f t="shared" si="10"/>
        <v>1.3333333333333334E-2</v>
      </c>
      <c r="W21" s="486">
        <f t="shared" si="10"/>
        <v>0.05</v>
      </c>
      <c r="X21" s="486">
        <f t="shared" si="10"/>
        <v>0</v>
      </c>
      <c r="Y21" s="486">
        <f t="shared" si="10"/>
        <v>0</v>
      </c>
      <c r="Z21" s="486">
        <f t="shared" si="10"/>
        <v>0</v>
      </c>
      <c r="AA21" s="486">
        <f t="shared" si="10"/>
        <v>0</v>
      </c>
      <c r="AB21" s="486">
        <f t="shared" si="10"/>
        <v>0</v>
      </c>
      <c r="AC21" s="486">
        <f t="shared" si="11"/>
        <v>0</v>
      </c>
      <c r="AD21" s="486">
        <f t="shared" si="11"/>
        <v>0</v>
      </c>
      <c r="AE21" s="486">
        <f t="shared" si="11"/>
        <v>0</v>
      </c>
      <c r="AF21" s="486">
        <f t="shared" si="11"/>
        <v>0</v>
      </c>
      <c r="AG21" s="486">
        <f t="shared" si="11"/>
        <v>0</v>
      </c>
      <c r="AH21" s="486">
        <f t="shared" si="11"/>
        <v>0</v>
      </c>
      <c r="AI21" s="486">
        <f t="shared" si="11"/>
        <v>0</v>
      </c>
      <c r="AJ21" s="486">
        <f t="shared" si="11"/>
        <v>0</v>
      </c>
      <c r="AK21" s="486">
        <f t="shared" si="11"/>
        <v>0</v>
      </c>
      <c r="AL21" s="486">
        <f t="shared" si="11"/>
        <v>0</v>
      </c>
      <c r="AM21" s="486">
        <f t="shared" si="12"/>
        <v>0</v>
      </c>
      <c r="AN21" s="486">
        <f t="shared" si="12"/>
        <v>0</v>
      </c>
      <c r="AO21" s="486">
        <f t="shared" si="12"/>
        <v>0</v>
      </c>
      <c r="AP21" s="486">
        <f t="shared" si="12"/>
        <v>0</v>
      </c>
      <c r="AQ21" s="486">
        <f t="shared" si="12"/>
        <v>0</v>
      </c>
      <c r="AR21" s="486">
        <f t="shared" si="12"/>
        <v>0</v>
      </c>
      <c r="AS21" s="486">
        <f t="shared" si="12"/>
        <v>0</v>
      </c>
      <c r="AT21" s="486">
        <f t="shared" si="12"/>
        <v>0</v>
      </c>
      <c r="AU21" s="486">
        <f t="shared" si="12"/>
        <v>0</v>
      </c>
      <c r="AV21" s="486">
        <f t="shared" si="12"/>
        <v>0</v>
      </c>
      <c r="AW21" s="486">
        <f t="shared" si="13"/>
        <v>0</v>
      </c>
      <c r="AX21" s="486">
        <f t="shared" si="13"/>
        <v>0</v>
      </c>
      <c r="AY21" s="486">
        <f t="shared" si="13"/>
        <v>0</v>
      </c>
      <c r="AZ21" s="486">
        <f t="shared" si="13"/>
        <v>0</v>
      </c>
      <c r="BA21" s="486">
        <f t="shared" si="13"/>
        <v>0</v>
      </c>
      <c r="BB21" s="486">
        <f t="shared" si="13"/>
        <v>0</v>
      </c>
      <c r="BC21" s="486">
        <f t="shared" si="13"/>
        <v>0</v>
      </c>
      <c r="BD21" s="486">
        <f t="shared" si="13"/>
        <v>0</v>
      </c>
      <c r="BE21" s="486">
        <f t="shared" si="13"/>
        <v>0</v>
      </c>
      <c r="BF21" s="486">
        <f t="shared" si="13"/>
        <v>0</v>
      </c>
      <c r="BG21" s="486">
        <f t="shared" si="13"/>
        <v>0</v>
      </c>
      <c r="BH21" s="487">
        <f t="shared" si="13"/>
        <v>0</v>
      </c>
    </row>
    <row r="22" spans="5:60" x14ac:dyDescent="0.25">
      <c r="F22" s="488">
        <f t="shared" si="8"/>
        <v>44621</v>
      </c>
      <c r="G22" s="312">
        <v>16</v>
      </c>
      <c r="H22" t="str">
        <f t="shared" si="2"/>
        <v/>
      </c>
      <c r="I22" s="486">
        <f t="shared" si="9"/>
        <v>7.1428571428571435E-3</v>
      </c>
      <c r="J22" s="486">
        <f t="shared" si="9"/>
        <v>7.4074074074074077E-3</v>
      </c>
      <c r="K22" s="486">
        <f t="shared" si="9"/>
        <v>7.6923076923076927E-3</v>
      </c>
      <c r="L22" s="486">
        <f t="shared" si="9"/>
        <v>8.0000000000000002E-3</v>
      </c>
      <c r="M22" s="486">
        <f t="shared" si="9"/>
        <v>8.3333333333333332E-3</v>
      </c>
      <c r="N22" s="486">
        <f t="shared" si="9"/>
        <v>8.6956521739130436E-3</v>
      </c>
      <c r="O22" s="486">
        <f t="shared" si="9"/>
        <v>9.0909090909090922E-3</v>
      </c>
      <c r="P22" s="486">
        <f t="shared" si="9"/>
        <v>9.5238095238095247E-3</v>
      </c>
      <c r="Q22" s="486">
        <f t="shared" si="9"/>
        <v>0.01</v>
      </c>
      <c r="R22" s="486">
        <f t="shared" si="9"/>
        <v>1.0526315789473684E-2</v>
      </c>
      <c r="S22" s="486">
        <f t="shared" si="10"/>
        <v>1.1111111111111112E-2</v>
      </c>
      <c r="T22" s="486">
        <f t="shared" si="10"/>
        <v>1.1764705882352941E-2</v>
      </c>
      <c r="U22" s="486">
        <f t="shared" si="10"/>
        <v>1.2500000000000001E-2</v>
      </c>
      <c r="V22" s="486">
        <f t="shared" si="10"/>
        <v>1.3333333333333334E-2</v>
      </c>
      <c r="W22" s="486">
        <f t="shared" si="10"/>
        <v>1.4285714285714287E-2</v>
      </c>
      <c r="X22" s="486">
        <f t="shared" si="10"/>
        <v>0.05</v>
      </c>
      <c r="Y22" s="486">
        <f t="shared" si="10"/>
        <v>0</v>
      </c>
      <c r="Z22" s="486">
        <f t="shared" si="10"/>
        <v>0</v>
      </c>
      <c r="AA22" s="486">
        <f t="shared" si="10"/>
        <v>0</v>
      </c>
      <c r="AB22" s="486">
        <f t="shared" si="10"/>
        <v>0</v>
      </c>
      <c r="AC22" s="486">
        <f t="shared" si="11"/>
        <v>0</v>
      </c>
      <c r="AD22" s="486">
        <f t="shared" si="11"/>
        <v>0</v>
      </c>
      <c r="AE22" s="486">
        <f t="shared" si="11"/>
        <v>0</v>
      </c>
      <c r="AF22" s="486">
        <f t="shared" si="11"/>
        <v>0</v>
      </c>
      <c r="AG22" s="486">
        <f t="shared" si="11"/>
        <v>0</v>
      </c>
      <c r="AH22" s="486">
        <f t="shared" si="11"/>
        <v>0</v>
      </c>
      <c r="AI22" s="486">
        <f t="shared" si="11"/>
        <v>0</v>
      </c>
      <c r="AJ22" s="486">
        <f t="shared" si="11"/>
        <v>0</v>
      </c>
      <c r="AK22" s="486">
        <f t="shared" si="11"/>
        <v>0</v>
      </c>
      <c r="AL22" s="486">
        <f t="shared" si="11"/>
        <v>0</v>
      </c>
      <c r="AM22" s="486">
        <f t="shared" si="12"/>
        <v>0</v>
      </c>
      <c r="AN22" s="486">
        <f t="shared" si="12"/>
        <v>0</v>
      </c>
      <c r="AO22" s="486">
        <f t="shared" si="12"/>
        <v>0</v>
      </c>
      <c r="AP22" s="486">
        <f t="shared" si="12"/>
        <v>0</v>
      </c>
      <c r="AQ22" s="486">
        <f t="shared" si="12"/>
        <v>0</v>
      </c>
      <c r="AR22" s="486">
        <f t="shared" si="12"/>
        <v>0</v>
      </c>
      <c r="AS22" s="486">
        <f t="shared" si="12"/>
        <v>0</v>
      </c>
      <c r="AT22" s="486">
        <f t="shared" si="12"/>
        <v>0</v>
      </c>
      <c r="AU22" s="486">
        <f t="shared" si="12"/>
        <v>0</v>
      </c>
      <c r="AV22" s="486">
        <f t="shared" si="12"/>
        <v>0</v>
      </c>
      <c r="AW22" s="486">
        <f t="shared" si="13"/>
        <v>0</v>
      </c>
      <c r="AX22" s="486">
        <f t="shared" si="13"/>
        <v>0</v>
      </c>
      <c r="AY22" s="486">
        <f t="shared" si="13"/>
        <v>0</v>
      </c>
      <c r="AZ22" s="486">
        <f t="shared" si="13"/>
        <v>0</v>
      </c>
      <c r="BA22" s="486">
        <f t="shared" si="13"/>
        <v>0</v>
      </c>
      <c r="BB22" s="486">
        <f t="shared" si="13"/>
        <v>0</v>
      </c>
      <c r="BC22" s="486">
        <f t="shared" si="13"/>
        <v>0</v>
      </c>
      <c r="BD22" s="486">
        <f t="shared" si="13"/>
        <v>0</v>
      </c>
      <c r="BE22" s="486">
        <f t="shared" si="13"/>
        <v>0</v>
      </c>
      <c r="BF22" s="486">
        <f t="shared" si="13"/>
        <v>0</v>
      </c>
      <c r="BG22" s="486">
        <f t="shared" si="13"/>
        <v>0</v>
      </c>
      <c r="BH22" s="487">
        <f t="shared" si="13"/>
        <v>0</v>
      </c>
    </row>
    <row r="23" spans="5:60" x14ac:dyDescent="0.25">
      <c r="F23" s="488">
        <f t="shared" si="8"/>
        <v>44652</v>
      </c>
      <c r="G23" s="312">
        <v>17</v>
      </c>
      <c r="H23" t="str">
        <f t="shared" si="2"/>
        <v/>
      </c>
      <c r="I23" s="486">
        <f t="shared" si="9"/>
        <v>7.1428571428571435E-3</v>
      </c>
      <c r="J23" s="486">
        <f t="shared" si="9"/>
        <v>7.4074074074074077E-3</v>
      </c>
      <c r="K23" s="486">
        <f t="shared" si="9"/>
        <v>7.6923076923076927E-3</v>
      </c>
      <c r="L23" s="486">
        <f t="shared" si="9"/>
        <v>8.0000000000000002E-3</v>
      </c>
      <c r="M23" s="486">
        <f t="shared" si="9"/>
        <v>8.3333333333333332E-3</v>
      </c>
      <c r="N23" s="486">
        <f t="shared" si="9"/>
        <v>8.6956521739130436E-3</v>
      </c>
      <c r="O23" s="486">
        <f t="shared" si="9"/>
        <v>9.0909090909090922E-3</v>
      </c>
      <c r="P23" s="486">
        <f t="shared" si="9"/>
        <v>9.5238095238095247E-3</v>
      </c>
      <c r="Q23" s="486">
        <f t="shared" si="9"/>
        <v>0.01</v>
      </c>
      <c r="R23" s="486">
        <f t="shared" si="9"/>
        <v>1.0526315789473684E-2</v>
      </c>
      <c r="S23" s="486">
        <f t="shared" si="10"/>
        <v>1.1111111111111112E-2</v>
      </c>
      <c r="T23" s="486">
        <f t="shared" si="10"/>
        <v>1.1764705882352941E-2</v>
      </c>
      <c r="U23" s="486">
        <f t="shared" si="10"/>
        <v>1.2500000000000001E-2</v>
      </c>
      <c r="V23" s="486">
        <f t="shared" si="10"/>
        <v>1.3333333333333334E-2</v>
      </c>
      <c r="W23" s="486">
        <f t="shared" si="10"/>
        <v>1.4285714285714287E-2</v>
      </c>
      <c r="X23" s="486">
        <f t="shared" si="10"/>
        <v>1.5384615384615385E-2</v>
      </c>
      <c r="Y23" s="486">
        <f t="shared" si="10"/>
        <v>0.05</v>
      </c>
      <c r="Z23" s="486">
        <f t="shared" si="10"/>
        <v>0</v>
      </c>
      <c r="AA23" s="486">
        <f t="shared" si="10"/>
        <v>0</v>
      </c>
      <c r="AB23" s="486">
        <f t="shared" si="10"/>
        <v>0</v>
      </c>
      <c r="AC23" s="486">
        <f t="shared" si="11"/>
        <v>0</v>
      </c>
      <c r="AD23" s="486">
        <f t="shared" si="11"/>
        <v>0</v>
      </c>
      <c r="AE23" s="486">
        <f t="shared" si="11"/>
        <v>0</v>
      </c>
      <c r="AF23" s="486">
        <f t="shared" si="11"/>
        <v>0</v>
      </c>
      <c r="AG23" s="486">
        <f t="shared" si="11"/>
        <v>0</v>
      </c>
      <c r="AH23" s="486">
        <f t="shared" si="11"/>
        <v>0</v>
      </c>
      <c r="AI23" s="486">
        <f t="shared" si="11"/>
        <v>0</v>
      </c>
      <c r="AJ23" s="486">
        <f t="shared" si="11"/>
        <v>0</v>
      </c>
      <c r="AK23" s="486">
        <f t="shared" si="11"/>
        <v>0</v>
      </c>
      <c r="AL23" s="486">
        <f t="shared" si="11"/>
        <v>0</v>
      </c>
      <c r="AM23" s="486">
        <f t="shared" si="12"/>
        <v>0</v>
      </c>
      <c r="AN23" s="486">
        <f t="shared" si="12"/>
        <v>0</v>
      </c>
      <c r="AO23" s="486">
        <f t="shared" si="12"/>
        <v>0</v>
      </c>
      <c r="AP23" s="486">
        <f t="shared" si="12"/>
        <v>0</v>
      </c>
      <c r="AQ23" s="486">
        <f t="shared" si="12"/>
        <v>0</v>
      </c>
      <c r="AR23" s="486">
        <f t="shared" si="12"/>
        <v>0</v>
      </c>
      <c r="AS23" s="486">
        <f t="shared" si="12"/>
        <v>0</v>
      </c>
      <c r="AT23" s="486">
        <f t="shared" si="12"/>
        <v>0</v>
      </c>
      <c r="AU23" s="486">
        <f t="shared" si="12"/>
        <v>0</v>
      </c>
      <c r="AV23" s="486">
        <f t="shared" si="12"/>
        <v>0</v>
      </c>
      <c r="AW23" s="486">
        <f t="shared" si="13"/>
        <v>0</v>
      </c>
      <c r="AX23" s="486">
        <f t="shared" si="13"/>
        <v>0</v>
      </c>
      <c r="AY23" s="486">
        <f t="shared" si="13"/>
        <v>0</v>
      </c>
      <c r="AZ23" s="486">
        <f t="shared" si="13"/>
        <v>0</v>
      </c>
      <c r="BA23" s="486">
        <f t="shared" si="13"/>
        <v>0</v>
      </c>
      <c r="BB23" s="486">
        <f t="shared" si="13"/>
        <v>0</v>
      </c>
      <c r="BC23" s="486">
        <f t="shared" si="13"/>
        <v>0</v>
      </c>
      <c r="BD23" s="486">
        <f t="shared" si="13"/>
        <v>0</v>
      </c>
      <c r="BE23" s="486">
        <f t="shared" si="13"/>
        <v>0</v>
      </c>
      <c r="BF23" s="486">
        <f t="shared" si="13"/>
        <v>0</v>
      </c>
      <c r="BG23" s="486">
        <f t="shared" si="13"/>
        <v>0</v>
      </c>
      <c r="BH23" s="487">
        <f t="shared" si="13"/>
        <v>0</v>
      </c>
    </row>
    <row r="24" spans="5:60" x14ac:dyDescent="0.25">
      <c r="F24" s="488">
        <f t="shared" si="8"/>
        <v>44682</v>
      </c>
      <c r="G24" s="312">
        <v>18</v>
      </c>
      <c r="H24" t="str">
        <f t="shared" si="2"/>
        <v/>
      </c>
      <c r="I24" s="486">
        <f t="shared" si="9"/>
        <v>7.1428571428571435E-3</v>
      </c>
      <c r="J24" s="486">
        <f t="shared" si="9"/>
        <v>7.4074074074074077E-3</v>
      </c>
      <c r="K24" s="486">
        <f t="shared" si="9"/>
        <v>7.6923076923076927E-3</v>
      </c>
      <c r="L24" s="486">
        <f t="shared" si="9"/>
        <v>8.0000000000000002E-3</v>
      </c>
      <c r="M24" s="486">
        <f t="shared" si="9"/>
        <v>8.3333333333333332E-3</v>
      </c>
      <c r="N24" s="486">
        <f t="shared" si="9"/>
        <v>8.6956521739130436E-3</v>
      </c>
      <c r="O24" s="486">
        <f t="shared" si="9"/>
        <v>9.0909090909090922E-3</v>
      </c>
      <c r="P24" s="486">
        <f t="shared" si="9"/>
        <v>9.5238095238095247E-3</v>
      </c>
      <c r="Q24" s="486">
        <f t="shared" si="9"/>
        <v>0.01</v>
      </c>
      <c r="R24" s="486">
        <f t="shared" si="9"/>
        <v>1.0526315789473684E-2</v>
      </c>
      <c r="S24" s="486">
        <f t="shared" si="10"/>
        <v>1.1111111111111112E-2</v>
      </c>
      <c r="T24" s="486">
        <f t="shared" si="10"/>
        <v>1.1764705882352941E-2</v>
      </c>
      <c r="U24" s="486">
        <f t="shared" si="10"/>
        <v>1.2500000000000001E-2</v>
      </c>
      <c r="V24" s="486">
        <f t="shared" si="10"/>
        <v>1.3333333333333334E-2</v>
      </c>
      <c r="W24" s="486">
        <f t="shared" si="10"/>
        <v>1.4285714285714287E-2</v>
      </c>
      <c r="X24" s="486">
        <f t="shared" si="10"/>
        <v>1.5384615384615385E-2</v>
      </c>
      <c r="Y24" s="486">
        <f t="shared" si="10"/>
        <v>1.6666666666666666E-2</v>
      </c>
      <c r="Z24" s="486">
        <f t="shared" si="10"/>
        <v>0.05</v>
      </c>
      <c r="AA24" s="486">
        <f t="shared" si="10"/>
        <v>0</v>
      </c>
      <c r="AB24" s="486">
        <f t="shared" si="10"/>
        <v>0</v>
      </c>
      <c r="AC24" s="486">
        <f t="shared" si="11"/>
        <v>0</v>
      </c>
      <c r="AD24" s="486">
        <f t="shared" si="11"/>
        <v>0</v>
      </c>
      <c r="AE24" s="486">
        <f t="shared" si="11"/>
        <v>0</v>
      </c>
      <c r="AF24" s="486">
        <f t="shared" si="11"/>
        <v>0</v>
      </c>
      <c r="AG24" s="486">
        <f t="shared" si="11"/>
        <v>0</v>
      </c>
      <c r="AH24" s="486">
        <f t="shared" si="11"/>
        <v>0</v>
      </c>
      <c r="AI24" s="486">
        <f t="shared" si="11"/>
        <v>0</v>
      </c>
      <c r="AJ24" s="486">
        <f t="shared" si="11"/>
        <v>0</v>
      </c>
      <c r="AK24" s="486">
        <f t="shared" si="11"/>
        <v>0</v>
      </c>
      <c r="AL24" s="486">
        <f t="shared" si="11"/>
        <v>0</v>
      </c>
      <c r="AM24" s="486">
        <f t="shared" si="12"/>
        <v>0</v>
      </c>
      <c r="AN24" s="486">
        <f t="shared" si="12"/>
        <v>0</v>
      </c>
      <c r="AO24" s="486">
        <f t="shared" si="12"/>
        <v>0</v>
      </c>
      <c r="AP24" s="486">
        <f t="shared" si="12"/>
        <v>0</v>
      </c>
      <c r="AQ24" s="486">
        <f t="shared" si="12"/>
        <v>0</v>
      </c>
      <c r="AR24" s="486">
        <f t="shared" si="12"/>
        <v>0</v>
      </c>
      <c r="AS24" s="486">
        <f t="shared" si="12"/>
        <v>0</v>
      </c>
      <c r="AT24" s="486">
        <f t="shared" si="12"/>
        <v>0</v>
      </c>
      <c r="AU24" s="486">
        <f t="shared" si="12"/>
        <v>0</v>
      </c>
      <c r="AV24" s="486">
        <f t="shared" si="12"/>
        <v>0</v>
      </c>
      <c r="AW24" s="486">
        <f t="shared" si="13"/>
        <v>0</v>
      </c>
      <c r="AX24" s="486">
        <f t="shared" si="13"/>
        <v>0</v>
      </c>
      <c r="AY24" s="486">
        <f t="shared" si="13"/>
        <v>0</v>
      </c>
      <c r="AZ24" s="486">
        <f t="shared" si="13"/>
        <v>0</v>
      </c>
      <c r="BA24" s="486">
        <f t="shared" si="13"/>
        <v>0</v>
      </c>
      <c r="BB24" s="486">
        <f t="shared" si="13"/>
        <v>0</v>
      </c>
      <c r="BC24" s="486">
        <f t="shared" si="13"/>
        <v>0</v>
      </c>
      <c r="BD24" s="486">
        <f t="shared" si="13"/>
        <v>0</v>
      </c>
      <c r="BE24" s="486">
        <f t="shared" si="13"/>
        <v>0</v>
      </c>
      <c r="BF24" s="486">
        <f t="shared" si="13"/>
        <v>0</v>
      </c>
      <c r="BG24" s="486">
        <f t="shared" si="13"/>
        <v>0</v>
      </c>
      <c r="BH24" s="487">
        <f t="shared" si="13"/>
        <v>0</v>
      </c>
    </row>
    <row r="25" spans="5:60" x14ac:dyDescent="0.25">
      <c r="F25" s="488">
        <f t="shared" si="8"/>
        <v>44713</v>
      </c>
      <c r="G25" s="312">
        <v>19</v>
      </c>
      <c r="H25" t="str">
        <f t="shared" si="2"/>
        <v/>
      </c>
      <c r="I25" s="486">
        <f t="shared" si="9"/>
        <v>7.1428571428571435E-3</v>
      </c>
      <c r="J25" s="486">
        <f t="shared" si="9"/>
        <v>7.4074074074074077E-3</v>
      </c>
      <c r="K25" s="486">
        <f t="shared" si="9"/>
        <v>7.6923076923076927E-3</v>
      </c>
      <c r="L25" s="486">
        <f t="shared" si="9"/>
        <v>8.0000000000000002E-3</v>
      </c>
      <c r="M25" s="486">
        <f t="shared" si="9"/>
        <v>8.3333333333333332E-3</v>
      </c>
      <c r="N25" s="486">
        <f t="shared" si="9"/>
        <v>8.6956521739130436E-3</v>
      </c>
      <c r="O25" s="486">
        <f t="shared" si="9"/>
        <v>9.0909090909090922E-3</v>
      </c>
      <c r="P25" s="486">
        <f t="shared" si="9"/>
        <v>9.5238095238095247E-3</v>
      </c>
      <c r="Q25" s="486">
        <f t="shared" si="9"/>
        <v>0.01</v>
      </c>
      <c r="R25" s="486">
        <f t="shared" si="9"/>
        <v>1.0526315789473684E-2</v>
      </c>
      <c r="S25" s="486">
        <f t="shared" si="10"/>
        <v>1.1111111111111112E-2</v>
      </c>
      <c r="T25" s="486">
        <f t="shared" si="10"/>
        <v>1.1764705882352941E-2</v>
      </c>
      <c r="U25" s="486">
        <f t="shared" si="10"/>
        <v>1.2500000000000001E-2</v>
      </c>
      <c r="V25" s="486">
        <f t="shared" si="10"/>
        <v>1.3333333333333334E-2</v>
      </c>
      <c r="W25" s="486">
        <f t="shared" si="10"/>
        <v>1.4285714285714287E-2</v>
      </c>
      <c r="X25" s="486">
        <f t="shared" si="10"/>
        <v>1.5384615384615385E-2</v>
      </c>
      <c r="Y25" s="486">
        <f t="shared" si="10"/>
        <v>1.6666666666666666E-2</v>
      </c>
      <c r="Z25" s="486">
        <f t="shared" si="10"/>
        <v>1.8181818181818184E-2</v>
      </c>
      <c r="AA25" s="486">
        <f t="shared" si="10"/>
        <v>0.05</v>
      </c>
      <c r="AB25" s="486">
        <f t="shared" si="10"/>
        <v>0</v>
      </c>
      <c r="AC25" s="486">
        <f t="shared" si="11"/>
        <v>0</v>
      </c>
      <c r="AD25" s="486">
        <f t="shared" si="11"/>
        <v>0</v>
      </c>
      <c r="AE25" s="486">
        <f t="shared" si="11"/>
        <v>0</v>
      </c>
      <c r="AF25" s="486">
        <f t="shared" si="11"/>
        <v>0</v>
      </c>
      <c r="AG25" s="486">
        <f t="shared" si="11"/>
        <v>0</v>
      </c>
      <c r="AH25" s="486">
        <f t="shared" si="11"/>
        <v>0</v>
      </c>
      <c r="AI25" s="486">
        <f t="shared" si="11"/>
        <v>0</v>
      </c>
      <c r="AJ25" s="486">
        <f t="shared" si="11"/>
        <v>0</v>
      </c>
      <c r="AK25" s="486">
        <f t="shared" si="11"/>
        <v>0</v>
      </c>
      <c r="AL25" s="486">
        <f t="shared" si="11"/>
        <v>0</v>
      </c>
      <c r="AM25" s="486">
        <f t="shared" si="12"/>
        <v>0</v>
      </c>
      <c r="AN25" s="486">
        <f t="shared" si="12"/>
        <v>0</v>
      </c>
      <c r="AO25" s="486">
        <f t="shared" si="12"/>
        <v>0</v>
      </c>
      <c r="AP25" s="486">
        <f t="shared" si="12"/>
        <v>0</v>
      </c>
      <c r="AQ25" s="486">
        <f t="shared" si="12"/>
        <v>0</v>
      </c>
      <c r="AR25" s="486">
        <f t="shared" si="12"/>
        <v>0</v>
      </c>
      <c r="AS25" s="486">
        <f t="shared" si="12"/>
        <v>0</v>
      </c>
      <c r="AT25" s="486">
        <f t="shared" si="12"/>
        <v>0</v>
      </c>
      <c r="AU25" s="486">
        <f t="shared" si="12"/>
        <v>0</v>
      </c>
      <c r="AV25" s="486">
        <f t="shared" si="12"/>
        <v>0</v>
      </c>
      <c r="AW25" s="486">
        <f t="shared" si="13"/>
        <v>0</v>
      </c>
      <c r="AX25" s="486">
        <f t="shared" si="13"/>
        <v>0</v>
      </c>
      <c r="AY25" s="486">
        <f t="shared" si="13"/>
        <v>0</v>
      </c>
      <c r="AZ25" s="486">
        <f t="shared" si="13"/>
        <v>0</v>
      </c>
      <c r="BA25" s="486">
        <f t="shared" si="13"/>
        <v>0</v>
      </c>
      <c r="BB25" s="486">
        <f t="shared" si="13"/>
        <v>0</v>
      </c>
      <c r="BC25" s="486">
        <f t="shared" si="13"/>
        <v>0</v>
      </c>
      <c r="BD25" s="486">
        <f t="shared" si="13"/>
        <v>0</v>
      </c>
      <c r="BE25" s="486">
        <f t="shared" si="13"/>
        <v>0</v>
      </c>
      <c r="BF25" s="486">
        <f t="shared" si="13"/>
        <v>0</v>
      </c>
      <c r="BG25" s="486">
        <f t="shared" si="13"/>
        <v>0</v>
      </c>
      <c r="BH25" s="487">
        <f t="shared" si="13"/>
        <v>0</v>
      </c>
    </row>
    <row r="26" spans="5:60" x14ac:dyDescent="0.25">
      <c r="F26" s="488">
        <f t="shared" si="8"/>
        <v>44743</v>
      </c>
      <c r="G26" s="312">
        <v>20</v>
      </c>
      <c r="H26" t="str">
        <f t="shared" si="2"/>
        <v/>
      </c>
      <c r="I26" s="486">
        <f t="shared" si="9"/>
        <v>7.1428571428571435E-3</v>
      </c>
      <c r="J26" s="486">
        <f t="shared" si="9"/>
        <v>7.4074074074074077E-3</v>
      </c>
      <c r="K26" s="486">
        <f t="shared" si="9"/>
        <v>7.6923076923076927E-3</v>
      </c>
      <c r="L26" s="486">
        <f t="shared" si="9"/>
        <v>8.0000000000000002E-3</v>
      </c>
      <c r="M26" s="486">
        <f t="shared" si="9"/>
        <v>8.3333333333333332E-3</v>
      </c>
      <c r="N26" s="486">
        <f t="shared" si="9"/>
        <v>8.6956521739130436E-3</v>
      </c>
      <c r="O26" s="486">
        <f t="shared" si="9"/>
        <v>9.0909090909090922E-3</v>
      </c>
      <c r="P26" s="486">
        <f t="shared" si="9"/>
        <v>9.5238095238095247E-3</v>
      </c>
      <c r="Q26" s="486">
        <f t="shared" si="9"/>
        <v>0.01</v>
      </c>
      <c r="R26" s="486">
        <f t="shared" si="9"/>
        <v>1.0526315789473684E-2</v>
      </c>
      <c r="S26" s="486">
        <f t="shared" si="10"/>
        <v>1.1111111111111112E-2</v>
      </c>
      <c r="T26" s="486">
        <f t="shared" si="10"/>
        <v>1.1764705882352941E-2</v>
      </c>
      <c r="U26" s="486">
        <f t="shared" si="10"/>
        <v>1.2500000000000001E-2</v>
      </c>
      <c r="V26" s="486">
        <f t="shared" si="10"/>
        <v>1.3333333333333334E-2</v>
      </c>
      <c r="W26" s="486">
        <f t="shared" si="10"/>
        <v>1.4285714285714287E-2</v>
      </c>
      <c r="X26" s="486">
        <f t="shared" si="10"/>
        <v>1.5384615384615385E-2</v>
      </c>
      <c r="Y26" s="486">
        <f t="shared" si="10"/>
        <v>1.6666666666666666E-2</v>
      </c>
      <c r="Z26" s="486">
        <f t="shared" si="10"/>
        <v>1.8181818181818184E-2</v>
      </c>
      <c r="AA26" s="486">
        <f t="shared" si="10"/>
        <v>0.02</v>
      </c>
      <c r="AB26" s="486">
        <f t="shared" si="10"/>
        <v>0.05</v>
      </c>
      <c r="AC26" s="486">
        <f t="shared" si="11"/>
        <v>0</v>
      </c>
      <c r="AD26" s="486">
        <f t="shared" si="11"/>
        <v>0</v>
      </c>
      <c r="AE26" s="486">
        <f t="shared" si="11"/>
        <v>0</v>
      </c>
      <c r="AF26" s="486">
        <f t="shared" si="11"/>
        <v>0</v>
      </c>
      <c r="AG26" s="486">
        <f t="shared" si="11"/>
        <v>0</v>
      </c>
      <c r="AH26" s="486">
        <f t="shared" si="11"/>
        <v>0</v>
      </c>
      <c r="AI26" s="486">
        <f t="shared" si="11"/>
        <v>0</v>
      </c>
      <c r="AJ26" s="486">
        <f t="shared" si="11"/>
        <v>0</v>
      </c>
      <c r="AK26" s="486">
        <f t="shared" si="11"/>
        <v>0</v>
      </c>
      <c r="AL26" s="486">
        <f t="shared" si="11"/>
        <v>0</v>
      </c>
      <c r="AM26" s="486">
        <f t="shared" si="12"/>
        <v>0</v>
      </c>
      <c r="AN26" s="486">
        <f t="shared" si="12"/>
        <v>0</v>
      </c>
      <c r="AO26" s="486">
        <f t="shared" si="12"/>
        <v>0</v>
      </c>
      <c r="AP26" s="486">
        <f t="shared" si="12"/>
        <v>0</v>
      </c>
      <c r="AQ26" s="486">
        <f t="shared" si="12"/>
        <v>0</v>
      </c>
      <c r="AR26" s="486">
        <f t="shared" si="12"/>
        <v>0</v>
      </c>
      <c r="AS26" s="486">
        <f t="shared" si="12"/>
        <v>0</v>
      </c>
      <c r="AT26" s="486">
        <f t="shared" si="12"/>
        <v>0</v>
      </c>
      <c r="AU26" s="486">
        <f t="shared" si="12"/>
        <v>0</v>
      </c>
      <c r="AV26" s="486">
        <f t="shared" si="12"/>
        <v>0</v>
      </c>
      <c r="AW26" s="486">
        <f t="shared" si="13"/>
        <v>0</v>
      </c>
      <c r="AX26" s="486">
        <f t="shared" si="13"/>
        <v>0</v>
      </c>
      <c r="AY26" s="486">
        <f t="shared" si="13"/>
        <v>0</v>
      </c>
      <c r="AZ26" s="486">
        <f t="shared" si="13"/>
        <v>0</v>
      </c>
      <c r="BA26" s="486">
        <f t="shared" si="13"/>
        <v>0</v>
      </c>
      <c r="BB26" s="486">
        <f t="shared" si="13"/>
        <v>0</v>
      </c>
      <c r="BC26" s="486">
        <f t="shared" si="13"/>
        <v>0</v>
      </c>
      <c r="BD26" s="486">
        <f t="shared" si="13"/>
        <v>0</v>
      </c>
      <c r="BE26" s="486">
        <f t="shared" si="13"/>
        <v>0</v>
      </c>
      <c r="BF26" s="486">
        <f t="shared" si="13"/>
        <v>0</v>
      </c>
      <c r="BG26" s="486">
        <f t="shared" si="13"/>
        <v>0</v>
      </c>
      <c r="BH26" s="487">
        <f t="shared" si="13"/>
        <v>0</v>
      </c>
    </row>
    <row r="27" spans="5:60" x14ac:dyDescent="0.25">
      <c r="F27" s="488">
        <f t="shared" si="8"/>
        <v>44774</v>
      </c>
      <c r="G27" s="312">
        <v>21</v>
      </c>
      <c r="H27" t="str">
        <f t="shared" si="2"/>
        <v/>
      </c>
      <c r="I27" s="486">
        <f t="shared" ref="I27:R36" si="14">IF(AND($F27=I$5, $F27&lt;=entrega, $F27&gt;=lçto),atoPreCh,0)+IF(AND($F27&gt;I$5,$F27&lt;=entrega, I$5&gt;=lçto),mensaisPreCh/DATEDIF(I$5, entrega, "m"),IF(AND($F27=entrega, I$5=entrega), mensaisPreCh, 0))+IF(AND($F27&gt;=EDATE(entrega, chRepasse+1), $F27&lt;=EDATE(entrega, chRepasse+periodoRepassePreChaves), I$5&lt;=entrega, I$5&gt;=lçto), repassePreCh/periodoRepassePreChaves, 0)</f>
        <v>7.1428571428571435E-3</v>
      </c>
      <c r="J27" s="486">
        <f t="shared" si="14"/>
        <v>7.4074074074074077E-3</v>
      </c>
      <c r="K27" s="486">
        <f t="shared" si="14"/>
        <v>7.6923076923076927E-3</v>
      </c>
      <c r="L27" s="486">
        <f t="shared" si="14"/>
        <v>8.0000000000000002E-3</v>
      </c>
      <c r="M27" s="486">
        <f t="shared" si="14"/>
        <v>8.3333333333333332E-3</v>
      </c>
      <c r="N27" s="486">
        <f t="shared" si="14"/>
        <v>8.6956521739130436E-3</v>
      </c>
      <c r="O27" s="486">
        <f t="shared" si="14"/>
        <v>9.0909090909090922E-3</v>
      </c>
      <c r="P27" s="486">
        <f t="shared" si="14"/>
        <v>9.5238095238095247E-3</v>
      </c>
      <c r="Q27" s="486">
        <f t="shared" si="14"/>
        <v>0.01</v>
      </c>
      <c r="R27" s="486">
        <f t="shared" si="14"/>
        <v>1.0526315789473684E-2</v>
      </c>
      <c r="S27" s="486">
        <f t="shared" ref="S27:AB36" si="15">IF(AND($F27=S$5, $F27&lt;=entrega, $F27&gt;=lçto),atoPreCh,0)+IF(AND($F27&gt;S$5,$F27&lt;=entrega, S$5&gt;=lçto),mensaisPreCh/DATEDIF(S$5, entrega, "m"),IF(AND($F27=entrega, S$5=entrega), mensaisPreCh, 0))+IF(AND($F27&gt;=EDATE(entrega, chRepasse+1), $F27&lt;=EDATE(entrega, chRepasse+periodoRepassePreChaves), S$5&lt;=entrega, S$5&gt;=lçto), repassePreCh/periodoRepassePreChaves, 0)</f>
        <v>1.1111111111111112E-2</v>
      </c>
      <c r="T27" s="486">
        <f t="shared" si="15"/>
        <v>1.1764705882352941E-2</v>
      </c>
      <c r="U27" s="486">
        <f t="shared" si="15"/>
        <v>1.2500000000000001E-2</v>
      </c>
      <c r="V27" s="486">
        <f t="shared" si="15"/>
        <v>1.3333333333333334E-2</v>
      </c>
      <c r="W27" s="486">
        <f t="shared" si="15"/>
        <v>1.4285714285714287E-2</v>
      </c>
      <c r="X27" s="486">
        <f t="shared" si="15"/>
        <v>1.5384615384615385E-2</v>
      </c>
      <c r="Y27" s="486">
        <f t="shared" si="15"/>
        <v>1.6666666666666666E-2</v>
      </c>
      <c r="Z27" s="486">
        <f t="shared" si="15"/>
        <v>1.8181818181818184E-2</v>
      </c>
      <c r="AA27" s="486">
        <f t="shared" si="15"/>
        <v>0.02</v>
      </c>
      <c r="AB27" s="486">
        <f t="shared" si="15"/>
        <v>2.2222222222222223E-2</v>
      </c>
      <c r="AC27" s="486">
        <f t="shared" ref="AC27:AL36" si="16">IF(AND($F27=AC$5, $F27&lt;=entrega, $F27&gt;=lçto),atoPreCh,0)+IF(AND($F27&gt;AC$5,$F27&lt;=entrega, AC$5&gt;=lçto),mensaisPreCh/DATEDIF(AC$5, entrega, "m"),IF(AND($F27=entrega, AC$5=entrega), mensaisPreCh, 0))+IF(AND($F27&gt;=EDATE(entrega, chRepasse+1), $F27&lt;=EDATE(entrega, chRepasse+periodoRepassePreChaves), AC$5&lt;=entrega, AC$5&gt;=lçto), repassePreCh/periodoRepassePreChaves, 0)</f>
        <v>0.05</v>
      </c>
      <c r="AD27" s="486">
        <f t="shared" si="16"/>
        <v>0</v>
      </c>
      <c r="AE27" s="486">
        <f t="shared" si="16"/>
        <v>0</v>
      </c>
      <c r="AF27" s="486">
        <f t="shared" si="16"/>
        <v>0</v>
      </c>
      <c r="AG27" s="486">
        <f t="shared" si="16"/>
        <v>0</v>
      </c>
      <c r="AH27" s="486">
        <f t="shared" si="16"/>
        <v>0</v>
      </c>
      <c r="AI27" s="486">
        <f t="shared" si="16"/>
        <v>0</v>
      </c>
      <c r="AJ27" s="486">
        <f t="shared" si="16"/>
        <v>0</v>
      </c>
      <c r="AK27" s="486">
        <f t="shared" si="16"/>
        <v>0</v>
      </c>
      <c r="AL27" s="486">
        <f t="shared" si="16"/>
        <v>0</v>
      </c>
      <c r="AM27" s="486">
        <f t="shared" ref="AM27:AV36" si="17">IF(AND($F27=AM$5, $F27&lt;=entrega, $F27&gt;=lçto),atoPreCh,0)+IF(AND($F27&gt;AM$5,$F27&lt;=entrega, AM$5&gt;=lçto),mensaisPreCh/DATEDIF(AM$5, entrega, "m"),IF(AND($F27=entrega, AM$5=entrega), mensaisPreCh, 0))+IF(AND($F27&gt;=EDATE(entrega, chRepasse+1), $F27&lt;=EDATE(entrega, chRepasse+periodoRepassePreChaves), AM$5&lt;=entrega, AM$5&gt;=lçto), repassePreCh/periodoRepassePreChaves, 0)</f>
        <v>0</v>
      </c>
      <c r="AN27" s="486">
        <f t="shared" si="17"/>
        <v>0</v>
      </c>
      <c r="AO27" s="486">
        <f t="shared" si="17"/>
        <v>0</v>
      </c>
      <c r="AP27" s="486">
        <f t="shared" si="17"/>
        <v>0</v>
      </c>
      <c r="AQ27" s="486">
        <f t="shared" si="17"/>
        <v>0</v>
      </c>
      <c r="AR27" s="486">
        <f t="shared" si="17"/>
        <v>0</v>
      </c>
      <c r="AS27" s="486">
        <f t="shared" si="17"/>
        <v>0</v>
      </c>
      <c r="AT27" s="486">
        <f t="shared" si="17"/>
        <v>0</v>
      </c>
      <c r="AU27" s="486">
        <f t="shared" si="17"/>
        <v>0</v>
      </c>
      <c r="AV27" s="486">
        <f t="shared" si="17"/>
        <v>0</v>
      </c>
      <c r="AW27" s="486">
        <f t="shared" ref="AW27:BH36" si="18">IF(AND($F27=AW$5, $F27&lt;=entrega, $F27&gt;=lçto),atoPreCh,0)+IF(AND($F27&gt;AW$5,$F27&lt;=entrega, AW$5&gt;=lçto),mensaisPreCh/DATEDIF(AW$5, entrega, "m"),IF(AND($F27=entrega, AW$5=entrega), mensaisPreCh, 0))+IF(AND($F27&gt;=EDATE(entrega, chRepasse+1), $F27&lt;=EDATE(entrega, chRepasse+periodoRepassePreChaves), AW$5&lt;=entrega, AW$5&gt;=lçto), repassePreCh/periodoRepassePreChaves, 0)</f>
        <v>0</v>
      </c>
      <c r="AX27" s="486">
        <f t="shared" si="18"/>
        <v>0</v>
      </c>
      <c r="AY27" s="486">
        <f t="shared" si="18"/>
        <v>0</v>
      </c>
      <c r="AZ27" s="486">
        <f t="shared" si="18"/>
        <v>0</v>
      </c>
      <c r="BA27" s="486">
        <f t="shared" si="18"/>
        <v>0</v>
      </c>
      <c r="BB27" s="486">
        <f t="shared" si="18"/>
        <v>0</v>
      </c>
      <c r="BC27" s="486">
        <f t="shared" si="18"/>
        <v>0</v>
      </c>
      <c r="BD27" s="486">
        <f t="shared" si="18"/>
        <v>0</v>
      </c>
      <c r="BE27" s="486">
        <f t="shared" si="18"/>
        <v>0</v>
      </c>
      <c r="BF27" s="486">
        <f t="shared" si="18"/>
        <v>0</v>
      </c>
      <c r="BG27" s="486">
        <f t="shared" si="18"/>
        <v>0</v>
      </c>
      <c r="BH27" s="487">
        <f t="shared" si="18"/>
        <v>0</v>
      </c>
    </row>
    <row r="28" spans="5:60" x14ac:dyDescent="0.25">
      <c r="F28" s="488">
        <f t="shared" si="8"/>
        <v>44805</v>
      </c>
      <c r="G28" s="312">
        <v>22</v>
      </c>
      <c r="H28" t="str">
        <f t="shared" si="2"/>
        <v/>
      </c>
      <c r="I28" s="486">
        <f t="shared" si="14"/>
        <v>7.1428571428571435E-3</v>
      </c>
      <c r="J28" s="486">
        <f t="shared" si="14"/>
        <v>7.4074074074074077E-3</v>
      </c>
      <c r="K28" s="486">
        <f t="shared" si="14"/>
        <v>7.6923076923076927E-3</v>
      </c>
      <c r="L28" s="486">
        <f t="shared" si="14"/>
        <v>8.0000000000000002E-3</v>
      </c>
      <c r="M28" s="486">
        <f t="shared" si="14"/>
        <v>8.3333333333333332E-3</v>
      </c>
      <c r="N28" s="486">
        <f t="shared" si="14"/>
        <v>8.6956521739130436E-3</v>
      </c>
      <c r="O28" s="486">
        <f t="shared" si="14"/>
        <v>9.0909090909090922E-3</v>
      </c>
      <c r="P28" s="486">
        <f t="shared" si="14"/>
        <v>9.5238095238095247E-3</v>
      </c>
      <c r="Q28" s="486">
        <f t="shared" si="14"/>
        <v>0.01</v>
      </c>
      <c r="R28" s="486">
        <f t="shared" si="14"/>
        <v>1.0526315789473684E-2</v>
      </c>
      <c r="S28" s="486">
        <f t="shared" si="15"/>
        <v>1.1111111111111112E-2</v>
      </c>
      <c r="T28" s="486">
        <f t="shared" si="15"/>
        <v>1.1764705882352941E-2</v>
      </c>
      <c r="U28" s="486">
        <f t="shared" si="15"/>
        <v>1.2500000000000001E-2</v>
      </c>
      <c r="V28" s="486">
        <f t="shared" si="15"/>
        <v>1.3333333333333334E-2</v>
      </c>
      <c r="W28" s="486">
        <f t="shared" si="15"/>
        <v>1.4285714285714287E-2</v>
      </c>
      <c r="X28" s="486">
        <f t="shared" si="15"/>
        <v>1.5384615384615385E-2</v>
      </c>
      <c r="Y28" s="486">
        <f t="shared" si="15"/>
        <v>1.6666666666666666E-2</v>
      </c>
      <c r="Z28" s="486">
        <f t="shared" si="15"/>
        <v>1.8181818181818184E-2</v>
      </c>
      <c r="AA28" s="486">
        <f t="shared" si="15"/>
        <v>0.02</v>
      </c>
      <c r="AB28" s="486">
        <f t="shared" si="15"/>
        <v>2.2222222222222223E-2</v>
      </c>
      <c r="AC28" s="486">
        <f t="shared" si="16"/>
        <v>2.5000000000000001E-2</v>
      </c>
      <c r="AD28" s="486">
        <f t="shared" si="16"/>
        <v>0.05</v>
      </c>
      <c r="AE28" s="486">
        <f t="shared" si="16"/>
        <v>0</v>
      </c>
      <c r="AF28" s="486">
        <f t="shared" si="16"/>
        <v>0</v>
      </c>
      <c r="AG28" s="486">
        <f t="shared" si="16"/>
        <v>0</v>
      </c>
      <c r="AH28" s="486">
        <f t="shared" si="16"/>
        <v>0</v>
      </c>
      <c r="AI28" s="486">
        <f t="shared" si="16"/>
        <v>0</v>
      </c>
      <c r="AJ28" s="486">
        <f t="shared" si="16"/>
        <v>0</v>
      </c>
      <c r="AK28" s="486">
        <f t="shared" si="16"/>
        <v>0</v>
      </c>
      <c r="AL28" s="486">
        <f t="shared" si="16"/>
        <v>0</v>
      </c>
      <c r="AM28" s="486">
        <f t="shared" si="17"/>
        <v>0</v>
      </c>
      <c r="AN28" s="486">
        <f t="shared" si="17"/>
        <v>0</v>
      </c>
      <c r="AO28" s="486">
        <f t="shared" si="17"/>
        <v>0</v>
      </c>
      <c r="AP28" s="486">
        <f t="shared" si="17"/>
        <v>0</v>
      </c>
      <c r="AQ28" s="486">
        <f t="shared" si="17"/>
        <v>0</v>
      </c>
      <c r="AR28" s="486">
        <f t="shared" si="17"/>
        <v>0</v>
      </c>
      <c r="AS28" s="486">
        <f t="shared" si="17"/>
        <v>0</v>
      </c>
      <c r="AT28" s="486">
        <f t="shared" si="17"/>
        <v>0</v>
      </c>
      <c r="AU28" s="486">
        <f t="shared" si="17"/>
        <v>0</v>
      </c>
      <c r="AV28" s="486">
        <f t="shared" si="17"/>
        <v>0</v>
      </c>
      <c r="AW28" s="486">
        <f t="shared" si="18"/>
        <v>0</v>
      </c>
      <c r="AX28" s="486">
        <f t="shared" si="18"/>
        <v>0</v>
      </c>
      <c r="AY28" s="486">
        <f t="shared" si="18"/>
        <v>0</v>
      </c>
      <c r="AZ28" s="486">
        <f t="shared" si="18"/>
        <v>0</v>
      </c>
      <c r="BA28" s="486">
        <f t="shared" si="18"/>
        <v>0</v>
      </c>
      <c r="BB28" s="486">
        <f t="shared" si="18"/>
        <v>0</v>
      </c>
      <c r="BC28" s="486">
        <f t="shared" si="18"/>
        <v>0</v>
      </c>
      <c r="BD28" s="486">
        <f t="shared" si="18"/>
        <v>0</v>
      </c>
      <c r="BE28" s="486">
        <f t="shared" si="18"/>
        <v>0</v>
      </c>
      <c r="BF28" s="486">
        <f t="shared" si="18"/>
        <v>0</v>
      </c>
      <c r="BG28" s="486">
        <f t="shared" si="18"/>
        <v>0</v>
      </c>
      <c r="BH28" s="487">
        <f t="shared" si="18"/>
        <v>0</v>
      </c>
    </row>
    <row r="29" spans="5:60" x14ac:dyDescent="0.25">
      <c r="F29" s="488">
        <f t="shared" si="8"/>
        <v>44835</v>
      </c>
      <c r="G29" s="312">
        <v>23</v>
      </c>
      <c r="H29" t="str">
        <f t="shared" si="2"/>
        <v/>
      </c>
      <c r="I29" s="486">
        <f t="shared" si="14"/>
        <v>7.1428571428571435E-3</v>
      </c>
      <c r="J29" s="486">
        <f t="shared" si="14"/>
        <v>7.4074074074074077E-3</v>
      </c>
      <c r="K29" s="486">
        <f t="shared" si="14"/>
        <v>7.6923076923076927E-3</v>
      </c>
      <c r="L29" s="486">
        <f t="shared" si="14"/>
        <v>8.0000000000000002E-3</v>
      </c>
      <c r="M29" s="486">
        <f t="shared" si="14"/>
        <v>8.3333333333333332E-3</v>
      </c>
      <c r="N29" s="486">
        <f t="shared" si="14"/>
        <v>8.6956521739130436E-3</v>
      </c>
      <c r="O29" s="486">
        <f t="shared" si="14"/>
        <v>9.0909090909090922E-3</v>
      </c>
      <c r="P29" s="486">
        <f t="shared" si="14"/>
        <v>9.5238095238095247E-3</v>
      </c>
      <c r="Q29" s="486">
        <f t="shared" si="14"/>
        <v>0.01</v>
      </c>
      <c r="R29" s="486">
        <f t="shared" si="14"/>
        <v>1.0526315789473684E-2</v>
      </c>
      <c r="S29" s="486">
        <f t="shared" si="15"/>
        <v>1.1111111111111112E-2</v>
      </c>
      <c r="T29" s="486">
        <f t="shared" si="15"/>
        <v>1.1764705882352941E-2</v>
      </c>
      <c r="U29" s="486">
        <f t="shared" si="15"/>
        <v>1.2500000000000001E-2</v>
      </c>
      <c r="V29" s="486">
        <f t="shared" si="15"/>
        <v>1.3333333333333334E-2</v>
      </c>
      <c r="W29" s="486">
        <f t="shared" si="15"/>
        <v>1.4285714285714287E-2</v>
      </c>
      <c r="X29" s="486">
        <f t="shared" si="15"/>
        <v>1.5384615384615385E-2</v>
      </c>
      <c r="Y29" s="486">
        <f t="shared" si="15"/>
        <v>1.6666666666666666E-2</v>
      </c>
      <c r="Z29" s="486">
        <f t="shared" si="15"/>
        <v>1.8181818181818184E-2</v>
      </c>
      <c r="AA29" s="486">
        <f t="shared" si="15"/>
        <v>0.02</v>
      </c>
      <c r="AB29" s="486">
        <f t="shared" si="15"/>
        <v>2.2222222222222223E-2</v>
      </c>
      <c r="AC29" s="486">
        <f t="shared" si="16"/>
        <v>2.5000000000000001E-2</v>
      </c>
      <c r="AD29" s="486">
        <f t="shared" si="16"/>
        <v>2.8571428571428574E-2</v>
      </c>
      <c r="AE29" s="486">
        <f t="shared" si="16"/>
        <v>0.05</v>
      </c>
      <c r="AF29" s="486">
        <f t="shared" si="16"/>
        <v>0</v>
      </c>
      <c r="AG29" s="486">
        <f t="shared" si="16"/>
        <v>0</v>
      </c>
      <c r="AH29" s="486">
        <f t="shared" si="16"/>
        <v>0</v>
      </c>
      <c r="AI29" s="486">
        <f t="shared" si="16"/>
        <v>0</v>
      </c>
      <c r="AJ29" s="486">
        <f t="shared" si="16"/>
        <v>0</v>
      </c>
      <c r="AK29" s="486">
        <f t="shared" si="16"/>
        <v>0</v>
      </c>
      <c r="AL29" s="486">
        <f t="shared" si="16"/>
        <v>0</v>
      </c>
      <c r="AM29" s="486">
        <f t="shared" si="17"/>
        <v>0</v>
      </c>
      <c r="AN29" s="486">
        <f t="shared" si="17"/>
        <v>0</v>
      </c>
      <c r="AO29" s="486">
        <f t="shared" si="17"/>
        <v>0</v>
      </c>
      <c r="AP29" s="486">
        <f t="shared" si="17"/>
        <v>0</v>
      </c>
      <c r="AQ29" s="486">
        <f t="shared" si="17"/>
        <v>0</v>
      </c>
      <c r="AR29" s="486">
        <f t="shared" si="17"/>
        <v>0</v>
      </c>
      <c r="AS29" s="486">
        <f t="shared" si="17"/>
        <v>0</v>
      </c>
      <c r="AT29" s="486">
        <f t="shared" si="17"/>
        <v>0</v>
      </c>
      <c r="AU29" s="486">
        <f t="shared" si="17"/>
        <v>0</v>
      </c>
      <c r="AV29" s="486">
        <f t="shared" si="17"/>
        <v>0</v>
      </c>
      <c r="AW29" s="486">
        <f t="shared" si="18"/>
        <v>0</v>
      </c>
      <c r="AX29" s="486">
        <f t="shared" si="18"/>
        <v>0</v>
      </c>
      <c r="AY29" s="486">
        <f t="shared" si="18"/>
        <v>0</v>
      </c>
      <c r="AZ29" s="486">
        <f t="shared" si="18"/>
        <v>0</v>
      </c>
      <c r="BA29" s="486">
        <f t="shared" si="18"/>
        <v>0</v>
      </c>
      <c r="BB29" s="486">
        <f t="shared" si="18"/>
        <v>0</v>
      </c>
      <c r="BC29" s="486">
        <f t="shared" si="18"/>
        <v>0</v>
      </c>
      <c r="BD29" s="486">
        <f t="shared" si="18"/>
        <v>0</v>
      </c>
      <c r="BE29" s="486">
        <f t="shared" si="18"/>
        <v>0</v>
      </c>
      <c r="BF29" s="486">
        <f t="shared" si="18"/>
        <v>0</v>
      </c>
      <c r="BG29" s="486">
        <f t="shared" si="18"/>
        <v>0</v>
      </c>
      <c r="BH29" s="487">
        <f t="shared" si="18"/>
        <v>0</v>
      </c>
    </row>
    <row r="30" spans="5:60" x14ac:dyDescent="0.25">
      <c r="F30" s="488">
        <f t="shared" si="8"/>
        <v>44866</v>
      </c>
      <c r="G30" s="312">
        <v>24</v>
      </c>
      <c r="H30" t="str">
        <f t="shared" si="2"/>
        <v/>
      </c>
      <c r="I30" s="486">
        <f t="shared" si="14"/>
        <v>7.1428571428571435E-3</v>
      </c>
      <c r="J30" s="486">
        <f t="shared" si="14"/>
        <v>7.4074074074074077E-3</v>
      </c>
      <c r="K30" s="486">
        <f t="shared" si="14"/>
        <v>7.6923076923076927E-3</v>
      </c>
      <c r="L30" s="486">
        <f t="shared" si="14"/>
        <v>8.0000000000000002E-3</v>
      </c>
      <c r="M30" s="486">
        <f t="shared" si="14"/>
        <v>8.3333333333333332E-3</v>
      </c>
      <c r="N30" s="486">
        <f t="shared" si="14"/>
        <v>8.6956521739130436E-3</v>
      </c>
      <c r="O30" s="486">
        <f t="shared" si="14"/>
        <v>9.0909090909090922E-3</v>
      </c>
      <c r="P30" s="486">
        <f t="shared" si="14"/>
        <v>9.5238095238095247E-3</v>
      </c>
      <c r="Q30" s="486">
        <f t="shared" si="14"/>
        <v>0.01</v>
      </c>
      <c r="R30" s="486">
        <f t="shared" si="14"/>
        <v>1.0526315789473684E-2</v>
      </c>
      <c r="S30" s="486">
        <f t="shared" si="15"/>
        <v>1.1111111111111112E-2</v>
      </c>
      <c r="T30" s="486">
        <f t="shared" si="15"/>
        <v>1.1764705882352941E-2</v>
      </c>
      <c r="U30" s="486">
        <f t="shared" si="15"/>
        <v>1.2500000000000001E-2</v>
      </c>
      <c r="V30" s="486">
        <f t="shared" si="15"/>
        <v>1.3333333333333334E-2</v>
      </c>
      <c r="W30" s="486">
        <f t="shared" si="15"/>
        <v>1.4285714285714287E-2</v>
      </c>
      <c r="X30" s="486">
        <f t="shared" si="15"/>
        <v>1.5384615384615385E-2</v>
      </c>
      <c r="Y30" s="486">
        <f t="shared" si="15"/>
        <v>1.6666666666666666E-2</v>
      </c>
      <c r="Z30" s="486">
        <f t="shared" si="15"/>
        <v>1.8181818181818184E-2</v>
      </c>
      <c r="AA30" s="486">
        <f t="shared" si="15"/>
        <v>0.02</v>
      </c>
      <c r="AB30" s="486">
        <f t="shared" si="15"/>
        <v>2.2222222222222223E-2</v>
      </c>
      <c r="AC30" s="486">
        <f t="shared" si="16"/>
        <v>2.5000000000000001E-2</v>
      </c>
      <c r="AD30" s="486">
        <f t="shared" si="16"/>
        <v>2.8571428571428574E-2</v>
      </c>
      <c r="AE30" s="486">
        <f t="shared" si="16"/>
        <v>3.3333333333333333E-2</v>
      </c>
      <c r="AF30" s="486">
        <f t="shared" si="16"/>
        <v>0.05</v>
      </c>
      <c r="AG30" s="486">
        <f t="shared" si="16"/>
        <v>0</v>
      </c>
      <c r="AH30" s="486">
        <f t="shared" si="16"/>
        <v>0</v>
      </c>
      <c r="AI30" s="486">
        <f t="shared" si="16"/>
        <v>0</v>
      </c>
      <c r="AJ30" s="486">
        <f t="shared" si="16"/>
        <v>0</v>
      </c>
      <c r="AK30" s="486">
        <f t="shared" si="16"/>
        <v>0</v>
      </c>
      <c r="AL30" s="486">
        <f t="shared" si="16"/>
        <v>0</v>
      </c>
      <c r="AM30" s="486">
        <f t="shared" si="17"/>
        <v>0</v>
      </c>
      <c r="AN30" s="486">
        <f t="shared" si="17"/>
        <v>0</v>
      </c>
      <c r="AO30" s="486">
        <f t="shared" si="17"/>
        <v>0</v>
      </c>
      <c r="AP30" s="486">
        <f t="shared" si="17"/>
        <v>0</v>
      </c>
      <c r="AQ30" s="486">
        <f t="shared" si="17"/>
        <v>0</v>
      </c>
      <c r="AR30" s="486">
        <f t="shared" si="17"/>
        <v>0</v>
      </c>
      <c r="AS30" s="486">
        <f t="shared" si="17"/>
        <v>0</v>
      </c>
      <c r="AT30" s="486">
        <f t="shared" si="17"/>
        <v>0</v>
      </c>
      <c r="AU30" s="486">
        <f t="shared" si="17"/>
        <v>0</v>
      </c>
      <c r="AV30" s="486">
        <f t="shared" si="17"/>
        <v>0</v>
      </c>
      <c r="AW30" s="486">
        <f t="shared" si="18"/>
        <v>0</v>
      </c>
      <c r="AX30" s="486">
        <f t="shared" si="18"/>
        <v>0</v>
      </c>
      <c r="AY30" s="486">
        <f t="shared" si="18"/>
        <v>0</v>
      </c>
      <c r="AZ30" s="486">
        <f t="shared" si="18"/>
        <v>0</v>
      </c>
      <c r="BA30" s="486">
        <f t="shared" si="18"/>
        <v>0</v>
      </c>
      <c r="BB30" s="486">
        <f t="shared" si="18"/>
        <v>0</v>
      </c>
      <c r="BC30" s="486">
        <f t="shared" si="18"/>
        <v>0</v>
      </c>
      <c r="BD30" s="486">
        <f t="shared" si="18"/>
        <v>0</v>
      </c>
      <c r="BE30" s="486">
        <f t="shared" si="18"/>
        <v>0</v>
      </c>
      <c r="BF30" s="486">
        <f t="shared" si="18"/>
        <v>0</v>
      </c>
      <c r="BG30" s="486">
        <f t="shared" si="18"/>
        <v>0</v>
      </c>
      <c r="BH30" s="487">
        <f t="shared" si="18"/>
        <v>0</v>
      </c>
    </row>
    <row r="31" spans="5:60" x14ac:dyDescent="0.25">
      <c r="F31" s="488">
        <f t="shared" si="8"/>
        <v>44896</v>
      </c>
      <c r="G31" s="312">
        <v>25</v>
      </c>
      <c r="H31" t="str">
        <f t="shared" si="2"/>
        <v/>
      </c>
      <c r="I31" s="486">
        <f t="shared" si="14"/>
        <v>7.1428571428571435E-3</v>
      </c>
      <c r="J31" s="486">
        <f t="shared" si="14"/>
        <v>7.4074074074074077E-3</v>
      </c>
      <c r="K31" s="486">
        <f t="shared" si="14"/>
        <v>7.6923076923076927E-3</v>
      </c>
      <c r="L31" s="486">
        <f t="shared" si="14"/>
        <v>8.0000000000000002E-3</v>
      </c>
      <c r="M31" s="486">
        <f t="shared" si="14"/>
        <v>8.3333333333333332E-3</v>
      </c>
      <c r="N31" s="486">
        <f t="shared" si="14"/>
        <v>8.6956521739130436E-3</v>
      </c>
      <c r="O31" s="486">
        <f t="shared" si="14"/>
        <v>9.0909090909090922E-3</v>
      </c>
      <c r="P31" s="486">
        <f t="shared" si="14"/>
        <v>9.5238095238095247E-3</v>
      </c>
      <c r="Q31" s="486">
        <f t="shared" si="14"/>
        <v>0.01</v>
      </c>
      <c r="R31" s="486">
        <f t="shared" si="14"/>
        <v>1.0526315789473684E-2</v>
      </c>
      <c r="S31" s="486">
        <f t="shared" si="15"/>
        <v>1.1111111111111112E-2</v>
      </c>
      <c r="T31" s="486">
        <f t="shared" si="15"/>
        <v>1.1764705882352941E-2</v>
      </c>
      <c r="U31" s="486">
        <f t="shared" si="15"/>
        <v>1.2500000000000001E-2</v>
      </c>
      <c r="V31" s="486">
        <f t="shared" si="15"/>
        <v>1.3333333333333334E-2</v>
      </c>
      <c r="W31" s="486">
        <f t="shared" si="15"/>
        <v>1.4285714285714287E-2</v>
      </c>
      <c r="X31" s="486">
        <f t="shared" si="15"/>
        <v>1.5384615384615385E-2</v>
      </c>
      <c r="Y31" s="486">
        <f t="shared" si="15"/>
        <v>1.6666666666666666E-2</v>
      </c>
      <c r="Z31" s="486">
        <f t="shared" si="15"/>
        <v>1.8181818181818184E-2</v>
      </c>
      <c r="AA31" s="486">
        <f t="shared" si="15"/>
        <v>0.02</v>
      </c>
      <c r="AB31" s="486">
        <f t="shared" si="15"/>
        <v>2.2222222222222223E-2</v>
      </c>
      <c r="AC31" s="486">
        <f t="shared" si="16"/>
        <v>2.5000000000000001E-2</v>
      </c>
      <c r="AD31" s="486">
        <f t="shared" si="16"/>
        <v>2.8571428571428574E-2</v>
      </c>
      <c r="AE31" s="486">
        <f t="shared" si="16"/>
        <v>3.3333333333333333E-2</v>
      </c>
      <c r="AF31" s="486">
        <f t="shared" si="16"/>
        <v>0.04</v>
      </c>
      <c r="AG31" s="486">
        <f t="shared" si="16"/>
        <v>0.05</v>
      </c>
      <c r="AH31" s="486">
        <f t="shared" si="16"/>
        <v>0</v>
      </c>
      <c r="AI31" s="486">
        <f t="shared" si="16"/>
        <v>0</v>
      </c>
      <c r="AJ31" s="486">
        <f t="shared" si="16"/>
        <v>0</v>
      </c>
      <c r="AK31" s="486">
        <f t="shared" si="16"/>
        <v>0</v>
      </c>
      <c r="AL31" s="486">
        <f t="shared" si="16"/>
        <v>0</v>
      </c>
      <c r="AM31" s="486">
        <f t="shared" si="17"/>
        <v>0</v>
      </c>
      <c r="AN31" s="486">
        <f t="shared" si="17"/>
        <v>0</v>
      </c>
      <c r="AO31" s="486">
        <f t="shared" si="17"/>
        <v>0</v>
      </c>
      <c r="AP31" s="486">
        <f t="shared" si="17"/>
        <v>0</v>
      </c>
      <c r="AQ31" s="486">
        <f t="shared" si="17"/>
        <v>0</v>
      </c>
      <c r="AR31" s="486">
        <f t="shared" si="17"/>
        <v>0</v>
      </c>
      <c r="AS31" s="486">
        <f t="shared" si="17"/>
        <v>0</v>
      </c>
      <c r="AT31" s="486">
        <f t="shared" si="17"/>
        <v>0</v>
      </c>
      <c r="AU31" s="486">
        <f t="shared" si="17"/>
        <v>0</v>
      </c>
      <c r="AV31" s="486">
        <f t="shared" si="17"/>
        <v>0</v>
      </c>
      <c r="AW31" s="486">
        <f t="shared" si="18"/>
        <v>0</v>
      </c>
      <c r="AX31" s="486">
        <f t="shared" si="18"/>
        <v>0</v>
      </c>
      <c r="AY31" s="486">
        <f t="shared" si="18"/>
        <v>0</v>
      </c>
      <c r="AZ31" s="486">
        <f t="shared" si="18"/>
        <v>0</v>
      </c>
      <c r="BA31" s="486">
        <f t="shared" si="18"/>
        <v>0</v>
      </c>
      <c r="BB31" s="486">
        <f t="shared" si="18"/>
        <v>0</v>
      </c>
      <c r="BC31" s="486">
        <f t="shared" si="18"/>
        <v>0</v>
      </c>
      <c r="BD31" s="486">
        <f t="shared" si="18"/>
        <v>0</v>
      </c>
      <c r="BE31" s="486">
        <f t="shared" si="18"/>
        <v>0</v>
      </c>
      <c r="BF31" s="486">
        <f t="shared" si="18"/>
        <v>0</v>
      </c>
      <c r="BG31" s="486">
        <f t="shared" si="18"/>
        <v>0</v>
      </c>
      <c r="BH31" s="487">
        <f t="shared" si="18"/>
        <v>0</v>
      </c>
    </row>
    <row r="32" spans="5:60" x14ac:dyDescent="0.25">
      <c r="F32" s="488">
        <f t="shared" si="8"/>
        <v>44927</v>
      </c>
      <c r="G32" s="312">
        <v>26</v>
      </c>
      <c r="H32" t="str">
        <f t="shared" si="2"/>
        <v/>
      </c>
      <c r="I32" s="486">
        <f t="shared" si="14"/>
        <v>7.1428571428571435E-3</v>
      </c>
      <c r="J32" s="486">
        <f t="shared" si="14"/>
        <v>7.4074074074074077E-3</v>
      </c>
      <c r="K32" s="486">
        <f t="shared" si="14"/>
        <v>7.6923076923076927E-3</v>
      </c>
      <c r="L32" s="486">
        <f t="shared" si="14"/>
        <v>8.0000000000000002E-3</v>
      </c>
      <c r="M32" s="486">
        <f t="shared" si="14"/>
        <v>8.3333333333333332E-3</v>
      </c>
      <c r="N32" s="486">
        <f t="shared" si="14"/>
        <v>8.6956521739130436E-3</v>
      </c>
      <c r="O32" s="486">
        <f t="shared" si="14"/>
        <v>9.0909090909090922E-3</v>
      </c>
      <c r="P32" s="486">
        <f t="shared" si="14"/>
        <v>9.5238095238095247E-3</v>
      </c>
      <c r="Q32" s="486">
        <f t="shared" si="14"/>
        <v>0.01</v>
      </c>
      <c r="R32" s="486">
        <f t="shared" si="14"/>
        <v>1.0526315789473684E-2</v>
      </c>
      <c r="S32" s="486">
        <f t="shared" si="15"/>
        <v>1.1111111111111112E-2</v>
      </c>
      <c r="T32" s="486">
        <f t="shared" si="15"/>
        <v>1.1764705882352941E-2</v>
      </c>
      <c r="U32" s="486">
        <f t="shared" si="15"/>
        <v>1.2500000000000001E-2</v>
      </c>
      <c r="V32" s="486">
        <f t="shared" si="15"/>
        <v>1.3333333333333334E-2</v>
      </c>
      <c r="W32" s="486">
        <f t="shared" si="15"/>
        <v>1.4285714285714287E-2</v>
      </c>
      <c r="X32" s="486">
        <f t="shared" si="15"/>
        <v>1.5384615384615385E-2</v>
      </c>
      <c r="Y32" s="486">
        <f t="shared" si="15"/>
        <v>1.6666666666666666E-2</v>
      </c>
      <c r="Z32" s="486">
        <f t="shared" si="15"/>
        <v>1.8181818181818184E-2</v>
      </c>
      <c r="AA32" s="486">
        <f t="shared" si="15"/>
        <v>0.02</v>
      </c>
      <c r="AB32" s="486">
        <f t="shared" si="15"/>
        <v>2.2222222222222223E-2</v>
      </c>
      <c r="AC32" s="486">
        <f t="shared" si="16"/>
        <v>2.5000000000000001E-2</v>
      </c>
      <c r="AD32" s="486">
        <f t="shared" si="16"/>
        <v>2.8571428571428574E-2</v>
      </c>
      <c r="AE32" s="486">
        <f t="shared" si="16"/>
        <v>3.3333333333333333E-2</v>
      </c>
      <c r="AF32" s="486">
        <f t="shared" si="16"/>
        <v>0.04</v>
      </c>
      <c r="AG32" s="486">
        <f t="shared" si="16"/>
        <v>0.05</v>
      </c>
      <c r="AH32" s="486">
        <f t="shared" si="16"/>
        <v>0.05</v>
      </c>
      <c r="AI32" s="486">
        <f t="shared" si="16"/>
        <v>0</v>
      </c>
      <c r="AJ32" s="486">
        <f t="shared" si="16"/>
        <v>0</v>
      </c>
      <c r="AK32" s="486">
        <f t="shared" si="16"/>
        <v>0</v>
      </c>
      <c r="AL32" s="486">
        <f t="shared" si="16"/>
        <v>0</v>
      </c>
      <c r="AM32" s="486">
        <f t="shared" si="17"/>
        <v>0</v>
      </c>
      <c r="AN32" s="486">
        <f t="shared" si="17"/>
        <v>0</v>
      </c>
      <c r="AO32" s="486">
        <f t="shared" si="17"/>
        <v>0</v>
      </c>
      <c r="AP32" s="486">
        <f t="shared" si="17"/>
        <v>0</v>
      </c>
      <c r="AQ32" s="486">
        <f t="shared" si="17"/>
        <v>0</v>
      </c>
      <c r="AR32" s="486">
        <f t="shared" si="17"/>
        <v>0</v>
      </c>
      <c r="AS32" s="486">
        <f t="shared" si="17"/>
        <v>0</v>
      </c>
      <c r="AT32" s="486">
        <f t="shared" si="17"/>
        <v>0</v>
      </c>
      <c r="AU32" s="486">
        <f t="shared" si="17"/>
        <v>0</v>
      </c>
      <c r="AV32" s="486">
        <f t="shared" si="17"/>
        <v>0</v>
      </c>
      <c r="AW32" s="486">
        <f t="shared" si="18"/>
        <v>0</v>
      </c>
      <c r="AX32" s="486">
        <f t="shared" si="18"/>
        <v>0</v>
      </c>
      <c r="AY32" s="486">
        <f t="shared" si="18"/>
        <v>0</v>
      </c>
      <c r="AZ32" s="486">
        <f t="shared" si="18"/>
        <v>0</v>
      </c>
      <c r="BA32" s="486">
        <f t="shared" si="18"/>
        <v>0</v>
      </c>
      <c r="BB32" s="486">
        <f t="shared" si="18"/>
        <v>0</v>
      </c>
      <c r="BC32" s="486">
        <f t="shared" si="18"/>
        <v>0</v>
      </c>
      <c r="BD32" s="486">
        <f t="shared" si="18"/>
        <v>0</v>
      </c>
      <c r="BE32" s="486">
        <f t="shared" si="18"/>
        <v>0</v>
      </c>
      <c r="BF32" s="486">
        <f t="shared" si="18"/>
        <v>0</v>
      </c>
      <c r="BG32" s="486">
        <f t="shared" si="18"/>
        <v>0</v>
      </c>
      <c r="BH32" s="487">
        <f t="shared" si="18"/>
        <v>0</v>
      </c>
    </row>
    <row r="33" spans="6:60" x14ac:dyDescent="0.25">
      <c r="F33" s="488">
        <f t="shared" si="8"/>
        <v>44958</v>
      </c>
      <c r="G33" s="312">
        <v>27</v>
      </c>
      <c r="H33" t="str">
        <f t="shared" si="2"/>
        <v/>
      </c>
      <c r="I33" s="486">
        <f t="shared" si="14"/>
        <v>7.1428571428571435E-3</v>
      </c>
      <c r="J33" s="486">
        <f t="shared" si="14"/>
        <v>7.4074074074074077E-3</v>
      </c>
      <c r="K33" s="486">
        <f t="shared" si="14"/>
        <v>7.6923076923076927E-3</v>
      </c>
      <c r="L33" s="486">
        <f t="shared" si="14"/>
        <v>8.0000000000000002E-3</v>
      </c>
      <c r="M33" s="486">
        <f t="shared" si="14"/>
        <v>8.3333333333333332E-3</v>
      </c>
      <c r="N33" s="486">
        <f t="shared" si="14"/>
        <v>8.6956521739130436E-3</v>
      </c>
      <c r="O33" s="486">
        <f t="shared" si="14"/>
        <v>9.0909090909090922E-3</v>
      </c>
      <c r="P33" s="486">
        <f t="shared" si="14"/>
        <v>9.5238095238095247E-3</v>
      </c>
      <c r="Q33" s="486">
        <f t="shared" si="14"/>
        <v>0.01</v>
      </c>
      <c r="R33" s="486">
        <f t="shared" si="14"/>
        <v>1.0526315789473684E-2</v>
      </c>
      <c r="S33" s="486">
        <f t="shared" si="15"/>
        <v>1.1111111111111112E-2</v>
      </c>
      <c r="T33" s="486">
        <f t="shared" si="15"/>
        <v>1.1764705882352941E-2</v>
      </c>
      <c r="U33" s="486">
        <f t="shared" si="15"/>
        <v>1.2500000000000001E-2</v>
      </c>
      <c r="V33" s="486">
        <f t="shared" si="15"/>
        <v>1.3333333333333334E-2</v>
      </c>
      <c r="W33" s="486">
        <f t="shared" si="15"/>
        <v>1.4285714285714287E-2</v>
      </c>
      <c r="X33" s="486">
        <f t="shared" si="15"/>
        <v>1.5384615384615385E-2</v>
      </c>
      <c r="Y33" s="486">
        <f t="shared" si="15"/>
        <v>1.6666666666666666E-2</v>
      </c>
      <c r="Z33" s="486">
        <f t="shared" si="15"/>
        <v>1.8181818181818184E-2</v>
      </c>
      <c r="AA33" s="486">
        <f t="shared" si="15"/>
        <v>0.02</v>
      </c>
      <c r="AB33" s="486">
        <f t="shared" si="15"/>
        <v>2.2222222222222223E-2</v>
      </c>
      <c r="AC33" s="486">
        <f t="shared" si="16"/>
        <v>2.5000000000000001E-2</v>
      </c>
      <c r="AD33" s="486">
        <f t="shared" si="16"/>
        <v>2.8571428571428574E-2</v>
      </c>
      <c r="AE33" s="486">
        <f t="shared" si="16"/>
        <v>3.3333333333333333E-2</v>
      </c>
      <c r="AF33" s="486">
        <f t="shared" si="16"/>
        <v>0.04</v>
      </c>
      <c r="AG33" s="486">
        <f t="shared" si="16"/>
        <v>0.05</v>
      </c>
      <c r="AH33" s="486">
        <f t="shared" si="16"/>
        <v>6.6666666666666666E-2</v>
      </c>
      <c r="AI33" s="486">
        <f t="shared" si="16"/>
        <v>0.05</v>
      </c>
      <c r="AJ33" s="486">
        <f t="shared" si="16"/>
        <v>0</v>
      </c>
      <c r="AK33" s="486">
        <f t="shared" si="16"/>
        <v>0</v>
      </c>
      <c r="AL33" s="486">
        <f t="shared" si="16"/>
        <v>0</v>
      </c>
      <c r="AM33" s="486">
        <f t="shared" si="17"/>
        <v>0</v>
      </c>
      <c r="AN33" s="486">
        <f t="shared" si="17"/>
        <v>0</v>
      </c>
      <c r="AO33" s="486">
        <f t="shared" si="17"/>
        <v>0</v>
      </c>
      <c r="AP33" s="486">
        <f t="shared" si="17"/>
        <v>0</v>
      </c>
      <c r="AQ33" s="486">
        <f t="shared" si="17"/>
        <v>0</v>
      </c>
      <c r="AR33" s="486">
        <f t="shared" si="17"/>
        <v>0</v>
      </c>
      <c r="AS33" s="486">
        <f t="shared" si="17"/>
        <v>0</v>
      </c>
      <c r="AT33" s="486">
        <f t="shared" si="17"/>
        <v>0</v>
      </c>
      <c r="AU33" s="486">
        <f t="shared" si="17"/>
        <v>0</v>
      </c>
      <c r="AV33" s="486">
        <f t="shared" si="17"/>
        <v>0</v>
      </c>
      <c r="AW33" s="486">
        <f t="shared" si="18"/>
        <v>0</v>
      </c>
      <c r="AX33" s="486">
        <f t="shared" si="18"/>
        <v>0</v>
      </c>
      <c r="AY33" s="486">
        <f t="shared" si="18"/>
        <v>0</v>
      </c>
      <c r="AZ33" s="486">
        <f t="shared" si="18"/>
        <v>0</v>
      </c>
      <c r="BA33" s="486">
        <f t="shared" si="18"/>
        <v>0</v>
      </c>
      <c r="BB33" s="486">
        <f t="shared" si="18"/>
        <v>0</v>
      </c>
      <c r="BC33" s="486">
        <f t="shared" si="18"/>
        <v>0</v>
      </c>
      <c r="BD33" s="486">
        <f t="shared" si="18"/>
        <v>0</v>
      </c>
      <c r="BE33" s="486">
        <f t="shared" si="18"/>
        <v>0</v>
      </c>
      <c r="BF33" s="486">
        <f t="shared" si="18"/>
        <v>0</v>
      </c>
      <c r="BG33" s="486">
        <f t="shared" si="18"/>
        <v>0</v>
      </c>
      <c r="BH33" s="487">
        <f t="shared" si="18"/>
        <v>0</v>
      </c>
    </row>
    <row r="34" spans="6:60" x14ac:dyDescent="0.25">
      <c r="F34" s="488">
        <f t="shared" si="8"/>
        <v>44986</v>
      </c>
      <c r="G34" s="312">
        <v>28</v>
      </c>
      <c r="H34" t="str">
        <f t="shared" si="2"/>
        <v/>
      </c>
      <c r="I34" s="486">
        <f t="shared" si="14"/>
        <v>7.1428571428571435E-3</v>
      </c>
      <c r="J34" s="486">
        <f t="shared" si="14"/>
        <v>7.4074074074074077E-3</v>
      </c>
      <c r="K34" s="486">
        <f t="shared" si="14"/>
        <v>7.6923076923076927E-3</v>
      </c>
      <c r="L34" s="486">
        <f t="shared" si="14"/>
        <v>8.0000000000000002E-3</v>
      </c>
      <c r="M34" s="486">
        <f t="shared" si="14"/>
        <v>8.3333333333333332E-3</v>
      </c>
      <c r="N34" s="486">
        <f t="shared" si="14"/>
        <v>8.6956521739130436E-3</v>
      </c>
      <c r="O34" s="486">
        <f t="shared" si="14"/>
        <v>9.0909090909090922E-3</v>
      </c>
      <c r="P34" s="486">
        <f t="shared" si="14"/>
        <v>9.5238095238095247E-3</v>
      </c>
      <c r="Q34" s="486">
        <f t="shared" si="14"/>
        <v>0.01</v>
      </c>
      <c r="R34" s="486">
        <f t="shared" si="14"/>
        <v>1.0526315789473684E-2</v>
      </c>
      <c r="S34" s="486">
        <f t="shared" si="15"/>
        <v>1.1111111111111112E-2</v>
      </c>
      <c r="T34" s="486">
        <f t="shared" si="15"/>
        <v>1.1764705882352941E-2</v>
      </c>
      <c r="U34" s="486">
        <f t="shared" si="15"/>
        <v>1.2500000000000001E-2</v>
      </c>
      <c r="V34" s="486">
        <f t="shared" si="15"/>
        <v>1.3333333333333334E-2</v>
      </c>
      <c r="W34" s="486">
        <f t="shared" si="15"/>
        <v>1.4285714285714287E-2</v>
      </c>
      <c r="X34" s="486">
        <f t="shared" si="15"/>
        <v>1.5384615384615385E-2</v>
      </c>
      <c r="Y34" s="486">
        <f t="shared" si="15"/>
        <v>1.6666666666666666E-2</v>
      </c>
      <c r="Z34" s="486">
        <f t="shared" si="15"/>
        <v>1.8181818181818184E-2</v>
      </c>
      <c r="AA34" s="486">
        <f t="shared" si="15"/>
        <v>0.02</v>
      </c>
      <c r="AB34" s="486">
        <f t="shared" si="15"/>
        <v>2.2222222222222223E-2</v>
      </c>
      <c r="AC34" s="486">
        <f t="shared" si="16"/>
        <v>2.5000000000000001E-2</v>
      </c>
      <c r="AD34" s="486">
        <f t="shared" si="16"/>
        <v>2.8571428571428574E-2</v>
      </c>
      <c r="AE34" s="486">
        <f t="shared" si="16"/>
        <v>3.3333333333333333E-2</v>
      </c>
      <c r="AF34" s="486">
        <f t="shared" si="16"/>
        <v>0.04</v>
      </c>
      <c r="AG34" s="486">
        <f t="shared" si="16"/>
        <v>0.05</v>
      </c>
      <c r="AH34" s="486">
        <f t="shared" si="16"/>
        <v>6.6666666666666666E-2</v>
      </c>
      <c r="AI34" s="486">
        <f t="shared" si="16"/>
        <v>0.1</v>
      </c>
      <c r="AJ34" s="486">
        <f t="shared" si="16"/>
        <v>0.05</v>
      </c>
      <c r="AK34" s="486">
        <f t="shared" si="16"/>
        <v>0</v>
      </c>
      <c r="AL34" s="486">
        <f t="shared" si="16"/>
        <v>0</v>
      </c>
      <c r="AM34" s="486">
        <f t="shared" si="17"/>
        <v>0</v>
      </c>
      <c r="AN34" s="486">
        <f t="shared" si="17"/>
        <v>0</v>
      </c>
      <c r="AO34" s="486">
        <f t="shared" si="17"/>
        <v>0</v>
      </c>
      <c r="AP34" s="486">
        <f t="shared" si="17"/>
        <v>0</v>
      </c>
      <c r="AQ34" s="486">
        <f t="shared" si="17"/>
        <v>0</v>
      </c>
      <c r="AR34" s="486">
        <f t="shared" si="17"/>
        <v>0</v>
      </c>
      <c r="AS34" s="486">
        <f t="shared" si="17"/>
        <v>0</v>
      </c>
      <c r="AT34" s="486">
        <f t="shared" si="17"/>
        <v>0</v>
      </c>
      <c r="AU34" s="486">
        <f t="shared" si="17"/>
        <v>0</v>
      </c>
      <c r="AV34" s="486">
        <f t="shared" si="17"/>
        <v>0</v>
      </c>
      <c r="AW34" s="486">
        <f t="shared" si="18"/>
        <v>0</v>
      </c>
      <c r="AX34" s="486">
        <f t="shared" si="18"/>
        <v>0</v>
      </c>
      <c r="AY34" s="486">
        <f t="shared" si="18"/>
        <v>0</v>
      </c>
      <c r="AZ34" s="486">
        <f t="shared" si="18"/>
        <v>0</v>
      </c>
      <c r="BA34" s="486">
        <f t="shared" si="18"/>
        <v>0</v>
      </c>
      <c r="BB34" s="486">
        <f t="shared" si="18"/>
        <v>0</v>
      </c>
      <c r="BC34" s="486">
        <f t="shared" si="18"/>
        <v>0</v>
      </c>
      <c r="BD34" s="486">
        <f t="shared" si="18"/>
        <v>0</v>
      </c>
      <c r="BE34" s="486">
        <f t="shared" si="18"/>
        <v>0</v>
      </c>
      <c r="BF34" s="486">
        <f t="shared" si="18"/>
        <v>0</v>
      </c>
      <c r="BG34" s="486">
        <f t="shared" si="18"/>
        <v>0</v>
      </c>
      <c r="BH34" s="487">
        <f t="shared" si="18"/>
        <v>0</v>
      </c>
    </row>
    <row r="35" spans="6:60" x14ac:dyDescent="0.25">
      <c r="F35" s="488">
        <f t="shared" si="8"/>
        <v>45017</v>
      </c>
      <c r="G35" s="312">
        <v>29</v>
      </c>
      <c r="H35" t="str">
        <f t="shared" si="2"/>
        <v>CH</v>
      </c>
      <c r="I35" s="486">
        <f t="shared" si="14"/>
        <v>7.1428571428571435E-3</v>
      </c>
      <c r="J35" s="486">
        <f t="shared" si="14"/>
        <v>7.4074074074074077E-3</v>
      </c>
      <c r="K35" s="486">
        <f t="shared" si="14"/>
        <v>7.6923076923076927E-3</v>
      </c>
      <c r="L35" s="486">
        <f t="shared" si="14"/>
        <v>8.0000000000000002E-3</v>
      </c>
      <c r="M35" s="486">
        <f t="shared" si="14"/>
        <v>8.3333333333333332E-3</v>
      </c>
      <c r="N35" s="486">
        <f t="shared" si="14"/>
        <v>8.6956521739130436E-3</v>
      </c>
      <c r="O35" s="486">
        <f t="shared" si="14"/>
        <v>9.0909090909090922E-3</v>
      </c>
      <c r="P35" s="486">
        <f t="shared" si="14"/>
        <v>9.5238095238095247E-3</v>
      </c>
      <c r="Q35" s="486">
        <f t="shared" si="14"/>
        <v>0.01</v>
      </c>
      <c r="R35" s="486">
        <f t="shared" si="14"/>
        <v>1.0526315789473684E-2</v>
      </c>
      <c r="S35" s="486">
        <f t="shared" si="15"/>
        <v>1.1111111111111112E-2</v>
      </c>
      <c r="T35" s="486">
        <f t="shared" si="15"/>
        <v>1.1764705882352941E-2</v>
      </c>
      <c r="U35" s="486">
        <f t="shared" si="15"/>
        <v>1.2500000000000001E-2</v>
      </c>
      <c r="V35" s="486">
        <f t="shared" si="15"/>
        <v>1.3333333333333334E-2</v>
      </c>
      <c r="W35" s="486">
        <f t="shared" si="15"/>
        <v>1.4285714285714287E-2</v>
      </c>
      <c r="X35" s="486">
        <f t="shared" si="15"/>
        <v>1.5384615384615385E-2</v>
      </c>
      <c r="Y35" s="486">
        <f t="shared" si="15"/>
        <v>1.6666666666666666E-2</v>
      </c>
      <c r="Z35" s="486">
        <f t="shared" si="15"/>
        <v>1.8181818181818184E-2</v>
      </c>
      <c r="AA35" s="486">
        <f t="shared" si="15"/>
        <v>0.02</v>
      </c>
      <c r="AB35" s="486">
        <f t="shared" si="15"/>
        <v>2.2222222222222223E-2</v>
      </c>
      <c r="AC35" s="486">
        <f t="shared" si="16"/>
        <v>2.5000000000000001E-2</v>
      </c>
      <c r="AD35" s="486">
        <f t="shared" si="16"/>
        <v>2.8571428571428574E-2</v>
      </c>
      <c r="AE35" s="486">
        <f t="shared" si="16"/>
        <v>3.3333333333333333E-2</v>
      </c>
      <c r="AF35" s="486">
        <f t="shared" si="16"/>
        <v>0.04</v>
      </c>
      <c r="AG35" s="486">
        <f t="shared" si="16"/>
        <v>0.05</v>
      </c>
      <c r="AH35" s="486">
        <f t="shared" si="16"/>
        <v>6.6666666666666666E-2</v>
      </c>
      <c r="AI35" s="486">
        <f t="shared" si="16"/>
        <v>0.1</v>
      </c>
      <c r="AJ35" s="486">
        <f t="shared" si="16"/>
        <v>0.2</v>
      </c>
      <c r="AK35" s="486">
        <f t="shared" si="16"/>
        <v>0.25</v>
      </c>
      <c r="AL35" s="486">
        <f t="shared" si="16"/>
        <v>0</v>
      </c>
      <c r="AM35" s="486">
        <f t="shared" si="17"/>
        <v>0</v>
      </c>
      <c r="AN35" s="486">
        <f t="shared" si="17"/>
        <v>0</v>
      </c>
      <c r="AO35" s="486">
        <f t="shared" si="17"/>
        <v>0</v>
      </c>
      <c r="AP35" s="486">
        <f t="shared" si="17"/>
        <v>0</v>
      </c>
      <c r="AQ35" s="486">
        <f t="shared" si="17"/>
        <v>0</v>
      </c>
      <c r="AR35" s="486">
        <f t="shared" si="17"/>
        <v>0</v>
      </c>
      <c r="AS35" s="486">
        <f t="shared" si="17"/>
        <v>0</v>
      </c>
      <c r="AT35" s="486">
        <f t="shared" si="17"/>
        <v>0</v>
      </c>
      <c r="AU35" s="486">
        <f t="shared" si="17"/>
        <v>0</v>
      </c>
      <c r="AV35" s="486">
        <f t="shared" si="17"/>
        <v>0</v>
      </c>
      <c r="AW35" s="486">
        <f t="shared" si="18"/>
        <v>0</v>
      </c>
      <c r="AX35" s="486">
        <f t="shared" si="18"/>
        <v>0</v>
      </c>
      <c r="AY35" s="486">
        <f t="shared" si="18"/>
        <v>0</v>
      </c>
      <c r="AZ35" s="486">
        <f t="shared" si="18"/>
        <v>0</v>
      </c>
      <c r="BA35" s="486">
        <f t="shared" si="18"/>
        <v>0</v>
      </c>
      <c r="BB35" s="486">
        <f t="shared" si="18"/>
        <v>0</v>
      </c>
      <c r="BC35" s="486">
        <f t="shared" si="18"/>
        <v>0</v>
      </c>
      <c r="BD35" s="486">
        <f t="shared" si="18"/>
        <v>0</v>
      </c>
      <c r="BE35" s="486">
        <f t="shared" si="18"/>
        <v>0</v>
      </c>
      <c r="BF35" s="486">
        <f t="shared" si="18"/>
        <v>0</v>
      </c>
      <c r="BG35" s="486">
        <f t="shared" si="18"/>
        <v>0</v>
      </c>
      <c r="BH35" s="487">
        <f t="shared" si="18"/>
        <v>0</v>
      </c>
    </row>
    <row r="36" spans="6:60" x14ac:dyDescent="0.25">
      <c r="F36" s="488">
        <f t="shared" si="8"/>
        <v>45047</v>
      </c>
      <c r="G36" s="312">
        <v>30</v>
      </c>
      <c r="H36" t="str">
        <f t="shared" si="2"/>
        <v/>
      </c>
      <c r="I36" s="486">
        <f t="shared" si="14"/>
        <v>0</v>
      </c>
      <c r="J36" s="486">
        <f t="shared" si="14"/>
        <v>0</v>
      </c>
      <c r="K36" s="486">
        <f t="shared" si="14"/>
        <v>0</v>
      </c>
      <c r="L36" s="486">
        <f t="shared" si="14"/>
        <v>0</v>
      </c>
      <c r="M36" s="486">
        <f t="shared" si="14"/>
        <v>0</v>
      </c>
      <c r="N36" s="486">
        <f t="shared" si="14"/>
        <v>0</v>
      </c>
      <c r="O36" s="486">
        <f t="shared" si="14"/>
        <v>0</v>
      </c>
      <c r="P36" s="486">
        <f t="shared" si="14"/>
        <v>0</v>
      </c>
      <c r="Q36" s="486">
        <f t="shared" si="14"/>
        <v>0</v>
      </c>
      <c r="R36" s="486">
        <f t="shared" si="14"/>
        <v>0</v>
      </c>
      <c r="S36" s="486">
        <f t="shared" si="15"/>
        <v>0</v>
      </c>
      <c r="T36" s="486">
        <f t="shared" si="15"/>
        <v>0</v>
      </c>
      <c r="U36" s="486">
        <f t="shared" si="15"/>
        <v>0</v>
      </c>
      <c r="V36" s="486">
        <f t="shared" si="15"/>
        <v>0</v>
      </c>
      <c r="W36" s="486">
        <f t="shared" si="15"/>
        <v>0</v>
      </c>
      <c r="X36" s="486">
        <f t="shared" si="15"/>
        <v>0</v>
      </c>
      <c r="Y36" s="486">
        <f t="shared" si="15"/>
        <v>0</v>
      </c>
      <c r="Z36" s="486">
        <f t="shared" si="15"/>
        <v>0</v>
      </c>
      <c r="AA36" s="486">
        <f t="shared" si="15"/>
        <v>0</v>
      </c>
      <c r="AB36" s="486">
        <f t="shared" si="15"/>
        <v>0</v>
      </c>
      <c r="AC36" s="486">
        <f t="shared" si="16"/>
        <v>0</v>
      </c>
      <c r="AD36" s="486">
        <f t="shared" si="16"/>
        <v>0</v>
      </c>
      <c r="AE36" s="486">
        <f t="shared" si="16"/>
        <v>0</v>
      </c>
      <c r="AF36" s="486">
        <f t="shared" si="16"/>
        <v>0</v>
      </c>
      <c r="AG36" s="486">
        <f t="shared" si="16"/>
        <v>0</v>
      </c>
      <c r="AH36" s="486">
        <f t="shared" si="16"/>
        <v>0</v>
      </c>
      <c r="AI36" s="486">
        <f t="shared" si="16"/>
        <v>0</v>
      </c>
      <c r="AJ36" s="486">
        <f t="shared" si="16"/>
        <v>0</v>
      </c>
      <c r="AK36" s="486">
        <f t="shared" si="16"/>
        <v>0</v>
      </c>
      <c r="AL36" s="486">
        <f t="shared" si="16"/>
        <v>0</v>
      </c>
      <c r="AM36" s="486">
        <f t="shared" si="17"/>
        <v>0</v>
      </c>
      <c r="AN36" s="486">
        <f t="shared" si="17"/>
        <v>0</v>
      </c>
      <c r="AO36" s="486">
        <f t="shared" si="17"/>
        <v>0</v>
      </c>
      <c r="AP36" s="486">
        <f t="shared" si="17"/>
        <v>0</v>
      </c>
      <c r="AQ36" s="486">
        <f t="shared" si="17"/>
        <v>0</v>
      </c>
      <c r="AR36" s="486">
        <f t="shared" si="17"/>
        <v>0</v>
      </c>
      <c r="AS36" s="486">
        <f t="shared" si="17"/>
        <v>0</v>
      </c>
      <c r="AT36" s="486">
        <f t="shared" si="17"/>
        <v>0</v>
      </c>
      <c r="AU36" s="486">
        <f t="shared" si="17"/>
        <v>0</v>
      </c>
      <c r="AV36" s="486">
        <f t="shared" si="17"/>
        <v>0</v>
      </c>
      <c r="AW36" s="486">
        <f t="shared" si="18"/>
        <v>0</v>
      </c>
      <c r="AX36" s="486">
        <f t="shared" si="18"/>
        <v>0</v>
      </c>
      <c r="AY36" s="486">
        <f t="shared" si="18"/>
        <v>0</v>
      </c>
      <c r="AZ36" s="486">
        <f t="shared" si="18"/>
        <v>0</v>
      </c>
      <c r="BA36" s="486">
        <f t="shared" si="18"/>
        <v>0</v>
      </c>
      <c r="BB36" s="486">
        <f t="shared" si="18"/>
        <v>0</v>
      </c>
      <c r="BC36" s="486">
        <f t="shared" si="18"/>
        <v>0</v>
      </c>
      <c r="BD36" s="486">
        <f t="shared" si="18"/>
        <v>0</v>
      </c>
      <c r="BE36" s="486">
        <f t="shared" si="18"/>
        <v>0</v>
      </c>
      <c r="BF36" s="486">
        <f t="shared" si="18"/>
        <v>0</v>
      </c>
      <c r="BG36" s="486">
        <f t="shared" si="18"/>
        <v>0</v>
      </c>
      <c r="BH36" s="487">
        <f t="shared" si="18"/>
        <v>0</v>
      </c>
    </row>
    <row r="37" spans="6:60" x14ac:dyDescent="0.25">
      <c r="F37" s="488">
        <f t="shared" si="8"/>
        <v>45078</v>
      </c>
      <c r="G37" s="312">
        <v>31</v>
      </c>
      <c r="H37" t="str">
        <f t="shared" si="2"/>
        <v/>
      </c>
      <c r="I37" s="486">
        <f t="shared" ref="I37:R46" si="19">IF(AND($F37=I$5, $F37&lt;=entrega, $F37&gt;=lçto),atoPreCh,0)+IF(AND($F37&gt;I$5,$F37&lt;=entrega, I$5&gt;=lçto),mensaisPreCh/DATEDIF(I$5, entrega, "m"),IF(AND($F37=entrega, I$5=entrega), mensaisPreCh, 0))+IF(AND($F37&gt;=EDATE(entrega, chRepasse+1), $F37&lt;=EDATE(entrega, chRepasse+periodoRepassePreChaves), I$5&lt;=entrega, I$5&gt;=lçto), repassePreCh/periodoRepassePreChaves, 0)</f>
        <v>0</v>
      </c>
      <c r="J37" s="486">
        <f t="shared" si="19"/>
        <v>0</v>
      </c>
      <c r="K37" s="486">
        <f t="shared" si="19"/>
        <v>0</v>
      </c>
      <c r="L37" s="486">
        <f t="shared" si="19"/>
        <v>0</v>
      </c>
      <c r="M37" s="486">
        <f t="shared" si="19"/>
        <v>0</v>
      </c>
      <c r="N37" s="486">
        <f t="shared" si="19"/>
        <v>0</v>
      </c>
      <c r="O37" s="486">
        <f t="shared" si="19"/>
        <v>0</v>
      </c>
      <c r="P37" s="486">
        <f t="shared" si="19"/>
        <v>0</v>
      </c>
      <c r="Q37" s="486">
        <f t="shared" si="19"/>
        <v>0</v>
      </c>
      <c r="R37" s="486">
        <f t="shared" si="19"/>
        <v>0</v>
      </c>
      <c r="S37" s="486">
        <f t="shared" ref="S37:AB46" si="20">IF(AND($F37=S$5, $F37&lt;=entrega, $F37&gt;=lçto),atoPreCh,0)+IF(AND($F37&gt;S$5,$F37&lt;=entrega, S$5&gt;=lçto),mensaisPreCh/DATEDIF(S$5, entrega, "m"),IF(AND($F37=entrega, S$5=entrega), mensaisPreCh, 0))+IF(AND($F37&gt;=EDATE(entrega, chRepasse+1), $F37&lt;=EDATE(entrega, chRepasse+periodoRepassePreChaves), S$5&lt;=entrega, S$5&gt;=lçto), repassePreCh/periodoRepassePreChaves, 0)</f>
        <v>0</v>
      </c>
      <c r="T37" s="486">
        <f t="shared" si="20"/>
        <v>0</v>
      </c>
      <c r="U37" s="486">
        <f t="shared" si="20"/>
        <v>0</v>
      </c>
      <c r="V37" s="486">
        <f t="shared" si="20"/>
        <v>0</v>
      </c>
      <c r="W37" s="486">
        <f t="shared" si="20"/>
        <v>0</v>
      </c>
      <c r="X37" s="486">
        <f t="shared" si="20"/>
        <v>0</v>
      </c>
      <c r="Y37" s="486">
        <f t="shared" si="20"/>
        <v>0</v>
      </c>
      <c r="Z37" s="486">
        <f t="shared" si="20"/>
        <v>0</v>
      </c>
      <c r="AA37" s="486">
        <f t="shared" si="20"/>
        <v>0</v>
      </c>
      <c r="AB37" s="486">
        <f t="shared" si="20"/>
        <v>0</v>
      </c>
      <c r="AC37" s="486">
        <f t="shared" ref="AC37:AL46" si="21">IF(AND($F37=AC$5, $F37&lt;=entrega, $F37&gt;=lçto),atoPreCh,0)+IF(AND($F37&gt;AC$5,$F37&lt;=entrega, AC$5&gt;=lçto),mensaisPreCh/DATEDIF(AC$5, entrega, "m"),IF(AND($F37=entrega, AC$5=entrega), mensaisPreCh, 0))+IF(AND($F37&gt;=EDATE(entrega, chRepasse+1), $F37&lt;=EDATE(entrega, chRepasse+periodoRepassePreChaves), AC$5&lt;=entrega, AC$5&gt;=lçto), repassePreCh/periodoRepassePreChaves, 0)</f>
        <v>0</v>
      </c>
      <c r="AD37" s="486">
        <f t="shared" si="21"/>
        <v>0</v>
      </c>
      <c r="AE37" s="486">
        <f t="shared" si="21"/>
        <v>0</v>
      </c>
      <c r="AF37" s="486">
        <f t="shared" si="21"/>
        <v>0</v>
      </c>
      <c r="AG37" s="486">
        <f t="shared" si="21"/>
        <v>0</v>
      </c>
      <c r="AH37" s="486">
        <f t="shared" si="21"/>
        <v>0</v>
      </c>
      <c r="AI37" s="486">
        <f t="shared" si="21"/>
        <v>0</v>
      </c>
      <c r="AJ37" s="486">
        <f t="shared" si="21"/>
        <v>0</v>
      </c>
      <c r="AK37" s="486">
        <f t="shared" si="21"/>
        <v>0</v>
      </c>
      <c r="AL37" s="486">
        <f t="shared" si="21"/>
        <v>0</v>
      </c>
      <c r="AM37" s="486">
        <f t="shared" ref="AM37:AV46" si="22">IF(AND($F37=AM$5, $F37&lt;=entrega, $F37&gt;=lçto),atoPreCh,0)+IF(AND($F37&gt;AM$5,$F37&lt;=entrega, AM$5&gt;=lçto),mensaisPreCh/DATEDIF(AM$5, entrega, "m"),IF(AND($F37=entrega, AM$5=entrega), mensaisPreCh, 0))+IF(AND($F37&gt;=EDATE(entrega, chRepasse+1), $F37&lt;=EDATE(entrega, chRepasse+periodoRepassePreChaves), AM$5&lt;=entrega, AM$5&gt;=lçto), repassePreCh/periodoRepassePreChaves, 0)</f>
        <v>0</v>
      </c>
      <c r="AN37" s="486">
        <f t="shared" si="22"/>
        <v>0</v>
      </c>
      <c r="AO37" s="486">
        <f t="shared" si="22"/>
        <v>0</v>
      </c>
      <c r="AP37" s="486">
        <f t="shared" si="22"/>
        <v>0</v>
      </c>
      <c r="AQ37" s="486">
        <f t="shared" si="22"/>
        <v>0</v>
      </c>
      <c r="AR37" s="486">
        <f t="shared" si="22"/>
        <v>0</v>
      </c>
      <c r="AS37" s="486">
        <f t="shared" si="22"/>
        <v>0</v>
      </c>
      <c r="AT37" s="486">
        <f t="shared" si="22"/>
        <v>0</v>
      </c>
      <c r="AU37" s="486">
        <f t="shared" si="22"/>
        <v>0</v>
      </c>
      <c r="AV37" s="486">
        <f t="shared" si="22"/>
        <v>0</v>
      </c>
      <c r="AW37" s="486">
        <f t="shared" ref="AW37:BH46" si="23">IF(AND($F37=AW$5, $F37&lt;=entrega, $F37&gt;=lçto),atoPreCh,0)+IF(AND($F37&gt;AW$5,$F37&lt;=entrega, AW$5&gt;=lçto),mensaisPreCh/DATEDIF(AW$5, entrega, "m"),IF(AND($F37=entrega, AW$5=entrega), mensaisPreCh, 0))+IF(AND($F37&gt;=EDATE(entrega, chRepasse+1), $F37&lt;=EDATE(entrega, chRepasse+periodoRepassePreChaves), AW$5&lt;=entrega, AW$5&gt;=lçto), repassePreCh/periodoRepassePreChaves, 0)</f>
        <v>0</v>
      </c>
      <c r="AX37" s="486">
        <f t="shared" si="23"/>
        <v>0</v>
      </c>
      <c r="AY37" s="486">
        <f t="shared" si="23"/>
        <v>0</v>
      </c>
      <c r="AZ37" s="486">
        <f t="shared" si="23"/>
        <v>0</v>
      </c>
      <c r="BA37" s="486">
        <f t="shared" si="23"/>
        <v>0</v>
      </c>
      <c r="BB37" s="486">
        <f t="shared" si="23"/>
        <v>0</v>
      </c>
      <c r="BC37" s="486">
        <f t="shared" si="23"/>
        <v>0</v>
      </c>
      <c r="BD37" s="486">
        <f t="shared" si="23"/>
        <v>0</v>
      </c>
      <c r="BE37" s="486">
        <f t="shared" si="23"/>
        <v>0</v>
      </c>
      <c r="BF37" s="486">
        <f t="shared" si="23"/>
        <v>0</v>
      </c>
      <c r="BG37" s="486">
        <f t="shared" si="23"/>
        <v>0</v>
      </c>
      <c r="BH37" s="487">
        <f t="shared" si="23"/>
        <v>0</v>
      </c>
    </row>
    <row r="38" spans="6:60" x14ac:dyDescent="0.25">
      <c r="F38" s="488">
        <f t="shared" si="8"/>
        <v>45108</v>
      </c>
      <c r="G38" s="312">
        <v>32</v>
      </c>
      <c r="H38" t="str">
        <f t="shared" si="2"/>
        <v/>
      </c>
      <c r="I38" s="486">
        <f t="shared" si="19"/>
        <v>0.1875</v>
      </c>
      <c r="J38" s="486">
        <f t="shared" si="19"/>
        <v>0.1875</v>
      </c>
      <c r="K38" s="486">
        <f t="shared" si="19"/>
        <v>0.1875</v>
      </c>
      <c r="L38" s="486">
        <f t="shared" si="19"/>
        <v>0.1875</v>
      </c>
      <c r="M38" s="486">
        <f t="shared" si="19"/>
        <v>0.1875</v>
      </c>
      <c r="N38" s="486">
        <f t="shared" si="19"/>
        <v>0.1875</v>
      </c>
      <c r="O38" s="486">
        <f t="shared" si="19"/>
        <v>0.1875</v>
      </c>
      <c r="P38" s="486">
        <f t="shared" si="19"/>
        <v>0.1875</v>
      </c>
      <c r="Q38" s="486">
        <f t="shared" si="19"/>
        <v>0.1875</v>
      </c>
      <c r="R38" s="486">
        <f t="shared" si="19"/>
        <v>0.1875</v>
      </c>
      <c r="S38" s="486">
        <f t="shared" si="20"/>
        <v>0.1875</v>
      </c>
      <c r="T38" s="486">
        <f t="shared" si="20"/>
        <v>0.1875</v>
      </c>
      <c r="U38" s="486">
        <f t="shared" si="20"/>
        <v>0.1875</v>
      </c>
      <c r="V38" s="486">
        <f t="shared" si="20"/>
        <v>0.1875</v>
      </c>
      <c r="W38" s="486">
        <f t="shared" si="20"/>
        <v>0.1875</v>
      </c>
      <c r="X38" s="486">
        <f t="shared" si="20"/>
        <v>0.1875</v>
      </c>
      <c r="Y38" s="486">
        <f t="shared" si="20"/>
        <v>0.1875</v>
      </c>
      <c r="Z38" s="486">
        <f t="shared" si="20"/>
        <v>0.1875</v>
      </c>
      <c r="AA38" s="486">
        <f t="shared" si="20"/>
        <v>0.1875</v>
      </c>
      <c r="AB38" s="486">
        <f t="shared" si="20"/>
        <v>0.1875</v>
      </c>
      <c r="AC38" s="486">
        <f t="shared" si="21"/>
        <v>0.1875</v>
      </c>
      <c r="AD38" s="486">
        <f t="shared" si="21"/>
        <v>0.1875</v>
      </c>
      <c r="AE38" s="486">
        <f t="shared" si="21"/>
        <v>0.1875</v>
      </c>
      <c r="AF38" s="486">
        <f t="shared" si="21"/>
        <v>0.1875</v>
      </c>
      <c r="AG38" s="486">
        <f t="shared" si="21"/>
        <v>0.1875</v>
      </c>
      <c r="AH38" s="486">
        <f t="shared" si="21"/>
        <v>0.1875</v>
      </c>
      <c r="AI38" s="486">
        <f t="shared" si="21"/>
        <v>0.1875</v>
      </c>
      <c r="AJ38" s="486">
        <f t="shared" si="21"/>
        <v>0.1875</v>
      </c>
      <c r="AK38" s="486">
        <f t="shared" si="21"/>
        <v>0.1875</v>
      </c>
      <c r="AL38" s="486">
        <f t="shared" si="21"/>
        <v>0</v>
      </c>
      <c r="AM38" s="486">
        <f t="shared" si="22"/>
        <v>0</v>
      </c>
      <c r="AN38" s="486">
        <f t="shared" si="22"/>
        <v>0</v>
      </c>
      <c r="AO38" s="486">
        <f t="shared" si="22"/>
        <v>0</v>
      </c>
      <c r="AP38" s="486">
        <f t="shared" si="22"/>
        <v>0</v>
      </c>
      <c r="AQ38" s="486">
        <f t="shared" si="22"/>
        <v>0</v>
      </c>
      <c r="AR38" s="486">
        <f t="shared" si="22"/>
        <v>0</v>
      </c>
      <c r="AS38" s="486">
        <f t="shared" si="22"/>
        <v>0</v>
      </c>
      <c r="AT38" s="486">
        <f t="shared" si="22"/>
        <v>0</v>
      </c>
      <c r="AU38" s="486">
        <f t="shared" si="22"/>
        <v>0</v>
      </c>
      <c r="AV38" s="486">
        <f t="shared" si="22"/>
        <v>0</v>
      </c>
      <c r="AW38" s="486">
        <f t="shared" si="23"/>
        <v>0</v>
      </c>
      <c r="AX38" s="486">
        <f t="shared" si="23"/>
        <v>0</v>
      </c>
      <c r="AY38" s="486">
        <f t="shared" si="23"/>
        <v>0</v>
      </c>
      <c r="AZ38" s="486">
        <f t="shared" si="23"/>
        <v>0</v>
      </c>
      <c r="BA38" s="486">
        <f t="shared" si="23"/>
        <v>0</v>
      </c>
      <c r="BB38" s="486">
        <f t="shared" si="23"/>
        <v>0</v>
      </c>
      <c r="BC38" s="486">
        <f t="shared" si="23"/>
        <v>0</v>
      </c>
      <c r="BD38" s="486">
        <f t="shared" si="23"/>
        <v>0</v>
      </c>
      <c r="BE38" s="486">
        <f t="shared" si="23"/>
        <v>0</v>
      </c>
      <c r="BF38" s="486">
        <f t="shared" si="23"/>
        <v>0</v>
      </c>
      <c r="BG38" s="486">
        <f t="shared" si="23"/>
        <v>0</v>
      </c>
      <c r="BH38" s="487">
        <f t="shared" si="23"/>
        <v>0</v>
      </c>
    </row>
    <row r="39" spans="6:60" x14ac:dyDescent="0.25">
      <c r="F39" s="488">
        <f t="shared" si="8"/>
        <v>45139</v>
      </c>
      <c r="G39" s="312">
        <v>33</v>
      </c>
      <c r="H39" t="str">
        <f t="shared" ref="H39:H70" si="24">IFERROR(INDEX($A$2:$A$6, MATCH(G39, $D$2:$D$6, 0)), "")</f>
        <v/>
      </c>
      <c r="I39" s="486">
        <f t="shared" si="19"/>
        <v>0.1875</v>
      </c>
      <c r="J39" s="486">
        <f t="shared" si="19"/>
        <v>0.1875</v>
      </c>
      <c r="K39" s="486">
        <f t="shared" si="19"/>
        <v>0.1875</v>
      </c>
      <c r="L39" s="486">
        <f t="shared" si="19"/>
        <v>0.1875</v>
      </c>
      <c r="M39" s="486">
        <f t="shared" si="19"/>
        <v>0.1875</v>
      </c>
      <c r="N39" s="486">
        <f t="shared" si="19"/>
        <v>0.1875</v>
      </c>
      <c r="O39" s="486">
        <f t="shared" si="19"/>
        <v>0.1875</v>
      </c>
      <c r="P39" s="486">
        <f t="shared" si="19"/>
        <v>0.1875</v>
      </c>
      <c r="Q39" s="486">
        <f t="shared" si="19"/>
        <v>0.1875</v>
      </c>
      <c r="R39" s="486">
        <f t="shared" si="19"/>
        <v>0.1875</v>
      </c>
      <c r="S39" s="486">
        <f t="shared" si="20"/>
        <v>0.1875</v>
      </c>
      <c r="T39" s="486">
        <f t="shared" si="20"/>
        <v>0.1875</v>
      </c>
      <c r="U39" s="486">
        <f t="shared" si="20"/>
        <v>0.1875</v>
      </c>
      <c r="V39" s="486">
        <f t="shared" si="20"/>
        <v>0.1875</v>
      </c>
      <c r="W39" s="486">
        <f t="shared" si="20"/>
        <v>0.1875</v>
      </c>
      <c r="X39" s="486">
        <f t="shared" si="20"/>
        <v>0.1875</v>
      </c>
      <c r="Y39" s="486">
        <f t="shared" si="20"/>
        <v>0.1875</v>
      </c>
      <c r="Z39" s="486">
        <f t="shared" si="20"/>
        <v>0.1875</v>
      </c>
      <c r="AA39" s="486">
        <f t="shared" si="20"/>
        <v>0.1875</v>
      </c>
      <c r="AB39" s="486">
        <f t="shared" si="20"/>
        <v>0.1875</v>
      </c>
      <c r="AC39" s="486">
        <f t="shared" si="21"/>
        <v>0.1875</v>
      </c>
      <c r="AD39" s="486">
        <f t="shared" si="21"/>
        <v>0.1875</v>
      </c>
      <c r="AE39" s="486">
        <f t="shared" si="21"/>
        <v>0.1875</v>
      </c>
      <c r="AF39" s="486">
        <f t="shared" si="21"/>
        <v>0.1875</v>
      </c>
      <c r="AG39" s="486">
        <f t="shared" si="21"/>
        <v>0.1875</v>
      </c>
      <c r="AH39" s="486">
        <f t="shared" si="21"/>
        <v>0.1875</v>
      </c>
      <c r="AI39" s="486">
        <f t="shared" si="21"/>
        <v>0.1875</v>
      </c>
      <c r="AJ39" s="486">
        <f t="shared" si="21"/>
        <v>0.1875</v>
      </c>
      <c r="AK39" s="486">
        <f t="shared" si="21"/>
        <v>0.1875</v>
      </c>
      <c r="AL39" s="486">
        <f t="shared" si="21"/>
        <v>0</v>
      </c>
      <c r="AM39" s="486">
        <f t="shared" si="22"/>
        <v>0</v>
      </c>
      <c r="AN39" s="486">
        <f t="shared" si="22"/>
        <v>0</v>
      </c>
      <c r="AO39" s="486">
        <f t="shared" si="22"/>
        <v>0</v>
      </c>
      <c r="AP39" s="486">
        <f t="shared" si="22"/>
        <v>0</v>
      </c>
      <c r="AQ39" s="486">
        <f t="shared" si="22"/>
        <v>0</v>
      </c>
      <c r="AR39" s="486">
        <f t="shared" si="22"/>
        <v>0</v>
      </c>
      <c r="AS39" s="486">
        <f t="shared" si="22"/>
        <v>0</v>
      </c>
      <c r="AT39" s="486">
        <f t="shared" si="22"/>
        <v>0</v>
      </c>
      <c r="AU39" s="486">
        <f t="shared" si="22"/>
        <v>0</v>
      </c>
      <c r="AV39" s="486">
        <f t="shared" si="22"/>
        <v>0</v>
      </c>
      <c r="AW39" s="486">
        <f t="shared" si="23"/>
        <v>0</v>
      </c>
      <c r="AX39" s="486">
        <f t="shared" si="23"/>
        <v>0</v>
      </c>
      <c r="AY39" s="486">
        <f t="shared" si="23"/>
        <v>0</v>
      </c>
      <c r="AZ39" s="486">
        <f t="shared" si="23"/>
        <v>0</v>
      </c>
      <c r="BA39" s="486">
        <f t="shared" si="23"/>
        <v>0</v>
      </c>
      <c r="BB39" s="486">
        <f t="shared" si="23"/>
        <v>0</v>
      </c>
      <c r="BC39" s="486">
        <f t="shared" si="23"/>
        <v>0</v>
      </c>
      <c r="BD39" s="486">
        <f t="shared" si="23"/>
        <v>0</v>
      </c>
      <c r="BE39" s="486">
        <f t="shared" si="23"/>
        <v>0</v>
      </c>
      <c r="BF39" s="486">
        <f t="shared" si="23"/>
        <v>0</v>
      </c>
      <c r="BG39" s="486">
        <f t="shared" si="23"/>
        <v>0</v>
      </c>
      <c r="BH39" s="487">
        <f t="shared" si="23"/>
        <v>0</v>
      </c>
    </row>
    <row r="40" spans="6:60" x14ac:dyDescent="0.25">
      <c r="F40" s="488">
        <f t="shared" ref="F40:F58" si="25">EDATE(F39, 1)</f>
        <v>45170</v>
      </c>
      <c r="G40" s="312">
        <v>34</v>
      </c>
      <c r="H40" t="str">
        <f t="shared" si="24"/>
        <v/>
      </c>
      <c r="I40" s="486">
        <f t="shared" si="19"/>
        <v>0.1875</v>
      </c>
      <c r="J40" s="486">
        <f t="shared" si="19"/>
        <v>0.1875</v>
      </c>
      <c r="K40" s="486">
        <f t="shared" si="19"/>
        <v>0.1875</v>
      </c>
      <c r="L40" s="486">
        <f t="shared" si="19"/>
        <v>0.1875</v>
      </c>
      <c r="M40" s="486">
        <f t="shared" si="19"/>
        <v>0.1875</v>
      </c>
      <c r="N40" s="486">
        <f t="shared" si="19"/>
        <v>0.1875</v>
      </c>
      <c r="O40" s="486">
        <f t="shared" si="19"/>
        <v>0.1875</v>
      </c>
      <c r="P40" s="486">
        <f t="shared" si="19"/>
        <v>0.1875</v>
      </c>
      <c r="Q40" s="486">
        <f t="shared" si="19"/>
        <v>0.1875</v>
      </c>
      <c r="R40" s="486">
        <f t="shared" si="19"/>
        <v>0.1875</v>
      </c>
      <c r="S40" s="486">
        <f t="shared" si="20"/>
        <v>0.1875</v>
      </c>
      <c r="T40" s="486">
        <f t="shared" si="20"/>
        <v>0.1875</v>
      </c>
      <c r="U40" s="486">
        <f t="shared" si="20"/>
        <v>0.1875</v>
      </c>
      <c r="V40" s="486">
        <f t="shared" si="20"/>
        <v>0.1875</v>
      </c>
      <c r="W40" s="486">
        <f t="shared" si="20"/>
        <v>0.1875</v>
      </c>
      <c r="X40" s="486">
        <f t="shared" si="20"/>
        <v>0.1875</v>
      </c>
      <c r="Y40" s="486">
        <f t="shared" si="20"/>
        <v>0.1875</v>
      </c>
      <c r="Z40" s="486">
        <f t="shared" si="20"/>
        <v>0.1875</v>
      </c>
      <c r="AA40" s="486">
        <f t="shared" si="20"/>
        <v>0.1875</v>
      </c>
      <c r="AB40" s="486">
        <f t="shared" si="20"/>
        <v>0.1875</v>
      </c>
      <c r="AC40" s="486">
        <f t="shared" si="21"/>
        <v>0.1875</v>
      </c>
      <c r="AD40" s="486">
        <f t="shared" si="21"/>
        <v>0.1875</v>
      </c>
      <c r="AE40" s="486">
        <f t="shared" si="21"/>
        <v>0.1875</v>
      </c>
      <c r="AF40" s="486">
        <f t="shared" si="21"/>
        <v>0.1875</v>
      </c>
      <c r="AG40" s="486">
        <f t="shared" si="21"/>
        <v>0.1875</v>
      </c>
      <c r="AH40" s="486">
        <f t="shared" si="21"/>
        <v>0.1875</v>
      </c>
      <c r="AI40" s="486">
        <f t="shared" si="21"/>
        <v>0.1875</v>
      </c>
      <c r="AJ40" s="486">
        <f t="shared" si="21"/>
        <v>0.1875</v>
      </c>
      <c r="AK40" s="486">
        <f t="shared" si="21"/>
        <v>0.1875</v>
      </c>
      <c r="AL40" s="486">
        <f t="shared" si="21"/>
        <v>0</v>
      </c>
      <c r="AM40" s="486">
        <f t="shared" si="22"/>
        <v>0</v>
      </c>
      <c r="AN40" s="486">
        <f t="shared" si="22"/>
        <v>0</v>
      </c>
      <c r="AO40" s="486">
        <f t="shared" si="22"/>
        <v>0</v>
      </c>
      <c r="AP40" s="486">
        <f t="shared" si="22"/>
        <v>0</v>
      </c>
      <c r="AQ40" s="486">
        <f t="shared" si="22"/>
        <v>0</v>
      </c>
      <c r="AR40" s="486">
        <f t="shared" si="22"/>
        <v>0</v>
      </c>
      <c r="AS40" s="486">
        <f t="shared" si="22"/>
        <v>0</v>
      </c>
      <c r="AT40" s="486">
        <f t="shared" si="22"/>
        <v>0</v>
      </c>
      <c r="AU40" s="486">
        <f t="shared" si="22"/>
        <v>0</v>
      </c>
      <c r="AV40" s="486">
        <f t="shared" si="22"/>
        <v>0</v>
      </c>
      <c r="AW40" s="486">
        <f t="shared" si="23"/>
        <v>0</v>
      </c>
      <c r="AX40" s="486">
        <f t="shared" si="23"/>
        <v>0</v>
      </c>
      <c r="AY40" s="486">
        <f t="shared" si="23"/>
        <v>0</v>
      </c>
      <c r="AZ40" s="486">
        <f t="shared" si="23"/>
        <v>0</v>
      </c>
      <c r="BA40" s="486">
        <f t="shared" si="23"/>
        <v>0</v>
      </c>
      <c r="BB40" s="486">
        <f t="shared" si="23"/>
        <v>0</v>
      </c>
      <c r="BC40" s="486">
        <f t="shared" si="23"/>
        <v>0</v>
      </c>
      <c r="BD40" s="486">
        <f t="shared" si="23"/>
        <v>0</v>
      </c>
      <c r="BE40" s="486">
        <f t="shared" si="23"/>
        <v>0</v>
      </c>
      <c r="BF40" s="486">
        <f t="shared" si="23"/>
        <v>0</v>
      </c>
      <c r="BG40" s="486">
        <f t="shared" si="23"/>
        <v>0</v>
      </c>
      <c r="BH40" s="487">
        <f t="shared" si="23"/>
        <v>0</v>
      </c>
    </row>
    <row r="41" spans="6:60" x14ac:dyDescent="0.25">
      <c r="F41" s="488">
        <f t="shared" si="25"/>
        <v>45200</v>
      </c>
      <c r="G41" s="312">
        <v>35</v>
      </c>
      <c r="H41" t="str">
        <f t="shared" si="24"/>
        <v/>
      </c>
      <c r="I41" s="486">
        <f t="shared" si="19"/>
        <v>0.1875</v>
      </c>
      <c r="J41" s="486">
        <f t="shared" si="19"/>
        <v>0.1875</v>
      </c>
      <c r="K41" s="486">
        <f t="shared" si="19"/>
        <v>0.1875</v>
      </c>
      <c r="L41" s="486">
        <f t="shared" si="19"/>
        <v>0.1875</v>
      </c>
      <c r="M41" s="486">
        <f t="shared" si="19"/>
        <v>0.1875</v>
      </c>
      <c r="N41" s="486">
        <f t="shared" si="19"/>
        <v>0.1875</v>
      </c>
      <c r="O41" s="486">
        <f t="shared" si="19"/>
        <v>0.1875</v>
      </c>
      <c r="P41" s="486">
        <f t="shared" si="19"/>
        <v>0.1875</v>
      </c>
      <c r="Q41" s="486">
        <f t="shared" si="19"/>
        <v>0.1875</v>
      </c>
      <c r="R41" s="486">
        <f t="shared" si="19"/>
        <v>0.1875</v>
      </c>
      <c r="S41" s="486">
        <f t="shared" si="20"/>
        <v>0.1875</v>
      </c>
      <c r="T41" s="486">
        <f t="shared" si="20"/>
        <v>0.1875</v>
      </c>
      <c r="U41" s="486">
        <f t="shared" si="20"/>
        <v>0.1875</v>
      </c>
      <c r="V41" s="486">
        <f t="shared" si="20"/>
        <v>0.1875</v>
      </c>
      <c r="W41" s="486">
        <f t="shared" si="20"/>
        <v>0.1875</v>
      </c>
      <c r="X41" s="486">
        <f t="shared" si="20"/>
        <v>0.1875</v>
      </c>
      <c r="Y41" s="486">
        <f t="shared" si="20"/>
        <v>0.1875</v>
      </c>
      <c r="Z41" s="486">
        <f t="shared" si="20"/>
        <v>0.1875</v>
      </c>
      <c r="AA41" s="486">
        <f t="shared" si="20"/>
        <v>0.1875</v>
      </c>
      <c r="AB41" s="486">
        <f t="shared" si="20"/>
        <v>0.1875</v>
      </c>
      <c r="AC41" s="486">
        <f t="shared" si="21"/>
        <v>0.1875</v>
      </c>
      <c r="AD41" s="486">
        <f t="shared" si="21"/>
        <v>0.1875</v>
      </c>
      <c r="AE41" s="486">
        <f t="shared" si="21"/>
        <v>0.1875</v>
      </c>
      <c r="AF41" s="486">
        <f t="shared" si="21"/>
        <v>0.1875</v>
      </c>
      <c r="AG41" s="486">
        <f t="shared" si="21"/>
        <v>0.1875</v>
      </c>
      <c r="AH41" s="486">
        <f t="shared" si="21"/>
        <v>0.1875</v>
      </c>
      <c r="AI41" s="486">
        <f t="shared" si="21"/>
        <v>0.1875</v>
      </c>
      <c r="AJ41" s="486">
        <f t="shared" si="21"/>
        <v>0.1875</v>
      </c>
      <c r="AK41" s="486">
        <f t="shared" si="21"/>
        <v>0.1875</v>
      </c>
      <c r="AL41" s="486">
        <f t="shared" si="21"/>
        <v>0</v>
      </c>
      <c r="AM41" s="486">
        <f t="shared" si="22"/>
        <v>0</v>
      </c>
      <c r="AN41" s="486">
        <f t="shared" si="22"/>
        <v>0</v>
      </c>
      <c r="AO41" s="486">
        <f t="shared" si="22"/>
        <v>0</v>
      </c>
      <c r="AP41" s="486">
        <f t="shared" si="22"/>
        <v>0</v>
      </c>
      <c r="AQ41" s="486">
        <f t="shared" si="22"/>
        <v>0</v>
      </c>
      <c r="AR41" s="486">
        <f t="shared" si="22"/>
        <v>0</v>
      </c>
      <c r="AS41" s="486">
        <f t="shared" si="22"/>
        <v>0</v>
      </c>
      <c r="AT41" s="486">
        <f t="shared" si="22"/>
        <v>0</v>
      </c>
      <c r="AU41" s="486">
        <f t="shared" si="22"/>
        <v>0</v>
      </c>
      <c r="AV41" s="486">
        <f t="shared" si="22"/>
        <v>0</v>
      </c>
      <c r="AW41" s="486">
        <f t="shared" si="23"/>
        <v>0</v>
      </c>
      <c r="AX41" s="486">
        <f t="shared" si="23"/>
        <v>0</v>
      </c>
      <c r="AY41" s="486">
        <f t="shared" si="23"/>
        <v>0</v>
      </c>
      <c r="AZ41" s="486">
        <f t="shared" si="23"/>
        <v>0</v>
      </c>
      <c r="BA41" s="486">
        <f t="shared" si="23"/>
        <v>0</v>
      </c>
      <c r="BB41" s="486">
        <f t="shared" si="23"/>
        <v>0</v>
      </c>
      <c r="BC41" s="486">
        <f t="shared" si="23"/>
        <v>0</v>
      </c>
      <c r="BD41" s="486">
        <f t="shared" si="23"/>
        <v>0</v>
      </c>
      <c r="BE41" s="486">
        <f t="shared" si="23"/>
        <v>0</v>
      </c>
      <c r="BF41" s="486">
        <f t="shared" si="23"/>
        <v>0</v>
      </c>
      <c r="BG41" s="486">
        <f t="shared" si="23"/>
        <v>0</v>
      </c>
      <c r="BH41" s="487">
        <f t="shared" si="23"/>
        <v>0</v>
      </c>
    </row>
    <row r="42" spans="6:60" x14ac:dyDescent="0.25">
      <c r="F42" s="488">
        <f t="shared" si="25"/>
        <v>45231</v>
      </c>
      <c r="G42" s="312">
        <v>36</v>
      </c>
      <c r="H42" t="str">
        <f t="shared" si="24"/>
        <v/>
      </c>
      <c r="I42" s="486">
        <f t="shared" si="19"/>
        <v>0</v>
      </c>
      <c r="J42" s="486">
        <f t="shared" si="19"/>
        <v>0</v>
      </c>
      <c r="K42" s="486">
        <f t="shared" si="19"/>
        <v>0</v>
      </c>
      <c r="L42" s="486">
        <f t="shared" si="19"/>
        <v>0</v>
      </c>
      <c r="M42" s="486">
        <f t="shared" si="19"/>
        <v>0</v>
      </c>
      <c r="N42" s="486">
        <f t="shared" si="19"/>
        <v>0</v>
      </c>
      <c r="O42" s="486">
        <f t="shared" si="19"/>
        <v>0</v>
      </c>
      <c r="P42" s="486">
        <f t="shared" si="19"/>
        <v>0</v>
      </c>
      <c r="Q42" s="486">
        <f t="shared" si="19"/>
        <v>0</v>
      </c>
      <c r="R42" s="486">
        <f t="shared" si="19"/>
        <v>0</v>
      </c>
      <c r="S42" s="486">
        <f t="shared" si="20"/>
        <v>0</v>
      </c>
      <c r="T42" s="486">
        <f t="shared" si="20"/>
        <v>0</v>
      </c>
      <c r="U42" s="486">
        <f t="shared" si="20"/>
        <v>0</v>
      </c>
      <c r="V42" s="486">
        <f t="shared" si="20"/>
        <v>0</v>
      </c>
      <c r="W42" s="486">
        <f t="shared" si="20"/>
        <v>0</v>
      </c>
      <c r="X42" s="486">
        <f t="shared" si="20"/>
        <v>0</v>
      </c>
      <c r="Y42" s="486">
        <f t="shared" si="20"/>
        <v>0</v>
      </c>
      <c r="Z42" s="486">
        <f t="shared" si="20"/>
        <v>0</v>
      </c>
      <c r="AA42" s="486">
        <f t="shared" si="20"/>
        <v>0</v>
      </c>
      <c r="AB42" s="486">
        <f t="shared" si="20"/>
        <v>0</v>
      </c>
      <c r="AC42" s="486">
        <f t="shared" si="21"/>
        <v>0</v>
      </c>
      <c r="AD42" s="486">
        <f t="shared" si="21"/>
        <v>0</v>
      </c>
      <c r="AE42" s="486">
        <f t="shared" si="21"/>
        <v>0</v>
      </c>
      <c r="AF42" s="486">
        <f t="shared" si="21"/>
        <v>0</v>
      </c>
      <c r="AG42" s="486">
        <f t="shared" si="21"/>
        <v>0</v>
      </c>
      <c r="AH42" s="486">
        <f t="shared" si="21"/>
        <v>0</v>
      </c>
      <c r="AI42" s="486">
        <f t="shared" si="21"/>
        <v>0</v>
      </c>
      <c r="AJ42" s="486">
        <f t="shared" si="21"/>
        <v>0</v>
      </c>
      <c r="AK42" s="486">
        <f t="shared" si="21"/>
        <v>0</v>
      </c>
      <c r="AL42" s="486">
        <f t="shared" si="21"/>
        <v>0</v>
      </c>
      <c r="AM42" s="486">
        <f t="shared" si="22"/>
        <v>0</v>
      </c>
      <c r="AN42" s="486">
        <f t="shared" si="22"/>
        <v>0</v>
      </c>
      <c r="AO42" s="486">
        <f t="shared" si="22"/>
        <v>0</v>
      </c>
      <c r="AP42" s="486">
        <f t="shared" si="22"/>
        <v>0</v>
      </c>
      <c r="AQ42" s="486">
        <f t="shared" si="22"/>
        <v>0</v>
      </c>
      <c r="AR42" s="486">
        <f t="shared" si="22"/>
        <v>0</v>
      </c>
      <c r="AS42" s="486">
        <f t="shared" si="22"/>
        <v>0</v>
      </c>
      <c r="AT42" s="486">
        <f t="shared" si="22"/>
        <v>0</v>
      </c>
      <c r="AU42" s="486">
        <f t="shared" si="22"/>
        <v>0</v>
      </c>
      <c r="AV42" s="486">
        <f t="shared" si="22"/>
        <v>0</v>
      </c>
      <c r="AW42" s="486">
        <f t="shared" si="23"/>
        <v>0</v>
      </c>
      <c r="AX42" s="486">
        <f t="shared" si="23"/>
        <v>0</v>
      </c>
      <c r="AY42" s="486">
        <f t="shared" si="23"/>
        <v>0</v>
      </c>
      <c r="AZ42" s="486">
        <f t="shared" si="23"/>
        <v>0</v>
      </c>
      <c r="BA42" s="486">
        <f t="shared" si="23"/>
        <v>0</v>
      </c>
      <c r="BB42" s="486">
        <f t="shared" si="23"/>
        <v>0</v>
      </c>
      <c r="BC42" s="486">
        <f t="shared" si="23"/>
        <v>0</v>
      </c>
      <c r="BD42" s="486">
        <f t="shared" si="23"/>
        <v>0</v>
      </c>
      <c r="BE42" s="486">
        <f t="shared" si="23"/>
        <v>0</v>
      </c>
      <c r="BF42" s="486">
        <f t="shared" si="23"/>
        <v>0</v>
      </c>
      <c r="BG42" s="486">
        <f t="shared" si="23"/>
        <v>0</v>
      </c>
      <c r="BH42" s="487">
        <f t="shared" si="23"/>
        <v>0</v>
      </c>
    </row>
    <row r="43" spans="6:60" x14ac:dyDescent="0.25">
      <c r="F43" s="488">
        <f t="shared" si="25"/>
        <v>45261</v>
      </c>
      <c r="G43" s="312">
        <v>37</v>
      </c>
      <c r="H43" t="str">
        <f t="shared" si="24"/>
        <v/>
      </c>
      <c r="I43" s="486">
        <f t="shared" si="19"/>
        <v>0</v>
      </c>
      <c r="J43" s="486">
        <f t="shared" si="19"/>
        <v>0</v>
      </c>
      <c r="K43" s="486">
        <f t="shared" si="19"/>
        <v>0</v>
      </c>
      <c r="L43" s="486">
        <f t="shared" si="19"/>
        <v>0</v>
      </c>
      <c r="M43" s="486">
        <f t="shared" si="19"/>
        <v>0</v>
      </c>
      <c r="N43" s="486">
        <f t="shared" si="19"/>
        <v>0</v>
      </c>
      <c r="O43" s="486">
        <f t="shared" si="19"/>
        <v>0</v>
      </c>
      <c r="P43" s="486">
        <f t="shared" si="19"/>
        <v>0</v>
      </c>
      <c r="Q43" s="486">
        <f t="shared" si="19"/>
        <v>0</v>
      </c>
      <c r="R43" s="486">
        <f t="shared" si="19"/>
        <v>0</v>
      </c>
      <c r="S43" s="486">
        <f t="shared" si="20"/>
        <v>0</v>
      </c>
      <c r="T43" s="486">
        <f t="shared" si="20"/>
        <v>0</v>
      </c>
      <c r="U43" s="486">
        <f t="shared" si="20"/>
        <v>0</v>
      </c>
      <c r="V43" s="486">
        <f t="shared" si="20"/>
        <v>0</v>
      </c>
      <c r="W43" s="486">
        <f t="shared" si="20"/>
        <v>0</v>
      </c>
      <c r="X43" s="486">
        <f t="shared" si="20"/>
        <v>0</v>
      </c>
      <c r="Y43" s="486">
        <f t="shared" si="20"/>
        <v>0</v>
      </c>
      <c r="Z43" s="486">
        <f t="shared" si="20"/>
        <v>0</v>
      </c>
      <c r="AA43" s="486">
        <f t="shared" si="20"/>
        <v>0</v>
      </c>
      <c r="AB43" s="486">
        <f t="shared" si="20"/>
        <v>0</v>
      </c>
      <c r="AC43" s="486">
        <f t="shared" si="21"/>
        <v>0</v>
      </c>
      <c r="AD43" s="486">
        <f t="shared" si="21"/>
        <v>0</v>
      </c>
      <c r="AE43" s="486">
        <f t="shared" si="21"/>
        <v>0</v>
      </c>
      <c r="AF43" s="486">
        <f t="shared" si="21"/>
        <v>0</v>
      </c>
      <c r="AG43" s="486">
        <f t="shared" si="21"/>
        <v>0</v>
      </c>
      <c r="AH43" s="486">
        <f t="shared" si="21"/>
        <v>0</v>
      </c>
      <c r="AI43" s="486">
        <f t="shared" si="21"/>
        <v>0</v>
      </c>
      <c r="AJ43" s="486">
        <f t="shared" si="21"/>
        <v>0</v>
      </c>
      <c r="AK43" s="486">
        <f t="shared" si="21"/>
        <v>0</v>
      </c>
      <c r="AL43" s="486">
        <f t="shared" si="21"/>
        <v>0</v>
      </c>
      <c r="AM43" s="486">
        <f t="shared" si="22"/>
        <v>0</v>
      </c>
      <c r="AN43" s="486">
        <f t="shared" si="22"/>
        <v>0</v>
      </c>
      <c r="AO43" s="486">
        <f t="shared" si="22"/>
        <v>0</v>
      </c>
      <c r="AP43" s="486">
        <f t="shared" si="22"/>
        <v>0</v>
      </c>
      <c r="AQ43" s="486">
        <f t="shared" si="22"/>
        <v>0</v>
      </c>
      <c r="AR43" s="486">
        <f t="shared" si="22"/>
        <v>0</v>
      </c>
      <c r="AS43" s="486">
        <f t="shared" si="22"/>
        <v>0</v>
      </c>
      <c r="AT43" s="486">
        <f t="shared" si="22"/>
        <v>0</v>
      </c>
      <c r="AU43" s="486">
        <f t="shared" si="22"/>
        <v>0</v>
      </c>
      <c r="AV43" s="486">
        <f t="shared" si="22"/>
        <v>0</v>
      </c>
      <c r="AW43" s="486">
        <f t="shared" si="23"/>
        <v>0</v>
      </c>
      <c r="AX43" s="486">
        <f t="shared" si="23"/>
        <v>0</v>
      </c>
      <c r="AY43" s="486">
        <f t="shared" si="23"/>
        <v>0</v>
      </c>
      <c r="AZ43" s="486">
        <f t="shared" si="23"/>
        <v>0</v>
      </c>
      <c r="BA43" s="486">
        <f t="shared" si="23"/>
        <v>0</v>
      </c>
      <c r="BB43" s="486">
        <f t="shared" si="23"/>
        <v>0</v>
      </c>
      <c r="BC43" s="486">
        <f t="shared" si="23"/>
        <v>0</v>
      </c>
      <c r="BD43" s="486">
        <f t="shared" si="23"/>
        <v>0</v>
      </c>
      <c r="BE43" s="486">
        <f t="shared" si="23"/>
        <v>0</v>
      </c>
      <c r="BF43" s="486">
        <f t="shared" si="23"/>
        <v>0</v>
      </c>
      <c r="BG43" s="486">
        <f t="shared" si="23"/>
        <v>0</v>
      </c>
      <c r="BH43" s="487">
        <f t="shared" si="23"/>
        <v>0</v>
      </c>
    </row>
    <row r="44" spans="6:60" x14ac:dyDescent="0.25">
      <c r="F44" s="488">
        <f t="shared" si="25"/>
        <v>45292</v>
      </c>
      <c r="G44" s="312">
        <v>38</v>
      </c>
      <c r="H44" t="str">
        <f t="shared" si="24"/>
        <v/>
      </c>
      <c r="I44" s="486">
        <f t="shared" si="19"/>
        <v>0</v>
      </c>
      <c r="J44" s="486">
        <f t="shared" si="19"/>
        <v>0</v>
      </c>
      <c r="K44" s="486">
        <f t="shared" si="19"/>
        <v>0</v>
      </c>
      <c r="L44" s="486">
        <f t="shared" si="19"/>
        <v>0</v>
      </c>
      <c r="M44" s="486">
        <f t="shared" si="19"/>
        <v>0</v>
      </c>
      <c r="N44" s="486">
        <f t="shared" si="19"/>
        <v>0</v>
      </c>
      <c r="O44" s="486">
        <f t="shared" si="19"/>
        <v>0</v>
      </c>
      <c r="P44" s="486">
        <f t="shared" si="19"/>
        <v>0</v>
      </c>
      <c r="Q44" s="486">
        <f t="shared" si="19"/>
        <v>0</v>
      </c>
      <c r="R44" s="486">
        <f t="shared" si="19"/>
        <v>0</v>
      </c>
      <c r="S44" s="486">
        <f t="shared" si="20"/>
        <v>0</v>
      </c>
      <c r="T44" s="486">
        <f t="shared" si="20"/>
        <v>0</v>
      </c>
      <c r="U44" s="486">
        <f t="shared" si="20"/>
        <v>0</v>
      </c>
      <c r="V44" s="486">
        <f t="shared" si="20"/>
        <v>0</v>
      </c>
      <c r="W44" s="486">
        <f t="shared" si="20"/>
        <v>0</v>
      </c>
      <c r="X44" s="486">
        <f t="shared" si="20"/>
        <v>0</v>
      </c>
      <c r="Y44" s="486">
        <f t="shared" si="20"/>
        <v>0</v>
      </c>
      <c r="Z44" s="486">
        <f t="shared" si="20"/>
        <v>0</v>
      </c>
      <c r="AA44" s="486">
        <f t="shared" si="20"/>
        <v>0</v>
      </c>
      <c r="AB44" s="486">
        <f t="shared" si="20"/>
        <v>0</v>
      </c>
      <c r="AC44" s="486">
        <f t="shared" si="21"/>
        <v>0</v>
      </c>
      <c r="AD44" s="486">
        <f t="shared" si="21"/>
        <v>0</v>
      </c>
      <c r="AE44" s="486">
        <f t="shared" si="21"/>
        <v>0</v>
      </c>
      <c r="AF44" s="486">
        <f t="shared" si="21"/>
        <v>0</v>
      </c>
      <c r="AG44" s="486">
        <f t="shared" si="21"/>
        <v>0</v>
      </c>
      <c r="AH44" s="486">
        <f t="shared" si="21"/>
        <v>0</v>
      </c>
      <c r="AI44" s="486">
        <f t="shared" si="21"/>
        <v>0</v>
      </c>
      <c r="AJ44" s="486">
        <f t="shared" si="21"/>
        <v>0</v>
      </c>
      <c r="AK44" s="486">
        <f t="shared" si="21"/>
        <v>0</v>
      </c>
      <c r="AL44" s="486">
        <f t="shared" si="21"/>
        <v>0</v>
      </c>
      <c r="AM44" s="486">
        <f t="shared" si="22"/>
        <v>0</v>
      </c>
      <c r="AN44" s="486">
        <f t="shared" si="22"/>
        <v>0</v>
      </c>
      <c r="AO44" s="486">
        <f t="shared" si="22"/>
        <v>0</v>
      </c>
      <c r="AP44" s="486">
        <f t="shared" si="22"/>
        <v>0</v>
      </c>
      <c r="AQ44" s="486">
        <f t="shared" si="22"/>
        <v>0</v>
      </c>
      <c r="AR44" s="486">
        <f t="shared" si="22"/>
        <v>0</v>
      </c>
      <c r="AS44" s="486">
        <f t="shared" si="22"/>
        <v>0</v>
      </c>
      <c r="AT44" s="486">
        <f t="shared" si="22"/>
        <v>0</v>
      </c>
      <c r="AU44" s="486">
        <f t="shared" si="22"/>
        <v>0</v>
      </c>
      <c r="AV44" s="486">
        <f t="shared" si="22"/>
        <v>0</v>
      </c>
      <c r="AW44" s="486">
        <f t="shared" si="23"/>
        <v>0</v>
      </c>
      <c r="AX44" s="486">
        <f t="shared" si="23"/>
        <v>0</v>
      </c>
      <c r="AY44" s="486">
        <f t="shared" si="23"/>
        <v>0</v>
      </c>
      <c r="AZ44" s="486">
        <f t="shared" si="23"/>
        <v>0</v>
      </c>
      <c r="BA44" s="486">
        <f t="shared" si="23"/>
        <v>0</v>
      </c>
      <c r="BB44" s="486">
        <f t="shared" si="23"/>
        <v>0</v>
      </c>
      <c r="BC44" s="486">
        <f t="shared" si="23"/>
        <v>0</v>
      </c>
      <c r="BD44" s="486">
        <f t="shared" si="23"/>
        <v>0</v>
      </c>
      <c r="BE44" s="486">
        <f t="shared" si="23"/>
        <v>0</v>
      </c>
      <c r="BF44" s="486">
        <f t="shared" si="23"/>
        <v>0</v>
      </c>
      <c r="BG44" s="486">
        <f t="shared" si="23"/>
        <v>0</v>
      </c>
      <c r="BH44" s="487">
        <f t="shared" si="23"/>
        <v>0</v>
      </c>
    </row>
    <row r="45" spans="6:60" x14ac:dyDescent="0.25">
      <c r="F45" s="488">
        <f t="shared" si="25"/>
        <v>45323</v>
      </c>
      <c r="G45" s="312">
        <v>39</v>
      </c>
      <c r="H45" t="str">
        <f t="shared" si="24"/>
        <v/>
      </c>
      <c r="I45" s="486">
        <f t="shared" si="19"/>
        <v>0</v>
      </c>
      <c r="J45" s="486">
        <f t="shared" si="19"/>
        <v>0</v>
      </c>
      <c r="K45" s="486">
        <f t="shared" si="19"/>
        <v>0</v>
      </c>
      <c r="L45" s="486">
        <f t="shared" si="19"/>
        <v>0</v>
      </c>
      <c r="M45" s="486">
        <f t="shared" si="19"/>
        <v>0</v>
      </c>
      <c r="N45" s="486">
        <f t="shared" si="19"/>
        <v>0</v>
      </c>
      <c r="O45" s="486">
        <f t="shared" si="19"/>
        <v>0</v>
      </c>
      <c r="P45" s="486">
        <f t="shared" si="19"/>
        <v>0</v>
      </c>
      <c r="Q45" s="486">
        <f t="shared" si="19"/>
        <v>0</v>
      </c>
      <c r="R45" s="486">
        <f t="shared" si="19"/>
        <v>0</v>
      </c>
      <c r="S45" s="486">
        <f t="shared" si="20"/>
        <v>0</v>
      </c>
      <c r="T45" s="486">
        <f t="shared" si="20"/>
        <v>0</v>
      </c>
      <c r="U45" s="486">
        <f t="shared" si="20"/>
        <v>0</v>
      </c>
      <c r="V45" s="486">
        <f t="shared" si="20"/>
        <v>0</v>
      </c>
      <c r="W45" s="486">
        <f t="shared" si="20"/>
        <v>0</v>
      </c>
      <c r="X45" s="486">
        <f t="shared" si="20"/>
        <v>0</v>
      </c>
      <c r="Y45" s="486">
        <f t="shared" si="20"/>
        <v>0</v>
      </c>
      <c r="Z45" s="486">
        <f t="shared" si="20"/>
        <v>0</v>
      </c>
      <c r="AA45" s="486">
        <f t="shared" si="20"/>
        <v>0</v>
      </c>
      <c r="AB45" s="486">
        <f t="shared" si="20"/>
        <v>0</v>
      </c>
      <c r="AC45" s="486">
        <f t="shared" si="21"/>
        <v>0</v>
      </c>
      <c r="AD45" s="486">
        <f t="shared" si="21"/>
        <v>0</v>
      </c>
      <c r="AE45" s="486">
        <f t="shared" si="21"/>
        <v>0</v>
      </c>
      <c r="AF45" s="486">
        <f t="shared" si="21"/>
        <v>0</v>
      </c>
      <c r="AG45" s="486">
        <f t="shared" si="21"/>
        <v>0</v>
      </c>
      <c r="AH45" s="486">
        <f t="shared" si="21"/>
        <v>0</v>
      </c>
      <c r="AI45" s="486">
        <f t="shared" si="21"/>
        <v>0</v>
      </c>
      <c r="AJ45" s="486">
        <f t="shared" si="21"/>
        <v>0</v>
      </c>
      <c r="AK45" s="486">
        <f t="shared" si="21"/>
        <v>0</v>
      </c>
      <c r="AL45" s="486">
        <f t="shared" si="21"/>
        <v>0</v>
      </c>
      <c r="AM45" s="486">
        <f t="shared" si="22"/>
        <v>0</v>
      </c>
      <c r="AN45" s="486">
        <f t="shared" si="22"/>
        <v>0</v>
      </c>
      <c r="AO45" s="486">
        <f t="shared" si="22"/>
        <v>0</v>
      </c>
      <c r="AP45" s="486">
        <f t="shared" si="22"/>
        <v>0</v>
      </c>
      <c r="AQ45" s="486">
        <f t="shared" si="22"/>
        <v>0</v>
      </c>
      <c r="AR45" s="486">
        <f t="shared" si="22"/>
        <v>0</v>
      </c>
      <c r="AS45" s="486">
        <f t="shared" si="22"/>
        <v>0</v>
      </c>
      <c r="AT45" s="486">
        <f t="shared" si="22"/>
        <v>0</v>
      </c>
      <c r="AU45" s="486">
        <f t="shared" si="22"/>
        <v>0</v>
      </c>
      <c r="AV45" s="486">
        <f t="shared" si="22"/>
        <v>0</v>
      </c>
      <c r="AW45" s="486">
        <f t="shared" si="23"/>
        <v>0</v>
      </c>
      <c r="AX45" s="486">
        <f t="shared" si="23"/>
        <v>0</v>
      </c>
      <c r="AY45" s="486">
        <f t="shared" si="23"/>
        <v>0</v>
      </c>
      <c r="AZ45" s="486">
        <f t="shared" si="23"/>
        <v>0</v>
      </c>
      <c r="BA45" s="486">
        <f t="shared" si="23"/>
        <v>0</v>
      </c>
      <c r="BB45" s="486">
        <f t="shared" si="23"/>
        <v>0</v>
      </c>
      <c r="BC45" s="486">
        <f t="shared" si="23"/>
        <v>0</v>
      </c>
      <c r="BD45" s="486">
        <f t="shared" si="23"/>
        <v>0</v>
      </c>
      <c r="BE45" s="486">
        <f t="shared" si="23"/>
        <v>0</v>
      </c>
      <c r="BF45" s="486">
        <f t="shared" si="23"/>
        <v>0</v>
      </c>
      <c r="BG45" s="486">
        <f t="shared" si="23"/>
        <v>0</v>
      </c>
      <c r="BH45" s="487">
        <f t="shared" si="23"/>
        <v>0</v>
      </c>
    </row>
    <row r="46" spans="6:60" x14ac:dyDescent="0.25">
      <c r="F46" s="488">
        <f t="shared" si="25"/>
        <v>45352</v>
      </c>
      <c r="G46" s="312">
        <v>40</v>
      </c>
      <c r="H46" t="str">
        <f t="shared" si="24"/>
        <v/>
      </c>
      <c r="I46" s="486">
        <f t="shared" si="19"/>
        <v>0</v>
      </c>
      <c r="J46" s="486">
        <f t="shared" si="19"/>
        <v>0</v>
      </c>
      <c r="K46" s="486">
        <f t="shared" si="19"/>
        <v>0</v>
      </c>
      <c r="L46" s="486">
        <f t="shared" si="19"/>
        <v>0</v>
      </c>
      <c r="M46" s="486">
        <f t="shared" si="19"/>
        <v>0</v>
      </c>
      <c r="N46" s="486">
        <f t="shared" si="19"/>
        <v>0</v>
      </c>
      <c r="O46" s="486">
        <f t="shared" si="19"/>
        <v>0</v>
      </c>
      <c r="P46" s="486">
        <f t="shared" si="19"/>
        <v>0</v>
      </c>
      <c r="Q46" s="486">
        <f t="shared" si="19"/>
        <v>0</v>
      </c>
      <c r="R46" s="486">
        <f t="shared" si="19"/>
        <v>0</v>
      </c>
      <c r="S46" s="486">
        <f t="shared" si="20"/>
        <v>0</v>
      </c>
      <c r="T46" s="486">
        <f t="shared" si="20"/>
        <v>0</v>
      </c>
      <c r="U46" s="486">
        <f t="shared" si="20"/>
        <v>0</v>
      </c>
      <c r="V46" s="486">
        <f t="shared" si="20"/>
        <v>0</v>
      </c>
      <c r="W46" s="486">
        <f t="shared" si="20"/>
        <v>0</v>
      </c>
      <c r="X46" s="486">
        <f t="shared" si="20"/>
        <v>0</v>
      </c>
      <c r="Y46" s="486">
        <f t="shared" si="20"/>
        <v>0</v>
      </c>
      <c r="Z46" s="486">
        <f t="shared" si="20"/>
        <v>0</v>
      </c>
      <c r="AA46" s="486">
        <f t="shared" si="20"/>
        <v>0</v>
      </c>
      <c r="AB46" s="486">
        <f t="shared" si="20"/>
        <v>0</v>
      </c>
      <c r="AC46" s="486">
        <f t="shared" si="21"/>
        <v>0</v>
      </c>
      <c r="AD46" s="486">
        <f t="shared" si="21"/>
        <v>0</v>
      </c>
      <c r="AE46" s="486">
        <f t="shared" si="21"/>
        <v>0</v>
      </c>
      <c r="AF46" s="486">
        <f t="shared" si="21"/>
        <v>0</v>
      </c>
      <c r="AG46" s="486">
        <f t="shared" si="21"/>
        <v>0</v>
      </c>
      <c r="AH46" s="486">
        <f t="shared" si="21"/>
        <v>0</v>
      </c>
      <c r="AI46" s="486">
        <f t="shared" si="21"/>
        <v>0</v>
      </c>
      <c r="AJ46" s="486">
        <f t="shared" si="21"/>
        <v>0</v>
      </c>
      <c r="AK46" s="486">
        <f t="shared" si="21"/>
        <v>0</v>
      </c>
      <c r="AL46" s="486">
        <f t="shared" si="21"/>
        <v>0</v>
      </c>
      <c r="AM46" s="486">
        <f t="shared" si="22"/>
        <v>0</v>
      </c>
      <c r="AN46" s="486">
        <f t="shared" si="22"/>
        <v>0</v>
      </c>
      <c r="AO46" s="486">
        <f t="shared" si="22"/>
        <v>0</v>
      </c>
      <c r="AP46" s="486">
        <f t="shared" si="22"/>
        <v>0</v>
      </c>
      <c r="AQ46" s="486">
        <f t="shared" si="22"/>
        <v>0</v>
      </c>
      <c r="AR46" s="486">
        <f t="shared" si="22"/>
        <v>0</v>
      </c>
      <c r="AS46" s="486">
        <f t="shared" si="22"/>
        <v>0</v>
      </c>
      <c r="AT46" s="486">
        <f t="shared" si="22"/>
        <v>0</v>
      </c>
      <c r="AU46" s="486">
        <f t="shared" si="22"/>
        <v>0</v>
      </c>
      <c r="AV46" s="486">
        <f t="shared" si="22"/>
        <v>0</v>
      </c>
      <c r="AW46" s="486">
        <f t="shared" si="23"/>
        <v>0</v>
      </c>
      <c r="AX46" s="486">
        <f t="shared" si="23"/>
        <v>0</v>
      </c>
      <c r="AY46" s="486">
        <f t="shared" si="23"/>
        <v>0</v>
      </c>
      <c r="AZ46" s="486">
        <f t="shared" si="23"/>
        <v>0</v>
      </c>
      <c r="BA46" s="486">
        <f t="shared" si="23"/>
        <v>0</v>
      </c>
      <c r="BB46" s="486">
        <f t="shared" si="23"/>
        <v>0</v>
      </c>
      <c r="BC46" s="486">
        <f t="shared" si="23"/>
        <v>0</v>
      </c>
      <c r="BD46" s="486">
        <f t="shared" si="23"/>
        <v>0</v>
      </c>
      <c r="BE46" s="486">
        <f t="shared" si="23"/>
        <v>0</v>
      </c>
      <c r="BF46" s="486">
        <f t="shared" si="23"/>
        <v>0</v>
      </c>
      <c r="BG46" s="486">
        <f t="shared" si="23"/>
        <v>0</v>
      </c>
      <c r="BH46" s="487">
        <f t="shared" si="23"/>
        <v>0</v>
      </c>
    </row>
    <row r="47" spans="6:60" x14ac:dyDescent="0.25">
      <c r="F47" s="488">
        <f t="shared" si="25"/>
        <v>45383</v>
      </c>
      <c r="G47" s="312">
        <v>41</v>
      </c>
      <c r="H47" t="str">
        <f t="shared" si="24"/>
        <v>TP</v>
      </c>
      <c r="I47" s="486">
        <f t="shared" ref="I47:R58" si="26">IF(AND($F47=I$5, $F47&lt;=entrega, $F47&gt;=lçto),atoPreCh,0)+IF(AND($F47&gt;I$5,$F47&lt;=entrega, I$5&gt;=lçto),mensaisPreCh/DATEDIF(I$5, entrega, "m"),IF(AND($F47=entrega, I$5=entrega), mensaisPreCh, 0))+IF(AND($F47&gt;=EDATE(entrega, chRepasse+1), $F47&lt;=EDATE(entrega, chRepasse+periodoRepassePreChaves), I$5&lt;=entrega, I$5&gt;=lçto), repassePreCh/periodoRepassePreChaves, 0)</f>
        <v>0</v>
      </c>
      <c r="J47" s="486">
        <f t="shared" si="26"/>
        <v>0</v>
      </c>
      <c r="K47" s="486">
        <f t="shared" si="26"/>
        <v>0</v>
      </c>
      <c r="L47" s="486">
        <f t="shared" si="26"/>
        <v>0</v>
      </c>
      <c r="M47" s="486">
        <f t="shared" si="26"/>
        <v>0</v>
      </c>
      <c r="N47" s="486">
        <f t="shared" si="26"/>
        <v>0</v>
      </c>
      <c r="O47" s="486">
        <f t="shared" si="26"/>
        <v>0</v>
      </c>
      <c r="P47" s="486">
        <f t="shared" si="26"/>
        <v>0</v>
      </c>
      <c r="Q47" s="486">
        <f t="shared" si="26"/>
        <v>0</v>
      </c>
      <c r="R47" s="486">
        <f t="shared" si="26"/>
        <v>0</v>
      </c>
      <c r="S47" s="486">
        <f t="shared" ref="S47:AB58" si="27">IF(AND($F47=S$5, $F47&lt;=entrega, $F47&gt;=lçto),atoPreCh,0)+IF(AND($F47&gt;S$5,$F47&lt;=entrega, S$5&gt;=lçto),mensaisPreCh/DATEDIF(S$5, entrega, "m"),IF(AND($F47=entrega, S$5=entrega), mensaisPreCh, 0))+IF(AND($F47&gt;=EDATE(entrega, chRepasse+1), $F47&lt;=EDATE(entrega, chRepasse+periodoRepassePreChaves), S$5&lt;=entrega, S$5&gt;=lçto), repassePreCh/periodoRepassePreChaves, 0)</f>
        <v>0</v>
      </c>
      <c r="T47" s="486">
        <f t="shared" si="27"/>
        <v>0</v>
      </c>
      <c r="U47" s="486">
        <f t="shared" si="27"/>
        <v>0</v>
      </c>
      <c r="V47" s="486">
        <f t="shared" si="27"/>
        <v>0</v>
      </c>
      <c r="W47" s="486">
        <f t="shared" si="27"/>
        <v>0</v>
      </c>
      <c r="X47" s="486">
        <f t="shared" si="27"/>
        <v>0</v>
      </c>
      <c r="Y47" s="486">
        <f t="shared" si="27"/>
        <v>0</v>
      </c>
      <c r="Z47" s="486">
        <f t="shared" si="27"/>
        <v>0</v>
      </c>
      <c r="AA47" s="486">
        <f t="shared" si="27"/>
        <v>0</v>
      </c>
      <c r="AB47" s="486">
        <f t="shared" si="27"/>
        <v>0</v>
      </c>
      <c r="AC47" s="486">
        <f t="shared" ref="AC47:AL58" si="28">IF(AND($F47=AC$5, $F47&lt;=entrega, $F47&gt;=lçto),atoPreCh,0)+IF(AND($F47&gt;AC$5,$F47&lt;=entrega, AC$5&gt;=lçto),mensaisPreCh/DATEDIF(AC$5, entrega, "m"),IF(AND($F47=entrega, AC$5=entrega), mensaisPreCh, 0))+IF(AND($F47&gt;=EDATE(entrega, chRepasse+1), $F47&lt;=EDATE(entrega, chRepasse+periodoRepassePreChaves), AC$5&lt;=entrega, AC$5&gt;=lçto), repassePreCh/periodoRepassePreChaves, 0)</f>
        <v>0</v>
      </c>
      <c r="AD47" s="486">
        <f t="shared" si="28"/>
        <v>0</v>
      </c>
      <c r="AE47" s="486">
        <f t="shared" si="28"/>
        <v>0</v>
      </c>
      <c r="AF47" s="486">
        <f t="shared" si="28"/>
        <v>0</v>
      </c>
      <c r="AG47" s="486">
        <f t="shared" si="28"/>
        <v>0</v>
      </c>
      <c r="AH47" s="486">
        <f t="shared" si="28"/>
        <v>0</v>
      </c>
      <c r="AI47" s="486">
        <f t="shared" si="28"/>
        <v>0</v>
      </c>
      <c r="AJ47" s="486">
        <f t="shared" si="28"/>
        <v>0</v>
      </c>
      <c r="AK47" s="486">
        <f t="shared" si="28"/>
        <v>0</v>
      </c>
      <c r="AL47" s="486">
        <f t="shared" si="28"/>
        <v>0</v>
      </c>
      <c r="AM47" s="486">
        <f t="shared" ref="AM47:AV58" si="29">IF(AND($F47=AM$5, $F47&lt;=entrega, $F47&gt;=lçto),atoPreCh,0)+IF(AND($F47&gt;AM$5,$F47&lt;=entrega, AM$5&gt;=lçto),mensaisPreCh/DATEDIF(AM$5, entrega, "m"),IF(AND($F47=entrega, AM$5=entrega), mensaisPreCh, 0))+IF(AND($F47&gt;=EDATE(entrega, chRepasse+1), $F47&lt;=EDATE(entrega, chRepasse+periodoRepassePreChaves), AM$5&lt;=entrega, AM$5&gt;=lçto), repassePreCh/periodoRepassePreChaves, 0)</f>
        <v>0</v>
      </c>
      <c r="AN47" s="486">
        <f t="shared" si="29"/>
        <v>0</v>
      </c>
      <c r="AO47" s="486">
        <f t="shared" si="29"/>
        <v>0</v>
      </c>
      <c r="AP47" s="486">
        <f t="shared" si="29"/>
        <v>0</v>
      </c>
      <c r="AQ47" s="486">
        <f t="shared" si="29"/>
        <v>0</v>
      </c>
      <c r="AR47" s="486">
        <f t="shared" si="29"/>
        <v>0</v>
      </c>
      <c r="AS47" s="486">
        <f t="shared" si="29"/>
        <v>0</v>
      </c>
      <c r="AT47" s="486">
        <f t="shared" si="29"/>
        <v>0</v>
      </c>
      <c r="AU47" s="486">
        <f t="shared" si="29"/>
        <v>0</v>
      </c>
      <c r="AV47" s="486">
        <f t="shared" si="29"/>
        <v>0</v>
      </c>
      <c r="AW47" s="486">
        <f t="shared" ref="AW47:BH58" si="30">IF(AND($F47=AW$5, $F47&lt;=entrega, $F47&gt;=lçto),atoPreCh,0)+IF(AND($F47&gt;AW$5,$F47&lt;=entrega, AW$5&gt;=lçto),mensaisPreCh/DATEDIF(AW$5, entrega, "m"),IF(AND($F47=entrega, AW$5=entrega), mensaisPreCh, 0))+IF(AND($F47&gt;=EDATE(entrega, chRepasse+1), $F47&lt;=EDATE(entrega, chRepasse+periodoRepassePreChaves), AW$5&lt;=entrega, AW$5&gt;=lçto), repassePreCh/periodoRepassePreChaves, 0)</f>
        <v>0</v>
      </c>
      <c r="AX47" s="486">
        <f t="shared" si="30"/>
        <v>0</v>
      </c>
      <c r="AY47" s="486">
        <f t="shared" si="30"/>
        <v>0</v>
      </c>
      <c r="AZ47" s="486">
        <f t="shared" si="30"/>
        <v>0</v>
      </c>
      <c r="BA47" s="486">
        <f t="shared" si="30"/>
        <v>0</v>
      </c>
      <c r="BB47" s="486">
        <f t="shared" si="30"/>
        <v>0</v>
      </c>
      <c r="BC47" s="486">
        <f t="shared" si="30"/>
        <v>0</v>
      </c>
      <c r="BD47" s="486">
        <f t="shared" si="30"/>
        <v>0</v>
      </c>
      <c r="BE47" s="486">
        <f t="shared" si="30"/>
        <v>0</v>
      </c>
      <c r="BF47" s="486">
        <f t="shared" si="30"/>
        <v>0</v>
      </c>
      <c r="BG47" s="486">
        <f t="shared" si="30"/>
        <v>0</v>
      </c>
      <c r="BH47" s="487">
        <f t="shared" si="30"/>
        <v>0</v>
      </c>
    </row>
    <row r="48" spans="6:60" x14ac:dyDescent="0.25">
      <c r="F48" s="488">
        <f t="shared" si="25"/>
        <v>45413</v>
      </c>
      <c r="G48" s="312">
        <v>42</v>
      </c>
      <c r="H48" t="str">
        <f t="shared" si="24"/>
        <v/>
      </c>
      <c r="I48" s="486">
        <f t="shared" si="26"/>
        <v>0</v>
      </c>
      <c r="J48" s="486">
        <f t="shared" si="26"/>
        <v>0</v>
      </c>
      <c r="K48" s="486">
        <f t="shared" si="26"/>
        <v>0</v>
      </c>
      <c r="L48" s="486">
        <f t="shared" si="26"/>
        <v>0</v>
      </c>
      <c r="M48" s="486">
        <f t="shared" si="26"/>
        <v>0</v>
      </c>
      <c r="N48" s="486">
        <f t="shared" si="26"/>
        <v>0</v>
      </c>
      <c r="O48" s="486">
        <f t="shared" si="26"/>
        <v>0</v>
      </c>
      <c r="P48" s="486">
        <f t="shared" si="26"/>
        <v>0</v>
      </c>
      <c r="Q48" s="486">
        <f t="shared" si="26"/>
        <v>0</v>
      </c>
      <c r="R48" s="486">
        <f t="shared" si="26"/>
        <v>0</v>
      </c>
      <c r="S48" s="486">
        <f t="shared" si="27"/>
        <v>0</v>
      </c>
      <c r="T48" s="486">
        <f t="shared" si="27"/>
        <v>0</v>
      </c>
      <c r="U48" s="486">
        <f t="shared" si="27"/>
        <v>0</v>
      </c>
      <c r="V48" s="486">
        <f t="shared" si="27"/>
        <v>0</v>
      </c>
      <c r="W48" s="486">
        <f t="shared" si="27"/>
        <v>0</v>
      </c>
      <c r="X48" s="486">
        <f t="shared" si="27"/>
        <v>0</v>
      </c>
      <c r="Y48" s="486">
        <f t="shared" si="27"/>
        <v>0</v>
      </c>
      <c r="Z48" s="486">
        <f t="shared" si="27"/>
        <v>0</v>
      </c>
      <c r="AA48" s="486">
        <f t="shared" si="27"/>
        <v>0</v>
      </c>
      <c r="AB48" s="486">
        <f t="shared" si="27"/>
        <v>0</v>
      </c>
      <c r="AC48" s="486">
        <f t="shared" si="28"/>
        <v>0</v>
      </c>
      <c r="AD48" s="486">
        <f t="shared" si="28"/>
        <v>0</v>
      </c>
      <c r="AE48" s="486">
        <f t="shared" si="28"/>
        <v>0</v>
      </c>
      <c r="AF48" s="486">
        <f t="shared" si="28"/>
        <v>0</v>
      </c>
      <c r="AG48" s="486">
        <f t="shared" si="28"/>
        <v>0</v>
      </c>
      <c r="AH48" s="486">
        <f t="shared" si="28"/>
        <v>0</v>
      </c>
      <c r="AI48" s="486">
        <f t="shared" si="28"/>
        <v>0</v>
      </c>
      <c r="AJ48" s="486">
        <f t="shared" si="28"/>
        <v>0</v>
      </c>
      <c r="AK48" s="486">
        <f t="shared" si="28"/>
        <v>0</v>
      </c>
      <c r="AL48" s="486">
        <f t="shared" si="28"/>
        <v>0</v>
      </c>
      <c r="AM48" s="486">
        <f t="shared" si="29"/>
        <v>0</v>
      </c>
      <c r="AN48" s="486">
        <f t="shared" si="29"/>
        <v>0</v>
      </c>
      <c r="AO48" s="486">
        <f t="shared" si="29"/>
        <v>0</v>
      </c>
      <c r="AP48" s="486">
        <f t="shared" si="29"/>
        <v>0</v>
      </c>
      <c r="AQ48" s="486">
        <f t="shared" si="29"/>
        <v>0</v>
      </c>
      <c r="AR48" s="486">
        <f t="shared" si="29"/>
        <v>0</v>
      </c>
      <c r="AS48" s="486">
        <f t="shared" si="29"/>
        <v>0</v>
      </c>
      <c r="AT48" s="486">
        <f t="shared" si="29"/>
        <v>0</v>
      </c>
      <c r="AU48" s="486">
        <f t="shared" si="29"/>
        <v>0</v>
      </c>
      <c r="AV48" s="486">
        <f t="shared" si="29"/>
        <v>0</v>
      </c>
      <c r="AW48" s="486">
        <f t="shared" si="30"/>
        <v>0</v>
      </c>
      <c r="AX48" s="486">
        <f t="shared" si="30"/>
        <v>0</v>
      </c>
      <c r="AY48" s="486">
        <f t="shared" si="30"/>
        <v>0</v>
      </c>
      <c r="AZ48" s="486">
        <f t="shared" si="30"/>
        <v>0</v>
      </c>
      <c r="BA48" s="486">
        <f t="shared" si="30"/>
        <v>0</v>
      </c>
      <c r="BB48" s="486">
        <f t="shared" si="30"/>
        <v>0</v>
      </c>
      <c r="BC48" s="486">
        <f t="shared" si="30"/>
        <v>0</v>
      </c>
      <c r="BD48" s="486">
        <f t="shared" si="30"/>
        <v>0</v>
      </c>
      <c r="BE48" s="486">
        <f t="shared" si="30"/>
        <v>0</v>
      </c>
      <c r="BF48" s="486">
        <f t="shared" si="30"/>
        <v>0</v>
      </c>
      <c r="BG48" s="486">
        <f t="shared" si="30"/>
        <v>0</v>
      </c>
      <c r="BH48" s="487">
        <f t="shared" si="30"/>
        <v>0</v>
      </c>
    </row>
    <row r="49" spans="6:60" x14ac:dyDescent="0.25">
      <c r="F49" s="488">
        <f t="shared" si="25"/>
        <v>45444</v>
      </c>
      <c r="G49" s="312">
        <v>43</v>
      </c>
      <c r="H49" t="str">
        <f t="shared" si="24"/>
        <v/>
      </c>
      <c r="I49" s="486">
        <f t="shared" si="26"/>
        <v>0</v>
      </c>
      <c r="J49" s="486">
        <f t="shared" si="26"/>
        <v>0</v>
      </c>
      <c r="K49" s="486">
        <f t="shared" si="26"/>
        <v>0</v>
      </c>
      <c r="L49" s="486">
        <f t="shared" si="26"/>
        <v>0</v>
      </c>
      <c r="M49" s="486">
        <f t="shared" si="26"/>
        <v>0</v>
      </c>
      <c r="N49" s="486">
        <f t="shared" si="26"/>
        <v>0</v>
      </c>
      <c r="O49" s="486">
        <f t="shared" si="26"/>
        <v>0</v>
      </c>
      <c r="P49" s="486">
        <f t="shared" si="26"/>
        <v>0</v>
      </c>
      <c r="Q49" s="486">
        <f t="shared" si="26"/>
        <v>0</v>
      </c>
      <c r="R49" s="486">
        <f t="shared" si="26"/>
        <v>0</v>
      </c>
      <c r="S49" s="486">
        <f t="shared" si="27"/>
        <v>0</v>
      </c>
      <c r="T49" s="486">
        <f t="shared" si="27"/>
        <v>0</v>
      </c>
      <c r="U49" s="486">
        <f t="shared" si="27"/>
        <v>0</v>
      </c>
      <c r="V49" s="486">
        <f t="shared" si="27"/>
        <v>0</v>
      </c>
      <c r="W49" s="486">
        <f t="shared" si="27"/>
        <v>0</v>
      </c>
      <c r="X49" s="486">
        <f t="shared" si="27"/>
        <v>0</v>
      </c>
      <c r="Y49" s="486">
        <f t="shared" si="27"/>
        <v>0</v>
      </c>
      <c r="Z49" s="486">
        <f t="shared" si="27"/>
        <v>0</v>
      </c>
      <c r="AA49" s="486">
        <f t="shared" si="27"/>
        <v>0</v>
      </c>
      <c r="AB49" s="486">
        <f t="shared" si="27"/>
        <v>0</v>
      </c>
      <c r="AC49" s="486">
        <f t="shared" si="28"/>
        <v>0</v>
      </c>
      <c r="AD49" s="486">
        <f t="shared" si="28"/>
        <v>0</v>
      </c>
      <c r="AE49" s="486">
        <f t="shared" si="28"/>
        <v>0</v>
      </c>
      <c r="AF49" s="486">
        <f t="shared" si="28"/>
        <v>0</v>
      </c>
      <c r="AG49" s="486">
        <f t="shared" si="28"/>
        <v>0</v>
      </c>
      <c r="AH49" s="486">
        <f t="shared" si="28"/>
        <v>0</v>
      </c>
      <c r="AI49" s="486">
        <f t="shared" si="28"/>
        <v>0</v>
      </c>
      <c r="AJ49" s="486">
        <f t="shared" si="28"/>
        <v>0</v>
      </c>
      <c r="AK49" s="486">
        <f t="shared" si="28"/>
        <v>0</v>
      </c>
      <c r="AL49" s="486">
        <f t="shared" si="28"/>
        <v>0</v>
      </c>
      <c r="AM49" s="486">
        <f t="shared" si="29"/>
        <v>0</v>
      </c>
      <c r="AN49" s="486">
        <f t="shared" si="29"/>
        <v>0</v>
      </c>
      <c r="AO49" s="486">
        <f t="shared" si="29"/>
        <v>0</v>
      </c>
      <c r="AP49" s="486">
        <f t="shared" si="29"/>
        <v>0</v>
      </c>
      <c r="AQ49" s="486">
        <f t="shared" si="29"/>
        <v>0</v>
      </c>
      <c r="AR49" s="486">
        <f t="shared" si="29"/>
        <v>0</v>
      </c>
      <c r="AS49" s="486">
        <f t="shared" si="29"/>
        <v>0</v>
      </c>
      <c r="AT49" s="486">
        <f t="shared" si="29"/>
        <v>0</v>
      </c>
      <c r="AU49" s="486">
        <f t="shared" si="29"/>
        <v>0</v>
      </c>
      <c r="AV49" s="486">
        <f t="shared" si="29"/>
        <v>0</v>
      </c>
      <c r="AW49" s="486">
        <f t="shared" si="30"/>
        <v>0</v>
      </c>
      <c r="AX49" s="486">
        <f t="shared" si="30"/>
        <v>0</v>
      </c>
      <c r="AY49" s="486">
        <f t="shared" si="30"/>
        <v>0</v>
      </c>
      <c r="AZ49" s="486">
        <f t="shared" si="30"/>
        <v>0</v>
      </c>
      <c r="BA49" s="486">
        <f t="shared" si="30"/>
        <v>0</v>
      </c>
      <c r="BB49" s="486">
        <f t="shared" si="30"/>
        <v>0</v>
      </c>
      <c r="BC49" s="486">
        <f t="shared" si="30"/>
        <v>0</v>
      </c>
      <c r="BD49" s="486">
        <f t="shared" si="30"/>
        <v>0</v>
      </c>
      <c r="BE49" s="486">
        <f t="shared" si="30"/>
        <v>0</v>
      </c>
      <c r="BF49" s="486">
        <f t="shared" si="30"/>
        <v>0</v>
      </c>
      <c r="BG49" s="486">
        <f t="shared" si="30"/>
        <v>0</v>
      </c>
      <c r="BH49" s="487">
        <f t="shared" si="30"/>
        <v>0</v>
      </c>
    </row>
    <row r="50" spans="6:60" x14ac:dyDescent="0.25">
      <c r="F50" s="488">
        <f t="shared" si="25"/>
        <v>45474</v>
      </c>
      <c r="G50" s="312">
        <v>44</v>
      </c>
      <c r="H50" t="str">
        <f t="shared" si="24"/>
        <v/>
      </c>
      <c r="I50" s="486">
        <f t="shared" si="26"/>
        <v>0</v>
      </c>
      <c r="J50" s="486">
        <f t="shared" si="26"/>
        <v>0</v>
      </c>
      <c r="K50" s="486">
        <f t="shared" si="26"/>
        <v>0</v>
      </c>
      <c r="L50" s="486">
        <f t="shared" si="26"/>
        <v>0</v>
      </c>
      <c r="M50" s="486">
        <f t="shared" si="26"/>
        <v>0</v>
      </c>
      <c r="N50" s="486">
        <f t="shared" si="26"/>
        <v>0</v>
      </c>
      <c r="O50" s="486">
        <f t="shared" si="26"/>
        <v>0</v>
      </c>
      <c r="P50" s="486">
        <f t="shared" si="26"/>
        <v>0</v>
      </c>
      <c r="Q50" s="486">
        <f t="shared" si="26"/>
        <v>0</v>
      </c>
      <c r="R50" s="486">
        <f t="shared" si="26"/>
        <v>0</v>
      </c>
      <c r="S50" s="486">
        <f t="shared" si="27"/>
        <v>0</v>
      </c>
      <c r="T50" s="486">
        <f t="shared" si="27"/>
        <v>0</v>
      </c>
      <c r="U50" s="486">
        <f t="shared" si="27"/>
        <v>0</v>
      </c>
      <c r="V50" s="486">
        <f t="shared" si="27"/>
        <v>0</v>
      </c>
      <c r="W50" s="486">
        <f t="shared" si="27"/>
        <v>0</v>
      </c>
      <c r="X50" s="486">
        <f t="shared" si="27"/>
        <v>0</v>
      </c>
      <c r="Y50" s="486">
        <f t="shared" si="27"/>
        <v>0</v>
      </c>
      <c r="Z50" s="486">
        <f t="shared" si="27"/>
        <v>0</v>
      </c>
      <c r="AA50" s="486">
        <f t="shared" si="27"/>
        <v>0</v>
      </c>
      <c r="AB50" s="486">
        <f t="shared" si="27"/>
        <v>0</v>
      </c>
      <c r="AC50" s="486">
        <f t="shared" si="28"/>
        <v>0</v>
      </c>
      <c r="AD50" s="486">
        <f t="shared" si="28"/>
        <v>0</v>
      </c>
      <c r="AE50" s="486">
        <f t="shared" si="28"/>
        <v>0</v>
      </c>
      <c r="AF50" s="486">
        <f t="shared" si="28"/>
        <v>0</v>
      </c>
      <c r="AG50" s="486">
        <f t="shared" si="28"/>
        <v>0</v>
      </c>
      <c r="AH50" s="486">
        <f t="shared" si="28"/>
        <v>0</v>
      </c>
      <c r="AI50" s="486">
        <f t="shared" si="28"/>
        <v>0</v>
      </c>
      <c r="AJ50" s="486">
        <f t="shared" si="28"/>
        <v>0</v>
      </c>
      <c r="AK50" s="486">
        <f t="shared" si="28"/>
        <v>0</v>
      </c>
      <c r="AL50" s="486">
        <f t="shared" si="28"/>
        <v>0</v>
      </c>
      <c r="AM50" s="486">
        <f t="shared" si="29"/>
        <v>0</v>
      </c>
      <c r="AN50" s="486">
        <f t="shared" si="29"/>
        <v>0</v>
      </c>
      <c r="AO50" s="486">
        <f t="shared" si="29"/>
        <v>0</v>
      </c>
      <c r="AP50" s="486">
        <f t="shared" si="29"/>
        <v>0</v>
      </c>
      <c r="AQ50" s="486">
        <f t="shared" si="29"/>
        <v>0</v>
      </c>
      <c r="AR50" s="486">
        <f t="shared" si="29"/>
        <v>0</v>
      </c>
      <c r="AS50" s="486">
        <f t="shared" si="29"/>
        <v>0</v>
      </c>
      <c r="AT50" s="486">
        <f t="shared" si="29"/>
        <v>0</v>
      </c>
      <c r="AU50" s="486">
        <f t="shared" si="29"/>
        <v>0</v>
      </c>
      <c r="AV50" s="486">
        <f t="shared" si="29"/>
        <v>0</v>
      </c>
      <c r="AW50" s="486">
        <f t="shared" si="30"/>
        <v>0</v>
      </c>
      <c r="AX50" s="486">
        <f t="shared" si="30"/>
        <v>0</v>
      </c>
      <c r="AY50" s="486">
        <f t="shared" si="30"/>
        <v>0</v>
      </c>
      <c r="AZ50" s="486">
        <f t="shared" si="30"/>
        <v>0</v>
      </c>
      <c r="BA50" s="486">
        <f t="shared" si="30"/>
        <v>0</v>
      </c>
      <c r="BB50" s="486">
        <f t="shared" si="30"/>
        <v>0</v>
      </c>
      <c r="BC50" s="486">
        <f t="shared" si="30"/>
        <v>0</v>
      </c>
      <c r="BD50" s="486">
        <f t="shared" si="30"/>
        <v>0</v>
      </c>
      <c r="BE50" s="486">
        <f t="shared" si="30"/>
        <v>0</v>
      </c>
      <c r="BF50" s="486">
        <f t="shared" si="30"/>
        <v>0</v>
      </c>
      <c r="BG50" s="486">
        <f t="shared" si="30"/>
        <v>0</v>
      </c>
      <c r="BH50" s="487">
        <f t="shared" si="30"/>
        <v>0</v>
      </c>
    </row>
    <row r="51" spans="6:60" x14ac:dyDescent="0.25">
      <c r="F51" s="488">
        <f t="shared" si="25"/>
        <v>45505</v>
      </c>
      <c r="G51" s="312">
        <v>45</v>
      </c>
      <c r="H51" t="str">
        <f t="shared" si="24"/>
        <v/>
      </c>
      <c r="I51" s="486">
        <f t="shared" si="26"/>
        <v>0</v>
      </c>
      <c r="J51" s="486">
        <f t="shared" si="26"/>
        <v>0</v>
      </c>
      <c r="K51" s="486">
        <f t="shared" si="26"/>
        <v>0</v>
      </c>
      <c r="L51" s="486">
        <f t="shared" si="26"/>
        <v>0</v>
      </c>
      <c r="M51" s="486">
        <f t="shared" si="26"/>
        <v>0</v>
      </c>
      <c r="N51" s="486">
        <f t="shared" si="26"/>
        <v>0</v>
      </c>
      <c r="O51" s="486">
        <f t="shared" si="26"/>
        <v>0</v>
      </c>
      <c r="P51" s="486">
        <f t="shared" si="26"/>
        <v>0</v>
      </c>
      <c r="Q51" s="486">
        <f t="shared" si="26"/>
        <v>0</v>
      </c>
      <c r="R51" s="486">
        <f t="shared" si="26"/>
        <v>0</v>
      </c>
      <c r="S51" s="486">
        <f t="shared" si="27"/>
        <v>0</v>
      </c>
      <c r="T51" s="486">
        <f t="shared" si="27"/>
        <v>0</v>
      </c>
      <c r="U51" s="486">
        <f t="shared" si="27"/>
        <v>0</v>
      </c>
      <c r="V51" s="486">
        <f t="shared" si="27"/>
        <v>0</v>
      </c>
      <c r="W51" s="486">
        <f t="shared" si="27"/>
        <v>0</v>
      </c>
      <c r="X51" s="486">
        <f t="shared" si="27"/>
        <v>0</v>
      </c>
      <c r="Y51" s="486">
        <f t="shared" si="27"/>
        <v>0</v>
      </c>
      <c r="Z51" s="486">
        <f t="shared" si="27"/>
        <v>0</v>
      </c>
      <c r="AA51" s="486">
        <f t="shared" si="27"/>
        <v>0</v>
      </c>
      <c r="AB51" s="486">
        <f t="shared" si="27"/>
        <v>0</v>
      </c>
      <c r="AC51" s="486">
        <f t="shared" si="28"/>
        <v>0</v>
      </c>
      <c r="AD51" s="486">
        <f t="shared" si="28"/>
        <v>0</v>
      </c>
      <c r="AE51" s="486">
        <f t="shared" si="28"/>
        <v>0</v>
      </c>
      <c r="AF51" s="486">
        <f t="shared" si="28"/>
        <v>0</v>
      </c>
      <c r="AG51" s="486">
        <f t="shared" si="28"/>
        <v>0</v>
      </c>
      <c r="AH51" s="486">
        <f t="shared" si="28"/>
        <v>0</v>
      </c>
      <c r="AI51" s="486">
        <f t="shared" si="28"/>
        <v>0</v>
      </c>
      <c r="AJ51" s="486">
        <f t="shared" si="28"/>
        <v>0</v>
      </c>
      <c r="AK51" s="486">
        <f t="shared" si="28"/>
        <v>0</v>
      </c>
      <c r="AL51" s="486">
        <f t="shared" si="28"/>
        <v>0</v>
      </c>
      <c r="AM51" s="486">
        <f t="shared" si="29"/>
        <v>0</v>
      </c>
      <c r="AN51" s="486">
        <f t="shared" si="29"/>
        <v>0</v>
      </c>
      <c r="AO51" s="486">
        <f t="shared" si="29"/>
        <v>0</v>
      </c>
      <c r="AP51" s="486">
        <f t="shared" si="29"/>
        <v>0</v>
      </c>
      <c r="AQ51" s="486">
        <f t="shared" si="29"/>
        <v>0</v>
      </c>
      <c r="AR51" s="486">
        <f t="shared" si="29"/>
        <v>0</v>
      </c>
      <c r="AS51" s="486">
        <f t="shared" si="29"/>
        <v>0</v>
      </c>
      <c r="AT51" s="486">
        <f t="shared" si="29"/>
        <v>0</v>
      </c>
      <c r="AU51" s="486">
        <f t="shared" si="29"/>
        <v>0</v>
      </c>
      <c r="AV51" s="486">
        <f t="shared" si="29"/>
        <v>0</v>
      </c>
      <c r="AW51" s="486">
        <f t="shared" si="30"/>
        <v>0</v>
      </c>
      <c r="AX51" s="486">
        <f t="shared" si="30"/>
        <v>0</v>
      </c>
      <c r="AY51" s="486">
        <f t="shared" si="30"/>
        <v>0</v>
      </c>
      <c r="AZ51" s="486">
        <f t="shared" si="30"/>
        <v>0</v>
      </c>
      <c r="BA51" s="486">
        <f t="shared" si="30"/>
        <v>0</v>
      </c>
      <c r="BB51" s="486">
        <f t="shared" si="30"/>
        <v>0</v>
      </c>
      <c r="BC51" s="486">
        <f t="shared" si="30"/>
        <v>0</v>
      </c>
      <c r="BD51" s="486">
        <f t="shared" si="30"/>
        <v>0</v>
      </c>
      <c r="BE51" s="486">
        <f t="shared" si="30"/>
        <v>0</v>
      </c>
      <c r="BF51" s="486">
        <f t="shared" si="30"/>
        <v>0</v>
      </c>
      <c r="BG51" s="486">
        <f t="shared" si="30"/>
        <v>0</v>
      </c>
      <c r="BH51" s="487">
        <f t="shared" si="30"/>
        <v>0</v>
      </c>
    </row>
    <row r="52" spans="6:60" x14ac:dyDescent="0.25">
      <c r="F52" s="488">
        <f t="shared" si="25"/>
        <v>45536</v>
      </c>
      <c r="G52" s="312">
        <v>46</v>
      </c>
      <c r="H52" t="str">
        <f t="shared" si="24"/>
        <v/>
      </c>
      <c r="I52" s="486">
        <f t="shared" si="26"/>
        <v>0</v>
      </c>
      <c r="J52" s="486">
        <f t="shared" si="26"/>
        <v>0</v>
      </c>
      <c r="K52" s="486">
        <f t="shared" si="26"/>
        <v>0</v>
      </c>
      <c r="L52" s="486">
        <f t="shared" si="26"/>
        <v>0</v>
      </c>
      <c r="M52" s="486">
        <f t="shared" si="26"/>
        <v>0</v>
      </c>
      <c r="N52" s="486">
        <f t="shared" si="26"/>
        <v>0</v>
      </c>
      <c r="O52" s="486">
        <f t="shared" si="26"/>
        <v>0</v>
      </c>
      <c r="P52" s="486">
        <f t="shared" si="26"/>
        <v>0</v>
      </c>
      <c r="Q52" s="486">
        <f t="shared" si="26"/>
        <v>0</v>
      </c>
      <c r="R52" s="486">
        <f t="shared" si="26"/>
        <v>0</v>
      </c>
      <c r="S52" s="486">
        <f t="shared" si="27"/>
        <v>0</v>
      </c>
      <c r="T52" s="486">
        <f t="shared" si="27"/>
        <v>0</v>
      </c>
      <c r="U52" s="486">
        <f t="shared" si="27"/>
        <v>0</v>
      </c>
      <c r="V52" s="486">
        <f t="shared" si="27"/>
        <v>0</v>
      </c>
      <c r="W52" s="486">
        <f t="shared" si="27"/>
        <v>0</v>
      </c>
      <c r="X52" s="486">
        <f t="shared" si="27"/>
        <v>0</v>
      </c>
      <c r="Y52" s="486">
        <f t="shared" si="27"/>
        <v>0</v>
      </c>
      <c r="Z52" s="486">
        <f t="shared" si="27"/>
        <v>0</v>
      </c>
      <c r="AA52" s="486">
        <f t="shared" si="27"/>
        <v>0</v>
      </c>
      <c r="AB52" s="486">
        <f t="shared" si="27"/>
        <v>0</v>
      </c>
      <c r="AC52" s="486">
        <f t="shared" si="28"/>
        <v>0</v>
      </c>
      <c r="AD52" s="486">
        <f t="shared" si="28"/>
        <v>0</v>
      </c>
      <c r="AE52" s="486">
        <f t="shared" si="28"/>
        <v>0</v>
      </c>
      <c r="AF52" s="486">
        <f t="shared" si="28"/>
        <v>0</v>
      </c>
      <c r="AG52" s="486">
        <f t="shared" si="28"/>
        <v>0</v>
      </c>
      <c r="AH52" s="486">
        <f t="shared" si="28"/>
        <v>0</v>
      </c>
      <c r="AI52" s="486">
        <f t="shared" si="28"/>
        <v>0</v>
      </c>
      <c r="AJ52" s="486">
        <f t="shared" si="28"/>
        <v>0</v>
      </c>
      <c r="AK52" s="486">
        <f t="shared" si="28"/>
        <v>0</v>
      </c>
      <c r="AL52" s="486">
        <f t="shared" si="28"/>
        <v>0</v>
      </c>
      <c r="AM52" s="486">
        <f t="shared" si="29"/>
        <v>0</v>
      </c>
      <c r="AN52" s="486">
        <f t="shared" si="29"/>
        <v>0</v>
      </c>
      <c r="AO52" s="486">
        <f t="shared" si="29"/>
        <v>0</v>
      </c>
      <c r="AP52" s="486">
        <f t="shared" si="29"/>
        <v>0</v>
      </c>
      <c r="AQ52" s="486">
        <f t="shared" si="29"/>
        <v>0</v>
      </c>
      <c r="AR52" s="486">
        <f t="shared" si="29"/>
        <v>0</v>
      </c>
      <c r="AS52" s="486">
        <f t="shared" si="29"/>
        <v>0</v>
      </c>
      <c r="AT52" s="486">
        <f t="shared" si="29"/>
        <v>0</v>
      </c>
      <c r="AU52" s="486">
        <f t="shared" si="29"/>
        <v>0</v>
      </c>
      <c r="AV52" s="486">
        <f t="shared" si="29"/>
        <v>0</v>
      </c>
      <c r="AW52" s="486">
        <f t="shared" si="30"/>
        <v>0</v>
      </c>
      <c r="AX52" s="486">
        <f t="shared" si="30"/>
        <v>0</v>
      </c>
      <c r="AY52" s="486">
        <f t="shared" si="30"/>
        <v>0</v>
      </c>
      <c r="AZ52" s="486">
        <f t="shared" si="30"/>
        <v>0</v>
      </c>
      <c r="BA52" s="486">
        <f t="shared" si="30"/>
        <v>0</v>
      </c>
      <c r="BB52" s="486">
        <f t="shared" si="30"/>
        <v>0</v>
      </c>
      <c r="BC52" s="486">
        <f t="shared" si="30"/>
        <v>0</v>
      </c>
      <c r="BD52" s="486">
        <f t="shared" si="30"/>
        <v>0</v>
      </c>
      <c r="BE52" s="486">
        <f t="shared" si="30"/>
        <v>0</v>
      </c>
      <c r="BF52" s="486">
        <f t="shared" si="30"/>
        <v>0</v>
      </c>
      <c r="BG52" s="486">
        <f t="shared" si="30"/>
        <v>0</v>
      </c>
      <c r="BH52" s="487">
        <f t="shared" si="30"/>
        <v>0</v>
      </c>
    </row>
    <row r="53" spans="6:60" x14ac:dyDescent="0.25">
      <c r="F53" s="488">
        <f t="shared" si="25"/>
        <v>45566</v>
      </c>
      <c r="G53" s="312">
        <v>47</v>
      </c>
      <c r="H53" t="str">
        <f t="shared" si="24"/>
        <v/>
      </c>
      <c r="I53" s="486">
        <f t="shared" si="26"/>
        <v>0</v>
      </c>
      <c r="J53" s="486">
        <f t="shared" si="26"/>
        <v>0</v>
      </c>
      <c r="K53" s="486">
        <f t="shared" si="26"/>
        <v>0</v>
      </c>
      <c r="L53" s="486">
        <f t="shared" si="26"/>
        <v>0</v>
      </c>
      <c r="M53" s="486">
        <f t="shared" si="26"/>
        <v>0</v>
      </c>
      <c r="N53" s="486">
        <f t="shared" si="26"/>
        <v>0</v>
      </c>
      <c r="O53" s="486">
        <f t="shared" si="26"/>
        <v>0</v>
      </c>
      <c r="P53" s="486">
        <f t="shared" si="26"/>
        <v>0</v>
      </c>
      <c r="Q53" s="486">
        <f t="shared" si="26"/>
        <v>0</v>
      </c>
      <c r="R53" s="486">
        <f t="shared" si="26"/>
        <v>0</v>
      </c>
      <c r="S53" s="486">
        <f t="shared" si="27"/>
        <v>0</v>
      </c>
      <c r="T53" s="486">
        <f t="shared" si="27"/>
        <v>0</v>
      </c>
      <c r="U53" s="486">
        <f t="shared" si="27"/>
        <v>0</v>
      </c>
      <c r="V53" s="486">
        <f t="shared" si="27"/>
        <v>0</v>
      </c>
      <c r="W53" s="486">
        <f t="shared" si="27"/>
        <v>0</v>
      </c>
      <c r="X53" s="486">
        <f t="shared" si="27"/>
        <v>0</v>
      </c>
      <c r="Y53" s="486">
        <f t="shared" si="27"/>
        <v>0</v>
      </c>
      <c r="Z53" s="486">
        <f t="shared" si="27"/>
        <v>0</v>
      </c>
      <c r="AA53" s="486">
        <f t="shared" si="27"/>
        <v>0</v>
      </c>
      <c r="AB53" s="486">
        <f t="shared" si="27"/>
        <v>0</v>
      </c>
      <c r="AC53" s="486">
        <f t="shared" si="28"/>
        <v>0</v>
      </c>
      <c r="AD53" s="486">
        <f t="shared" si="28"/>
        <v>0</v>
      </c>
      <c r="AE53" s="486">
        <f t="shared" si="28"/>
        <v>0</v>
      </c>
      <c r="AF53" s="486">
        <f t="shared" si="28"/>
        <v>0</v>
      </c>
      <c r="AG53" s="486">
        <f t="shared" si="28"/>
        <v>0</v>
      </c>
      <c r="AH53" s="486">
        <f t="shared" si="28"/>
        <v>0</v>
      </c>
      <c r="AI53" s="486">
        <f t="shared" si="28"/>
        <v>0</v>
      </c>
      <c r="AJ53" s="486">
        <f t="shared" si="28"/>
        <v>0</v>
      </c>
      <c r="AK53" s="486">
        <f t="shared" si="28"/>
        <v>0</v>
      </c>
      <c r="AL53" s="486">
        <f t="shared" si="28"/>
        <v>0</v>
      </c>
      <c r="AM53" s="486">
        <f t="shared" si="29"/>
        <v>0</v>
      </c>
      <c r="AN53" s="486">
        <f t="shared" si="29"/>
        <v>0</v>
      </c>
      <c r="AO53" s="486">
        <f t="shared" si="29"/>
        <v>0</v>
      </c>
      <c r="AP53" s="486">
        <f t="shared" si="29"/>
        <v>0</v>
      </c>
      <c r="AQ53" s="486">
        <f t="shared" si="29"/>
        <v>0</v>
      </c>
      <c r="AR53" s="486">
        <f t="shared" si="29"/>
        <v>0</v>
      </c>
      <c r="AS53" s="486">
        <f t="shared" si="29"/>
        <v>0</v>
      </c>
      <c r="AT53" s="486">
        <f t="shared" si="29"/>
        <v>0</v>
      </c>
      <c r="AU53" s="486">
        <f t="shared" si="29"/>
        <v>0</v>
      </c>
      <c r="AV53" s="486">
        <f t="shared" si="29"/>
        <v>0</v>
      </c>
      <c r="AW53" s="486">
        <f t="shared" si="30"/>
        <v>0</v>
      </c>
      <c r="AX53" s="486">
        <f t="shared" si="30"/>
        <v>0</v>
      </c>
      <c r="AY53" s="486">
        <f t="shared" si="30"/>
        <v>0</v>
      </c>
      <c r="AZ53" s="486">
        <f t="shared" si="30"/>
        <v>0</v>
      </c>
      <c r="BA53" s="486">
        <f t="shared" si="30"/>
        <v>0</v>
      </c>
      <c r="BB53" s="486">
        <f t="shared" si="30"/>
        <v>0</v>
      </c>
      <c r="BC53" s="486">
        <f t="shared" si="30"/>
        <v>0</v>
      </c>
      <c r="BD53" s="486">
        <f t="shared" si="30"/>
        <v>0</v>
      </c>
      <c r="BE53" s="486">
        <f t="shared" si="30"/>
        <v>0</v>
      </c>
      <c r="BF53" s="486">
        <f t="shared" si="30"/>
        <v>0</v>
      </c>
      <c r="BG53" s="486">
        <f t="shared" si="30"/>
        <v>0</v>
      </c>
      <c r="BH53" s="487">
        <f t="shared" si="30"/>
        <v>0</v>
      </c>
    </row>
    <row r="54" spans="6:60" x14ac:dyDescent="0.25">
      <c r="F54" s="488">
        <f t="shared" si="25"/>
        <v>45597</v>
      </c>
      <c r="G54" s="312">
        <v>48</v>
      </c>
      <c r="H54" t="str">
        <f t="shared" si="24"/>
        <v/>
      </c>
      <c r="I54" s="486">
        <f t="shared" si="26"/>
        <v>0</v>
      </c>
      <c r="J54" s="486">
        <f t="shared" si="26"/>
        <v>0</v>
      </c>
      <c r="K54" s="486">
        <f t="shared" si="26"/>
        <v>0</v>
      </c>
      <c r="L54" s="486">
        <f t="shared" si="26"/>
        <v>0</v>
      </c>
      <c r="M54" s="486">
        <f t="shared" si="26"/>
        <v>0</v>
      </c>
      <c r="N54" s="486">
        <f t="shared" si="26"/>
        <v>0</v>
      </c>
      <c r="O54" s="486">
        <f t="shared" si="26"/>
        <v>0</v>
      </c>
      <c r="P54" s="486">
        <f t="shared" si="26"/>
        <v>0</v>
      </c>
      <c r="Q54" s="486">
        <f t="shared" si="26"/>
        <v>0</v>
      </c>
      <c r="R54" s="486">
        <f t="shared" si="26"/>
        <v>0</v>
      </c>
      <c r="S54" s="486">
        <f t="shared" si="27"/>
        <v>0</v>
      </c>
      <c r="T54" s="486">
        <f t="shared" si="27"/>
        <v>0</v>
      </c>
      <c r="U54" s="486">
        <f t="shared" si="27"/>
        <v>0</v>
      </c>
      <c r="V54" s="486">
        <f t="shared" si="27"/>
        <v>0</v>
      </c>
      <c r="W54" s="486">
        <f t="shared" si="27"/>
        <v>0</v>
      </c>
      <c r="X54" s="486">
        <f t="shared" si="27"/>
        <v>0</v>
      </c>
      <c r="Y54" s="486">
        <f t="shared" si="27"/>
        <v>0</v>
      </c>
      <c r="Z54" s="486">
        <f t="shared" si="27"/>
        <v>0</v>
      </c>
      <c r="AA54" s="486">
        <f t="shared" si="27"/>
        <v>0</v>
      </c>
      <c r="AB54" s="486">
        <f t="shared" si="27"/>
        <v>0</v>
      </c>
      <c r="AC54" s="486">
        <f t="shared" si="28"/>
        <v>0</v>
      </c>
      <c r="AD54" s="486">
        <f t="shared" si="28"/>
        <v>0</v>
      </c>
      <c r="AE54" s="486">
        <f t="shared" si="28"/>
        <v>0</v>
      </c>
      <c r="AF54" s="486">
        <f t="shared" si="28"/>
        <v>0</v>
      </c>
      <c r="AG54" s="486">
        <f t="shared" si="28"/>
        <v>0</v>
      </c>
      <c r="AH54" s="486">
        <f t="shared" si="28"/>
        <v>0</v>
      </c>
      <c r="AI54" s="486">
        <f t="shared" si="28"/>
        <v>0</v>
      </c>
      <c r="AJ54" s="486">
        <f t="shared" si="28"/>
        <v>0</v>
      </c>
      <c r="AK54" s="486">
        <f t="shared" si="28"/>
        <v>0</v>
      </c>
      <c r="AL54" s="486">
        <f t="shared" si="28"/>
        <v>0</v>
      </c>
      <c r="AM54" s="486">
        <f t="shared" si="29"/>
        <v>0</v>
      </c>
      <c r="AN54" s="486">
        <f t="shared" si="29"/>
        <v>0</v>
      </c>
      <c r="AO54" s="486">
        <f t="shared" si="29"/>
        <v>0</v>
      </c>
      <c r="AP54" s="486">
        <f t="shared" si="29"/>
        <v>0</v>
      </c>
      <c r="AQ54" s="486">
        <f t="shared" si="29"/>
        <v>0</v>
      </c>
      <c r="AR54" s="486">
        <f t="shared" si="29"/>
        <v>0</v>
      </c>
      <c r="AS54" s="486">
        <f t="shared" si="29"/>
        <v>0</v>
      </c>
      <c r="AT54" s="486">
        <f t="shared" si="29"/>
        <v>0</v>
      </c>
      <c r="AU54" s="486">
        <f t="shared" si="29"/>
        <v>0</v>
      </c>
      <c r="AV54" s="486">
        <f t="shared" si="29"/>
        <v>0</v>
      </c>
      <c r="AW54" s="486">
        <f t="shared" si="30"/>
        <v>0</v>
      </c>
      <c r="AX54" s="486">
        <f t="shared" si="30"/>
        <v>0</v>
      </c>
      <c r="AY54" s="486">
        <f t="shared" si="30"/>
        <v>0</v>
      </c>
      <c r="AZ54" s="486">
        <f t="shared" si="30"/>
        <v>0</v>
      </c>
      <c r="BA54" s="486">
        <f t="shared" si="30"/>
        <v>0</v>
      </c>
      <c r="BB54" s="486">
        <f t="shared" si="30"/>
        <v>0</v>
      </c>
      <c r="BC54" s="486">
        <f t="shared" si="30"/>
        <v>0</v>
      </c>
      <c r="BD54" s="486">
        <f t="shared" si="30"/>
        <v>0</v>
      </c>
      <c r="BE54" s="486">
        <f t="shared" si="30"/>
        <v>0</v>
      </c>
      <c r="BF54" s="486">
        <f t="shared" si="30"/>
        <v>0</v>
      </c>
      <c r="BG54" s="486">
        <f t="shared" si="30"/>
        <v>0</v>
      </c>
      <c r="BH54" s="487">
        <f t="shared" si="30"/>
        <v>0</v>
      </c>
    </row>
    <row r="55" spans="6:60" x14ac:dyDescent="0.25">
      <c r="F55" s="488">
        <f t="shared" si="25"/>
        <v>45627</v>
      </c>
      <c r="G55" s="312">
        <v>49</v>
      </c>
      <c r="H55" t="str">
        <f t="shared" si="24"/>
        <v/>
      </c>
      <c r="I55" s="486">
        <f t="shared" si="26"/>
        <v>0</v>
      </c>
      <c r="J55" s="486">
        <f t="shared" si="26"/>
        <v>0</v>
      </c>
      <c r="K55" s="486">
        <f t="shared" si="26"/>
        <v>0</v>
      </c>
      <c r="L55" s="486">
        <f t="shared" si="26"/>
        <v>0</v>
      </c>
      <c r="M55" s="486">
        <f t="shared" si="26"/>
        <v>0</v>
      </c>
      <c r="N55" s="486">
        <f t="shared" si="26"/>
        <v>0</v>
      </c>
      <c r="O55" s="486">
        <f t="shared" si="26"/>
        <v>0</v>
      </c>
      <c r="P55" s="486">
        <f t="shared" si="26"/>
        <v>0</v>
      </c>
      <c r="Q55" s="486">
        <f t="shared" si="26"/>
        <v>0</v>
      </c>
      <c r="R55" s="486">
        <f t="shared" si="26"/>
        <v>0</v>
      </c>
      <c r="S55" s="486">
        <f t="shared" si="27"/>
        <v>0</v>
      </c>
      <c r="T55" s="486">
        <f t="shared" si="27"/>
        <v>0</v>
      </c>
      <c r="U55" s="486">
        <f t="shared" si="27"/>
        <v>0</v>
      </c>
      <c r="V55" s="486">
        <f t="shared" si="27"/>
        <v>0</v>
      </c>
      <c r="W55" s="486">
        <f t="shared" si="27"/>
        <v>0</v>
      </c>
      <c r="X55" s="486">
        <f t="shared" si="27"/>
        <v>0</v>
      </c>
      <c r="Y55" s="486">
        <f t="shared" si="27"/>
        <v>0</v>
      </c>
      <c r="Z55" s="486">
        <f t="shared" si="27"/>
        <v>0</v>
      </c>
      <c r="AA55" s="486">
        <f t="shared" si="27"/>
        <v>0</v>
      </c>
      <c r="AB55" s="486">
        <f t="shared" si="27"/>
        <v>0</v>
      </c>
      <c r="AC55" s="486">
        <f t="shared" si="28"/>
        <v>0</v>
      </c>
      <c r="AD55" s="486">
        <f t="shared" si="28"/>
        <v>0</v>
      </c>
      <c r="AE55" s="486">
        <f t="shared" si="28"/>
        <v>0</v>
      </c>
      <c r="AF55" s="486">
        <f t="shared" si="28"/>
        <v>0</v>
      </c>
      <c r="AG55" s="486">
        <f t="shared" si="28"/>
        <v>0</v>
      </c>
      <c r="AH55" s="486">
        <f t="shared" si="28"/>
        <v>0</v>
      </c>
      <c r="AI55" s="486">
        <f t="shared" si="28"/>
        <v>0</v>
      </c>
      <c r="AJ55" s="486">
        <f t="shared" si="28"/>
        <v>0</v>
      </c>
      <c r="AK55" s="486">
        <f t="shared" si="28"/>
        <v>0</v>
      </c>
      <c r="AL55" s="486">
        <f t="shared" si="28"/>
        <v>0</v>
      </c>
      <c r="AM55" s="486">
        <f t="shared" si="29"/>
        <v>0</v>
      </c>
      <c r="AN55" s="486">
        <f t="shared" si="29"/>
        <v>0</v>
      </c>
      <c r="AO55" s="486">
        <f t="shared" si="29"/>
        <v>0</v>
      </c>
      <c r="AP55" s="486">
        <f t="shared" si="29"/>
        <v>0</v>
      </c>
      <c r="AQ55" s="486">
        <f t="shared" si="29"/>
        <v>0</v>
      </c>
      <c r="AR55" s="486">
        <f t="shared" si="29"/>
        <v>0</v>
      </c>
      <c r="AS55" s="486">
        <f t="shared" si="29"/>
        <v>0</v>
      </c>
      <c r="AT55" s="486">
        <f t="shared" si="29"/>
        <v>0</v>
      </c>
      <c r="AU55" s="486">
        <f t="shared" si="29"/>
        <v>0</v>
      </c>
      <c r="AV55" s="486">
        <f t="shared" si="29"/>
        <v>0</v>
      </c>
      <c r="AW55" s="486">
        <f t="shared" si="30"/>
        <v>0</v>
      </c>
      <c r="AX55" s="486">
        <f t="shared" si="30"/>
        <v>0</v>
      </c>
      <c r="AY55" s="486">
        <f t="shared" si="30"/>
        <v>0</v>
      </c>
      <c r="AZ55" s="486">
        <f t="shared" si="30"/>
        <v>0</v>
      </c>
      <c r="BA55" s="486">
        <f t="shared" si="30"/>
        <v>0</v>
      </c>
      <c r="BB55" s="486">
        <f t="shared" si="30"/>
        <v>0</v>
      </c>
      <c r="BC55" s="486">
        <f t="shared" si="30"/>
        <v>0</v>
      </c>
      <c r="BD55" s="486">
        <f t="shared" si="30"/>
        <v>0</v>
      </c>
      <c r="BE55" s="486">
        <f t="shared" si="30"/>
        <v>0</v>
      </c>
      <c r="BF55" s="486">
        <f t="shared" si="30"/>
        <v>0</v>
      </c>
      <c r="BG55" s="486">
        <f t="shared" si="30"/>
        <v>0</v>
      </c>
      <c r="BH55" s="487">
        <f t="shared" si="30"/>
        <v>0</v>
      </c>
    </row>
    <row r="56" spans="6:60" x14ac:dyDescent="0.25">
      <c r="F56" s="488">
        <f t="shared" si="25"/>
        <v>45658</v>
      </c>
      <c r="G56" s="312">
        <v>50</v>
      </c>
      <c r="H56" t="str">
        <f t="shared" si="24"/>
        <v/>
      </c>
      <c r="I56" s="486">
        <f t="shared" si="26"/>
        <v>0</v>
      </c>
      <c r="J56" s="486">
        <f t="shared" si="26"/>
        <v>0</v>
      </c>
      <c r="K56" s="486">
        <f t="shared" si="26"/>
        <v>0</v>
      </c>
      <c r="L56" s="486">
        <f t="shared" si="26"/>
        <v>0</v>
      </c>
      <c r="M56" s="486">
        <f t="shared" si="26"/>
        <v>0</v>
      </c>
      <c r="N56" s="486">
        <f t="shared" si="26"/>
        <v>0</v>
      </c>
      <c r="O56" s="486">
        <f t="shared" si="26"/>
        <v>0</v>
      </c>
      <c r="P56" s="486">
        <f t="shared" si="26"/>
        <v>0</v>
      </c>
      <c r="Q56" s="486">
        <f t="shared" si="26"/>
        <v>0</v>
      </c>
      <c r="R56" s="486">
        <f t="shared" si="26"/>
        <v>0</v>
      </c>
      <c r="S56" s="486">
        <f t="shared" si="27"/>
        <v>0</v>
      </c>
      <c r="T56" s="486">
        <f t="shared" si="27"/>
        <v>0</v>
      </c>
      <c r="U56" s="486">
        <f t="shared" si="27"/>
        <v>0</v>
      </c>
      <c r="V56" s="486">
        <f t="shared" si="27"/>
        <v>0</v>
      </c>
      <c r="W56" s="486">
        <f t="shared" si="27"/>
        <v>0</v>
      </c>
      <c r="X56" s="486">
        <f t="shared" si="27"/>
        <v>0</v>
      </c>
      <c r="Y56" s="486">
        <f t="shared" si="27"/>
        <v>0</v>
      </c>
      <c r="Z56" s="486">
        <f t="shared" si="27"/>
        <v>0</v>
      </c>
      <c r="AA56" s="486">
        <f t="shared" si="27"/>
        <v>0</v>
      </c>
      <c r="AB56" s="486">
        <f t="shared" si="27"/>
        <v>0</v>
      </c>
      <c r="AC56" s="486">
        <f t="shared" si="28"/>
        <v>0</v>
      </c>
      <c r="AD56" s="486">
        <f t="shared" si="28"/>
        <v>0</v>
      </c>
      <c r="AE56" s="486">
        <f t="shared" si="28"/>
        <v>0</v>
      </c>
      <c r="AF56" s="486">
        <f t="shared" si="28"/>
        <v>0</v>
      </c>
      <c r="AG56" s="486">
        <f t="shared" si="28"/>
        <v>0</v>
      </c>
      <c r="AH56" s="486">
        <f t="shared" si="28"/>
        <v>0</v>
      </c>
      <c r="AI56" s="486">
        <f t="shared" si="28"/>
        <v>0</v>
      </c>
      <c r="AJ56" s="486">
        <f t="shared" si="28"/>
        <v>0</v>
      </c>
      <c r="AK56" s="486">
        <f t="shared" si="28"/>
        <v>0</v>
      </c>
      <c r="AL56" s="486">
        <f t="shared" si="28"/>
        <v>0</v>
      </c>
      <c r="AM56" s="486">
        <f t="shared" si="29"/>
        <v>0</v>
      </c>
      <c r="AN56" s="486">
        <f t="shared" si="29"/>
        <v>0</v>
      </c>
      <c r="AO56" s="486">
        <f t="shared" si="29"/>
        <v>0</v>
      </c>
      <c r="AP56" s="486">
        <f t="shared" si="29"/>
        <v>0</v>
      </c>
      <c r="AQ56" s="486">
        <f t="shared" si="29"/>
        <v>0</v>
      </c>
      <c r="AR56" s="486">
        <f t="shared" si="29"/>
        <v>0</v>
      </c>
      <c r="AS56" s="486">
        <f t="shared" si="29"/>
        <v>0</v>
      </c>
      <c r="AT56" s="486">
        <f t="shared" si="29"/>
        <v>0</v>
      </c>
      <c r="AU56" s="486">
        <f t="shared" si="29"/>
        <v>0</v>
      </c>
      <c r="AV56" s="486">
        <f t="shared" si="29"/>
        <v>0</v>
      </c>
      <c r="AW56" s="486">
        <f t="shared" si="30"/>
        <v>0</v>
      </c>
      <c r="AX56" s="486">
        <f t="shared" si="30"/>
        <v>0</v>
      </c>
      <c r="AY56" s="486">
        <f t="shared" si="30"/>
        <v>0</v>
      </c>
      <c r="AZ56" s="486">
        <f t="shared" si="30"/>
        <v>0</v>
      </c>
      <c r="BA56" s="486">
        <f t="shared" si="30"/>
        <v>0</v>
      </c>
      <c r="BB56" s="486">
        <f t="shared" si="30"/>
        <v>0</v>
      </c>
      <c r="BC56" s="486">
        <f t="shared" si="30"/>
        <v>0</v>
      </c>
      <c r="BD56" s="486">
        <f t="shared" si="30"/>
        <v>0</v>
      </c>
      <c r="BE56" s="486">
        <f t="shared" si="30"/>
        <v>0</v>
      </c>
      <c r="BF56" s="486">
        <f t="shared" si="30"/>
        <v>0</v>
      </c>
      <c r="BG56" s="486">
        <f t="shared" si="30"/>
        <v>0</v>
      </c>
      <c r="BH56" s="487">
        <f t="shared" si="30"/>
        <v>0</v>
      </c>
    </row>
    <row r="57" spans="6:60" x14ac:dyDescent="0.25">
      <c r="F57" s="488">
        <f t="shared" si="25"/>
        <v>45689</v>
      </c>
      <c r="G57" s="312">
        <v>57</v>
      </c>
      <c r="H57" t="str">
        <f t="shared" si="24"/>
        <v/>
      </c>
      <c r="I57" s="486">
        <f t="shared" si="26"/>
        <v>0</v>
      </c>
      <c r="J57" s="486">
        <f t="shared" si="26"/>
        <v>0</v>
      </c>
      <c r="K57" s="486">
        <f t="shared" si="26"/>
        <v>0</v>
      </c>
      <c r="L57" s="486">
        <f t="shared" si="26"/>
        <v>0</v>
      </c>
      <c r="M57" s="486">
        <f t="shared" si="26"/>
        <v>0</v>
      </c>
      <c r="N57" s="486">
        <f t="shared" si="26"/>
        <v>0</v>
      </c>
      <c r="O57" s="486">
        <f t="shared" si="26"/>
        <v>0</v>
      </c>
      <c r="P57" s="486">
        <f t="shared" si="26"/>
        <v>0</v>
      </c>
      <c r="Q57" s="486">
        <f t="shared" si="26"/>
        <v>0</v>
      </c>
      <c r="R57" s="486">
        <f t="shared" si="26"/>
        <v>0</v>
      </c>
      <c r="S57" s="486">
        <f t="shared" si="27"/>
        <v>0</v>
      </c>
      <c r="T57" s="486">
        <f t="shared" si="27"/>
        <v>0</v>
      </c>
      <c r="U57" s="486">
        <f t="shared" si="27"/>
        <v>0</v>
      </c>
      <c r="V57" s="486">
        <f t="shared" si="27"/>
        <v>0</v>
      </c>
      <c r="W57" s="486">
        <f t="shared" si="27"/>
        <v>0</v>
      </c>
      <c r="X57" s="486">
        <f t="shared" si="27"/>
        <v>0</v>
      </c>
      <c r="Y57" s="486">
        <f t="shared" si="27"/>
        <v>0</v>
      </c>
      <c r="Z57" s="486">
        <f t="shared" si="27"/>
        <v>0</v>
      </c>
      <c r="AA57" s="486">
        <f t="shared" si="27"/>
        <v>0</v>
      </c>
      <c r="AB57" s="486">
        <f t="shared" si="27"/>
        <v>0</v>
      </c>
      <c r="AC57" s="486">
        <f t="shared" si="28"/>
        <v>0</v>
      </c>
      <c r="AD57" s="486">
        <f t="shared" si="28"/>
        <v>0</v>
      </c>
      <c r="AE57" s="486">
        <f t="shared" si="28"/>
        <v>0</v>
      </c>
      <c r="AF57" s="486">
        <f t="shared" si="28"/>
        <v>0</v>
      </c>
      <c r="AG57" s="486">
        <f t="shared" si="28"/>
        <v>0</v>
      </c>
      <c r="AH57" s="486">
        <f t="shared" si="28"/>
        <v>0</v>
      </c>
      <c r="AI57" s="486">
        <f t="shared" si="28"/>
        <v>0</v>
      </c>
      <c r="AJ57" s="486">
        <f t="shared" si="28"/>
        <v>0</v>
      </c>
      <c r="AK57" s="486">
        <f t="shared" si="28"/>
        <v>0</v>
      </c>
      <c r="AL57" s="486">
        <f t="shared" si="28"/>
        <v>0</v>
      </c>
      <c r="AM57" s="486">
        <f t="shared" si="29"/>
        <v>0</v>
      </c>
      <c r="AN57" s="486">
        <f t="shared" si="29"/>
        <v>0</v>
      </c>
      <c r="AO57" s="486">
        <f t="shared" si="29"/>
        <v>0</v>
      </c>
      <c r="AP57" s="486">
        <f t="shared" si="29"/>
        <v>0</v>
      </c>
      <c r="AQ57" s="486">
        <f t="shared" si="29"/>
        <v>0</v>
      </c>
      <c r="AR57" s="486">
        <f t="shared" si="29"/>
        <v>0</v>
      </c>
      <c r="AS57" s="486">
        <f t="shared" si="29"/>
        <v>0</v>
      </c>
      <c r="AT57" s="486">
        <f t="shared" si="29"/>
        <v>0</v>
      </c>
      <c r="AU57" s="486">
        <f t="shared" si="29"/>
        <v>0</v>
      </c>
      <c r="AV57" s="486">
        <f t="shared" si="29"/>
        <v>0</v>
      </c>
      <c r="AW57" s="486">
        <f t="shared" si="30"/>
        <v>0</v>
      </c>
      <c r="AX57" s="486">
        <f t="shared" si="30"/>
        <v>0</v>
      </c>
      <c r="AY57" s="486">
        <f t="shared" si="30"/>
        <v>0</v>
      </c>
      <c r="AZ57" s="486">
        <f t="shared" si="30"/>
        <v>0</v>
      </c>
      <c r="BA57" s="486">
        <f t="shared" si="30"/>
        <v>0</v>
      </c>
      <c r="BB57" s="486">
        <f t="shared" si="30"/>
        <v>0</v>
      </c>
      <c r="BC57" s="486">
        <f t="shared" si="30"/>
        <v>0</v>
      </c>
      <c r="BD57" s="486">
        <f t="shared" si="30"/>
        <v>0</v>
      </c>
      <c r="BE57" s="486">
        <f t="shared" si="30"/>
        <v>0</v>
      </c>
      <c r="BF57" s="486">
        <f t="shared" si="30"/>
        <v>0</v>
      </c>
      <c r="BG57" s="486">
        <f t="shared" si="30"/>
        <v>0</v>
      </c>
      <c r="BH57" s="487">
        <f t="shared" si="30"/>
        <v>0</v>
      </c>
    </row>
    <row r="58" spans="6:60" x14ac:dyDescent="0.25">
      <c r="F58" s="489">
        <f t="shared" si="25"/>
        <v>45717</v>
      </c>
      <c r="G58" s="154">
        <v>58</v>
      </c>
      <c r="H58" s="490" t="str">
        <f t="shared" si="24"/>
        <v/>
      </c>
      <c r="I58" s="490">
        <f t="shared" si="26"/>
        <v>0</v>
      </c>
      <c r="J58" s="490">
        <f t="shared" si="26"/>
        <v>0</v>
      </c>
      <c r="K58" s="490">
        <f t="shared" si="26"/>
        <v>0</v>
      </c>
      <c r="L58" s="490">
        <f t="shared" si="26"/>
        <v>0</v>
      </c>
      <c r="M58" s="490">
        <f t="shared" si="26"/>
        <v>0</v>
      </c>
      <c r="N58" s="490">
        <f t="shared" si="26"/>
        <v>0</v>
      </c>
      <c r="O58" s="490">
        <f t="shared" si="26"/>
        <v>0</v>
      </c>
      <c r="P58" s="490">
        <f t="shared" si="26"/>
        <v>0</v>
      </c>
      <c r="Q58" s="490">
        <f t="shared" si="26"/>
        <v>0</v>
      </c>
      <c r="R58" s="490">
        <f t="shared" si="26"/>
        <v>0</v>
      </c>
      <c r="S58" s="490">
        <f t="shared" si="27"/>
        <v>0</v>
      </c>
      <c r="T58" s="490">
        <f t="shared" si="27"/>
        <v>0</v>
      </c>
      <c r="U58" s="490">
        <f t="shared" si="27"/>
        <v>0</v>
      </c>
      <c r="V58" s="490">
        <f t="shared" si="27"/>
        <v>0</v>
      </c>
      <c r="W58" s="490">
        <f t="shared" si="27"/>
        <v>0</v>
      </c>
      <c r="X58" s="490">
        <f t="shared" si="27"/>
        <v>0</v>
      </c>
      <c r="Y58" s="490">
        <f t="shared" si="27"/>
        <v>0</v>
      </c>
      <c r="Z58" s="490">
        <f t="shared" si="27"/>
        <v>0</v>
      </c>
      <c r="AA58" s="490">
        <f t="shared" si="27"/>
        <v>0</v>
      </c>
      <c r="AB58" s="490">
        <f t="shared" si="27"/>
        <v>0</v>
      </c>
      <c r="AC58" s="490">
        <f t="shared" si="28"/>
        <v>0</v>
      </c>
      <c r="AD58" s="490">
        <f t="shared" si="28"/>
        <v>0</v>
      </c>
      <c r="AE58" s="490">
        <f t="shared" si="28"/>
        <v>0</v>
      </c>
      <c r="AF58" s="490">
        <f t="shared" si="28"/>
        <v>0</v>
      </c>
      <c r="AG58" s="490">
        <f t="shared" si="28"/>
        <v>0</v>
      </c>
      <c r="AH58" s="490">
        <f t="shared" si="28"/>
        <v>0</v>
      </c>
      <c r="AI58" s="490">
        <f t="shared" si="28"/>
        <v>0</v>
      </c>
      <c r="AJ58" s="490">
        <f t="shared" si="28"/>
        <v>0</v>
      </c>
      <c r="AK58" s="490">
        <f t="shared" si="28"/>
        <v>0</v>
      </c>
      <c r="AL58" s="490">
        <f t="shared" si="28"/>
        <v>0</v>
      </c>
      <c r="AM58" s="490">
        <f t="shared" si="29"/>
        <v>0</v>
      </c>
      <c r="AN58" s="490">
        <f t="shared" si="29"/>
        <v>0</v>
      </c>
      <c r="AO58" s="490">
        <f t="shared" si="29"/>
        <v>0</v>
      </c>
      <c r="AP58" s="490">
        <f t="shared" si="29"/>
        <v>0</v>
      </c>
      <c r="AQ58" s="490">
        <f t="shared" si="29"/>
        <v>0</v>
      </c>
      <c r="AR58" s="490">
        <f t="shared" si="29"/>
        <v>0</v>
      </c>
      <c r="AS58" s="490">
        <f t="shared" si="29"/>
        <v>0</v>
      </c>
      <c r="AT58" s="490">
        <f t="shared" si="29"/>
        <v>0</v>
      </c>
      <c r="AU58" s="490">
        <f t="shared" si="29"/>
        <v>0</v>
      </c>
      <c r="AV58" s="490">
        <f t="shared" si="29"/>
        <v>0</v>
      </c>
      <c r="AW58" s="490">
        <f t="shared" si="30"/>
        <v>0</v>
      </c>
      <c r="AX58" s="490">
        <f t="shared" si="30"/>
        <v>0</v>
      </c>
      <c r="AY58" s="490">
        <f t="shared" si="30"/>
        <v>0</v>
      </c>
      <c r="AZ58" s="490">
        <f t="shared" si="30"/>
        <v>0</v>
      </c>
      <c r="BA58" s="490">
        <f t="shared" si="30"/>
        <v>0</v>
      </c>
      <c r="BB58" s="490">
        <f t="shared" si="30"/>
        <v>0</v>
      </c>
      <c r="BC58" s="490">
        <f t="shared" si="30"/>
        <v>0</v>
      </c>
      <c r="BD58" s="490">
        <f t="shared" si="30"/>
        <v>0</v>
      </c>
      <c r="BE58" s="490">
        <f t="shared" si="30"/>
        <v>0</v>
      </c>
      <c r="BF58" s="490">
        <f t="shared" si="30"/>
        <v>0</v>
      </c>
      <c r="BG58" s="490">
        <f t="shared" si="30"/>
        <v>0</v>
      </c>
      <c r="BH58" s="491">
        <f t="shared" si="30"/>
        <v>0</v>
      </c>
    </row>
    <row r="59" spans="6:60" ht="15.75" customHeight="1" thickBot="1" x14ac:dyDescent="0.3"/>
    <row r="60" spans="6:60" ht="15.75" customHeight="1" thickBot="1" x14ac:dyDescent="0.3">
      <c r="G60" s="610" t="s">
        <v>406</v>
      </c>
      <c r="H60" s="611"/>
      <c r="I60" s="612"/>
    </row>
    <row r="61" spans="6:60" ht="15.75" customHeight="1" thickBot="1" x14ac:dyDescent="0.3">
      <c r="F61" s="471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</row>
    <row r="62" spans="6:60" ht="15.75" customHeight="1" thickBot="1" x14ac:dyDescent="0.3">
      <c r="G62" s="146" t="s">
        <v>402</v>
      </c>
      <c r="H62" s="147"/>
      <c r="I62" s="190">
        <f>IFERROR(INDEX(Curvas!$E:$E, MATCH('Fluxos de Recebimento'!I$5, Curvas!$B:$B, 0)), 0)</f>
        <v>2.298850574712644E-2</v>
      </c>
      <c r="J62" s="190">
        <f>IFERROR(INDEX(Curvas!$E:$E, MATCH('Fluxos de Recebimento'!J$5, Curvas!$B:$B, 0)), 0)</f>
        <v>2.298850574712644E-2</v>
      </c>
      <c r="K62" s="190">
        <f>IFERROR(INDEX(Curvas!$E:$E, MATCH('Fluxos de Recebimento'!K$5, Curvas!$B:$B, 0)), 0)</f>
        <v>2.298850574712644E-2</v>
      </c>
      <c r="L62" s="190">
        <f>IFERROR(INDEX(Curvas!$E:$E, MATCH('Fluxos de Recebimento'!L$5, Curvas!$B:$B, 0)), 0)</f>
        <v>2.298850574712644E-2</v>
      </c>
      <c r="M62" s="190">
        <f>IFERROR(INDEX(Curvas!$E:$E, MATCH('Fluxos de Recebimento'!M$5, Curvas!$B:$B, 0)), 0)</f>
        <v>2.298850574712644E-2</v>
      </c>
      <c r="N62" s="190">
        <f>IFERROR(INDEX(Curvas!$E:$E, MATCH('Fluxos de Recebimento'!N$5, Curvas!$B:$B, 0)), 0)</f>
        <v>2.298850574712644E-2</v>
      </c>
      <c r="O62" s="190">
        <f>IFERROR(INDEX(Curvas!$E:$E, MATCH('Fluxos de Recebimento'!O$5, Curvas!$B:$B, 0)), 0)</f>
        <v>2.298850574712644E-2</v>
      </c>
      <c r="P62" s="190">
        <f>IFERROR(INDEX(Curvas!$E:$E, MATCH('Fluxos de Recebimento'!P$5, Curvas!$B:$B, 0)), 0)</f>
        <v>2.298850574712644E-2</v>
      </c>
      <c r="Q62" s="190">
        <f>IFERROR(INDEX(Curvas!$E:$E, MATCH('Fluxos de Recebimento'!Q$5, Curvas!$B:$B, 0)), 0)</f>
        <v>2.298850574712644E-2</v>
      </c>
      <c r="R62" s="190">
        <f>IFERROR(INDEX(Curvas!$E:$E, MATCH('Fluxos de Recebimento'!R$5, Curvas!$B:$B, 0)), 0)</f>
        <v>2.298850574712644E-2</v>
      </c>
      <c r="S62" s="190">
        <f>IFERROR(INDEX(Curvas!$E:$E, MATCH('Fluxos de Recebimento'!S$5, Curvas!$B:$B, 0)), 0)</f>
        <v>2.298850574712644E-2</v>
      </c>
      <c r="T62" s="190">
        <f>IFERROR(INDEX(Curvas!$E:$E, MATCH('Fluxos de Recebimento'!T$5, Curvas!$B:$B, 0)), 0)</f>
        <v>2.298850574712644E-2</v>
      </c>
      <c r="U62" s="190">
        <f>IFERROR(INDEX(Curvas!$E:$E, MATCH('Fluxos de Recebimento'!U$5, Curvas!$B:$B, 0)), 0)</f>
        <v>2.298850574712644E-2</v>
      </c>
      <c r="V62" s="190">
        <f>IFERROR(INDEX(Curvas!$E:$E, MATCH('Fluxos de Recebimento'!V$5, Curvas!$B:$B, 0)), 0)</f>
        <v>2.298850574712644E-2</v>
      </c>
      <c r="W62" s="190">
        <f>IFERROR(INDEX(Curvas!$E:$E, MATCH('Fluxos de Recebimento'!W$5, Curvas!$B:$B, 0)), 0)</f>
        <v>2.298850574712644E-2</v>
      </c>
      <c r="X62" s="190">
        <f>IFERROR(INDEX(Curvas!$E:$E, MATCH('Fluxos de Recebimento'!X$5, Curvas!$B:$B, 0)), 0)</f>
        <v>2.298850574712644E-2</v>
      </c>
      <c r="Y62" s="190">
        <f>IFERROR(INDEX(Curvas!$E:$E, MATCH('Fluxos de Recebimento'!Y$5, Curvas!$B:$B, 0)), 0)</f>
        <v>2.298850574712644E-2</v>
      </c>
      <c r="Z62" s="190">
        <f>IFERROR(INDEX(Curvas!$E:$E, MATCH('Fluxos de Recebimento'!Z$5, Curvas!$B:$B, 0)), 0)</f>
        <v>2.298850574712644E-2</v>
      </c>
      <c r="AA62" s="190">
        <f>IFERROR(INDEX(Curvas!$E:$E, MATCH('Fluxos de Recebimento'!AA$5, Curvas!$B:$B, 0)), 0)</f>
        <v>2.298850574712644E-2</v>
      </c>
      <c r="AB62" s="190">
        <f>IFERROR(INDEX(Curvas!$E:$E, MATCH('Fluxos de Recebimento'!AB$5, Curvas!$B:$B, 0)), 0)</f>
        <v>2.298850574712644E-2</v>
      </c>
      <c r="AC62" s="190">
        <f>IFERROR(INDEX(Curvas!$E:$E, MATCH('Fluxos de Recebimento'!AC$5, Curvas!$B:$B, 0)), 0)</f>
        <v>2.298850574712644E-2</v>
      </c>
      <c r="AD62" s="190">
        <f>IFERROR(INDEX(Curvas!$E:$E, MATCH('Fluxos de Recebimento'!AD$5, Curvas!$B:$B, 0)), 0)</f>
        <v>2.298850574712644E-2</v>
      </c>
      <c r="AE62" s="190">
        <f>IFERROR(INDEX(Curvas!$E:$E, MATCH('Fluxos de Recebimento'!AE$5, Curvas!$B:$B, 0)), 0)</f>
        <v>2.298850574712644E-2</v>
      </c>
      <c r="AF62" s="190">
        <f>IFERROR(INDEX(Curvas!$E:$E, MATCH('Fluxos de Recebimento'!AF$5, Curvas!$B:$B, 0)), 0)</f>
        <v>2.298850574712644E-2</v>
      </c>
      <c r="AG62" s="190">
        <f>IFERROR(INDEX(Curvas!$E:$E, MATCH('Fluxos de Recebimento'!AG$5, Curvas!$B:$B, 0)), 0)</f>
        <v>2.298850574712644E-2</v>
      </c>
      <c r="AH62" s="190">
        <f>IFERROR(INDEX(Curvas!$E:$E, MATCH('Fluxos de Recebimento'!AH$5, Curvas!$B:$B, 0)), 0)</f>
        <v>2.298850574712644E-2</v>
      </c>
      <c r="AI62" s="190">
        <f>IFERROR(INDEX(Curvas!$E:$E, MATCH('Fluxos de Recebimento'!AI$5, Curvas!$B:$B, 0)), 0)</f>
        <v>2.298850574712644E-2</v>
      </c>
      <c r="AJ62" s="190">
        <f>IFERROR(INDEX(Curvas!$E:$E, MATCH('Fluxos de Recebimento'!AJ$5, Curvas!$B:$B, 0)), 0)</f>
        <v>2.298850574712644E-2</v>
      </c>
      <c r="AK62" s="190">
        <f>IFERROR(INDEX(Curvas!$E:$E, MATCH('Fluxos de Recebimento'!AK$5, Curvas!$B:$B, 0)), 0)</f>
        <v>2.298850574712644E-2</v>
      </c>
      <c r="AL62" s="190">
        <f>IFERROR(INDEX(Curvas!$E:$E, MATCH('Fluxos de Recebimento'!AL$5, Curvas!$B:$B, 0)), 0)</f>
        <v>4.1666666666666671E-2</v>
      </c>
      <c r="AM62" s="190">
        <f>IFERROR(INDEX(Curvas!$E:$E, MATCH('Fluxos de Recebimento'!AM$5, Curvas!$B:$B, 0)), 0)</f>
        <v>4.1666666666666671E-2</v>
      </c>
      <c r="AN62" s="190">
        <f>IFERROR(INDEX(Curvas!$E:$E, MATCH('Fluxos de Recebimento'!AN$5, Curvas!$B:$B, 0)), 0)</f>
        <v>4.1666666666666671E-2</v>
      </c>
      <c r="AO62" s="190">
        <f>IFERROR(INDEX(Curvas!$E:$E, MATCH('Fluxos de Recebimento'!AO$5, Curvas!$B:$B, 0)), 0)</f>
        <v>4.1666666666666671E-2</v>
      </c>
      <c r="AP62" s="190">
        <f>IFERROR(INDEX(Curvas!$E:$E, MATCH('Fluxos de Recebimento'!AP$5, Curvas!$B:$B, 0)), 0)</f>
        <v>4.1666666666666671E-2</v>
      </c>
      <c r="AQ62" s="190">
        <f>IFERROR(INDEX(Curvas!$E:$E, MATCH('Fluxos de Recebimento'!AQ$5, Curvas!$B:$B, 0)), 0)</f>
        <v>4.1666666666666671E-2</v>
      </c>
      <c r="AR62" s="190">
        <f>IFERROR(INDEX(Curvas!$E:$E, MATCH('Fluxos de Recebimento'!AR$5, Curvas!$B:$B, 0)), 0)</f>
        <v>4.1666666666666671E-2</v>
      </c>
      <c r="AS62" s="190">
        <f>IFERROR(INDEX(Curvas!$E:$E, MATCH('Fluxos de Recebimento'!AS$5, Curvas!$B:$B, 0)), 0)</f>
        <v>4.1666666666666671E-2</v>
      </c>
      <c r="AT62" s="190">
        <f>IFERROR(INDEX(Curvas!$E:$E, MATCH('Fluxos de Recebimento'!AT$5, Curvas!$B:$B, 0)), 0)</f>
        <v>0</v>
      </c>
      <c r="AU62" s="190">
        <f>IFERROR(INDEX(Curvas!$E:$E, MATCH('Fluxos de Recebimento'!AU$5, Curvas!$B:$B, 0)), 0)</f>
        <v>0</v>
      </c>
      <c r="AV62" s="190">
        <f>IFERROR(INDEX(Curvas!$E:$E, MATCH('Fluxos de Recebimento'!AV$5, Curvas!$B:$B, 0)), 0)</f>
        <v>0</v>
      </c>
      <c r="AW62" s="190">
        <f>IFERROR(INDEX(Curvas!$E:$E, MATCH('Fluxos de Recebimento'!AW$5, Curvas!$B:$B, 0)), 0)</f>
        <v>0</v>
      </c>
      <c r="AX62" s="190">
        <f>IFERROR(INDEX(Curvas!$E:$E, MATCH('Fluxos de Recebimento'!AX$5, Curvas!$B:$B, 0)), 0)</f>
        <v>0</v>
      </c>
      <c r="AY62" s="190">
        <f>IFERROR(INDEX(Curvas!$E:$E, MATCH('Fluxos de Recebimento'!AY$5, Curvas!$B:$B, 0)), 0)</f>
        <v>0</v>
      </c>
      <c r="AZ62" s="190">
        <f>IFERROR(INDEX(Curvas!$E:$E, MATCH('Fluxos de Recebimento'!AZ$5, Curvas!$B:$B, 0)), 0)</f>
        <v>0</v>
      </c>
      <c r="BA62" s="190">
        <f>IFERROR(INDEX(Curvas!$E:$E, MATCH('Fluxos de Recebimento'!BA$5, Curvas!$B:$B, 0)), 0)</f>
        <v>0</v>
      </c>
      <c r="BB62" s="190">
        <f>IFERROR(INDEX(Curvas!$E:$E, MATCH('Fluxos de Recebimento'!BB$5, Curvas!$B:$B, 0)), 0)</f>
        <v>0</v>
      </c>
      <c r="BC62" s="190">
        <f>IFERROR(INDEX(Curvas!$E:$E, MATCH('Fluxos de Recebimento'!BC$5, Curvas!$B:$B, 0)), 0)</f>
        <v>0</v>
      </c>
      <c r="BD62" s="190">
        <f>IFERROR(INDEX(Curvas!$E:$E, MATCH('Fluxos de Recebimento'!BD$5, Curvas!$B:$B, 0)), 0)</f>
        <v>0</v>
      </c>
      <c r="BE62" s="190">
        <f>IFERROR(INDEX(Curvas!$E:$E, MATCH('Fluxos de Recebimento'!BE$5, Curvas!$B:$B, 0)), 0)</f>
        <v>0</v>
      </c>
      <c r="BF62" s="190">
        <f>IFERROR(INDEX(Curvas!$E:$E, MATCH('Fluxos de Recebimento'!BF$5, Curvas!$B:$B, 0)), 0)</f>
        <v>0</v>
      </c>
      <c r="BG62" s="190">
        <f>IFERROR(INDEX(Curvas!$E:$E, MATCH('Fluxos de Recebimento'!BG$5, Curvas!$B:$B, 0)), 0)</f>
        <v>0</v>
      </c>
      <c r="BH62" s="191">
        <f>IFERROR(INDEX(Curvas!$E:$E, MATCH('Fluxos de Recebimento'!BH$5, Curvas!$B:$B, 0)), 0)</f>
        <v>0</v>
      </c>
    </row>
    <row r="63" spans="6:60" x14ac:dyDescent="0.25">
      <c r="F63" s="188" t="s">
        <v>291</v>
      </c>
      <c r="G63" s="148"/>
      <c r="H63" s="148"/>
      <c r="I63" s="482">
        <f>EDATE(baseData, 1)</f>
        <v>44166</v>
      </c>
      <c r="J63" s="482">
        <f t="shared" ref="J63:AO63" si="31">EDATE(I63, 1)</f>
        <v>44197</v>
      </c>
      <c r="K63" s="482">
        <f t="shared" si="31"/>
        <v>44228</v>
      </c>
      <c r="L63" s="482">
        <f t="shared" si="31"/>
        <v>44256</v>
      </c>
      <c r="M63" s="482">
        <f t="shared" si="31"/>
        <v>44287</v>
      </c>
      <c r="N63" s="482">
        <f t="shared" si="31"/>
        <v>44317</v>
      </c>
      <c r="O63" s="482">
        <f t="shared" si="31"/>
        <v>44348</v>
      </c>
      <c r="P63" s="482">
        <f t="shared" si="31"/>
        <v>44378</v>
      </c>
      <c r="Q63" s="482">
        <f t="shared" si="31"/>
        <v>44409</v>
      </c>
      <c r="R63" s="482">
        <f t="shared" si="31"/>
        <v>44440</v>
      </c>
      <c r="S63" s="482">
        <f t="shared" si="31"/>
        <v>44470</v>
      </c>
      <c r="T63" s="482">
        <f t="shared" si="31"/>
        <v>44501</v>
      </c>
      <c r="U63" s="482">
        <f t="shared" si="31"/>
        <v>44531</v>
      </c>
      <c r="V63" s="482">
        <f t="shared" si="31"/>
        <v>44562</v>
      </c>
      <c r="W63" s="482">
        <f t="shared" si="31"/>
        <v>44593</v>
      </c>
      <c r="X63" s="482">
        <f t="shared" si="31"/>
        <v>44621</v>
      </c>
      <c r="Y63" s="482">
        <f t="shared" si="31"/>
        <v>44652</v>
      </c>
      <c r="Z63" s="482">
        <f t="shared" si="31"/>
        <v>44682</v>
      </c>
      <c r="AA63" s="482">
        <f t="shared" si="31"/>
        <v>44713</v>
      </c>
      <c r="AB63" s="482">
        <f t="shared" si="31"/>
        <v>44743</v>
      </c>
      <c r="AC63" s="482">
        <f t="shared" si="31"/>
        <v>44774</v>
      </c>
      <c r="AD63" s="482">
        <f t="shared" si="31"/>
        <v>44805</v>
      </c>
      <c r="AE63" s="482">
        <f t="shared" si="31"/>
        <v>44835</v>
      </c>
      <c r="AF63" s="482">
        <f t="shared" si="31"/>
        <v>44866</v>
      </c>
      <c r="AG63" s="482">
        <f t="shared" si="31"/>
        <v>44896</v>
      </c>
      <c r="AH63" s="482">
        <f t="shared" si="31"/>
        <v>44927</v>
      </c>
      <c r="AI63" s="482">
        <f t="shared" si="31"/>
        <v>44958</v>
      </c>
      <c r="AJ63" s="482">
        <f t="shared" si="31"/>
        <v>44986</v>
      </c>
      <c r="AK63" s="482">
        <f t="shared" si="31"/>
        <v>45017</v>
      </c>
      <c r="AL63" s="482">
        <f t="shared" si="31"/>
        <v>45047</v>
      </c>
      <c r="AM63" s="482">
        <f t="shared" si="31"/>
        <v>45078</v>
      </c>
      <c r="AN63" s="482">
        <f t="shared" si="31"/>
        <v>45108</v>
      </c>
      <c r="AO63" s="482">
        <f t="shared" si="31"/>
        <v>45139</v>
      </c>
      <c r="AP63" s="482">
        <f t="shared" ref="AP63:BH63" si="32">EDATE(AO63, 1)</f>
        <v>45170</v>
      </c>
      <c r="AQ63" s="482">
        <f t="shared" si="32"/>
        <v>45200</v>
      </c>
      <c r="AR63" s="482">
        <f t="shared" si="32"/>
        <v>45231</v>
      </c>
      <c r="AS63" s="482">
        <f t="shared" si="32"/>
        <v>45261</v>
      </c>
      <c r="AT63" s="482">
        <f t="shared" si="32"/>
        <v>45292</v>
      </c>
      <c r="AU63" s="482">
        <f t="shared" si="32"/>
        <v>45323</v>
      </c>
      <c r="AV63" s="482">
        <f t="shared" si="32"/>
        <v>45352</v>
      </c>
      <c r="AW63" s="482">
        <f t="shared" si="32"/>
        <v>45383</v>
      </c>
      <c r="AX63" s="482">
        <f t="shared" si="32"/>
        <v>45413</v>
      </c>
      <c r="AY63" s="482">
        <f t="shared" si="32"/>
        <v>45444</v>
      </c>
      <c r="AZ63" s="482">
        <f t="shared" si="32"/>
        <v>45474</v>
      </c>
      <c r="BA63" s="482">
        <f t="shared" si="32"/>
        <v>45505</v>
      </c>
      <c r="BB63" s="482">
        <f t="shared" si="32"/>
        <v>45536</v>
      </c>
      <c r="BC63" s="482">
        <f t="shared" si="32"/>
        <v>45566</v>
      </c>
      <c r="BD63" s="482">
        <f t="shared" si="32"/>
        <v>45597</v>
      </c>
      <c r="BE63" s="482">
        <f t="shared" si="32"/>
        <v>45627</v>
      </c>
      <c r="BF63" s="482">
        <f t="shared" si="32"/>
        <v>45658</v>
      </c>
      <c r="BG63" s="482">
        <f t="shared" si="32"/>
        <v>45689</v>
      </c>
      <c r="BH63" s="483">
        <f t="shared" si="32"/>
        <v>45717</v>
      </c>
    </row>
    <row r="64" spans="6:60" x14ac:dyDescent="0.25">
      <c r="F64" s="150"/>
      <c r="G64" s="150" t="s">
        <v>388</v>
      </c>
      <c r="I64" s="312">
        <v>1</v>
      </c>
      <c r="J64" s="312">
        <v>2</v>
      </c>
      <c r="K64" s="312">
        <v>3</v>
      </c>
      <c r="L64" s="312">
        <v>4</v>
      </c>
      <c r="M64" s="312">
        <v>5</v>
      </c>
      <c r="N64" s="312">
        <v>6</v>
      </c>
      <c r="O64" s="312">
        <v>7</v>
      </c>
      <c r="P64" s="312">
        <v>8</v>
      </c>
      <c r="Q64" s="312">
        <v>9</v>
      </c>
      <c r="R64" s="312">
        <v>10</v>
      </c>
      <c r="S64" s="312">
        <v>11</v>
      </c>
      <c r="T64" s="312">
        <v>12</v>
      </c>
      <c r="U64" s="312">
        <v>13</v>
      </c>
      <c r="V64" s="312">
        <v>14</v>
      </c>
      <c r="W64" s="312">
        <v>15</v>
      </c>
      <c r="X64" s="312">
        <v>16</v>
      </c>
      <c r="Y64" s="312">
        <v>17</v>
      </c>
      <c r="Z64" s="312">
        <v>18</v>
      </c>
      <c r="AA64" s="312">
        <v>19</v>
      </c>
      <c r="AB64" s="312">
        <v>20</v>
      </c>
      <c r="AC64" s="312">
        <v>21</v>
      </c>
      <c r="AD64" s="312">
        <v>22</v>
      </c>
      <c r="AE64" s="312">
        <v>23</v>
      </c>
      <c r="AF64" s="312">
        <v>24</v>
      </c>
      <c r="AG64" s="312">
        <v>25</v>
      </c>
      <c r="AH64" s="312">
        <v>26</v>
      </c>
      <c r="AI64" s="312">
        <v>27</v>
      </c>
      <c r="AJ64" s="312">
        <v>28</v>
      </c>
      <c r="AK64" s="312">
        <v>29</v>
      </c>
      <c r="AL64" s="312">
        <v>30</v>
      </c>
      <c r="AM64" s="312">
        <v>31</v>
      </c>
      <c r="AN64" s="312">
        <v>32</v>
      </c>
      <c r="AO64" s="312">
        <v>33</v>
      </c>
      <c r="AP64" s="312">
        <v>34</v>
      </c>
      <c r="AQ64" s="312">
        <v>35</v>
      </c>
      <c r="AR64" s="312">
        <v>36</v>
      </c>
      <c r="AS64" s="312">
        <v>37</v>
      </c>
      <c r="AT64" s="312">
        <v>38</v>
      </c>
      <c r="AU64" s="312">
        <v>39</v>
      </c>
      <c r="AV64" s="312">
        <v>40</v>
      </c>
      <c r="AW64" s="312">
        <v>41</v>
      </c>
      <c r="AX64" s="312">
        <v>42</v>
      </c>
      <c r="AY64" s="312">
        <v>43</v>
      </c>
      <c r="AZ64" s="312">
        <v>44</v>
      </c>
      <c r="BA64" s="312">
        <v>45</v>
      </c>
      <c r="BB64" s="312">
        <v>46</v>
      </c>
      <c r="BC64" s="312">
        <v>47</v>
      </c>
      <c r="BD64" s="312">
        <v>48</v>
      </c>
      <c r="BE64" s="312">
        <v>49</v>
      </c>
      <c r="BF64" s="312">
        <v>50</v>
      </c>
      <c r="BG64" s="312">
        <v>51</v>
      </c>
      <c r="BH64" s="151">
        <v>52</v>
      </c>
    </row>
    <row r="65" spans="6:60" x14ac:dyDescent="0.25">
      <c r="F65" s="485">
        <f>EDATE(baseData, 1)</f>
        <v>44166</v>
      </c>
      <c r="G65" s="312">
        <v>1</v>
      </c>
      <c r="H65">
        <f t="shared" ref="H65:H96" si="33">IFERROR(INDEX($A$2:$A$6, MATCH(G65, $D$2:$D$6, 0)), "")</f>
        <v>0</v>
      </c>
      <c r="I65" s="486">
        <f t="shared" ref="I65:R74" si="34">IF(AND($F65&gt;entrega, I$63&gt;entrega), IF(AND($F65=I$63, $F65&lt;EDATE(terminoProjeto, -prazoRepasseVendas)), atoPosCh, 0)+IF(AND($F65&gt;I$63, $F65&lt;=EDATE(terminoProjeto, -2), $F65&lt;EDATE(I$63, prazoRepasseVendas), I$63&lt;EDATE(terminoProjeto, -prazoRepasseVendas)), mensaisPosCh/(prazoRepasseVendas-1), 0)+IF(AND($F65=EDATE(I$63, prazoRepasseVendas), $F65&lt;=EDATE(terminoProjeto, -1)), repassePosCh, 0), 0)</f>
        <v>0</v>
      </c>
      <c r="J65" s="486">
        <f t="shared" si="34"/>
        <v>0</v>
      </c>
      <c r="K65" s="486">
        <f t="shared" si="34"/>
        <v>0</v>
      </c>
      <c r="L65" s="486">
        <f t="shared" si="34"/>
        <v>0</v>
      </c>
      <c r="M65" s="486">
        <f t="shared" si="34"/>
        <v>0</v>
      </c>
      <c r="N65" s="486">
        <f t="shared" si="34"/>
        <v>0</v>
      </c>
      <c r="O65" s="486">
        <f t="shared" si="34"/>
        <v>0</v>
      </c>
      <c r="P65" s="486">
        <f t="shared" si="34"/>
        <v>0</v>
      </c>
      <c r="Q65" s="486">
        <f t="shared" si="34"/>
        <v>0</v>
      </c>
      <c r="R65" s="486">
        <f t="shared" si="34"/>
        <v>0</v>
      </c>
      <c r="S65" s="486">
        <f t="shared" ref="S65:AB74" si="35">IF(AND($F65&gt;entrega, S$63&gt;entrega), IF(AND($F65=S$63, $F65&lt;EDATE(terminoProjeto, -prazoRepasseVendas)), atoPosCh, 0)+IF(AND($F65&gt;S$63, $F65&lt;=EDATE(terminoProjeto, -2), $F65&lt;EDATE(S$63, prazoRepasseVendas), S$63&lt;EDATE(terminoProjeto, -prazoRepasseVendas)), mensaisPosCh/(prazoRepasseVendas-1), 0)+IF(AND($F65=EDATE(S$63, prazoRepasseVendas), $F65&lt;=EDATE(terminoProjeto, -1)), repassePosCh, 0), 0)</f>
        <v>0</v>
      </c>
      <c r="T65" s="486">
        <f t="shared" si="35"/>
        <v>0</v>
      </c>
      <c r="U65" s="486">
        <f t="shared" si="35"/>
        <v>0</v>
      </c>
      <c r="V65" s="486">
        <f t="shared" si="35"/>
        <v>0</v>
      </c>
      <c r="W65" s="486">
        <f t="shared" si="35"/>
        <v>0</v>
      </c>
      <c r="X65" s="486">
        <f t="shared" si="35"/>
        <v>0</v>
      </c>
      <c r="Y65" s="486">
        <f t="shared" si="35"/>
        <v>0</v>
      </c>
      <c r="Z65" s="486">
        <f t="shared" si="35"/>
        <v>0</v>
      </c>
      <c r="AA65" s="486">
        <f t="shared" si="35"/>
        <v>0</v>
      </c>
      <c r="AB65" s="486">
        <f t="shared" si="35"/>
        <v>0</v>
      </c>
      <c r="AC65" s="486">
        <f t="shared" ref="AC65:AL74" si="36">IF(AND($F65&gt;entrega, AC$63&gt;entrega), IF(AND($F65=AC$63, $F65&lt;EDATE(terminoProjeto, -prazoRepasseVendas)), atoPosCh, 0)+IF(AND($F65&gt;AC$63, $F65&lt;=EDATE(terminoProjeto, -2), $F65&lt;EDATE(AC$63, prazoRepasseVendas), AC$63&lt;EDATE(terminoProjeto, -prazoRepasseVendas)), mensaisPosCh/(prazoRepasseVendas-1), 0)+IF(AND($F65=EDATE(AC$63, prazoRepasseVendas), $F65&lt;=EDATE(terminoProjeto, -1)), repassePosCh, 0), 0)</f>
        <v>0</v>
      </c>
      <c r="AD65" s="486">
        <f t="shared" si="36"/>
        <v>0</v>
      </c>
      <c r="AE65" s="486">
        <f t="shared" si="36"/>
        <v>0</v>
      </c>
      <c r="AF65" s="486">
        <f t="shared" si="36"/>
        <v>0</v>
      </c>
      <c r="AG65" s="486">
        <f t="shared" si="36"/>
        <v>0</v>
      </c>
      <c r="AH65" s="486">
        <f t="shared" si="36"/>
        <v>0</v>
      </c>
      <c r="AI65" s="486">
        <f t="shared" si="36"/>
        <v>0</v>
      </c>
      <c r="AJ65" s="486">
        <f t="shared" si="36"/>
        <v>0</v>
      </c>
      <c r="AK65" s="486">
        <f t="shared" si="36"/>
        <v>0</v>
      </c>
      <c r="AL65" s="486">
        <f t="shared" si="36"/>
        <v>0</v>
      </c>
      <c r="AM65" s="486">
        <f t="shared" ref="AM65:AV74" si="37">IF(AND($F65&gt;entrega, AM$63&gt;entrega), IF(AND($F65=AM$63, $F65&lt;EDATE(terminoProjeto, -prazoRepasseVendas)), atoPosCh, 0)+IF(AND($F65&gt;AM$63, $F65&lt;=EDATE(terminoProjeto, -2), $F65&lt;EDATE(AM$63, prazoRepasseVendas), AM$63&lt;EDATE(terminoProjeto, -prazoRepasseVendas)), mensaisPosCh/(prazoRepasseVendas-1), 0)+IF(AND($F65=EDATE(AM$63, prazoRepasseVendas), $F65&lt;=EDATE(terminoProjeto, -1)), repassePosCh, 0), 0)</f>
        <v>0</v>
      </c>
      <c r="AN65" s="486">
        <f t="shared" si="37"/>
        <v>0</v>
      </c>
      <c r="AO65" s="486">
        <f t="shared" si="37"/>
        <v>0</v>
      </c>
      <c r="AP65" s="486">
        <f t="shared" si="37"/>
        <v>0</v>
      </c>
      <c r="AQ65" s="486">
        <f t="shared" si="37"/>
        <v>0</v>
      </c>
      <c r="AR65" s="486">
        <f t="shared" si="37"/>
        <v>0</v>
      </c>
      <c r="AS65" s="486">
        <f t="shared" si="37"/>
        <v>0</v>
      </c>
      <c r="AT65" s="486">
        <f t="shared" si="37"/>
        <v>0</v>
      </c>
      <c r="AU65" s="486">
        <f t="shared" si="37"/>
        <v>0</v>
      </c>
      <c r="AV65" s="486">
        <f t="shared" si="37"/>
        <v>0</v>
      </c>
      <c r="AW65" s="486">
        <f t="shared" ref="AW65:BH74" si="38">IF(AND($F65&gt;entrega, AW$63&gt;entrega), IF(AND($F65=AW$63, $F65&lt;EDATE(terminoProjeto, -prazoRepasseVendas)), atoPosCh, 0)+IF(AND($F65&gt;AW$63, $F65&lt;=EDATE(terminoProjeto, -2), $F65&lt;EDATE(AW$63, prazoRepasseVendas), AW$63&lt;EDATE(terminoProjeto, -prazoRepasseVendas)), mensaisPosCh/(prazoRepasseVendas-1), 0)+IF(AND($F65=EDATE(AW$63, prazoRepasseVendas), $F65&lt;=EDATE(terminoProjeto, -1)), repassePosCh, 0), 0)</f>
        <v>0</v>
      </c>
      <c r="AX65" s="486">
        <f t="shared" si="38"/>
        <v>0</v>
      </c>
      <c r="AY65" s="486">
        <f t="shared" si="38"/>
        <v>0</v>
      </c>
      <c r="AZ65" s="486">
        <f t="shared" si="38"/>
        <v>0</v>
      </c>
      <c r="BA65" s="486">
        <f t="shared" si="38"/>
        <v>0</v>
      </c>
      <c r="BB65" s="486">
        <f t="shared" si="38"/>
        <v>0</v>
      </c>
      <c r="BC65" s="486">
        <f t="shared" si="38"/>
        <v>0</v>
      </c>
      <c r="BD65" s="486">
        <f t="shared" si="38"/>
        <v>0</v>
      </c>
      <c r="BE65" s="486">
        <f t="shared" si="38"/>
        <v>0</v>
      </c>
      <c r="BF65" s="486">
        <f t="shared" si="38"/>
        <v>0</v>
      </c>
      <c r="BG65" s="486">
        <f t="shared" si="38"/>
        <v>0</v>
      </c>
      <c r="BH65" s="487">
        <f t="shared" si="38"/>
        <v>0</v>
      </c>
    </row>
    <row r="66" spans="6:60" x14ac:dyDescent="0.25">
      <c r="F66" s="488">
        <f t="shared" ref="F66:F97" si="39">EDATE(F65, 1)</f>
        <v>44197</v>
      </c>
      <c r="G66" s="312">
        <v>2</v>
      </c>
      <c r="H66" t="str">
        <f t="shared" si="33"/>
        <v/>
      </c>
      <c r="I66" s="486">
        <f t="shared" si="34"/>
        <v>0</v>
      </c>
      <c r="J66" s="486">
        <f t="shared" si="34"/>
        <v>0</v>
      </c>
      <c r="K66" s="486">
        <f t="shared" si="34"/>
        <v>0</v>
      </c>
      <c r="L66" s="486">
        <f t="shared" si="34"/>
        <v>0</v>
      </c>
      <c r="M66" s="486">
        <f t="shared" si="34"/>
        <v>0</v>
      </c>
      <c r="N66" s="486">
        <f t="shared" si="34"/>
        <v>0</v>
      </c>
      <c r="O66" s="486">
        <f t="shared" si="34"/>
        <v>0</v>
      </c>
      <c r="P66" s="486">
        <f t="shared" si="34"/>
        <v>0</v>
      </c>
      <c r="Q66" s="486">
        <f t="shared" si="34"/>
        <v>0</v>
      </c>
      <c r="R66" s="486">
        <f t="shared" si="34"/>
        <v>0</v>
      </c>
      <c r="S66" s="486">
        <f t="shared" si="35"/>
        <v>0</v>
      </c>
      <c r="T66" s="486">
        <f t="shared" si="35"/>
        <v>0</v>
      </c>
      <c r="U66" s="486">
        <f t="shared" si="35"/>
        <v>0</v>
      </c>
      <c r="V66" s="486">
        <f t="shared" si="35"/>
        <v>0</v>
      </c>
      <c r="W66" s="486">
        <f t="shared" si="35"/>
        <v>0</v>
      </c>
      <c r="X66" s="486">
        <f t="shared" si="35"/>
        <v>0</v>
      </c>
      <c r="Y66" s="486">
        <f t="shared" si="35"/>
        <v>0</v>
      </c>
      <c r="Z66" s="486">
        <f t="shared" si="35"/>
        <v>0</v>
      </c>
      <c r="AA66" s="486">
        <f t="shared" si="35"/>
        <v>0</v>
      </c>
      <c r="AB66" s="486">
        <f t="shared" si="35"/>
        <v>0</v>
      </c>
      <c r="AC66" s="486">
        <f t="shared" si="36"/>
        <v>0</v>
      </c>
      <c r="AD66" s="486">
        <f t="shared" si="36"/>
        <v>0</v>
      </c>
      <c r="AE66" s="486">
        <f t="shared" si="36"/>
        <v>0</v>
      </c>
      <c r="AF66" s="486">
        <f t="shared" si="36"/>
        <v>0</v>
      </c>
      <c r="AG66" s="486">
        <f t="shared" si="36"/>
        <v>0</v>
      </c>
      <c r="AH66" s="486">
        <f t="shared" si="36"/>
        <v>0</v>
      </c>
      <c r="AI66" s="486">
        <f t="shared" si="36"/>
        <v>0</v>
      </c>
      <c r="AJ66" s="486">
        <f t="shared" si="36"/>
        <v>0</v>
      </c>
      <c r="AK66" s="486">
        <f t="shared" si="36"/>
        <v>0</v>
      </c>
      <c r="AL66" s="486">
        <f t="shared" si="36"/>
        <v>0</v>
      </c>
      <c r="AM66" s="486">
        <f t="shared" si="37"/>
        <v>0</v>
      </c>
      <c r="AN66" s="486">
        <f t="shared" si="37"/>
        <v>0</v>
      </c>
      <c r="AO66" s="486">
        <f t="shared" si="37"/>
        <v>0</v>
      </c>
      <c r="AP66" s="486">
        <f t="shared" si="37"/>
        <v>0</v>
      </c>
      <c r="AQ66" s="486">
        <f t="shared" si="37"/>
        <v>0</v>
      </c>
      <c r="AR66" s="486">
        <f t="shared" si="37"/>
        <v>0</v>
      </c>
      <c r="AS66" s="486">
        <f t="shared" si="37"/>
        <v>0</v>
      </c>
      <c r="AT66" s="486">
        <f t="shared" si="37"/>
        <v>0</v>
      </c>
      <c r="AU66" s="486">
        <f t="shared" si="37"/>
        <v>0</v>
      </c>
      <c r="AV66" s="486">
        <f t="shared" si="37"/>
        <v>0</v>
      </c>
      <c r="AW66" s="486">
        <f t="shared" si="38"/>
        <v>0</v>
      </c>
      <c r="AX66" s="486">
        <f t="shared" si="38"/>
        <v>0</v>
      </c>
      <c r="AY66" s="486">
        <f t="shared" si="38"/>
        <v>0</v>
      </c>
      <c r="AZ66" s="486">
        <f t="shared" si="38"/>
        <v>0</v>
      </c>
      <c r="BA66" s="486">
        <f t="shared" si="38"/>
        <v>0</v>
      </c>
      <c r="BB66" s="486">
        <f t="shared" si="38"/>
        <v>0</v>
      </c>
      <c r="BC66" s="486">
        <f t="shared" si="38"/>
        <v>0</v>
      </c>
      <c r="BD66" s="486">
        <f t="shared" si="38"/>
        <v>0</v>
      </c>
      <c r="BE66" s="486">
        <f t="shared" si="38"/>
        <v>0</v>
      </c>
      <c r="BF66" s="486">
        <f t="shared" si="38"/>
        <v>0</v>
      </c>
      <c r="BG66" s="486">
        <f t="shared" si="38"/>
        <v>0</v>
      </c>
      <c r="BH66" s="487">
        <f t="shared" si="38"/>
        <v>0</v>
      </c>
    </row>
    <row r="67" spans="6:60" x14ac:dyDescent="0.25">
      <c r="F67" s="488">
        <f t="shared" si="39"/>
        <v>44228</v>
      </c>
      <c r="G67" s="312">
        <v>3</v>
      </c>
      <c r="H67" t="str">
        <f t="shared" si="33"/>
        <v/>
      </c>
      <c r="I67" s="486">
        <f t="shared" si="34"/>
        <v>0</v>
      </c>
      <c r="J67" s="486">
        <f t="shared" si="34"/>
        <v>0</v>
      </c>
      <c r="K67" s="486">
        <f t="shared" si="34"/>
        <v>0</v>
      </c>
      <c r="L67" s="486">
        <f t="shared" si="34"/>
        <v>0</v>
      </c>
      <c r="M67" s="486">
        <f t="shared" si="34"/>
        <v>0</v>
      </c>
      <c r="N67" s="486">
        <f t="shared" si="34"/>
        <v>0</v>
      </c>
      <c r="O67" s="486">
        <f t="shared" si="34"/>
        <v>0</v>
      </c>
      <c r="P67" s="486">
        <f t="shared" si="34"/>
        <v>0</v>
      </c>
      <c r="Q67" s="486">
        <f t="shared" si="34"/>
        <v>0</v>
      </c>
      <c r="R67" s="486">
        <f t="shared" si="34"/>
        <v>0</v>
      </c>
      <c r="S67" s="486">
        <f t="shared" si="35"/>
        <v>0</v>
      </c>
      <c r="T67" s="486">
        <f t="shared" si="35"/>
        <v>0</v>
      </c>
      <c r="U67" s="486">
        <f t="shared" si="35"/>
        <v>0</v>
      </c>
      <c r="V67" s="486">
        <f t="shared" si="35"/>
        <v>0</v>
      </c>
      <c r="W67" s="486">
        <f t="shared" si="35"/>
        <v>0</v>
      </c>
      <c r="X67" s="486">
        <f t="shared" si="35"/>
        <v>0</v>
      </c>
      <c r="Y67" s="486">
        <f t="shared" si="35"/>
        <v>0</v>
      </c>
      <c r="Z67" s="486">
        <f t="shared" si="35"/>
        <v>0</v>
      </c>
      <c r="AA67" s="486">
        <f t="shared" si="35"/>
        <v>0</v>
      </c>
      <c r="AB67" s="486">
        <f t="shared" si="35"/>
        <v>0</v>
      </c>
      <c r="AC67" s="486">
        <f t="shared" si="36"/>
        <v>0</v>
      </c>
      <c r="AD67" s="486">
        <f t="shared" si="36"/>
        <v>0</v>
      </c>
      <c r="AE67" s="486">
        <f t="shared" si="36"/>
        <v>0</v>
      </c>
      <c r="AF67" s="486">
        <f t="shared" si="36"/>
        <v>0</v>
      </c>
      <c r="AG67" s="486">
        <f t="shared" si="36"/>
        <v>0</v>
      </c>
      <c r="AH67" s="486">
        <f t="shared" si="36"/>
        <v>0</v>
      </c>
      <c r="AI67" s="486">
        <f t="shared" si="36"/>
        <v>0</v>
      </c>
      <c r="AJ67" s="486">
        <f t="shared" si="36"/>
        <v>0</v>
      </c>
      <c r="AK67" s="486">
        <f t="shared" si="36"/>
        <v>0</v>
      </c>
      <c r="AL67" s="486">
        <f t="shared" si="36"/>
        <v>0</v>
      </c>
      <c r="AM67" s="486">
        <f t="shared" si="37"/>
        <v>0</v>
      </c>
      <c r="AN67" s="486">
        <f t="shared" si="37"/>
        <v>0</v>
      </c>
      <c r="AO67" s="486">
        <f t="shared" si="37"/>
        <v>0</v>
      </c>
      <c r="AP67" s="486">
        <f t="shared" si="37"/>
        <v>0</v>
      </c>
      <c r="AQ67" s="486">
        <f t="shared" si="37"/>
        <v>0</v>
      </c>
      <c r="AR67" s="486">
        <f t="shared" si="37"/>
        <v>0</v>
      </c>
      <c r="AS67" s="486">
        <f t="shared" si="37"/>
        <v>0</v>
      </c>
      <c r="AT67" s="486">
        <f t="shared" si="37"/>
        <v>0</v>
      </c>
      <c r="AU67" s="486">
        <f t="shared" si="37"/>
        <v>0</v>
      </c>
      <c r="AV67" s="486">
        <f t="shared" si="37"/>
        <v>0</v>
      </c>
      <c r="AW67" s="486">
        <f t="shared" si="38"/>
        <v>0</v>
      </c>
      <c r="AX67" s="486">
        <f t="shared" si="38"/>
        <v>0</v>
      </c>
      <c r="AY67" s="486">
        <f t="shared" si="38"/>
        <v>0</v>
      </c>
      <c r="AZ67" s="486">
        <f t="shared" si="38"/>
        <v>0</v>
      </c>
      <c r="BA67" s="486">
        <f t="shared" si="38"/>
        <v>0</v>
      </c>
      <c r="BB67" s="486">
        <f t="shared" si="38"/>
        <v>0</v>
      </c>
      <c r="BC67" s="486">
        <f t="shared" si="38"/>
        <v>0</v>
      </c>
      <c r="BD67" s="486">
        <f t="shared" si="38"/>
        <v>0</v>
      </c>
      <c r="BE67" s="486">
        <f t="shared" si="38"/>
        <v>0</v>
      </c>
      <c r="BF67" s="486">
        <f t="shared" si="38"/>
        <v>0</v>
      </c>
      <c r="BG67" s="486">
        <f t="shared" si="38"/>
        <v>0</v>
      </c>
      <c r="BH67" s="487">
        <f t="shared" si="38"/>
        <v>0</v>
      </c>
    </row>
    <row r="68" spans="6:60" x14ac:dyDescent="0.25">
      <c r="F68" s="488">
        <f t="shared" si="39"/>
        <v>44256</v>
      </c>
      <c r="G68" s="312">
        <v>4</v>
      </c>
      <c r="H68" t="str">
        <f t="shared" si="33"/>
        <v/>
      </c>
      <c r="I68" s="486">
        <f t="shared" si="34"/>
        <v>0</v>
      </c>
      <c r="J68" s="486">
        <f t="shared" si="34"/>
        <v>0</v>
      </c>
      <c r="K68" s="486">
        <f t="shared" si="34"/>
        <v>0</v>
      </c>
      <c r="L68" s="486">
        <f t="shared" si="34"/>
        <v>0</v>
      </c>
      <c r="M68" s="486">
        <f t="shared" si="34"/>
        <v>0</v>
      </c>
      <c r="N68" s="486">
        <f t="shared" si="34"/>
        <v>0</v>
      </c>
      <c r="O68" s="486">
        <f t="shared" si="34"/>
        <v>0</v>
      </c>
      <c r="P68" s="486">
        <f t="shared" si="34"/>
        <v>0</v>
      </c>
      <c r="Q68" s="486">
        <f t="shared" si="34"/>
        <v>0</v>
      </c>
      <c r="R68" s="486">
        <f t="shared" si="34"/>
        <v>0</v>
      </c>
      <c r="S68" s="486">
        <f t="shared" si="35"/>
        <v>0</v>
      </c>
      <c r="T68" s="486">
        <f t="shared" si="35"/>
        <v>0</v>
      </c>
      <c r="U68" s="486">
        <f t="shared" si="35"/>
        <v>0</v>
      </c>
      <c r="V68" s="486">
        <f t="shared" si="35"/>
        <v>0</v>
      </c>
      <c r="W68" s="486">
        <f t="shared" si="35"/>
        <v>0</v>
      </c>
      <c r="X68" s="486">
        <f t="shared" si="35"/>
        <v>0</v>
      </c>
      <c r="Y68" s="486">
        <f t="shared" si="35"/>
        <v>0</v>
      </c>
      <c r="Z68" s="486">
        <f t="shared" si="35"/>
        <v>0</v>
      </c>
      <c r="AA68" s="486">
        <f t="shared" si="35"/>
        <v>0</v>
      </c>
      <c r="AB68" s="486">
        <f t="shared" si="35"/>
        <v>0</v>
      </c>
      <c r="AC68" s="486">
        <f t="shared" si="36"/>
        <v>0</v>
      </c>
      <c r="AD68" s="486">
        <f t="shared" si="36"/>
        <v>0</v>
      </c>
      <c r="AE68" s="486">
        <f t="shared" si="36"/>
        <v>0</v>
      </c>
      <c r="AF68" s="486">
        <f t="shared" si="36"/>
        <v>0</v>
      </c>
      <c r="AG68" s="486">
        <f t="shared" si="36"/>
        <v>0</v>
      </c>
      <c r="AH68" s="486">
        <f t="shared" si="36"/>
        <v>0</v>
      </c>
      <c r="AI68" s="486">
        <f t="shared" si="36"/>
        <v>0</v>
      </c>
      <c r="AJ68" s="486">
        <f t="shared" si="36"/>
        <v>0</v>
      </c>
      <c r="AK68" s="486">
        <f t="shared" si="36"/>
        <v>0</v>
      </c>
      <c r="AL68" s="486">
        <f t="shared" si="36"/>
        <v>0</v>
      </c>
      <c r="AM68" s="486">
        <f t="shared" si="37"/>
        <v>0</v>
      </c>
      <c r="AN68" s="486">
        <f t="shared" si="37"/>
        <v>0</v>
      </c>
      <c r="AO68" s="486">
        <f t="shared" si="37"/>
        <v>0</v>
      </c>
      <c r="AP68" s="486">
        <f t="shared" si="37"/>
        <v>0</v>
      </c>
      <c r="AQ68" s="486">
        <f t="shared" si="37"/>
        <v>0</v>
      </c>
      <c r="AR68" s="486">
        <f t="shared" si="37"/>
        <v>0</v>
      </c>
      <c r="AS68" s="486">
        <f t="shared" si="37"/>
        <v>0</v>
      </c>
      <c r="AT68" s="486">
        <f t="shared" si="37"/>
        <v>0</v>
      </c>
      <c r="AU68" s="486">
        <f t="shared" si="37"/>
        <v>0</v>
      </c>
      <c r="AV68" s="486">
        <f t="shared" si="37"/>
        <v>0</v>
      </c>
      <c r="AW68" s="486">
        <f t="shared" si="38"/>
        <v>0</v>
      </c>
      <c r="AX68" s="486">
        <f t="shared" si="38"/>
        <v>0</v>
      </c>
      <c r="AY68" s="486">
        <f t="shared" si="38"/>
        <v>0</v>
      </c>
      <c r="AZ68" s="486">
        <f t="shared" si="38"/>
        <v>0</v>
      </c>
      <c r="BA68" s="486">
        <f t="shared" si="38"/>
        <v>0</v>
      </c>
      <c r="BB68" s="486">
        <f t="shared" si="38"/>
        <v>0</v>
      </c>
      <c r="BC68" s="486">
        <f t="shared" si="38"/>
        <v>0</v>
      </c>
      <c r="BD68" s="486">
        <f t="shared" si="38"/>
        <v>0</v>
      </c>
      <c r="BE68" s="486">
        <f t="shared" si="38"/>
        <v>0</v>
      </c>
      <c r="BF68" s="486">
        <f t="shared" si="38"/>
        <v>0</v>
      </c>
      <c r="BG68" s="486">
        <f t="shared" si="38"/>
        <v>0</v>
      </c>
      <c r="BH68" s="487">
        <f t="shared" si="38"/>
        <v>0</v>
      </c>
    </row>
    <row r="69" spans="6:60" x14ac:dyDescent="0.25">
      <c r="F69" s="488">
        <f t="shared" si="39"/>
        <v>44287</v>
      </c>
      <c r="G69" s="312">
        <v>5</v>
      </c>
      <c r="H69" t="str">
        <f t="shared" si="33"/>
        <v/>
      </c>
      <c r="I69" s="486">
        <f t="shared" si="34"/>
        <v>0</v>
      </c>
      <c r="J69" s="486">
        <f t="shared" si="34"/>
        <v>0</v>
      </c>
      <c r="K69" s="486">
        <f t="shared" si="34"/>
        <v>0</v>
      </c>
      <c r="L69" s="486">
        <f t="shared" si="34"/>
        <v>0</v>
      </c>
      <c r="M69" s="486">
        <f t="shared" si="34"/>
        <v>0</v>
      </c>
      <c r="N69" s="486">
        <f t="shared" si="34"/>
        <v>0</v>
      </c>
      <c r="O69" s="486">
        <f t="shared" si="34"/>
        <v>0</v>
      </c>
      <c r="P69" s="486">
        <f t="shared" si="34"/>
        <v>0</v>
      </c>
      <c r="Q69" s="486">
        <f t="shared" si="34"/>
        <v>0</v>
      </c>
      <c r="R69" s="486">
        <f t="shared" si="34"/>
        <v>0</v>
      </c>
      <c r="S69" s="486">
        <f t="shared" si="35"/>
        <v>0</v>
      </c>
      <c r="T69" s="486">
        <f t="shared" si="35"/>
        <v>0</v>
      </c>
      <c r="U69" s="486">
        <f t="shared" si="35"/>
        <v>0</v>
      </c>
      <c r="V69" s="486">
        <f t="shared" si="35"/>
        <v>0</v>
      </c>
      <c r="W69" s="486">
        <f t="shared" si="35"/>
        <v>0</v>
      </c>
      <c r="X69" s="486">
        <f t="shared" si="35"/>
        <v>0</v>
      </c>
      <c r="Y69" s="486">
        <f t="shared" si="35"/>
        <v>0</v>
      </c>
      <c r="Z69" s="486">
        <f t="shared" si="35"/>
        <v>0</v>
      </c>
      <c r="AA69" s="486">
        <f t="shared" si="35"/>
        <v>0</v>
      </c>
      <c r="AB69" s="486">
        <f t="shared" si="35"/>
        <v>0</v>
      </c>
      <c r="AC69" s="486">
        <f t="shared" si="36"/>
        <v>0</v>
      </c>
      <c r="AD69" s="486">
        <f t="shared" si="36"/>
        <v>0</v>
      </c>
      <c r="AE69" s="486">
        <f t="shared" si="36"/>
        <v>0</v>
      </c>
      <c r="AF69" s="486">
        <f t="shared" si="36"/>
        <v>0</v>
      </c>
      <c r="AG69" s="486">
        <f t="shared" si="36"/>
        <v>0</v>
      </c>
      <c r="AH69" s="486">
        <f t="shared" si="36"/>
        <v>0</v>
      </c>
      <c r="AI69" s="486">
        <f t="shared" si="36"/>
        <v>0</v>
      </c>
      <c r="AJ69" s="486">
        <f t="shared" si="36"/>
        <v>0</v>
      </c>
      <c r="AK69" s="486">
        <f t="shared" si="36"/>
        <v>0</v>
      </c>
      <c r="AL69" s="486">
        <f t="shared" si="36"/>
        <v>0</v>
      </c>
      <c r="AM69" s="486">
        <f t="shared" si="37"/>
        <v>0</v>
      </c>
      <c r="AN69" s="486">
        <f t="shared" si="37"/>
        <v>0</v>
      </c>
      <c r="AO69" s="486">
        <f t="shared" si="37"/>
        <v>0</v>
      </c>
      <c r="AP69" s="486">
        <f t="shared" si="37"/>
        <v>0</v>
      </c>
      <c r="AQ69" s="486">
        <f t="shared" si="37"/>
        <v>0</v>
      </c>
      <c r="AR69" s="486">
        <f t="shared" si="37"/>
        <v>0</v>
      </c>
      <c r="AS69" s="486">
        <f t="shared" si="37"/>
        <v>0</v>
      </c>
      <c r="AT69" s="486">
        <f t="shared" si="37"/>
        <v>0</v>
      </c>
      <c r="AU69" s="486">
        <f t="shared" si="37"/>
        <v>0</v>
      </c>
      <c r="AV69" s="486">
        <f t="shared" si="37"/>
        <v>0</v>
      </c>
      <c r="AW69" s="486">
        <f t="shared" si="38"/>
        <v>0</v>
      </c>
      <c r="AX69" s="486">
        <f t="shared" si="38"/>
        <v>0</v>
      </c>
      <c r="AY69" s="486">
        <f t="shared" si="38"/>
        <v>0</v>
      </c>
      <c r="AZ69" s="486">
        <f t="shared" si="38"/>
        <v>0</v>
      </c>
      <c r="BA69" s="486">
        <f t="shared" si="38"/>
        <v>0</v>
      </c>
      <c r="BB69" s="486">
        <f t="shared" si="38"/>
        <v>0</v>
      </c>
      <c r="BC69" s="486">
        <f t="shared" si="38"/>
        <v>0</v>
      </c>
      <c r="BD69" s="486">
        <f t="shared" si="38"/>
        <v>0</v>
      </c>
      <c r="BE69" s="486">
        <f t="shared" si="38"/>
        <v>0</v>
      </c>
      <c r="BF69" s="486">
        <f t="shared" si="38"/>
        <v>0</v>
      </c>
      <c r="BG69" s="486">
        <f t="shared" si="38"/>
        <v>0</v>
      </c>
      <c r="BH69" s="487">
        <f t="shared" si="38"/>
        <v>0</v>
      </c>
    </row>
    <row r="70" spans="6:60" x14ac:dyDescent="0.25">
      <c r="F70" s="488">
        <f t="shared" si="39"/>
        <v>44317</v>
      </c>
      <c r="G70" s="312">
        <v>6</v>
      </c>
      <c r="H70" t="str">
        <f t="shared" si="33"/>
        <v/>
      </c>
      <c r="I70" s="486">
        <f t="shared" si="34"/>
        <v>0</v>
      </c>
      <c r="J70" s="486">
        <f t="shared" si="34"/>
        <v>0</v>
      </c>
      <c r="K70" s="486">
        <f t="shared" si="34"/>
        <v>0</v>
      </c>
      <c r="L70" s="486">
        <f t="shared" si="34"/>
        <v>0</v>
      </c>
      <c r="M70" s="486">
        <f t="shared" si="34"/>
        <v>0</v>
      </c>
      <c r="N70" s="486">
        <f t="shared" si="34"/>
        <v>0</v>
      </c>
      <c r="O70" s="486">
        <f t="shared" si="34"/>
        <v>0</v>
      </c>
      <c r="P70" s="486">
        <f t="shared" si="34"/>
        <v>0</v>
      </c>
      <c r="Q70" s="486">
        <f t="shared" si="34"/>
        <v>0</v>
      </c>
      <c r="R70" s="486">
        <f t="shared" si="34"/>
        <v>0</v>
      </c>
      <c r="S70" s="486">
        <f t="shared" si="35"/>
        <v>0</v>
      </c>
      <c r="T70" s="486">
        <f t="shared" si="35"/>
        <v>0</v>
      </c>
      <c r="U70" s="486">
        <f t="shared" si="35"/>
        <v>0</v>
      </c>
      <c r="V70" s="486">
        <f t="shared" si="35"/>
        <v>0</v>
      </c>
      <c r="W70" s="486">
        <f t="shared" si="35"/>
        <v>0</v>
      </c>
      <c r="X70" s="486">
        <f t="shared" si="35"/>
        <v>0</v>
      </c>
      <c r="Y70" s="486">
        <f t="shared" si="35"/>
        <v>0</v>
      </c>
      <c r="Z70" s="486">
        <f t="shared" si="35"/>
        <v>0</v>
      </c>
      <c r="AA70" s="486">
        <f t="shared" si="35"/>
        <v>0</v>
      </c>
      <c r="AB70" s="486">
        <f t="shared" si="35"/>
        <v>0</v>
      </c>
      <c r="AC70" s="486">
        <f t="shared" si="36"/>
        <v>0</v>
      </c>
      <c r="AD70" s="486">
        <f t="shared" si="36"/>
        <v>0</v>
      </c>
      <c r="AE70" s="486">
        <f t="shared" si="36"/>
        <v>0</v>
      </c>
      <c r="AF70" s="486">
        <f t="shared" si="36"/>
        <v>0</v>
      </c>
      <c r="AG70" s="486">
        <f t="shared" si="36"/>
        <v>0</v>
      </c>
      <c r="AH70" s="486">
        <f t="shared" si="36"/>
        <v>0</v>
      </c>
      <c r="AI70" s="486">
        <f t="shared" si="36"/>
        <v>0</v>
      </c>
      <c r="AJ70" s="486">
        <f t="shared" si="36"/>
        <v>0</v>
      </c>
      <c r="AK70" s="486">
        <f t="shared" si="36"/>
        <v>0</v>
      </c>
      <c r="AL70" s="486">
        <f t="shared" si="36"/>
        <v>0</v>
      </c>
      <c r="AM70" s="486">
        <f t="shared" si="37"/>
        <v>0</v>
      </c>
      <c r="AN70" s="486">
        <f t="shared" si="37"/>
        <v>0</v>
      </c>
      <c r="AO70" s="486">
        <f t="shared" si="37"/>
        <v>0</v>
      </c>
      <c r="AP70" s="486">
        <f t="shared" si="37"/>
        <v>0</v>
      </c>
      <c r="AQ70" s="486">
        <f t="shared" si="37"/>
        <v>0</v>
      </c>
      <c r="AR70" s="486">
        <f t="shared" si="37"/>
        <v>0</v>
      </c>
      <c r="AS70" s="486">
        <f t="shared" si="37"/>
        <v>0</v>
      </c>
      <c r="AT70" s="486">
        <f t="shared" si="37"/>
        <v>0</v>
      </c>
      <c r="AU70" s="486">
        <f t="shared" si="37"/>
        <v>0</v>
      </c>
      <c r="AV70" s="486">
        <f t="shared" si="37"/>
        <v>0</v>
      </c>
      <c r="AW70" s="486">
        <f t="shared" si="38"/>
        <v>0</v>
      </c>
      <c r="AX70" s="486">
        <f t="shared" si="38"/>
        <v>0</v>
      </c>
      <c r="AY70" s="486">
        <f t="shared" si="38"/>
        <v>0</v>
      </c>
      <c r="AZ70" s="486">
        <f t="shared" si="38"/>
        <v>0</v>
      </c>
      <c r="BA70" s="486">
        <f t="shared" si="38"/>
        <v>0</v>
      </c>
      <c r="BB70" s="486">
        <f t="shared" si="38"/>
        <v>0</v>
      </c>
      <c r="BC70" s="486">
        <f t="shared" si="38"/>
        <v>0</v>
      </c>
      <c r="BD70" s="486">
        <f t="shared" si="38"/>
        <v>0</v>
      </c>
      <c r="BE70" s="486">
        <f t="shared" si="38"/>
        <v>0</v>
      </c>
      <c r="BF70" s="486">
        <f t="shared" si="38"/>
        <v>0</v>
      </c>
      <c r="BG70" s="486">
        <f t="shared" si="38"/>
        <v>0</v>
      </c>
      <c r="BH70" s="487">
        <f t="shared" si="38"/>
        <v>0</v>
      </c>
    </row>
    <row r="71" spans="6:60" x14ac:dyDescent="0.25">
      <c r="F71" s="488">
        <f t="shared" si="39"/>
        <v>44348</v>
      </c>
      <c r="G71" s="312">
        <v>7</v>
      </c>
      <c r="H71" t="str">
        <f t="shared" si="33"/>
        <v/>
      </c>
      <c r="I71" s="486">
        <f t="shared" si="34"/>
        <v>0</v>
      </c>
      <c r="J71" s="486">
        <f t="shared" si="34"/>
        <v>0</v>
      </c>
      <c r="K71" s="486">
        <f t="shared" si="34"/>
        <v>0</v>
      </c>
      <c r="L71" s="486">
        <f t="shared" si="34"/>
        <v>0</v>
      </c>
      <c r="M71" s="486">
        <f t="shared" si="34"/>
        <v>0</v>
      </c>
      <c r="N71" s="486">
        <f t="shared" si="34"/>
        <v>0</v>
      </c>
      <c r="O71" s="486">
        <f t="shared" si="34"/>
        <v>0</v>
      </c>
      <c r="P71" s="486">
        <f t="shared" si="34"/>
        <v>0</v>
      </c>
      <c r="Q71" s="486">
        <f t="shared" si="34"/>
        <v>0</v>
      </c>
      <c r="R71" s="486">
        <f t="shared" si="34"/>
        <v>0</v>
      </c>
      <c r="S71" s="486">
        <f t="shared" si="35"/>
        <v>0</v>
      </c>
      <c r="T71" s="486">
        <f t="shared" si="35"/>
        <v>0</v>
      </c>
      <c r="U71" s="486">
        <f t="shared" si="35"/>
        <v>0</v>
      </c>
      <c r="V71" s="486">
        <f t="shared" si="35"/>
        <v>0</v>
      </c>
      <c r="W71" s="486">
        <f t="shared" si="35"/>
        <v>0</v>
      </c>
      <c r="X71" s="486">
        <f t="shared" si="35"/>
        <v>0</v>
      </c>
      <c r="Y71" s="486">
        <f t="shared" si="35"/>
        <v>0</v>
      </c>
      <c r="Z71" s="486">
        <f t="shared" si="35"/>
        <v>0</v>
      </c>
      <c r="AA71" s="486">
        <f t="shared" si="35"/>
        <v>0</v>
      </c>
      <c r="AB71" s="486">
        <f t="shared" si="35"/>
        <v>0</v>
      </c>
      <c r="AC71" s="486">
        <f t="shared" si="36"/>
        <v>0</v>
      </c>
      <c r="AD71" s="486">
        <f t="shared" si="36"/>
        <v>0</v>
      </c>
      <c r="AE71" s="486">
        <f t="shared" si="36"/>
        <v>0</v>
      </c>
      <c r="AF71" s="486">
        <f t="shared" si="36"/>
        <v>0</v>
      </c>
      <c r="AG71" s="486">
        <f t="shared" si="36"/>
        <v>0</v>
      </c>
      <c r="AH71" s="486">
        <f t="shared" si="36"/>
        <v>0</v>
      </c>
      <c r="AI71" s="486">
        <f t="shared" si="36"/>
        <v>0</v>
      </c>
      <c r="AJ71" s="486">
        <f t="shared" si="36"/>
        <v>0</v>
      </c>
      <c r="AK71" s="486">
        <f t="shared" si="36"/>
        <v>0</v>
      </c>
      <c r="AL71" s="486">
        <f t="shared" si="36"/>
        <v>0</v>
      </c>
      <c r="AM71" s="486">
        <f t="shared" si="37"/>
        <v>0</v>
      </c>
      <c r="AN71" s="486">
        <f t="shared" si="37"/>
        <v>0</v>
      </c>
      <c r="AO71" s="486">
        <f t="shared" si="37"/>
        <v>0</v>
      </c>
      <c r="AP71" s="486">
        <f t="shared" si="37"/>
        <v>0</v>
      </c>
      <c r="AQ71" s="486">
        <f t="shared" si="37"/>
        <v>0</v>
      </c>
      <c r="AR71" s="486">
        <f t="shared" si="37"/>
        <v>0</v>
      </c>
      <c r="AS71" s="486">
        <f t="shared" si="37"/>
        <v>0</v>
      </c>
      <c r="AT71" s="486">
        <f t="shared" si="37"/>
        <v>0</v>
      </c>
      <c r="AU71" s="486">
        <f t="shared" si="37"/>
        <v>0</v>
      </c>
      <c r="AV71" s="486">
        <f t="shared" si="37"/>
        <v>0</v>
      </c>
      <c r="AW71" s="486">
        <f t="shared" si="38"/>
        <v>0</v>
      </c>
      <c r="AX71" s="486">
        <f t="shared" si="38"/>
        <v>0</v>
      </c>
      <c r="AY71" s="486">
        <f t="shared" si="38"/>
        <v>0</v>
      </c>
      <c r="AZ71" s="486">
        <f t="shared" si="38"/>
        <v>0</v>
      </c>
      <c r="BA71" s="486">
        <f t="shared" si="38"/>
        <v>0</v>
      </c>
      <c r="BB71" s="486">
        <f t="shared" si="38"/>
        <v>0</v>
      </c>
      <c r="BC71" s="486">
        <f t="shared" si="38"/>
        <v>0</v>
      </c>
      <c r="BD71" s="486">
        <f t="shared" si="38"/>
        <v>0</v>
      </c>
      <c r="BE71" s="486">
        <f t="shared" si="38"/>
        <v>0</v>
      </c>
      <c r="BF71" s="486">
        <f t="shared" si="38"/>
        <v>0</v>
      </c>
      <c r="BG71" s="486">
        <f t="shared" si="38"/>
        <v>0</v>
      </c>
      <c r="BH71" s="487">
        <f t="shared" si="38"/>
        <v>0</v>
      </c>
    </row>
    <row r="72" spans="6:60" x14ac:dyDescent="0.25">
      <c r="F72" s="488">
        <f t="shared" si="39"/>
        <v>44378</v>
      </c>
      <c r="G72" s="312">
        <v>8</v>
      </c>
      <c r="H72" t="str">
        <f t="shared" si="33"/>
        <v/>
      </c>
      <c r="I72" s="486">
        <f t="shared" si="34"/>
        <v>0</v>
      </c>
      <c r="J72" s="486">
        <f t="shared" si="34"/>
        <v>0</v>
      </c>
      <c r="K72" s="486">
        <f t="shared" si="34"/>
        <v>0</v>
      </c>
      <c r="L72" s="486">
        <f t="shared" si="34"/>
        <v>0</v>
      </c>
      <c r="M72" s="486">
        <f t="shared" si="34"/>
        <v>0</v>
      </c>
      <c r="N72" s="486">
        <f t="shared" si="34"/>
        <v>0</v>
      </c>
      <c r="O72" s="486">
        <f t="shared" si="34"/>
        <v>0</v>
      </c>
      <c r="P72" s="486">
        <f t="shared" si="34"/>
        <v>0</v>
      </c>
      <c r="Q72" s="486">
        <f t="shared" si="34"/>
        <v>0</v>
      </c>
      <c r="R72" s="486">
        <f t="shared" si="34"/>
        <v>0</v>
      </c>
      <c r="S72" s="486">
        <f t="shared" si="35"/>
        <v>0</v>
      </c>
      <c r="T72" s="486">
        <f t="shared" si="35"/>
        <v>0</v>
      </c>
      <c r="U72" s="486">
        <f t="shared" si="35"/>
        <v>0</v>
      </c>
      <c r="V72" s="486">
        <f t="shared" si="35"/>
        <v>0</v>
      </c>
      <c r="W72" s="486">
        <f t="shared" si="35"/>
        <v>0</v>
      </c>
      <c r="X72" s="486">
        <f t="shared" si="35"/>
        <v>0</v>
      </c>
      <c r="Y72" s="486">
        <f t="shared" si="35"/>
        <v>0</v>
      </c>
      <c r="Z72" s="486">
        <f t="shared" si="35"/>
        <v>0</v>
      </c>
      <c r="AA72" s="486">
        <f t="shared" si="35"/>
        <v>0</v>
      </c>
      <c r="AB72" s="486">
        <f t="shared" si="35"/>
        <v>0</v>
      </c>
      <c r="AC72" s="486">
        <f t="shared" si="36"/>
        <v>0</v>
      </c>
      <c r="AD72" s="486">
        <f t="shared" si="36"/>
        <v>0</v>
      </c>
      <c r="AE72" s="486">
        <f t="shared" si="36"/>
        <v>0</v>
      </c>
      <c r="AF72" s="486">
        <f t="shared" si="36"/>
        <v>0</v>
      </c>
      <c r="AG72" s="486">
        <f t="shared" si="36"/>
        <v>0</v>
      </c>
      <c r="AH72" s="486">
        <f t="shared" si="36"/>
        <v>0</v>
      </c>
      <c r="AI72" s="486">
        <f t="shared" si="36"/>
        <v>0</v>
      </c>
      <c r="AJ72" s="486">
        <f t="shared" si="36"/>
        <v>0</v>
      </c>
      <c r="AK72" s="486">
        <f t="shared" si="36"/>
        <v>0</v>
      </c>
      <c r="AL72" s="486">
        <f t="shared" si="36"/>
        <v>0</v>
      </c>
      <c r="AM72" s="486">
        <f t="shared" si="37"/>
        <v>0</v>
      </c>
      <c r="AN72" s="486">
        <f t="shared" si="37"/>
        <v>0</v>
      </c>
      <c r="AO72" s="486">
        <f t="shared" si="37"/>
        <v>0</v>
      </c>
      <c r="AP72" s="486">
        <f t="shared" si="37"/>
        <v>0</v>
      </c>
      <c r="AQ72" s="486">
        <f t="shared" si="37"/>
        <v>0</v>
      </c>
      <c r="AR72" s="486">
        <f t="shared" si="37"/>
        <v>0</v>
      </c>
      <c r="AS72" s="486">
        <f t="shared" si="37"/>
        <v>0</v>
      </c>
      <c r="AT72" s="486">
        <f t="shared" si="37"/>
        <v>0</v>
      </c>
      <c r="AU72" s="486">
        <f t="shared" si="37"/>
        <v>0</v>
      </c>
      <c r="AV72" s="486">
        <f t="shared" si="37"/>
        <v>0</v>
      </c>
      <c r="AW72" s="486">
        <f t="shared" si="38"/>
        <v>0</v>
      </c>
      <c r="AX72" s="486">
        <f t="shared" si="38"/>
        <v>0</v>
      </c>
      <c r="AY72" s="486">
        <f t="shared" si="38"/>
        <v>0</v>
      </c>
      <c r="AZ72" s="486">
        <f t="shared" si="38"/>
        <v>0</v>
      </c>
      <c r="BA72" s="486">
        <f t="shared" si="38"/>
        <v>0</v>
      </c>
      <c r="BB72" s="486">
        <f t="shared" si="38"/>
        <v>0</v>
      </c>
      <c r="BC72" s="486">
        <f t="shared" si="38"/>
        <v>0</v>
      </c>
      <c r="BD72" s="486">
        <f t="shared" si="38"/>
        <v>0</v>
      </c>
      <c r="BE72" s="486">
        <f t="shared" si="38"/>
        <v>0</v>
      </c>
      <c r="BF72" s="486">
        <f t="shared" si="38"/>
        <v>0</v>
      </c>
      <c r="BG72" s="486">
        <f t="shared" si="38"/>
        <v>0</v>
      </c>
      <c r="BH72" s="487">
        <f t="shared" si="38"/>
        <v>0</v>
      </c>
    </row>
    <row r="73" spans="6:60" x14ac:dyDescent="0.25">
      <c r="F73" s="488">
        <f t="shared" si="39"/>
        <v>44409</v>
      </c>
      <c r="G73" s="312">
        <v>9</v>
      </c>
      <c r="H73" t="str">
        <f t="shared" si="33"/>
        <v/>
      </c>
      <c r="I73" s="486">
        <f t="shared" si="34"/>
        <v>0</v>
      </c>
      <c r="J73" s="486">
        <f t="shared" si="34"/>
        <v>0</v>
      </c>
      <c r="K73" s="486">
        <f t="shared" si="34"/>
        <v>0</v>
      </c>
      <c r="L73" s="486">
        <f t="shared" si="34"/>
        <v>0</v>
      </c>
      <c r="M73" s="486">
        <f t="shared" si="34"/>
        <v>0</v>
      </c>
      <c r="N73" s="486">
        <f t="shared" si="34"/>
        <v>0</v>
      </c>
      <c r="O73" s="486">
        <f t="shared" si="34"/>
        <v>0</v>
      </c>
      <c r="P73" s="486">
        <f t="shared" si="34"/>
        <v>0</v>
      </c>
      <c r="Q73" s="486">
        <f t="shared" si="34"/>
        <v>0</v>
      </c>
      <c r="R73" s="486">
        <f t="shared" si="34"/>
        <v>0</v>
      </c>
      <c r="S73" s="486">
        <f t="shared" si="35"/>
        <v>0</v>
      </c>
      <c r="T73" s="486">
        <f t="shared" si="35"/>
        <v>0</v>
      </c>
      <c r="U73" s="486">
        <f t="shared" si="35"/>
        <v>0</v>
      </c>
      <c r="V73" s="486">
        <f t="shared" si="35"/>
        <v>0</v>
      </c>
      <c r="W73" s="486">
        <f t="shared" si="35"/>
        <v>0</v>
      </c>
      <c r="X73" s="486">
        <f t="shared" si="35"/>
        <v>0</v>
      </c>
      <c r="Y73" s="486">
        <f t="shared" si="35"/>
        <v>0</v>
      </c>
      <c r="Z73" s="486">
        <f t="shared" si="35"/>
        <v>0</v>
      </c>
      <c r="AA73" s="486">
        <f t="shared" si="35"/>
        <v>0</v>
      </c>
      <c r="AB73" s="486">
        <f t="shared" si="35"/>
        <v>0</v>
      </c>
      <c r="AC73" s="486">
        <f t="shared" si="36"/>
        <v>0</v>
      </c>
      <c r="AD73" s="486">
        <f t="shared" si="36"/>
        <v>0</v>
      </c>
      <c r="AE73" s="486">
        <f t="shared" si="36"/>
        <v>0</v>
      </c>
      <c r="AF73" s="486">
        <f t="shared" si="36"/>
        <v>0</v>
      </c>
      <c r="AG73" s="486">
        <f t="shared" si="36"/>
        <v>0</v>
      </c>
      <c r="AH73" s="486">
        <f t="shared" si="36"/>
        <v>0</v>
      </c>
      <c r="AI73" s="486">
        <f t="shared" si="36"/>
        <v>0</v>
      </c>
      <c r="AJ73" s="486">
        <f t="shared" si="36"/>
        <v>0</v>
      </c>
      <c r="AK73" s="486">
        <f t="shared" si="36"/>
        <v>0</v>
      </c>
      <c r="AL73" s="486">
        <f t="shared" si="36"/>
        <v>0</v>
      </c>
      <c r="AM73" s="486">
        <f t="shared" si="37"/>
        <v>0</v>
      </c>
      <c r="AN73" s="486">
        <f t="shared" si="37"/>
        <v>0</v>
      </c>
      <c r="AO73" s="486">
        <f t="shared" si="37"/>
        <v>0</v>
      </c>
      <c r="AP73" s="486">
        <f t="shared" si="37"/>
        <v>0</v>
      </c>
      <c r="AQ73" s="486">
        <f t="shared" si="37"/>
        <v>0</v>
      </c>
      <c r="AR73" s="486">
        <f t="shared" si="37"/>
        <v>0</v>
      </c>
      <c r="AS73" s="486">
        <f t="shared" si="37"/>
        <v>0</v>
      </c>
      <c r="AT73" s="486">
        <f t="shared" si="37"/>
        <v>0</v>
      </c>
      <c r="AU73" s="486">
        <f t="shared" si="37"/>
        <v>0</v>
      </c>
      <c r="AV73" s="486">
        <f t="shared" si="37"/>
        <v>0</v>
      </c>
      <c r="AW73" s="486">
        <f t="shared" si="38"/>
        <v>0</v>
      </c>
      <c r="AX73" s="486">
        <f t="shared" si="38"/>
        <v>0</v>
      </c>
      <c r="AY73" s="486">
        <f t="shared" si="38"/>
        <v>0</v>
      </c>
      <c r="AZ73" s="486">
        <f t="shared" si="38"/>
        <v>0</v>
      </c>
      <c r="BA73" s="486">
        <f t="shared" si="38"/>
        <v>0</v>
      </c>
      <c r="BB73" s="486">
        <f t="shared" si="38"/>
        <v>0</v>
      </c>
      <c r="BC73" s="486">
        <f t="shared" si="38"/>
        <v>0</v>
      </c>
      <c r="BD73" s="486">
        <f t="shared" si="38"/>
        <v>0</v>
      </c>
      <c r="BE73" s="486">
        <f t="shared" si="38"/>
        <v>0</v>
      </c>
      <c r="BF73" s="486">
        <f t="shared" si="38"/>
        <v>0</v>
      </c>
      <c r="BG73" s="486">
        <f t="shared" si="38"/>
        <v>0</v>
      </c>
      <c r="BH73" s="487">
        <f t="shared" si="38"/>
        <v>0</v>
      </c>
    </row>
    <row r="74" spans="6:60" x14ac:dyDescent="0.25">
      <c r="F74" s="488">
        <f t="shared" si="39"/>
        <v>44440</v>
      </c>
      <c r="G74" s="312">
        <v>10</v>
      </c>
      <c r="H74" t="str">
        <f t="shared" si="33"/>
        <v/>
      </c>
      <c r="I74" s="486">
        <f t="shared" si="34"/>
        <v>0</v>
      </c>
      <c r="J74" s="486">
        <f t="shared" si="34"/>
        <v>0</v>
      </c>
      <c r="K74" s="486">
        <f t="shared" si="34"/>
        <v>0</v>
      </c>
      <c r="L74" s="486">
        <f t="shared" si="34"/>
        <v>0</v>
      </c>
      <c r="M74" s="486">
        <f t="shared" si="34"/>
        <v>0</v>
      </c>
      <c r="N74" s="486">
        <f t="shared" si="34"/>
        <v>0</v>
      </c>
      <c r="O74" s="486">
        <f t="shared" si="34"/>
        <v>0</v>
      </c>
      <c r="P74" s="486">
        <f t="shared" si="34"/>
        <v>0</v>
      </c>
      <c r="Q74" s="486">
        <f t="shared" si="34"/>
        <v>0</v>
      </c>
      <c r="R74" s="486">
        <f t="shared" si="34"/>
        <v>0</v>
      </c>
      <c r="S74" s="486">
        <f t="shared" si="35"/>
        <v>0</v>
      </c>
      <c r="T74" s="486">
        <f t="shared" si="35"/>
        <v>0</v>
      </c>
      <c r="U74" s="486">
        <f t="shared" si="35"/>
        <v>0</v>
      </c>
      <c r="V74" s="486">
        <f t="shared" si="35"/>
        <v>0</v>
      </c>
      <c r="W74" s="486">
        <f t="shared" si="35"/>
        <v>0</v>
      </c>
      <c r="X74" s="486">
        <f t="shared" si="35"/>
        <v>0</v>
      </c>
      <c r="Y74" s="486">
        <f t="shared" si="35"/>
        <v>0</v>
      </c>
      <c r="Z74" s="486">
        <f t="shared" si="35"/>
        <v>0</v>
      </c>
      <c r="AA74" s="486">
        <f t="shared" si="35"/>
        <v>0</v>
      </c>
      <c r="AB74" s="486">
        <f t="shared" si="35"/>
        <v>0</v>
      </c>
      <c r="AC74" s="486">
        <f t="shared" si="36"/>
        <v>0</v>
      </c>
      <c r="AD74" s="486">
        <f t="shared" si="36"/>
        <v>0</v>
      </c>
      <c r="AE74" s="486">
        <f t="shared" si="36"/>
        <v>0</v>
      </c>
      <c r="AF74" s="486">
        <f t="shared" si="36"/>
        <v>0</v>
      </c>
      <c r="AG74" s="486">
        <f t="shared" si="36"/>
        <v>0</v>
      </c>
      <c r="AH74" s="486">
        <f t="shared" si="36"/>
        <v>0</v>
      </c>
      <c r="AI74" s="486">
        <f t="shared" si="36"/>
        <v>0</v>
      </c>
      <c r="AJ74" s="486">
        <f t="shared" si="36"/>
        <v>0</v>
      </c>
      <c r="AK74" s="486">
        <f t="shared" si="36"/>
        <v>0</v>
      </c>
      <c r="AL74" s="486">
        <f t="shared" si="36"/>
        <v>0</v>
      </c>
      <c r="AM74" s="486">
        <f t="shared" si="37"/>
        <v>0</v>
      </c>
      <c r="AN74" s="486">
        <f t="shared" si="37"/>
        <v>0</v>
      </c>
      <c r="AO74" s="486">
        <f t="shared" si="37"/>
        <v>0</v>
      </c>
      <c r="AP74" s="486">
        <f t="shared" si="37"/>
        <v>0</v>
      </c>
      <c r="AQ74" s="486">
        <f t="shared" si="37"/>
        <v>0</v>
      </c>
      <c r="AR74" s="486">
        <f t="shared" si="37"/>
        <v>0</v>
      </c>
      <c r="AS74" s="486">
        <f t="shared" si="37"/>
        <v>0</v>
      </c>
      <c r="AT74" s="486">
        <f t="shared" si="37"/>
        <v>0</v>
      </c>
      <c r="AU74" s="486">
        <f t="shared" si="37"/>
        <v>0</v>
      </c>
      <c r="AV74" s="486">
        <f t="shared" si="37"/>
        <v>0</v>
      </c>
      <c r="AW74" s="486">
        <f t="shared" si="38"/>
        <v>0</v>
      </c>
      <c r="AX74" s="486">
        <f t="shared" si="38"/>
        <v>0</v>
      </c>
      <c r="AY74" s="486">
        <f t="shared" si="38"/>
        <v>0</v>
      </c>
      <c r="AZ74" s="486">
        <f t="shared" si="38"/>
        <v>0</v>
      </c>
      <c r="BA74" s="486">
        <f t="shared" si="38"/>
        <v>0</v>
      </c>
      <c r="BB74" s="486">
        <f t="shared" si="38"/>
        <v>0</v>
      </c>
      <c r="BC74" s="486">
        <f t="shared" si="38"/>
        <v>0</v>
      </c>
      <c r="BD74" s="486">
        <f t="shared" si="38"/>
        <v>0</v>
      </c>
      <c r="BE74" s="486">
        <f t="shared" si="38"/>
        <v>0</v>
      </c>
      <c r="BF74" s="486">
        <f t="shared" si="38"/>
        <v>0</v>
      </c>
      <c r="BG74" s="486">
        <f t="shared" si="38"/>
        <v>0</v>
      </c>
      <c r="BH74" s="487">
        <f t="shared" si="38"/>
        <v>0</v>
      </c>
    </row>
    <row r="75" spans="6:60" x14ac:dyDescent="0.25">
      <c r="F75" s="488">
        <f t="shared" si="39"/>
        <v>44470</v>
      </c>
      <c r="G75" s="312">
        <v>11</v>
      </c>
      <c r="H75" t="str">
        <f t="shared" si="33"/>
        <v/>
      </c>
      <c r="I75" s="486">
        <f t="shared" ref="I75:R84" si="40">IF(AND($F75&gt;entrega, I$63&gt;entrega), IF(AND($F75=I$63, $F75&lt;EDATE(terminoProjeto, -prazoRepasseVendas)), atoPosCh, 0)+IF(AND($F75&gt;I$63, $F75&lt;=EDATE(terminoProjeto, -2), $F75&lt;EDATE(I$63, prazoRepasseVendas), I$63&lt;EDATE(terminoProjeto, -prazoRepasseVendas)), mensaisPosCh/(prazoRepasseVendas-1), 0)+IF(AND($F75=EDATE(I$63, prazoRepasseVendas), $F75&lt;=EDATE(terminoProjeto, -1)), repassePosCh, 0), 0)</f>
        <v>0</v>
      </c>
      <c r="J75" s="486">
        <f t="shared" si="40"/>
        <v>0</v>
      </c>
      <c r="K75" s="486">
        <f t="shared" si="40"/>
        <v>0</v>
      </c>
      <c r="L75" s="486">
        <f t="shared" si="40"/>
        <v>0</v>
      </c>
      <c r="M75" s="486">
        <f t="shared" si="40"/>
        <v>0</v>
      </c>
      <c r="N75" s="486">
        <f t="shared" si="40"/>
        <v>0</v>
      </c>
      <c r="O75" s="486">
        <f t="shared" si="40"/>
        <v>0</v>
      </c>
      <c r="P75" s="486">
        <f t="shared" si="40"/>
        <v>0</v>
      </c>
      <c r="Q75" s="486">
        <f t="shared" si="40"/>
        <v>0</v>
      </c>
      <c r="R75" s="486">
        <f t="shared" si="40"/>
        <v>0</v>
      </c>
      <c r="S75" s="486">
        <f t="shared" ref="S75:AB84" si="41">IF(AND($F75&gt;entrega, S$63&gt;entrega), IF(AND($F75=S$63, $F75&lt;EDATE(terminoProjeto, -prazoRepasseVendas)), atoPosCh, 0)+IF(AND($F75&gt;S$63, $F75&lt;=EDATE(terminoProjeto, -2), $F75&lt;EDATE(S$63, prazoRepasseVendas), S$63&lt;EDATE(terminoProjeto, -prazoRepasseVendas)), mensaisPosCh/(prazoRepasseVendas-1), 0)+IF(AND($F75=EDATE(S$63, prazoRepasseVendas), $F75&lt;=EDATE(terminoProjeto, -1)), repassePosCh, 0), 0)</f>
        <v>0</v>
      </c>
      <c r="T75" s="486">
        <f t="shared" si="41"/>
        <v>0</v>
      </c>
      <c r="U75" s="486">
        <f t="shared" si="41"/>
        <v>0</v>
      </c>
      <c r="V75" s="486">
        <f t="shared" si="41"/>
        <v>0</v>
      </c>
      <c r="W75" s="486">
        <f t="shared" si="41"/>
        <v>0</v>
      </c>
      <c r="X75" s="486">
        <f t="shared" si="41"/>
        <v>0</v>
      </c>
      <c r="Y75" s="486">
        <f t="shared" si="41"/>
        <v>0</v>
      </c>
      <c r="Z75" s="486">
        <f t="shared" si="41"/>
        <v>0</v>
      </c>
      <c r="AA75" s="486">
        <f t="shared" si="41"/>
        <v>0</v>
      </c>
      <c r="AB75" s="486">
        <f t="shared" si="41"/>
        <v>0</v>
      </c>
      <c r="AC75" s="486">
        <f t="shared" ref="AC75:AL84" si="42">IF(AND($F75&gt;entrega, AC$63&gt;entrega), IF(AND($F75=AC$63, $F75&lt;EDATE(terminoProjeto, -prazoRepasseVendas)), atoPosCh, 0)+IF(AND($F75&gt;AC$63, $F75&lt;=EDATE(terminoProjeto, -2), $F75&lt;EDATE(AC$63, prazoRepasseVendas), AC$63&lt;EDATE(terminoProjeto, -prazoRepasseVendas)), mensaisPosCh/(prazoRepasseVendas-1), 0)+IF(AND($F75=EDATE(AC$63, prazoRepasseVendas), $F75&lt;=EDATE(terminoProjeto, -1)), repassePosCh, 0), 0)</f>
        <v>0</v>
      </c>
      <c r="AD75" s="486">
        <f t="shared" si="42"/>
        <v>0</v>
      </c>
      <c r="AE75" s="486">
        <f t="shared" si="42"/>
        <v>0</v>
      </c>
      <c r="AF75" s="486">
        <f t="shared" si="42"/>
        <v>0</v>
      </c>
      <c r="AG75" s="486">
        <f t="shared" si="42"/>
        <v>0</v>
      </c>
      <c r="AH75" s="486">
        <f t="shared" si="42"/>
        <v>0</v>
      </c>
      <c r="AI75" s="486">
        <f t="shared" si="42"/>
        <v>0</v>
      </c>
      <c r="AJ75" s="486">
        <f t="shared" si="42"/>
        <v>0</v>
      </c>
      <c r="AK75" s="486">
        <f t="shared" si="42"/>
        <v>0</v>
      </c>
      <c r="AL75" s="486">
        <f t="shared" si="42"/>
        <v>0</v>
      </c>
      <c r="AM75" s="486">
        <f t="shared" ref="AM75:AV84" si="43">IF(AND($F75&gt;entrega, AM$63&gt;entrega), IF(AND($F75=AM$63, $F75&lt;EDATE(terminoProjeto, -prazoRepasseVendas)), atoPosCh, 0)+IF(AND($F75&gt;AM$63, $F75&lt;=EDATE(terminoProjeto, -2), $F75&lt;EDATE(AM$63, prazoRepasseVendas), AM$63&lt;EDATE(terminoProjeto, -prazoRepasseVendas)), mensaisPosCh/(prazoRepasseVendas-1), 0)+IF(AND($F75=EDATE(AM$63, prazoRepasseVendas), $F75&lt;=EDATE(terminoProjeto, -1)), repassePosCh, 0), 0)</f>
        <v>0</v>
      </c>
      <c r="AN75" s="486">
        <f t="shared" si="43"/>
        <v>0</v>
      </c>
      <c r="AO75" s="486">
        <f t="shared" si="43"/>
        <v>0</v>
      </c>
      <c r="AP75" s="486">
        <f t="shared" si="43"/>
        <v>0</v>
      </c>
      <c r="AQ75" s="486">
        <f t="shared" si="43"/>
        <v>0</v>
      </c>
      <c r="AR75" s="486">
        <f t="shared" si="43"/>
        <v>0</v>
      </c>
      <c r="AS75" s="486">
        <f t="shared" si="43"/>
        <v>0</v>
      </c>
      <c r="AT75" s="486">
        <f t="shared" si="43"/>
        <v>0</v>
      </c>
      <c r="AU75" s="486">
        <f t="shared" si="43"/>
        <v>0</v>
      </c>
      <c r="AV75" s="486">
        <f t="shared" si="43"/>
        <v>0</v>
      </c>
      <c r="AW75" s="486">
        <f t="shared" ref="AW75:BH84" si="44">IF(AND($F75&gt;entrega, AW$63&gt;entrega), IF(AND($F75=AW$63, $F75&lt;EDATE(terminoProjeto, -prazoRepasseVendas)), atoPosCh, 0)+IF(AND($F75&gt;AW$63, $F75&lt;=EDATE(terminoProjeto, -2), $F75&lt;EDATE(AW$63, prazoRepasseVendas), AW$63&lt;EDATE(terminoProjeto, -prazoRepasseVendas)), mensaisPosCh/(prazoRepasseVendas-1), 0)+IF(AND($F75=EDATE(AW$63, prazoRepasseVendas), $F75&lt;=EDATE(terminoProjeto, -1)), repassePosCh, 0), 0)</f>
        <v>0</v>
      </c>
      <c r="AX75" s="486">
        <f t="shared" si="44"/>
        <v>0</v>
      </c>
      <c r="AY75" s="486">
        <f t="shared" si="44"/>
        <v>0</v>
      </c>
      <c r="AZ75" s="486">
        <f t="shared" si="44"/>
        <v>0</v>
      </c>
      <c r="BA75" s="486">
        <f t="shared" si="44"/>
        <v>0</v>
      </c>
      <c r="BB75" s="486">
        <f t="shared" si="44"/>
        <v>0</v>
      </c>
      <c r="BC75" s="486">
        <f t="shared" si="44"/>
        <v>0</v>
      </c>
      <c r="BD75" s="486">
        <f t="shared" si="44"/>
        <v>0</v>
      </c>
      <c r="BE75" s="486">
        <f t="shared" si="44"/>
        <v>0</v>
      </c>
      <c r="BF75" s="486">
        <f t="shared" si="44"/>
        <v>0</v>
      </c>
      <c r="BG75" s="486">
        <f t="shared" si="44"/>
        <v>0</v>
      </c>
      <c r="BH75" s="487">
        <f t="shared" si="44"/>
        <v>0</v>
      </c>
    </row>
    <row r="76" spans="6:60" x14ac:dyDescent="0.25">
      <c r="F76" s="488">
        <f t="shared" si="39"/>
        <v>44501</v>
      </c>
      <c r="G76" s="312">
        <v>12</v>
      </c>
      <c r="H76" t="str">
        <f t="shared" si="33"/>
        <v/>
      </c>
      <c r="I76" s="486">
        <f t="shared" si="40"/>
        <v>0</v>
      </c>
      <c r="J76" s="486">
        <f t="shared" si="40"/>
        <v>0</v>
      </c>
      <c r="K76" s="486">
        <f t="shared" si="40"/>
        <v>0</v>
      </c>
      <c r="L76" s="486">
        <f t="shared" si="40"/>
        <v>0</v>
      </c>
      <c r="M76" s="486">
        <f t="shared" si="40"/>
        <v>0</v>
      </c>
      <c r="N76" s="486">
        <f t="shared" si="40"/>
        <v>0</v>
      </c>
      <c r="O76" s="486">
        <f t="shared" si="40"/>
        <v>0</v>
      </c>
      <c r="P76" s="486">
        <f t="shared" si="40"/>
        <v>0</v>
      </c>
      <c r="Q76" s="486">
        <f t="shared" si="40"/>
        <v>0</v>
      </c>
      <c r="R76" s="486">
        <f t="shared" si="40"/>
        <v>0</v>
      </c>
      <c r="S76" s="486">
        <f t="shared" si="41"/>
        <v>0</v>
      </c>
      <c r="T76" s="486">
        <f t="shared" si="41"/>
        <v>0</v>
      </c>
      <c r="U76" s="486">
        <f t="shared" si="41"/>
        <v>0</v>
      </c>
      <c r="V76" s="486">
        <f t="shared" si="41"/>
        <v>0</v>
      </c>
      <c r="W76" s="486">
        <f t="shared" si="41"/>
        <v>0</v>
      </c>
      <c r="X76" s="486">
        <f t="shared" si="41"/>
        <v>0</v>
      </c>
      <c r="Y76" s="486">
        <f t="shared" si="41"/>
        <v>0</v>
      </c>
      <c r="Z76" s="486">
        <f t="shared" si="41"/>
        <v>0</v>
      </c>
      <c r="AA76" s="486">
        <f t="shared" si="41"/>
        <v>0</v>
      </c>
      <c r="AB76" s="486">
        <f t="shared" si="41"/>
        <v>0</v>
      </c>
      <c r="AC76" s="486">
        <f t="shared" si="42"/>
        <v>0</v>
      </c>
      <c r="AD76" s="486">
        <f t="shared" si="42"/>
        <v>0</v>
      </c>
      <c r="AE76" s="486">
        <f t="shared" si="42"/>
        <v>0</v>
      </c>
      <c r="AF76" s="486">
        <f t="shared" si="42"/>
        <v>0</v>
      </c>
      <c r="AG76" s="486">
        <f t="shared" si="42"/>
        <v>0</v>
      </c>
      <c r="AH76" s="486">
        <f t="shared" si="42"/>
        <v>0</v>
      </c>
      <c r="AI76" s="486">
        <f t="shared" si="42"/>
        <v>0</v>
      </c>
      <c r="AJ76" s="486">
        <f t="shared" si="42"/>
        <v>0</v>
      </c>
      <c r="AK76" s="486">
        <f t="shared" si="42"/>
        <v>0</v>
      </c>
      <c r="AL76" s="486">
        <f t="shared" si="42"/>
        <v>0</v>
      </c>
      <c r="AM76" s="486">
        <f t="shared" si="43"/>
        <v>0</v>
      </c>
      <c r="AN76" s="486">
        <f t="shared" si="43"/>
        <v>0</v>
      </c>
      <c r="AO76" s="486">
        <f t="shared" si="43"/>
        <v>0</v>
      </c>
      <c r="AP76" s="486">
        <f t="shared" si="43"/>
        <v>0</v>
      </c>
      <c r="AQ76" s="486">
        <f t="shared" si="43"/>
        <v>0</v>
      </c>
      <c r="AR76" s="486">
        <f t="shared" si="43"/>
        <v>0</v>
      </c>
      <c r="AS76" s="486">
        <f t="shared" si="43"/>
        <v>0</v>
      </c>
      <c r="AT76" s="486">
        <f t="shared" si="43"/>
        <v>0</v>
      </c>
      <c r="AU76" s="486">
        <f t="shared" si="43"/>
        <v>0</v>
      </c>
      <c r="AV76" s="486">
        <f t="shared" si="43"/>
        <v>0</v>
      </c>
      <c r="AW76" s="486">
        <f t="shared" si="44"/>
        <v>0</v>
      </c>
      <c r="AX76" s="486">
        <f t="shared" si="44"/>
        <v>0</v>
      </c>
      <c r="AY76" s="486">
        <f t="shared" si="44"/>
        <v>0</v>
      </c>
      <c r="AZ76" s="486">
        <f t="shared" si="44"/>
        <v>0</v>
      </c>
      <c r="BA76" s="486">
        <f t="shared" si="44"/>
        <v>0</v>
      </c>
      <c r="BB76" s="486">
        <f t="shared" si="44"/>
        <v>0</v>
      </c>
      <c r="BC76" s="486">
        <f t="shared" si="44"/>
        <v>0</v>
      </c>
      <c r="BD76" s="486">
        <f t="shared" si="44"/>
        <v>0</v>
      </c>
      <c r="BE76" s="486">
        <f t="shared" si="44"/>
        <v>0</v>
      </c>
      <c r="BF76" s="486">
        <f t="shared" si="44"/>
        <v>0</v>
      </c>
      <c r="BG76" s="486">
        <f t="shared" si="44"/>
        <v>0</v>
      </c>
      <c r="BH76" s="487">
        <f t="shared" si="44"/>
        <v>0</v>
      </c>
    </row>
    <row r="77" spans="6:60" x14ac:dyDescent="0.25">
      <c r="F77" s="488">
        <f t="shared" si="39"/>
        <v>44531</v>
      </c>
      <c r="G77" s="312">
        <v>13</v>
      </c>
      <c r="H77" t="str">
        <f t="shared" si="33"/>
        <v/>
      </c>
      <c r="I77" s="486">
        <f t="shared" si="40"/>
        <v>0</v>
      </c>
      <c r="J77" s="486">
        <f t="shared" si="40"/>
        <v>0</v>
      </c>
      <c r="K77" s="486">
        <f t="shared" si="40"/>
        <v>0</v>
      </c>
      <c r="L77" s="486">
        <f t="shared" si="40"/>
        <v>0</v>
      </c>
      <c r="M77" s="486">
        <f t="shared" si="40"/>
        <v>0</v>
      </c>
      <c r="N77" s="486">
        <f t="shared" si="40"/>
        <v>0</v>
      </c>
      <c r="O77" s="486">
        <f t="shared" si="40"/>
        <v>0</v>
      </c>
      <c r="P77" s="486">
        <f t="shared" si="40"/>
        <v>0</v>
      </c>
      <c r="Q77" s="486">
        <f t="shared" si="40"/>
        <v>0</v>
      </c>
      <c r="R77" s="486">
        <f t="shared" si="40"/>
        <v>0</v>
      </c>
      <c r="S77" s="486">
        <f t="shared" si="41"/>
        <v>0</v>
      </c>
      <c r="T77" s="486">
        <f t="shared" si="41"/>
        <v>0</v>
      </c>
      <c r="U77" s="486">
        <f t="shared" si="41"/>
        <v>0</v>
      </c>
      <c r="V77" s="486">
        <f t="shared" si="41"/>
        <v>0</v>
      </c>
      <c r="W77" s="486">
        <f t="shared" si="41"/>
        <v>0</v>
      </c>
      <c r="X77" s="486">
        <f t="shared" si="41"/>
        <v>0</v>
      </c>
      <c r="Y77" s="486">
        <f t="shared" si="41"/>
        <v>0</v>
      </c>
      <c r="Z77" s="486">
        <f t="shared" si="41"/>
        <v>0</v>
      </c>
      <c r="AA77" s="486">
        <f t="shared" si="41"/>
        <v>0</v>
      </c>
      <c r="AB77" s="486">
        <f t="shared" si="41"/>
        <v>0</v>
      </c>
      <c r="AC77" s="486">
        <f t="shared" si="42"/>
        <v>0</v>
      </c>
      <c r="AD77" s="486">
        <f t="shared" si="42"/>
        <v>0</v>
      </c>
      <c r="AE77" s="486">
        <f t="shared" si="42"/>
        <v>0</v>
      </c>
      <c r="AF77" s="486">
        <f t="shared" si="42"/>
        <v>0</v>
      </c>
      <c r="AG77" s="486">
        <f t="shared" si="42"/>
        <v>0</v>
      </c>
      <c r="AH77" s="486">
        <f t="shared" si="42"/>
        <v>0</v>
      </c>
      <c r="AI77" s="486">
        <f t="shared" si="42"/>
        <v>0</v>
      </c>
      <c r="AJ77" s="486">
        <f t="shared" si="42"/>
        <v>0</v>
      </c>
      <c r="AK77" s="486">
        <f t="shared" si="42"/>
        <v>0</v>
      </c>
      <c r="AL77" s="486">
        <f t="shared" si="42"/>
        <v>0</v>
      </c>
      <c r="AM77" s="486">
        <f t="shared" si="43"/>
        <v>0</v>
      </c>
      <c r="AN77" s="486">
        <f t="shared" si="43"/>
        <v>0</v>
      </c>
      <c r="AO77" s="486">
        <f t="shared" si="43"/>
        <v>0</v>
      </c>
      <c r="AP77" s="486">
        <f t="shared" si="43"/>
        <v>0</v>
      </c>
      <c r="AQ77" s="486">
        <f t="shared" si="43"/>
        <v>0</v>
      </c>
      <c r="AR77" s="486">
        <f t="shared" si="43"/>
        <v>0</v>
      </c>
      <c r="AS77" s="486">
        <f t="shared" si="43"/>
        <v>0</v>
      </c>
      <c r="AT77" s="486">
        <f t="shared" si="43"/>
        <v>0</v>
      </c>
      <c r="AU77" s="486">
        <f t="shared" si="43"/>
        <v>0</v>
      </c>
      <c r="AV77" s="486">
        <f t="shared" si="43"/>
        <v>0</v>
      </c>
      <c r="AW77" s="486">
        <f t="shared" si="44"/>
        <v>0</v>
      </c>
      <c r="AX77" s="486">
        <f t="shared" si="44"/>
        <v>0</v>
      </c>
      <c r="AY77" s="486">
        <f t="shared" si="44"/>
        <v>0</v>
      </c>
      <c r="AZ77" s="486">
        <f t="shared" si="44"/>
        <v>0</v>
      </c>
      <c r="BA77" s="486">
        <f t="shared" si="44"/>
        <v>0</v>
      </c>
      <c r="BB77" s="486">
        <f t="shared" si="44"/>
        <v>0</v>
      </c>
      <c r="BC77" s="486">
        <f t="shared" si="44"/>
        <v>0</v>
      </c>
      <c r="BD77" s="486">
        <f t="shared" si="44"/>
        <v>0</v>
      </c>
      <c r="BE77" s="486">
        <f t="shared" si="44"/>
        <v>0</v>
      </c>
      <c r="BF77" s="486">
        <f t="shared" si="44"/>
        <v>0</v>
      </c>
      <c r="BG77" s="486">
        <f t="shared" si="44"/>
        <v>0</v>
      </c>
      <c r="BH77" s="487">
        <f t="shared" si="44"/>
        <v>0</v>
      </c>
    </row>
    <row r="78" spans="6:60" x14ac:dyDescent="0.25">
      <c r="F78" s="488">
        <f t="shared" si="39"/>
        <v>44562</v>
      </c>
      <c r="G78" s="312">
        <v>14</v>
      </c>
      <c r="H78" t="str">
        <f t="shared" si="33"/>
        <v/>
      </c>
      <c r="I78" s="486">
        <f t="shared" si="40"/>
        <v>0</v>
      </c>
      <c r="J78" s="486">
        <f t="shared" si="40"/>
        <v>0</v>
      </c>
      <c r="K78" s="486">
        <f t="shared" si="40"/>
        <v>0</v>
      </c>
      <c r="L78" s="486">
        <f t="shared" si="40"/>
        <v>0</v>
      </c>
      <c r="M78" s="486">
        <f t="shared" si="40"/>
        <v>0</v>
      </c>
      <c r="N78" s="486">
        <f t="shared" si="40"/>
        <v>0</v>
      </c>
      <c r="O78" s="486">
        <f t="shared" si="40"/>
        <v>0</v>
      </c>
      <c r="P78" s="486">
        <f t="shared" si="40"/>
        <v>0</v>
      </c>
      <c r="Q78" s="486">
        <f t="shared" si="40"/>
        <v>0</v>
      </c>
      <c r="R78" s="486">
        <f t="shared" si="40"/>
        <v>0</v>
      </c>
      <c r="S78" s="486">
        <f t="shared" si="41"/>
        <v>0</v>
      </c>
      <c r="T78" s="486">
        <f t="shared" si="41"/>
        <v>0</v>
      </c>
      <c r="U78" s="486">
        <f t="shared" si="41"/>
        <v>0</v>
      </c>
      <c r="V78" s="486">
        <f t="shared" si="41"/>
        <v>0</v>
      </c>
      <c r="W78" s="486">
        <f t="shared" si="41"/>
        <v>0</v>
      </c>
      <c r="X78" s="486">
        <f t="shared" si="41"/>
        <v>0</v>
      </c>
      <c r="Y78" s="486">
        <f t="shared" si="41"/>
        <v>0</v>
      </c>
      <c r="Z78" s="486">
        <f t="shared" si="41"/>
        <v>0</v>
      </c>
      <c r="AA78" s="486">
        <f t="shared" si="41"/>
        <v>0</v>
      </c>
      <c r="AB78" s="486">
        <f t="shared" si="41"/>
        <v>0</v>
      </c>
      <c r="AC78" s="486">
        <f t="shared" si="42"/>
        <v>0</v>
      </c>
      <c r="AD78" s="486">
        <f t="shared" si="42"/>
        <v>0</v>
      </c>
      <c r="AE78" s="486">
        <f t="shared" si="42"/>
        <v>0</v>
      </c>
      <c r="AF78" s="486">
        <f t="shared" si="42"/>
        <v>0</v>
      </c>
      <c r="AG78" s="486">
        <f t="shared" si="42"/>
        <v>0</v>
      </c>
      <c r="AH78" s="486">
        <f t="shared" si="42"/>
        <v>0</v>
      </c>
      <c r="AI78" s="486">
        <f t="shared" si="42"/>
        <v>0</v>
      </c>
      <c r="AJ78" s="486">
        <f t="shared" si="42"/>
        <v>0</v>
      </c>
      <c r="AK78" s="486">
        <f t="shared" si="42"/>
        <v>0</v>
      </c>
      <c r="AL78" s="486">
        <f t="shared" si="42"/>
        <v>0</v>
      </c>
      <c r="AM78" s="486">
        <f t="shared" si="43"/>
        <v>0</v>
      </c>
      <c r="AN78" s="486">
        <f t="shared" si="43"/>
        <v>0</v>
      </c>
      <c r="AO78" s="486">
        <f t="shared" si="43"/>
        <v>0</v>
      </c>
      <c r="AP78" s="486">
        <f t="shared" si="43"/>
        <v>0</v>
      </c>
      <c r="AQ78" s="486">
        <f t="shared" si="43"/>
        <v>0</v>
      </c>
      <c r="AR78" s="486">
        <f t="shared" si="43"/>
        <v>0</v>
      </c>
      <c r="AS78" s="486">
        <f t="shared" si="43"/>
        <v>0</v>
      </c>
      <c r="AT78" s="486">
        <f t="shared" si="43"/>
        <v>0</v>
      </c>
      <c r="AU78" s="486">
        <f t="shared" si="43"/>
        <v>0</v>
      </c>
      <c r="AV78" s="486">
        <f t="shared" si="43"/>
        <v>0</v>
      </c>
      <c r="AW78" s="486">
        <f t="shared" si="44"/>
        <v>0</v>
      </c>
      <c r="AX78" s="486">
        <f t="shared" si="44"/>
        <v>0</v>
      </c>
      <c r="AY78" s="486">
        <f t="shared" si="44"/>
        <v>0</v>
      </c>
      <c r="AZ78" s="486">
        <f t="shared" si="44"/>
        <v>0</v>
      </c>
      <c r="BA78" s="486">
        <f t="shared" si="44"/>
        <v>0</v>
      </c>
      <c r="BB78" s="486">
        <f t="shared" si="44"/>
        <v>0</v>
      </c>
      <c r="BC78" s="486">
        <f t="shared" si="44"/>
        <v>0</v>
      </c>
      <c r="BD78" s="486">
        <f t="shared" si="44"/>
        <v>0</v>
      </c>
      <c r="BE78" s="486">
        <f t="shared" si="44"/>
        <v>0</v>
      </c>
      <c r="BF78" s="486">
        <f t="shared" si="44"/>
        <v>0</v>
      </c>
      <c r="BG78" s="486">
        <f t="shared" si="44"/>
        <v>0</v>
      </c>
      <c r="BH78" s="487">
        <f t="shared" si="44"/>
        <v>0</v>
      </c>
    </row>
    <row r="79" spans="6:60" x14ac:dyDescent="0.25">
      <c r="F79" s="488">
        <f t="shared" si="39"/>
        <v>44593</v>
      </c>
      <c r="G79" s="312">
        <v>15</v>
      </c>
      <c r="H79" t="str">
        <f t="shared" si="33"/>
        <v/>
      </c>
      <c r="I79" s="486">
        <f t="shared" si="40"/>
        <v>0</v>
      </c>
      <c r="J79" s="486">
        <f t="shared" si="40"/>
        <v>0</v>
      </c>
      <c r="K79" s="486">
        <f t="shared" si="40"/>
        <v>0</v>
      </c>
      <c r="L79" s="486">
        <f t="shared" si="40"/>
        <v>0</v>
      </c>
      <c r="M79" s="486">
        <f t="shared" si="40"/>
        <v>0</v>
      </c>
      <c r="N79" s="486">
        <f t="shared" si="40"/>
        <v>0</v>
      </c>
      <c r="O79" s="486">
        <f t="shared" si="40"/>
        <v>0</v>
      </c>
      <c r="P79" s="486">
        <f t="shared" si="40"/>
        <v>0</v>
      </c>
      <c r="Q79" s="486">
        <f t="shared" si="40"/>
        <v>0</v>
      </c>
      <c r="R79" s="486">
        <f t="shared" si="40"/>
        <v>0</v>
      </c>
      <c r="S79" s="486">
        <f t="shared" si="41"/>
        <v>0</v>
      </c>
      <c r="T79" s="486">
        <f t="shared" si="41"/>
        <v>0</v>
      </c>
      <c r="U79" s="486">
        <f t="shared" si="41"/>
        <v>0</v>
      </c>
      <c r="V79" s="486">
        <f t="shared" si="41"/>
        <v>0</v>
      </c>
      <c r="W79" s="486">
        <f t="shared" si="41"/>
        <v>0</v>
      </c>
      <c r="X79" s="486">
        <f t="shared" si="41"/>
        <v>0</v>
      </c>
      <c r="Y79" s="486">
        <f t="shared" si="41"/>
        <v>0</v>
      </c>
      <c r="Z79" s="486">
        <f t="shared" si="41"/>
        <v>0</v>
      </c>
      <c r="AA79" s="486">
        <f t="shared" si="41"/>
        <v>0</v>
      </c>
      <c r="AB79" s="486">
        <f t="shared" si="41"/>
        <v>0</v>
      </c>
      <c r="AC79" s="486">
        <f t="shared" si="42"/>
        <v>0</v>
      </c>
      <c r="AD79" s="486">
        <f t="shared" si="42"/>
        <v>0</v>
      </c>
      <c r="AE79" s="486">
        <f t="shared" si="42"/>
        <v>0</v>
      </c>
      <c r="AF79" s="486">
        <f t="shared" si="42"/>
        <v>0</v>
      </c>
      <c r="AG79" s="486">
        <f t="shared" si="42"/>
        <v>0</v>
      </c>
      <c r="AH79" s="486">
        <f t="shared" si="42"/>
        <v>0</v>
      </c>
      <c r="AI79" s="486">
        <f t="shared" si="42"/>
        <v>0</v>
      </c>
      <c r="AJ79" s="486">
        <f t="shared" si="42"/>
        <v>0</v>
      </c>
      <c r="AK79" s="486">
        <f t="shared" si="42"/>
        <v>0</v>
      </c>
      <c r="AL79" s="486">
        <f t="shared" si="42"/>
        <v>0</v>
      </c>
      <c r="AM79" s="486">
        <f t="shared" si="43"/>
        <v>0</v>
      </c>
      <c r="AN79" s="486">
        <f t="shared" si="43"/>
        <v>0</v>
      </c>
      <c r="AO79" s="486">
        <f t="shared" si="43"/>
        <v>0</v>
      </c>
      <c r="AP79" s="486">
        <f t="shared" si="43"/>
        <v>0</v>
      </c>
      <c r="AQ79" s="486">
        <f t="shared" si="43"/>
        <v>0</v>
      </c>
      <c r="AR79" s="486">
        <f t="shared" si="43"/>
        <v>0</v>
      </c>
      <c r="AS79" s="486">
        <f t="shared" si="43"/>
        <v>0</v>
      </c>
      <c r="AT79" s="486">
        <f t="shared" si="43"/>
        <v>0</v>
      </c>
      <c r="AU79" s="486">
        <f t="shared" si="43"/>
        <v>0</v>
      </c>
      <c r="AV79" s="486">
        <f t="shared" si="43"/>
        <v>0</v>
      </c>
      <c r="AW79" s="486">
        <f t="shared" si="44"/>
        <v>0</v>
      </c>
      <c r="AX79" s="486">
        <f t="shared" si="44"/>
        <v>0</v>
      </c>
      <c r="AY79" s="486">
        <f t="shared" si="44"/>
        <v>0</v>
      </c>
      <c r="AZ79" s="486">
        <f t="shared" si="44"/>
        <v>0</v>
      </c>
      <c r="BA79" s="486">
        <f t="shared" si="44"/>
        <v>0</v>
      </c>
      <c r="BB79" s="486">
        <f t="shared" si="44"/>
        <v>0</v>
      </c>
      <c r="BC79" s="486">
        <f t="shared" si="44"/>
        <v>0</v>
      </c>
      <c r="BD79" s="486">
        <f t="shared" si="44"/>
        <v>0</v>
      </c>
      <c r="BE79" s="486">
        <f t="shared" si="44"/>
        <v>0</v>
      </c>
      <c r="BF79" s="486">
        <f t="shared" si="44"/>
        <v>0</v>
      </c>
      <c r="BG79" s="486">
        <f t="shared" si="44"/>
        <v>0</v>
      </c>
      <c r="BH79" s="487">
        <f t="shared" si="44"/>
        <v>0</v>
      </c>
    </row>
    <row r="80" spans="6:60" x14ac:dyDescent="0.25">
      <c r="F80" s="488">
        <f t="shared" si="39"/>
        <v>44621</v>
      </c>
      <c r="G80" s="312">
        <v>16</v>
      </c>
      <c r="H80" t="str">
        <f t="shared" si="33"/>
        <v/>
      </c>
      <c r="I80" s="486">
        <f t="shared" si="40"/>
        <v>0</v>
      </c>
      <c r="J80" s="486">
        <f t="shared" si="40"/>
        <v>0</v>
      </c>
      <c r="K80" s="486">
        <f t="shared" si="40"/>
        <v>0</v>
      </c>
      <c r="L80" s="486">
        <f t="shared" si="40"/>
        <v>0</v>
      </c>
      <c r="M80" s="486">
        <f t="shared" si="40"/>
        <v>0</v>
      </c>
      <c r="N80" s="486">
        <f t="shared" si="40"/>
        <v>0</v>
      </c>
      <c r="O80" s="486">
        <f t="shared" si="40"/>
        <v>0</v>
      </c>
      <c r="P80" s="486">
        <f t="shared" si="40"/>
        <v>0</v>
      </c>
      <c r="Q80" s="486">
        <f t="shared" si="40"/>
        <v>0</v>
      </c>
      <c r="R80" s="486">
        <f t="shared" si="40"/>
        <v>0</v>
      </c>
      <c r="S80" s="486">
        <f t="shared" si="41"/>
        <v>0</v>
      </c>
      <c r="T80" s="486">
        <f t="shared" si="41"/>
        <v>0</v>
      </c>
      <c r="U80" s="486">
        <f t="shared" si="41"/>
        <v>0</v>
      </c>
      <c r="V80" s="486">
        <f t="shared" si="41"/>
        <v>0</v>
      </c>
      <c r="W80" s="486">
        <f t="shared" si="41"/>
        <v>0</v>
      </c>
      <c r="X80" s="486">
        <f t="shared" si="41"/>
        <v>0</v>
      </c>
      <c r="Y80" s="486">
        <f t="shared" si="41"/>
        <v>0</v>
      </c>
      <c r="Z80" s="486">
        <f t="shared" si="41"/>
        <v>0</v>
      </c>
      <c r="AA80" s="486">
        <f t="shared" si="41"/>
        <v>0</v>
      </c>
      <c r="AB80" s="486">
        <f t="shared" si="41"/>
        <v>0</v>
      </c>
      <c r="AC80" s="486">
        <f t="shared" si="42"/>
        <v>0</v>
      </c>
      <c r="AD80" s="486">
        <f t="shared" si="42"/>
        <v>0</v>
      </c>
      <c r="AE80" s="486">
        <f t="shared" si="42"/>
        <v>0</v>
      </c>
      <c r="AF80" s="486">
        <f t="shared" si="42"/>
        <v>0</v>
      </c>
      <c r="AG80" s="486">
        <f t="shared" si="42"/>
        <v>0</v>
      </c>
      <c r="AH80" s="486">
        <f t="shared" si="42"/>
        <v>0</v>
      </c>
      <c r="AI80" s="486">
        <f t="shared" si="42"/>
        <v>0</v>
      </c>
      <c r="AJ80" s="486">
        <f t="shared" si="42"/>
        <v>0</v>
      </c>
      <c r="AK80" s="486">
        <f t="shared" si="42"/>
        <v>0</v>
      </c>
      <c r="AL80" s="486">
        <f t="shared" si="42"/>
        <v>0</v>
      </c>
      <c r="AM80" s="486">
        <f t="shared" si="43"/>
        <v>0</v>
      </c>
      <c r="AN80" s="486">
        <f t="shared" si="43"/>
        <v>0</v>
      </c>
      <c r="AO80" s="486">
        <f t="shared" si="43"/>
        <v>0</v>
      </c>
      <c r="AP80" s="486">
        <f t="shared" si="43"/>
        <v>0</v>
      </c>
      <c r="AQ80" s="486">
        <f t="shared" si="43"/>
        <v>0</v>
      </c>
      <c r="AR80" s="486">
        <f t="shared" si="43"/>
        <v>0</v>
      </c>
      <c r="AS80" s="486">
        <f t="shared" si="43"/>
        <v>0</v>
      </c>
      <c r="AT80" s="486">
        <f t="shared" si="43"/>
        <v>0</v>
      </c>
      <c r="AU80" s="486">
        <f t="shared" si="43"/>
        <v>0</v>
      </c>
      <c r="AV80" s="486">
        <f t="shared" si="43"/>
        <v>0</v>
      </c>
      <c r="AW80" s="486">
        <f t="shared" si="44"/>
        <v>0</v>
      </c>
      <c r="AX80" s="486">
        <f t="shared" si="44"/>
        <v>0</v>
      </c>
      <c r="AY80" s="486">
        <f t="shared" si="44"/>
        <v>0</v>
      </c>
      <c r="AZ80" s="486">
        <f t="shared" si="44"/>
        <v>0</v>
      </c>
      <c r="BA80" s="486">
        <f t="shared" si="44"/>
        <v>0</v>
      </c>
      <c r="BB80" s="486">
        <f t="shared" si="44"/>
        <v>0</v>
      </c>
      <c r="BC80" s="486">
        <f t="shared" si="44"/>
        <v>0</v>
      </c>
      <c r="BD80" s="486">
        <f t="shared" si="44"/>
        <v>0</v>
      </c>
      <c r="BE80" s="486">
        <f t="shared" si="44"/>
        <v>0</v>
      </c>
      <c r="BF80" s="486">
        <f t="shared" si="44"/>
        <v>0</v>
      </c>
      <c r="BG80" s="486">
        <f t="shared" si="44"/>
        <v>0</v>
      </c>
      <c r="BH80" s="487">
        <f t="shared" si="44"/>
        <v>0</v>
      </c>
    </row>
    <row r="81" spans="6:60" x14ac:dyDescent="0.25">
      <c r="F81" s="488">
        <f t="shared" si="39"/>
        <v>44652</v>
      </c>
      <c r="G81" s="312">
        <v>17</v>
      </c>
      <c r="H81" t="str">
        <f t="shared" si="33"/>
        <v/>
      </c>
      <c r="I81" s="486">
        <f t="shared" si="40"/>
        <v>0</v>
      </c>
      <c r="J81" s="486">
        <f t="shared" si="40"/>
        <v>0</v>
      </c>
      <c r="K81" s="486">
        <f t="shared" si="40"/>
        <v>0</v>
      </c>
      <c r="L81" s="486">
        <f t="shared" si="40"/>
        <v>0</v>
      </c>
      <c r="M81" s="486">
        <f t="shared" si="40"/>
        <v>0</v>
      </c>
      <c r="N81" s="486">
        <f t="shared" si="40"/>
        <v>0</v>
      </c>
      <c r="O81" s="486">
        <f t="shared" si="40"/>
        <v>0</v>
      </c>
      <c r="P81" s="486">
        <f t="shared" si="40"/>
        <v>0</v>
      </c>
      <c r="Q81" s="486">
        <f t="shared" si="40"/>
        <v>0</v>
      </c>
      <c r="R81" s="486">
        <f t="shared" si="40"/>
        <v>0</v>
      </c>
      <c r="S81" s="486">
        <f t="shared" si="41"/>
        <v>0</v>
      </c>
      <c r="T81" s="486">
        <f t="shared" si="41"/>
        <v>0</v>
      </c>
      <c r="U81" s="486">
        <f t="shared" si="41"/>
        <v>0</v>
      </c>
      <c r="V81" s="486">
        <f t="shared" si="41"/>
        <v>0</v>
      </c>
      <c r="W81" s="486">
        <f t="shared" si="41"/>
        <v>0</v>
      </c>
      <c r="X81" s="486">
        <f t="shared" si="41"/>
        <v>0</v>
      </c>
      <c r="Y81" s="486">
        <f t="shared" si="41"/>
        <v>0</v>
      </c>
      <c r="Z81" s="486">
        <f t="shared" si="41"/>
        <v>0</v>
      </c>
      <c r="AA81" s="486">
        <f t="shared" si="41"/>
        <v>0</v>
      </c>
      <c r="AB81" s="486">
        <f t="shared" si="41"/>
        <v>0</v>
      </c>
      <c r="AC81" s="486">
        <f t="shared" si="42"/>
        <v>0</v>
      </c>
      <c r="AD81" s="486">
        <f t="shared" si="42"/>
        <v>0</v>
      </c>
      <c r="AE81" s="486">
        <f t="shared" si="42"/>
        <v>0</v>
      </c>
      <c r="AF81" s="486">
        <f t="shared" si="42"/>
        <v>0</v>
      </c>
      <c r="AG81" s="486">
        <f t="shared" si="42"/>
        <v>0</v>
      </c>
      <c r="AH81" s="486">
        <f t="shared" si="42"/>
        <v>0</v>
      </c>
      <c r="AI81" s="486">
        <f t="shared" si="42"/>
        <v>0</v>
      </c>
      <c r="AJ81" s="486">
        <f t="shared" si="42"/>
        <v>0</v>
      </c>
      <c r="AK81" s="486">
        <f t="shared" si="42"/>
        <v>0</v>
      </c>
      <c r="AL81" s="486">
        <f t="shared" si="42"/>
        <v>0</v>
      </c>
      <c r="AM81" s="486">
        <f t="shared" si="43"/>
        <v>0</v>
      </c>
      <c r="AN81" s="486">
        <f t="shared" si="43"/>
        <v>0</v>
      </c>
      <c r="AO81" s="486">
        <f t="shared" si="43"/>
        <v>0</v>
      </c>
      <c r="AP81" s="486">
        <f t="shared" si="43"/>
        <v>0</v>
      </c>
      <c r="AQ81" s="486">
        <f t="shared" si="43"/>
        <v>0</v>
      </c>
      <c r="AR81" s="486">
        <f t="shared" si="43"/>
        <v>0</v>
      </c>
      <c r="AS81" s="486">
        <f t="shared" si="43"/>
        <v>0</v>
      </c>
      <c r="AT81" s="486">
        <f t="shared" si="43"/>
        <v>0</v>
      </c>
      <c r="AU81" s="486">
        <f t="shared" si="43"/>
        <v>0</v>
      </c>
      <c r="AV81" s="486">
        <f t="shared" si="43"/>
        <v>0</v>
      </c>
      <c r="AW81" s="486">
        <f t="shared" si="44"/>
        <v>0</v>
      </c>
      <c r="AX81" s="486">
        <f t="shared" si="44"/>
        <v>0</v>
      </c>
      <c r="AY81" s="486">
        <f t="shared" si="44"/>
        <v>0</v>
      </c>
      <c r="AZ81" s="486">
        <f t="shared" si="44"/>
        <v>0</v>
      </c>
      <c r="BA81" s="486">
        <f t="shared" si="44"/>
        <v>0</v>
      </c>
      <c r="BB81" s="486">
        <f t="shared" si="44"/>
        <v>0</v>
      </c>
      <c r="BC81" s="486">
        <f t="shared" si="44"/>
        <v>0</v>
      </c>
      <c r="BD81" s="486">
        <f t="shared" si="44"/>
        <v>0</v>
      </c>
      <c r="BE81" s="486">
        <f t="shared" si="44"/>
        <v>0</v>
      </c>
      <c r="BF81" s="486">
        <f t="shared" si="44"/>
        <v>0</v>
      </c>
      <c r="BG81" s="486">
        <f t="shared" si="44"/>
        <v>0</v>
      </c>
      <c r="BH81" s="487">
        <f t="shared" si="44"/>
        <v>0</v>
      </c>
    </row>
    <row r="82" spans="6:60" x14ac:dyDescent="0.25">
      <c r="F82" s="488">
        <f t="shared" si="39"/>
        <v>44682</v>
      </c>
      <c r="G82" s="312">
        <v>18</v>
      </c>
      <c r="H82" t="str">
        <f t="shared" si="33"/>
        <v/>
      </c>
      <c r="I82" s="486">
        <f t="shared" si="40"/>
        <v>0</v>
      </c>
      <c r="J82" s="486">
        <f t="shared" si="40"/>
        <v>0</v>
      </c>
      <c r="K82" s="486">
        <f t="shared" si="40"/>
        <v>0</v>
      </c>
      <c r="L82" s="486">
        <f t="shared" si="40"/>
        <v>0</v>
      </c>
      <c r="M82" s="486">
        <f t="shared" si="40"/>
        <v>0</v>
      </c>
      <c r="N82" s="486">
        <f t="shared" si="40"/>
        <v>0</v>
      </c>
      <c r="O82" s="486">
        <f t="shared" si="40"/>
        <v>0</v>
      </c>
      <c r="P82" s="486">
        <f t="shared" si="40"/>
        <v>0</v>
      </c>
      <c r="Q82" s="486">
        <f t="shared" si="40"/>
        <v>0</v>
      </c>
      <c r="R82" s="486">
        <f t="shared" si="40"/>
        <v>0</v>
      </c>
      <c r="S82" s="486">
        <f t="shared" si="41"/>
        <v>0</v>
      </c>
      <c r="T82" s="486">
        <f t="shared" si="41"/>
        <v>0</v>
      </c>
      <c r="U82" s="486">
        <f t="shared" si="41"/>
        <v>0</v>
      </c>
      <c r="V82" s="486">
        <f t="shared" si="41"/>
        <v>0</v>
      </c>
      <c r="W82" s="486">
        <f t="shared" si="41"/>
        <v>0</v>
      </c>
      <c r="X82" s="486">
        <f t="shared" si="41"/>
        <v>0</v>
      </c>
      <c r="Y82" s="486">
        <f t="shared" si="41"/>
        <v>0</v>
      </c>
      <c r="Z82" s="486">
        <f t="shared" si="41"/>
        <v>0</v>
      </c>
      <c r="AA82" s="486">
        <f t="shared" si="41"/>
        <v>0</v>
      </c>
      <c r="AB82" s="486">
        <f t="shared" si="41"/>
        <v>0</v>
      </c>
      <c r="AC82" s="486">
        <f t="shared" si="42"/>
        <v>0</v>
      </c>
      <c r="AD82" s="486">
        <f t="shared" si="42"/>
        <v>0</v>
      </c>
      <c r="AE82" s="486">
        <f t="shared" si="42"/>
        <v>0</v>
      </c>
      <c r="AF82" s="486">
        <f t="shared" si="42"/>
        <v>0</v>
      </c>
      <c r="AG82" s="486">
        <f t="shared" si="42"/>
        <v>0</v>
      </c>
      <c r="AH82" s="486">
        <f t="shared" si="42"/>
        <v>0</v>
      </c>
      <c r="AI82" s="486">
        <f t="shared" si="42"/>
        <v>0</v>
      </c>
      <c r="AJ82" s="486">
        <f t="shared" si="42"/>
        <v>0</v>
      </c>
      <c r="AK82" s="486">
        <f t="shared" si="42"/>
        <v>0</v>
      </c>
      <c r="AL82" s="486">
        <f t="shared" si="42"/>
        <v>0</v>
      </c>
      <c r="AM82" s="486">
        <f t="shared" si="43"/>
        <v>0</v>
      </c>
      <c r="AN82" s="486">
        <f t="shared" si="43"/>
        <v>0</v>
      </c>
      <c r="AO82" s="486">
        <f t="shared" si="43"/>
        <v>0</v>
      </c>
      <c r="AP82" s="486">
        <f t="shared" si="43"/>
        <v>0</v>
      </c>
      <c r="AQ82" s="486">
        <f t="shared" si="43"/>
        <v>0</v>
      </c>
      <c r="AR82" s="486">
        <f t="shared" si="43"/>
        <v>0</v>
      </c>
      <c r="AS82" s="486">
        <f t="shared" si="43"/>
        <v>0</v>
      </c>
      <c r="AT82" s="486">
        <f t="shared" si="43"/>
        <v>0</v>
      </c>
      <c r="AU82" s="486">
        <f t="shared" si="43"/>
        <v>0</v>
      </c>
      <c r="AV82" s="486">
        <f t="shared" si="43"/>
        <v>0</v>
      </c>
      <c r="AW82" s="486">
        <f t="shared" si="44"/>
        <v>0</v>
      </c>
      <c r="AX82" s="486">
        <f t="shared" si="44"/>
        <v>0</v>
      </c>
      <c r="AY82" s="486">
        <f t="shared" si="44"/>
        <v>0</v>
      </c>
      <c r="AZ82" s="486">
        <f t="shared" si="44"/>
        <v>0</v>
      </c>
      <c r="BA82" s="486">
        <f t="shared" si="44"/>
        <v>0</v>
      </c>
      <c r="BB82" s="486">
        <f t="shared" si="44"/>
        <v>0</v>
      </c>
      <c r="BC82" s="486">
        <f t="shared" si="44"/>
        <v>0</v>
      </c>
      <c r="BD82" s="486">
        <f t="shared" si="44"/>
        <v>0</v>
      </c>
      <c r="BE82" s="486">
        <f t="shared" si="44"/>
        <v>0</v>
      </c>
      <c r="BF82" s="486">
        <f t="shared" si="44"/>
        <v>0</v>
      </c>
      <c r="BG82" s="486">
        <f t="shared" si="44"/>
        <v>0</v>
      </c>
      <c r="BH82" s="487">
        <f t="shared" si="44"/>
        <v>0</v>
      </c>
    </row>
    <row r="83" spans="6:60" x14ac:dyDescent="0.25">
      <c r="F83" s="488">
        <f t="shared" si="39"/>
        <v>44713</v>
      </c>
      <c r="G83" s="312">
        <v>19</v>
      </c>
      <c r="H83" t="str">
        <f t="shared" si="33"/>
        <v/>
      </c>
      <c r="I83" s="486">
        <f t="shared" si="40"/>
        <v>0</v>
      </c>
      <c r="J83" s="486">
        <f t="shared" si="40"/>
        <v>0</v>
      </c>
      <c r="K83" s="486">
        <f t="shared" si="40"/>
        <v>0</v>
      </c>
      <c r="L83" s="486">
        <f t="shared" si="40"/>
        <v>0</v>
      </c>
      <c r="M83" s="486">
        <f t="shared" si="40"/>
        <v>0</v>
      </c>
      <c r="N83" s="486">
        <f t="shared" si="40"/>
        <v>0</v>
      </c>
      <c r="O83" s="486">
        <f t="shared" si="40"/>
        <v>0</v>
      </c>
      <c r="P83" s="486">
        <f t="shared" si="40"/>
        <v>0</v>
      </c>
      <c r="Q83" s="486">
        <f t="shared" si="40"/>
        <v>0</v>
      </c>
      <c r="R83" s="486">
        <f t="shared" si="40"/>
        <v>0</v>
      </c>
      <c r="S83" s="486">
        <f t="shared" si="41"/>
        <v>0</v>
      </c>
      <c r="T83" s="486">
        <f t="shared" si="41"/>
        <v>0</v>
      </c>
      <c r="U83" s="486">
        <f t="shared" si="41"/>
        <v>0</v>
      </c>
      <c r="V83" s="486">
        <f t="shared" si="41"/>
        <v>0</v>
      </c>
      <c r="W83" s="486">
        <f t="shared" si="41"/>
        <v>0</v>
      </c>
      <c r="X83" s="486">
        <f t="shared" si="41"/>
        <v>0</v>
      </c>
      <c r="Y83" s="486">
        <f t="shared" si="41"/>
        <v>0</v>
      </c>
      <c r="Z83" s="486">
        <f t="shared" si="41"/>
        <v>0</v>
      </c>
      <c r="AA83" s="486">
        <f t="shared" si="41"/>
        <v>0</v>
      </c>
      <c r="AB83" s="486">
        <f t="shared" si="41"/>
        <v>0</v>
      </c>
      <c r="AC83" s="486">
        <f t="shared" si="42"/>
        <v>0</v>
      </c>
      <c r="AD83" s="486">
        <f t="shared" si="42"/>
        <v>0</v>
      </c>
      <c r="AE83" s="486">
        <f t="shared" si="42"/>
        <v>0</v>
      </c>
      <c r="AF83" s="486">
        <f t="shared" si="42"/>
        <v>0</v>
      </c>
      <c r="AG83" s="486">
        <f t="shared" si="42"/>
        <v>0</v>
      </c>
      <c r="AH83" s="486">
        <f t="shared" si="42"/>
        <v>0</v>
      </c>
      <c r="AI83" s="486">
        <f t="shared" si="42"/>
        <v>0</v>
      </c>
      <c r="AJ83" s="486">
        <f t="shared" si="42"/>
        <v>0</v>
      </c>
      <c r="AK83" s="486">
        <f t="shared" si="42"/>
        <v>0</v>
      </c>
      <c r="AL83" s="486">
        <f t="shared" si="42"/>
        <v>0</v>
      </c>
      <c r="AM83" s="486">
        <f t="shared" si="43"/>
        <v>0</v>
      </c>
      <c r="AN83" s="486">
        <f t="shared" si="43"/>
        <v>0</v>
      </c>
      <c r="AO83" s="486">
        <f t="shared" si="43"/>
        <v>0</v>
      </c>
      <c r="AP83" s="486">
        <f t="shared" si="43"/>
        <v>0</v>
      </c>
      <c r="AQ83" s="486">
        <f t="shared" si="43"/>
        <v>0</v>
      </c>
      <c r="AR83" s="486">
        <f t="shared" si="43"/>
        <v>0</v>
      </c>
      <c r="AS83" s="486">
        <f t="shared" si="43"/>
        <v>0</v>
      </c>
      <c r="AT83" s="486">
        <f t="shared" si="43"/>
        <v>0</v>
      </c>
      <c r="AU83" s="486">
        <f t="shared" si="43"/>
        <v>0</v>
      </c>
      <c r="AV83" s="486">
        <f t="shared" si="43"/>
        <v>0</v>
      </c>
      <c r="AW83" s="486">
        <f t="shared" si="44"/>
        <v>0</v>
      </c>
      <c r="AX83" s="486">
        <f t="shared" si="44"/>
        <v>0</v>
      </c>
      <c r="AY83" s="486">
        <f t="shared" si="44"/>
        <v>0</v>
      </c>
      <c r="AZ83" s="486">
        <f t="shared" si="44"/>
        <v>0</v>
      </c>
      <c r="BA83" s="486">
        <f t="shared" si="44"/>
        <v>0</v>
      </c>
      <c r="BB83" s="486">
        <f t="shared" si="44"/>
        <v>0</v>
      </c>
      <c r="BC83" s="486">
        <f t="shared" si="44"/>
        <v>0</v>
      </c>
      <c r="BD83" s="486">
        <f t="shared" si="44"/>
        <v>0</v>
      </c>
      <c r="BE83" s="486">
        <f t="shared" si="44"/>
        <v>0</v>
      </c>
      <c r="BF83" s="486">
        <f t="shared" si="44"/>
        <v>0</v>
      </c>
      <c r="BG83" s="486">
        <f t="shared" si="44"/>
        <v>0</v>
      </c>
      <c r="BH83" s="487">
        <f t="shared" si="44"/>
        <v>0</v>
      </c>
    </row>
    <row r="84" spans="6:60" x14ac:dyDescent="0.25">
      <c r="F84" s="488">
        <f t="shared" si="39"/>
        <v>44743</v>
      </c>
      <c r="G84" s="312">
        <v>20</v>
      </c>
      <c r="H84" t="str">
        <f t="shared" si="33"/>
        <v/>
      </c>
      <c r="I84" s="486">
        <f t="shared" si="40"/>
        <v>0</v>
      </c>
      <c r="J84" s="486">
        <f t="shared" si="40"/>
        <v>0</v>
      </c>
      <c r="K84" s="486">
        <f t="shared" si="40"/>
        <v>0</v>
      </c>
      <c r="L84" s="486">
        <f t="shared" si="40"/>
        <v>0</v>
      </c>
      <c r="M84" s="486">
        <f t="shared" si="40"/>
        <v>0</v>
      </c>
      <c r="N84" s="486">
        <f t="shared" si="40"/>
        <v>0</v>
      </c>
      <c r="O84" s="486">
        <f t="shared" si="40"/>
        <v>0</v>
      </c>
      <c r="P84" s="486">
        <f t="shared" si="40"/>
        <v>0</v>
      </c>
      <c r="Q84" s="486">
        <f t="shared" si="40"/>
        <v>0</v>
      </c>
      <c r="R84" s="486">
        <f t="shared" si="40"/>
        <v>0</v>
      </c>
      <c r="S84" s="486">
        <f t="shared" si="41"/>
        <v>0</v>
      </c>
      <c r="T84" s="486">
        <f t="shared" si="41"/>
        <v>0</v>
      </c>
      <c r="U84" s="486">
        <f t="shared" si="41"/>
        <v>0</v>
      </c>
      <c r="V84" s="486">
        <f t="shared" si="41"/>
        <v>0</v>
      </c>
      <c r="W84" s="486">
        <f t="shared" si="41"/>
        <v>0</v>
      </c>
      <c r="X84" s="486">
        <f t="shared" si="41"/>
        <v>0</v>
      </c>
      <c r="Y84" s="486">
        <f t="shared" si="41"/>
        <v>0</v>
      </c>
      <c r="Z84" s="486">
        <f t="shared" si="41"/>
        <v>0</v>
      </c>
      <c r="AA84" s="486">
        <f t="shared" si="41"/>
        <v>0</v>
      </c>
      <c r="AB84" s="486">
        <f t="shared" si="41"/>
        <v>0</v>
      </c>
      <c r="AC84" s="486">
        <f t="shared" si="42"/>
        <v>0</v>
      </c>
      <c r="AD84" s="486">
        <f t="shared" si="42"/>
        <v>0</v>
      </c>
      <c r="AE84" s="486">
        <f t="shared" si="42"/>
        <v>0</v>
      </c>
      <c r="AF84" s="486">
        <f t="shared" si="42"/>
        <v>0</v>
      </c>
      <c r="AG84" s="486">
        <f t="shared" si="42"/>
        <v>0</v>
      </c>
      <c r="AH84" s="486">
        <f t="shared" si="42"/>
        <v>0</v>
      </c>
      <c r="AI84" s="486">
        <f t="shared" si="42"/>
        <v>0</v>
      </c>
      <c r="AJ84" s="486">
        <f t="shared" si="42"/>
        <v>0</v>
      </c>
      <c r="AK84" s="486">
        <f t="shared" si="42"/>
        <v>0</v>
      </c>
      <c r="AL84" s="486">
        <f t="shared" si="42"/>
        <v>0</v>
      </c>
      <c r="AM84" s="486">
        <f t="shared" si="43"/>
        <v>0</v>
      </c>
      <c r="AN84" s="486">
        <f t="shared" si="43"/>
        <v>0</v>
      </c>
      <c r="AO84" s="486">
        <f t="shared" si="43"/>
        <v>0</v>
      </c>
      <c r="AP84" s="486">
        <f t="shared" si="43"/>
        <v>0</v>
      </c>
      <c r="AQ84" s="486">
        <f t="shared" si="43"/>
        <v>0</v>
      </c>
      <c r="AR84" s="486">
        <f t="shared" si="43"/>
        <v>0</v>
      </c>
      <c r="AS84" s="486">
        <f t="shared" si="43"/>
        <v>0</v>
      </c>
      <c r="AT84" s="486">
        <f t="shared" si="43"/>
        <v>0</v>
      </c>
      <c r="AU84" s="486">
        <f t="shared" si="43"/>
        <v>0</v>
      </c>
      <c r="AV84" s="486">
        <f t="shared" si="43"/>
        <v>0</v>
      </c>
      <c r="AW84" s="486">
        <f t="shared" si="44"/>
        <v>0</v>
      </c>
      <c r="AX84" s="486">
        <f t="shared" si="44"/>
        <v>0</v>
      </c>
      <c r="AY84" s="486">
        <f t="shared" si="44"/>
        <v>0</v>
      </c>
      <c r="AZ84" s="486">
        <f t="shared" si="44"/>
        <v>0</v>
      </c>
      <c r="BA84" s="486">
        <f t="shared" si="44"/>
        <v>0</v>
      </c>
      <c r="BB84" s="486">
        <f t="shared" si="44"/>
        <v>0</v>
      </c>
      <c r="BC84" s="486">
        <f t="shared" si="44"/>
        <v>0</v>
      </c>
      <c r="BD84" s="486">
        <f t="shared" si="44"/>
        <v>0</v>
      </c>
      <c r="BE84" s="486">
        <f t="shared" si="44"/>
        <v>0</v>
      </c>
      <c r="BF84" s="486">
        <f t="shared" si="44"/>
        <v>0</v>
      </c>
      <c r="BG84" s="486">
        <f t="shared" si="44"/>
        <v>0</v>
      </c>
      <c r="BH84" s="487">
        <f t="shared" si="44"/>
        <v>0</v>
      </c>
    </row>
    <row r="85" spans="6:60" x14ac:dyDescent="0.25">
      <c r="F85" s="488">
        <f t="shared" si="39"/>
        <v>44774</v>
      </c>
      <c r="G85" s="312">
        <v>21</v>
      </c>
      <c r="H85" t="str">
        <f t="shared" si="33"/>
        <v/>
      </c>
      <c r="I85" s="486">
        <f t="shared" ref="I85:R94" si="45">IF(AND($F85&gt;entrega, I$63&gt;entrega), IF(AND($F85=I$63, $F85&lt;EDATE(terminoProjeto, -prazoRepasseVendas)), atoPosCh, 0)+IF(AND($F85&gt;I$63, $F85&lt;=EDATE(terminoProjeto, -2), $F85&lt;EDATE(I$63, prazoRepasseVendas), I$63&lt;EDATE(terminoProjeto, -prazoRepasseVendas)), mensaisPosCh/(prazoRepasseVendas-1), 0)+IF(AND($F85=EDATE(I$63, prazoRepasseVendas), $F85&lt;=EDATE(terminoProjeto, -1)), repassePosCh, 0), 0)</f>
        <v>0</v>
      </c>
      <c r="J85" s="486">
        <f t="shared" si="45"/>
        <v>0</v>
      </c>
      <c r="K85" s="486">
        <f t="shared" si="45"/>
        <v>0</v>
      </c>
      <c r="L85" s="486">
        <f t="shared" si="45"/>
        <v>0</v>
      </c>
      <c r="M85" s="486">
        <f t="shared" si="45"/>
        <v>0</v>
      </c>
      <c r="N85" s="486">
        <f t="shared" si="45"/>
        <v>0</v>
      </c>
      <c r="O85" s="486">
        <f t="shared" si="45"/>
        <v>0</v>
      </c>
      <c r="P85" s="486">
        <f t="shared" si="45"/>
        <v>0</v>
      </c>
      <c r="Q85" s="486">
        <f t="shared" si="45"/>
        <v>0</v>
      </c>
      <c r="R85" s="486">
        <f t="shared" si="45"/>
        <v>0</v>
      </c>
      <c r="S85" s="486">
        <f t="shared" ref="S85:AB94" si="46">IF(AND($F85&gt;entrega, S$63&gt;entrega), IF(AND($F85=S$63, $F85&lt;EDATE(terminoProjeto, -prazoRepasseVendas)), atoPosCh, 0)+IF(AND($F85&gt;S$63, $F85&lt;=EDATE(terminoProjeto, -2), $F85&lt;EDATE(S$63, prazoRepasseVendas), S$63&lt;EDATE(terminoProjeto, -prazoRepasseVendas)), mensaisPosCh/(prazoRepasseVendas-1), 0)+IF(AND($F85=EDATE(S$63, prazoRepasseVendas), $F85&lt;=EDATE(terminoProjeto, -1)), repassePosCh, 0), 0)</f>
        <v>0</v>
      </c>
      <c r="T85" s="486">
        <f t="shared" si="46"/>
        <v>0</v>
      </c>
      <c r="U85" s="486">
        <f t="shared" si="46"/>
        <v>0</v>
      </c>
      <c r="V85" s="486">
        <f t="shared" si="46"/>
        <v>0</v>
      </c>
      <c r="W85" s="486">
        <f t="shared" si="46"/>
        <v>0</v>
      </c>
      <c r="X85" s="486">
        <f t="shared" si="46"/>
        <v>0</v>
      </c>
      <c r="Y85" s="486">
        <f t="shared" si="46"/>
        <v>0</v>
      </c>
      <c r="Z85" s="486">
        <f t="shared" si="46"/>
        <v>0</v>
      </c>
      <c r="AA85" s="486">
        <f t="shared" si="46"/>
        <v>0</v>
      </c>
      <c r="AB85" s="486">
        <f t="shared" si="46"/>
        <v>0</v>
      </c>
      <c r="AC85" s="486">
        <f t="shared" ref="AC85:AL94" si="47">IF(AND($F85&gt;entrega, AC$63&gt;entrega), IF(AND($F85=AC$63, $F85&lt;EDATE(terminoProjeto, -prazoRepasseVendas)), atoPosCh, 0)+IF(AND($F85&gt;AC$63, $F85&lt;=EDATE(terminoProjeto, -2), $F85&lt;EDATE(AC$63, prazoRepasseVendas), AC$63&lt;EDATE(terminoProjeto, -prazoRepasseVendas)), mensaisPosCh/(prazoRepasseVendas-1), 0)+IF(AND($F85=EDATE(AC$63, prazoRepasseVendas), $F85&lt;=EDATE(terminoProjeto, -1)), repassePosCh, 0), 0)</f>
        <v>0</v>
      </c>
      <c r="AD85" s="486">
        <f t="shared" si="47"/>
        <v>0</v>
      </c>
      <c r="AE85" s="486">
        <f t="shared" si="47"/>
        <v>0</v>
      </c>
      <c r="AF85" s="486">
        <f t="shared" si="47"/>
        <v>0</v>
      </c>
      <c r="AG85" s="486">
        <f t="shared" si="47"/>
        <v>0</v>
      </c>
      <c r="AH85" s="486">
        <f t="shared" si="47"/>
        <v>0</v>
      </c>
      <c r="AI85" s="486">
        <f t="shared" si="47"/>
        <v>0</v>
      </c>
      <c r="AJ85" s="486">
        <f t="shared" si="47"/>
        <v>0</v>
      </c>
      <c r="AK85" s="486">
        <f t="shared" si="47"/>
        <v>0</v>
      </c>
      <c r="AL85" s="486">
        <f t="shared" si="47"/>
        <v>0</v>
      </c>
      <c r="AM85" s="486">
        <f t="shared" ref="AM85:AV94" si="48">IF(AND($F85&gt;entrega, AM$63&gt;entrega), IF(AND($F85=AM$63, $F85&lt;EDATE(terminoProjeto, -prazoRepasseVendas)), atoPosCh, 0)+IF(AND($F85&gt;AM$63, $F85&lt;=EDATE(terminoProjeto, -2), $F85&lt;EDATE(AM$63, prazoRepasseVendas), AM$63&lt;EDATE(terminoProjeto, -prazoRepasseVendas)), mensaisPosCh/(prazoRepasseVendas-1), 0)+IF(AND($F85=EDATE(AM$63, prazoRepasseVendas), $F85&lt;=EDATE(terminoProjeto, -1)), repassePosCh, 0), 0)</f>
        <v>0</v>
      </c>
      <c r="AN85" s="486">
        <f t="shared" si="48"/>
        <v>0</v>
      </c>
      <c r="AO85" s="486">
        <f t="shared" si="48"/>
        <v>0</v>
      </c>
      <c r="AP85" s="486">
        <f t="shared" si="48"/>
        <v>0</v>
      </c>
      <c r="AQ85" s="486">
        <f t="shared" si="48"/>
        <v>0</v>
      </c>
      <c r="AR85" s="486">
        <f t="shared" si="48"/>
        <v>0</v>
      </c>
      <c r="AS85" s="486">
        <f t="shared" si="48"/>
        <v>0</v>
      </c>
      <c r="AT85" s="486">
        <f t="shared" si="48"/>
        <v>0</v>
      </c>
      <c r="AU85" s="486">
        <f t="shared" si="48"/>
        <v>0</v>
      </c>
      <c r="AV85" s="486">
        <f t="shared" si="48"/>
        <v>0</v>
      </c>
      <c r="AW85" s="486">
        <f t="shared" ref="AW85:BH94" si="49">IF(AND($F85&gt;entrega, AW$63&gt;entrega), IF(AND($F85=AW$63, $F85&lt;EDATE(terminoProjeto, -prazoRepasseVendas)), atoPosCh, 0)+IF(AND($F85&gt;AW$63, $F85&lt;=EDATE(terminoProjeto, -2), $F85&lt;EDATE(AW$63, prazoRepasseVendas), AW$63&lt;EDATE(terminoProjeto, -prazoRepasseVendas)), mensaisPosCh/(prazoRepasseVendas-1), 0)+IF(AND($F85=EDATE(AW$63, prazoRepasseVendas), $F85&lt;=EDATE(terminoProjeto, -1)), repassePosCh, 0), 0)</f>
        <v>0</v>
      </c>
      <c r="AX85" s="486">
        <f t="shared" si="49"/>
        <v>0</v>
      </c>
      <c r="AY85" s="486">
        <f t="shared" si="49"/>
        <v>0</v>
      </c>
      <c r="AZ85" s="486">
        <f t="shared" si="49"/>
        <v>0</v>
      </c>
      <c r="BA85" s="486">
        <f t="shared" si="49"/>
        <v>0</v>
      </c>
      <c r="BB85" s="486">
        <f t="shared" si="49"/>
        <v>0</v>
      </c>
      <c r="BC85" s="486">
        <f t="shared" si="49"/>
        <v>0</v>
      </c>
      <c r="BD85" s="486">
        <f t="shared" si="49"/>
        <v>0</v>
      </c>
      <c r="BE85" s="486">
        <f t="shared" si="49"/>
        <v>0</v>
      </c>
      <c r="BF85" s="486">
        <f t="shared" si="49"/>
        <v>0</v>
      </c>
      <c r="BG85" s="486">
        <f t="shared" si="49"/>
        <v>0</v>
      </c>
      <c r="BH85" s="487">
        <f t="shared" si="49"/>
        <v>0</v>
      </c>
    </row>
    <row r="86" spans="6:60" x14ac:dyDescent="0.25">
      <c r="F86" s="488">
        <f t="shared" si="39"/>
        <v>44805</v>
      </c>
      <c r="G86" s="312">
        <v>22</v>
      </c>
      <c r="H86" t="str">
        <f t="shared" si="33"/>
        <v/>
      </c>
      <c r="I86" s="486">
        <f t="shared" si="45"/>
        <v>0</v>
      </c>
      <c r="J86" s="486">
        <f t="shared" si="45"/>
        <v>0</v>
      </c>
      <c r="K86" s="486">
        <f t="shared" si="45"/>
        <v>0</v>
      </c>
      <c r="L86" s="486">
        <f t="shared" si="45"/>
        <v>0</v>
      </c>
      <c r="M86" s="486">
        <f t="shared" si="45"/>
        <v>0</v>
      </c>
      <c r="N86" s="486">
        <f t="shared" si="45"/>
        <v>0</v>
      </c>
      <c r="O86" s="486">
        <f t="shared" si="45"/>
        <v>0</v>
      </c>
      <c r="P86" s="486">
        <f t="shared" si="45"/>
        <v>0</v>
      </c>
      <c r="Q86" s="486">
        <f t="shared" si="45"/>
        <v>0</v>
      </c>
      <c r="R86" s="486">
        <f t="shared" si="45"/>
        <v>0</v>
      </c>
      <c r="S86" s="486">
        <f t="shared" si="46"/>
        <v>0</v>
      </c>
      <c r="T86" s="486">
        <f t="shared" si="46"/>
        <v>0</v>
      </c>
      <c r="U86" s="486">
        <f t="shared" si="46"/>
        <v>0</v>
      </c>
      <c r="V86" s="486">
        <f t="shared" si="46"/>
        <v>0</v>
      </c>
      <c r="W86" s="486">
        <f t="shared" si="46"/>
        <v>0</v>
      </c>
      <c r="X86" s="486">
        <f t="shared" si="46"/>
        <v>0</v>
      </c>
      <c r="Y86" s="486">
        <f t="shared" si="46"/>
        <v>0</v>
      </c>
      <c r="Z86" s="486">
        <f t="shared" si="46"/>
        <v>0</v>
      </c>
      <c r="AA86" s="486">
        <f t="shared" si="46"/>
        <v>0</v>
      </c>
      <c r="AB86" s="486">
        <f t="shared" si="46"/>
        <v>0</v>
      </c>
      <c r="AC86" s="486">
        <f t="shared" si="47"/>
        <v>0</v>
      </c>
      <c r="AD86" s="486">
        <f t="shared" si="47"/>
        <v>0</v>
      </c>
      <c r="AE86" s="486">
        <f t="shared" si="47"/>
        <v>0</v>
      </c>
      <c r="AF86" s="486">
        <f t="shared" si="47"/>
        <v>0</v>
      </c>
      <c r="AG86" s="486">
        <f t="shared" si="47"/>
        <v>0</v>
      </c>
      <c r="AH86" s="486">
        <f t="shared" si="47"/>
        <v>0</v>
      </c>
      <c r="AI86" s="486">
        <f t="shared" si="47"/>
        <v>0</v>
      </c>
      <c r="AJ86" s="486">
        <f t="shared" si="47"/>
        <v>0</v>
      </c>
      <c r="AK86" s="486">
        <f t="shared" si="47"/>
        <v>0</v>
      </c>
      <c r="AL86" s="486">
        <f t="shared" si="47"/>
        <v>0</v>
      </c>
      <c r="AM86" s="486">
        <f t="shared" si="48"/>
        <v>0</v>
      </c>
      <c r="AN86" s="486">
        <f t="shared" si="48"/>
        <v>0</v>
      </c>
      <c r="AO86" s="486">
        <f t="shared" si="48"/>
        <v>0</v>
      </c>
      <c r="AP86" s="486">
        <f t="shared" si="48"/>
        <v>0</v>
      </c>
      <c r="AQ86" s="486">
        <f t="shared" si="48"/>
        <v>0</v>
      </c>
      <c r="AR86" s="486">
        <f t="shared" si="48"/>
        <v>0</v>
      </c>
      <c r="AS86" s="486">
        <f t="shared" si="48"/>
        <v>0</v>
      </c>
      <c r="AT86" s="486">
        <f t="shared" si="48"/>
        <v>0</v>
      </c>
      <c r="AU86" s="486">
        <f t="shared" si="48"/>
        <v>0</v>
      </c>
      <c r="AV86" s="486">
        <f t="shared" si="48"/>
        <v>0</v>
      </c>
      <c r="AW86" s="486">
        <f t="shared" si="49"/>
        <v>0</v>
      </c>
      <c r="AX86" s="486">
        <f t="shared" si="49"/>
        <v>0</v>
      </c>
      <c r="AY86" s="486">
        <f t="shared" si="49"/>
        <v>0</v>
      </c>
      <c r="AZ86" s="486">
        <f t="shared" si="49"/>
        <v>0</v>
      </c>
      <c r="BA86" s="486">
        <f t="shared" si="49"/>
        <v>0</v>
      </c>
      <c r="BB86" s="486">
        <f t="shared" si="49"/>
        <v>0</v>
      </c>
      <c r="BC86" s="486">
        <f t="shared" si="49"/>
        <v>0</v>
      </c>
      <c r="BD86" s="486">
        <f t="shared" si="49"/>
        <v>0</v>
      </c>
      <c r="BE86" s="486">
        <f t="shared" si="49"/>
        <v>0</v>
      </c>
      <c r="BF86" s="486">
        <f t="shared" si="49"/>
        <v>0</v>
      </c>
      <c r="BG86" s="486">
        <f t="shared" si="49"/>
        <v>0</v>
      </c>
      <c r="BH86" s="487">
        <f t="shared" si="49"/>
        <v>0</v>
      </c>
    </row>
    <row r="87" spans="6:60" x14ac:dyDescent="0.25">
      <c r="F87" s="488">
        <f t="shared" si="39"/>
        <v>44835</v>
      </c>
      <c r="G87" s="312">
        <v>23</v>
      </c>
      <c r="H87" t="str">
        <f t="shared" si="33"/>
        <v/>
      </c>
      <c r="I87" s="486">
        <f t="shared" si="45"/>
        <v>0</v>
      </c>
      <c r="J87" s="486">
        <f t="shared" si="45"/>
        <v>0</v>
      </c>
      <c r="K87" s="486">
        <f t="shared" si="45"/>
        <v>0</v>
      </c>
      <c r="L87" s="486">
        <f t="shared" si="45"/>
        <v>0</v>
      </c>
      <c r="M87" s="486">
        <f t="shared" si="45"/>
        <v>0</v>
      </c>
      <c r="N87" s="486">
        <f t="shared" si="45"/>
        <v>0</v>
      </c>
      <c r="O87" s="486">
        <f t="shared" si="45"/>
        <v>0</v>
      </c>
      <c r="P87" s="486">
        <f t="shared" si="45"/>
        <v>0</v>
      </c>
      <c r="Q87" s="486">
        <f t="shared" si="45"/>
        <v>0</v>
      </c>
      <c r="R87" s="486">
        <f t="shared" si="45"/>
        <v>0</v>
      </c>
      <c r="S87" s="486">
        <f t="shared" si="46"/>
        <v>0</v>
      </c>
      <c r="T87" s="486">
        <f t="shared" si="46"/>
        <v>0</v>
      </c>
      <c r="U87" s="486">
        <f t="shared" si="46"/>
        <v>0</v>
      </c>
      <c r="V87" s="486">
        <f t="shared" si="46"/>
        <v>0</v>
      </c>
      <c r="W87" s="486">
        <f t="shared" si="46"/>
        <v>0</v>
      </c>
      <c r="X87" s="486">
        <f t="shared" si="46"/>
        <v>0</v>
      </c>
      <c r="Y87" s="486">
        <f t="shared" si="46"/>
        <v>0</v>
      </c>
      <c r="Z87" s="486">
        <f t="shared" si="46"/>
        <v>0</v>
      </c>
      <c r="AA87" s="486">
        <f t="shared" si="46"/>
        <v>0</v>
      </c>
      <c r="AB87" s="486">
        <f t="shared" si="46"/>
        <v>0</v>
      </c>
      <c r="AC87" s="486">
        <f t="shared" si="47"/>
        <v>0</v>
      </c>
      <c r="AD87" s="486">
        <f t="shared" si="47"/>
        <v>0</v>
      </c>
      <c r="AE87" s="486">
        <f t="shared" si="47"/>
        <v>0</v>
      </c>
      <c r="AF87" s="486">
        <f t="shared" si="47"/>
        <v>0</v>
      </c>
      <c r="AG87" s="486">
        <f t="shared" si="47"/>
        <v>0</v>
      </c>
      <c r="AH87" s="486">
        <f t="shared" si="47"/>
        <v>0</v>
      </c>
      <c r="AI87" s="486">
        <f t="shared" si="47"/>
        <v>0</v>
      </c>
      <c r="AJ87" s="486">
        <f t="shared" si="47"/>
        <v>0</v>
      </c>
      <c r="AK87" s="486">
        <f t="shared" si="47"/>
        <v>0</v>
      </c>
      <c r="AL87" s="486">
        <f t="shared" si="47"/>
        <v>0</v>
      </c>
      <c r="AM87" s="486">
        <f t="shared" si="48"/>
        <v>0</v>
      </c>
      <c r="AN87" s="486">
        <f t="shared" si="48"/>
        <v>0</v>
      </c>
      <c r="AO87" s="486">
        <f t="shared" si="48"/>
        <v>0</v>
      </c>
      <c r="AP87" s="486">
        <f t="shared" si="48"/>
        <v>0</v>
      </c>
      <c r="AQ87" s="486">
        <f t="shared" si="48"/>
        <v>0</v>
      </c>
      <c r="AR87" s="486">
        <f t="shared" si="48"/>
        <v>0</v>
      </c>
      <c r="AS87" s="486">
        <f t="shared" si="48"/>
        <v>0</v>
      </c>
      <c r="AT87" s="486">
        <f t="shared" si="48"/>
        <v>0</v>
      </c>
      <c r="AU87" s="486">
        <f t="shared" si="48"/>
        <v>0</v>
      </c>
      <c r="AV87" s="486">
        <f t="shared" si="48"/>
        <v>0</v>
      </c>
      <c r="AW87" s="486">
        <f t="shared" si="49"/>
        <v>0</v>
      </c>
      <c r="AX87" s="486">
        <f t="shared" si="49"/>
        <v>0</v>
      </c>
      <c r="AY87" s="486">
        <f t="shared" si="49"/>
        <v>0</v>
      </c>
      <c r="AZ87" s="486">
        <f t="shared" si="49"/>
        <v>0</v>
      </c>
      <c r="BA87" s="486">
        <f t="shared" si="49"/>
        <v>0</v>
      </c>
      <c r="BB87" s="486">
        <f t="shared" si="49"/>
        <v>0</v>
      </c>
      <c r="BC87" s="486">
        <f t="shared" si="49"/>
        <v>0</v>
      </c>
      <c r="BD87" s="486">
        <f t="shared" si="49"/>
        <v>0</v>
      </c>
      <c r="BE87" s="486">
        <f t="shared" si="49"/>
        <v>0</v>
      </c>
      <c r="BF87" s="486">
        <f t="shared" si="49"/>
        <v>0</v>
      </c>
      <c r="BG87" s="486">
        <f t="shared" si="49"/>
        <v>0</v>
      </c>
      <c r="BH87" s="487">
        <f t="shared" si="49"/>
        <v>0</v>
      </c>
    </row>
    <row r="88" spans="6:60" x14ac:dyDescent="0.25">
      <c r="F88" s="488">
        <f t="shared" si="39"/>
        <v>44866</v>
      </c>
      <c r="G88" s="312">
        <v>24</v>
      </c>
      <c r="H88" t="str">
        <f t="shared" si="33"/>
        <v/>
      </c>
      <c r="I88" s="486">
        <f t="shared" si="45"/>
        <v>0</v>
      </c>
      <c r="J88" s="486">
        <f t="shared" si="45"/>
        <v>0</v>
      </c>
      <c r="K88" s="486">
        <f t="shared" si="45"/>
        <v>0</v>
      </c>
      <c r="L88" s="486">
        <f t="shared" si="45"/>
        <v>0</v>
      </c>
      <c r="M88" s="486">
        <f t="shared" si="45"/>
        <v>0</v>
      </c>
      <c r="N88" s="486">
        <f t="shared" si="45"/>
        <v>0</v>
      </c>
      <c r="O88" s="486">
        <f t="shared" si="45"/>
        <v>0</v>
      </c>
      <c r="P88" s="486">
        <f t="shared" si="45"/>
        <v>0</v>
      </c>
      <c r="Q88" s="486">
        <f t="shared" si="45"/>
        <v>0</v>
      </c>
      <c r="R88" s="486">
        <f t="shared" si="45"/>
        <v>0</v>
      </c>
      <c r="S88" s="486">
        <f t="shared" si="46"/>
        <v>0</v>
      </c>
      <c r="T88" s="486">
        <f t="shared" si="46"/>
        <v>0</v>
      </c>
      <c r="U88" s="486">
        <f t="shared" si="46"/>
        <v>0</v>
      </c>
      <c r="V88" s="486">
        <f t="shared" si="46"/>
        <v>0</v>
      </c>
      <c r="W88" s="486">
        <f t="shared" si="46"/>
        <v>0</v>
      </c>
      <c r="X88" s="486">
        <f t="shared" si="46"/>
        <v>0</v>
      </c>
      <c r="Y88" s="486">
        <f t="shared" si="46"/>
        <v>0</v>
      </c>
      <c r="Z88" s="486">
        <f t="shared" si="46"/>
        <v>0</v>
      </c>
      <c r="AA88" s="486">
        <f t="shared" si="46"/>
        <v>0</v>
      </c>
      <c r="AB88" s="486">
        <f t="shared" si="46"/>
        <v>0</v>
      </c>
      <c r="AC88" s="486">
        <f t="shared" si="47"/>
        <v>0</v>
      </c>
      <c r="AD88" s="486">
        <f t="shared" si="47"/>
        <v>0</v>
      </c>
      <c r="AE88" s="486">
        <f t="shared" si="47"/>
        <v>0</v>
      </c>
      <c r="AF88" s="486">
        <f t="shared" si="47"/>
        <v>0</v>
      </c>
      <c r="AG88" s="486">
        <f t="shared" si="47"/>
        <v>0</v>
      </c>
      <c r="AH88" s="486">
        <f t="shared" si="47"/>
        <v>0</v>
      </c>
      <c r="AI88" s="486">
        <f t="shared" si="47"/>
        <v>0</v>
      </c>
      <c r="AJ88" s="486">
        <f t="shared" si="47"/>
        <v>0</v>
      </c>
      <c r="AK88" s="486">
        <f t="shared" si="47"/>
        <v>0</v>
      </c>
      <c r="AL88" s="486">
        <f t="shared" si="47"/>
        <v>0</v>
      </c>
      <c r="AM88" s="486">
        <f t="shared" si="48"/>
        <v>0</v>
      </c>
      <c r="AN88" s="486">
        <f t="shared" si="48"/>
        <v>0</v>
      </c>
      <c r="AO88" s="486">
        <f t="shared" si="48"/>
        <v>0</v>
      </c>
      <c r="AP88" s="486">
        <f t="shared" si="48"/>
        <v>0</v>
      </c>
      <c r="AQ88" s="486">
        <f t="shared" si="48"/>
        <v>0</v>
      </c>
      <c r="AR88" s="486">
        <f t="shared" si="48"/>
        <v>0</v>
      </c>
      <c r="AS88" s="486">
        <f t="shared" si="48"/>
        <v>0</v>
      </c>
      <c r="AT88" s="486">
        <f t="shared" si="48"/>
        <v>0</v>
      </c>
      <c r="AU88" s="486">
        <f t="shared" si="48"/>
        <v>0</v>
      </c>
      <c r="AV88" s="486">
        <f t="shared" si="48"/>
        <v>0</v>
      </c>
      <c r="AW88" s="486">
        <f t="shared" si="49"/>
        <v>0</v>
      </c>
      <c r="AX88" s="486">
        <f t="shared" si="49"/>
        <v>0</v>
      </c>
      <c r="AY88" s="486">
        <f t="shared" si="49"/>
        <v>0</v>
      </c>
      <c r="AZ88" s="486">
        <f t="shared" si="49"/>
        <v>0</v>
      </c>
      <c r="BA88" s="486">
        <f t="shared" si="49"/>
        <v>0</v>
      </c>
      <c r="BB88" s="486">
        <f t="shared" si="49"/>
        <v>0</v>
      </c>
      <c r="BC88" s="486">
        <f t="shared" si="49"/>
        <v>0</v>
      </c>
      <c r="BD88" s="486">
        <f t="shared" si="49"/>
        <v>0</v>
      </c>
      <c r="BE88" s="486">
        <f t="shared" si="49"/>
        <v>0</v>
      </c>
      <c r="BF88" s="486">
        <f t="shared" si="49"/>
        <v>0</v>
      </c>
      <c r="BG88" s="486">
        <f t="shared" si="49"/>
        <v>0</v>
      </c>
      <c r="BH88" s="487">
        <f t="shared" si="49"/>
        <v>0</v>
      </c>
    </row>
    <row r="89" spans="6:60" x14ac:dyDescent="0.25">
      <c r="F89" s="488">
        <f t="shared" si="39"/>
        <v>44896</v>
      </c>
      <c r="G89" s="312">
        <v>25</v>
      </c>
      <c r="H89" t="str">
        <f t="shared" si="33"/>
        <v/>
      </c>
      <c r="I89" s="486">
        <f t="shared" si="45"/>
        <v>0</v>
      </c>
      <c r="J89" s="486">
        <f t="shared" si="45"/>
        <v>0</v>
      </c>
      <c r="K89" s="486">
        <f t="shared" si="45"/>
        <v>0</v>
      </c>
      <c r="L89" s="486">
        <f t="shared" si="45"/>
        <v>0</v>
      </c>
      <c r="M89" s="486">
        <f t="shared" si="45"/>
        <v>0</v>
      </c>
      <c r="N89" s="486">
        <f t="shared" si="45"/>
        <v>0</v>
      </c>
      <c r="O89" s="486">
        <f t="shared" si="45"/>
        <v>0</v>
      </c>
      <c r="P89" s="486">
        <f t="shared" si="45"/>
        <v>0</v>
      </c>
      <c r="Q89" s="486">
        <f t="shared" si="45"/>
        <v>0</v>
      </c>
      <c r="R89" s="486">
        <f t="shared" si="45"/>
        <v>0</v>
      </c>
      <c r="S89" s="486">
        <f t="shared" si="46"/>
        <v>0</v>
      </c>
      <c r="T89" s="486">
        <f t="shared" si="46"/>
        <v>0</v>
      </c>
      <c r="U89" s="486">
        <f t="shared" si="46"/>
        <v>0</v>
      </c>
      <c r="V89" s="486">
        <f t="shared" si="46"/>
        <v>0</v>
      </c>
      <c r="W89" s="486">
        <f t="shared" si="46"/>
        <v>0</v>
      </c>
      <c r="X89" s="486">
        <f t="shared" si="46"/>
        <v>0</v>
      </c>
      <c r="Y89" s="486">
        <f t="shared" si="46"/>
        <v>0</v>
      </c>
      <c r="Z89" s="486">
        <f t="shared" si="46"/>
        <v>0</v>
      </c>
      <c r="AA89" s="486">
        <f t="shared" si="46"/>
        <v>0</v>
      </c>
      <c r="AB89" s="486">
        <f t="shared" si="46"/>
        <v>0</v>
      </c>
      <c r="AC89" s="486">
        <f t="shared" si="47"/>
        <v>0</v>
      </c>
      <c r="AD89" s="486">
        <f t="shared" si="47"/>
        <v>0</v>
      </c>
      <c r="AE89" s="486">
        <f t="shared" si="47"/>
        <v>0</v>
      </c>
      <c r="AF89" s="486">
        <f t="shared" si="47"/>
        <v>0</v>
      </c>
      <c r="AG89" s="486">
        <f t="shared" si="47"/>
        <v>0</v>
      </c>
      <c r="AH89" s="486">
        <f t="shared" si="47"/>
        <v>0</v>
      </c>
      <c r="AI89" s="486">
        <f t="shared" si="47"/>
        <v>0</v>
      </c>
      <c r="AJ89" s="486">
        <f t="shared" si="47"/>
        <v>0</v>
      </c>
      <c r="AK89" s="486">
        <f t="shared" si="47"/>
        <v>0</v>
      </c>
      <c r="AL89" s="486">
        <f t="shared" si="47"/>
        <v>0</v>
      </c>
      <c r="AM89" s="486">
        <f t="shared" si="48"/>
        <v>0</v>
      </c>
      <c r="AN89" s="486">
        <f t="shared" si="48"/>
        <v>0</v>
      </c>
      <c r="AO89" s="486">
        <f t="shared" si="48"/>
        <v>0</v>
      </c>
      <c r="AP89" s="486">
        <f t="shared" si="48"/>
        <v>0</v>
      </c>
      <c r="AQ89" s="486">
        <f t="shared" si="48"/>
        <v>0</v>
      </c>
      <c r="AR89" s="486">
        <f t="shared" si="48"/>
        <v>0</v>
      </c>
      <c r="AS89" s="486">
        <f t="shared" si="48"/>
        <v>0</v>
      </c>
      <c r="AT89" s="486">
        <f t="shared" si="48"/>
        <v>0</v>
      </c>
      <c r="AU89" s="486">
        <f t="shared" si="48"/>
        <v>0</v>
      </c>
      <c r="AV89" s="486">
        <f t="shared" si="48"/>
        <v>0</v>
      </c>
      <c r="AW89" s="486">
        <f t="shared" si="49"/>
        <v>0</v>
      </c>
      <c r="AX89" s="486">
        <f t="shared" si="49"/>
        <v>0</v>
      </c>
      <c r="AY89" s="486">
        <f t="shared" si="49"/>
        <v>0</v>
      </c>
      <c r="AZ89" s="486">
        <f t="shared" si="49"/>
        <v>0</v>
      </c>
      <c r="BA89" s="486">
        <f t="shared" si="49"/>
        <v>0</v>
      </c>
      <c r="BB89" s="486">
        <f t="shared" si="49"/>
        <v>0</v>
      </c>
      <c r="BC89" s="486">
        <f t="shared" si="49"/>
        <v>0</v>
      </c>
      <c r="BD89" s="486">
        <f t="shared" si="49"/>
        <v>0</v>
      </c>
      <c r="BE89" s="486">
        <f t="shared" si="49"/>
        <v>0</v>
      </c>
      <c r="BF89" s="486">
        <f t="shared" si="49"/>
        <v>0</v>
      </c>
      <c r="BG89" s="486">
        <f t="shared" si="49"/>
        <v>0</v>
      </c>
      <c r="BH89" s="487">
        <f t="shared" si="49"/>
        <v>0</v>
      </c>
    </row>
    <row r="90" spans="6:60" x14ac:dyDescent="0.25">
      <c r="F90" s="488">
        <f t="shared" si="39"/>
        <v>44927</v>
      </c>
      <c r="G90" s="312">
        <v>26</v>
      </c>
      <c r="H90" t="str">
        <f t="shared" si="33"/>
        <v/>
      </c>
      <c r="I90" s="486">
        <f t="shared" si="45"/>
        <v>0</v>
      </c>
      <c r="J90" s="486">
        <f t="shared" si="45"/>
        <v>0</v>
      </c>
      <c r="K90" s="486">
        <f t="shared" si="45"/>
        <v>0</v>
      </c>
      <c r="L90" s="486">
        <f t="shared" si="45"/>
        <v>0</v>
      </c>
      <c r="M90" s="486">
        <f t="shared" si="45"/>
        <v>0</v>
      </c>
      <c r="N90" s="486">
        <f t="shared" si="45"/>
        <v>0</v>
      </c>
      <c r="O90" s="486">
        <f t="shared" si="45"/>
        <v>0</v>
      </c>
      <c r="P90" s="486">
        <f t="shared" si="45"/>
        <v>0</v>
      </c>
      <c r="Q90" s="486">
        <f t="shared" si="45"/>
        <v>0</v>
      </c>
      <c r="R90" s="486">
        <f t="shared" si="45"/>
        <v>0</v>
      </c>
      <c r="S90" s="486">
        <f t="shared" si="46"/>
        <v>0</v>
      </c>
      <c r="T90" s="486">
        <f t="shared" si="46"/>
        <v>0</v>
      </c>
      <c r="U90" s="486">
        <f t="shared" si="46"/>
        <v>0</v>
      </c>
      <c r="V90" s="486">
        <f t="shared" si="46"/>
        <v>0</v>
      </c>
      <c r="W90" s="486">
        <f t="shared" si="46"/>
        <v>0</v>
      </c>
      <c r="X90" s="486">
        <f t="shared" si="46"/>
        <v>0</v>
      </c>
      <c r="Y90" s="486">
        <f t="shared" si="46"/>
        <v>0</v>
      </c>
      <c r="Z90" s="486">
        <f t="shared" si="46"/>
        <v>0</v>
      </c>
      <c r="AA90" s="486">
        <f t="shared" si="46"/>
        <v>0</v>
      </c>
      <c r="AB90" s="486">
        <f t="shared" si="46"/>
        <v>0</v>
      </c>
      <c r="AC90" s="486">
        <f t="shared" si="47"/>
        <v>0</v>
      </c>
      <c r="AD90" s="486">
        <f t="shared" si="47"/>
        <v>0</v>
      </c>
      <c r="AE90" s="486">
        <f t="shared" si="47"/>
        <v>0</v>
      </c>
      <c r="AF90" s="486">
        <f t="shared" si="47"/>
        <v>0</v>
      </c>
      <c r="AG90" s="486">
        <f t="shared" si="47"/>
        <v>0</v>
      </c>
      <c r="AH90" s="486">
        <f t="shared" si="47"/>
        <v>0</v>
      </c>
      <c r="AI90" s="486">
        <f t="shared" si="47"/>
        <v>0</v>
      </c>
      <c r="AJ90" s="486">
        <f t="shared" si="47"/>
        <v>0</v>
      </c>
      <c r="AK90" s="486">
        <f t="shared" si="47"/>
        <v>0</v>
      </c>
      <c r="AL90" s="486">
        <f t="shared" si="47"/>
        <v>0</v>
      </c>
      <c r="AM90" s="486">
        <f t="shared" si="48"/>
        <v>0</v>
      </c>
      <c r="AN90" s="486">
        <f t="shared" si="48"/>
        <v>0</v>
      </c>
      <c r="AO90" s="486">
        <f t="shared" si="48"/>
        <v>0</v>
      </c>
      <c r="AP90" s="486">
        <f t="shared" si="48"/>
        <v>0</v>
      </c>
      <c r="AQ90" s="486">
        <f t="shared" si="48"/>
        <v>0</v>
      </c>
      <c r="AR90" s="486">
        <f t="shared" si="48"/>
        <v>0</v>
      </c>
      <c r="AS90" s="486">
        <f t="shared" si="48"/>
        <v>0</v>
      </c>
      <c r="AT90" s="486">
        <f t="shared" si="48"/>
        <v>0</v>
      </c>
      <c r="AU90" s="486">
        <f t="shared" si="48"/>
        <v>0</v>
      </c>
      <c r="AV90" s="486">
        <f t="shared" si="48"/>
        <v>0</v>
      </c>
      <c r="AW90" s="486">
        <f t="shared" si="49"/>
        <v>0</v>
      </c>
      <c r="AX90" s="486">
        <f t="shared" si="49"/>
        <v>0</v>
      </c>
      <c r="AY90" s="486">
        <f t="shared" si="49"/>
        <v>0</v>
      </c>
      <c r="AZ90" s="486">
        <f t="shared" si="49"/>
        <v>0</v>
      </c>
      <c r="BA90" s="486">
        <f t="shared" si="49"/>
        <v>0</v>
      </c>
      <c r="BB90" s="486">
        <f t="shared" si="49"/>
        <v>0</v>
      </c>
      <c r="BC90" s="486">
        <f t="shared" si="49"/>
        <v>0</v>
      </c>
      <c r="BD90" s="486">
        <f t="shared" si="49"/>
        <v>0</v>
      </c>
      <c r="BE90" s="486">
        <f t="shared" si="49"/>
        <v>0</v>
      </c>
      <c r="BF90" s="486">
        <f t="shared" si="49"/>
        <v>0</v>
      </c>
      <c r="BG90" s="486">
        <f t="shared" si="49"/>
        <v>0</v>
      </c>
      <c r="BH90" s="487">
        <f t="shared" si="49"/>
        <v>0</v>
      </c>
    </row>
    <row r="91" spans="6:60" x14ac:dyDescent="0.25">
      <c r="F91" s="488">
        <f t="shared" si="39"/>
        <v>44958</v>
      </c>
      <c r="G91" s="312">
        <v>27</v>
      </c>
      <c r="H91" t="str">
        <f t="shared" si="33"/>
        <v/>
      </c>
      <c r="I91" s="486">
        <f t="shared" si="45"/>
        <v>0</v>
      </c>
      <c r="J91" s="486">
        <f t="shared" si="45"/>
        <v>0</v>
      </c>
      <c r="K91" s="486">
        <f t="shared" si="45"/>
        <v>0</v>
      </c>
      <c r="L91" s="486">
        <f t="shared" si="45"/>
        <v>0</v>
      </c>
      <c r="M91" s="486">
        <f t="shared" si="45"/>
        <v>0</v>
      </c>
      <c r="N91" s="486">
        <f t="shared" si="45"/>
        <v>0</v>
      </c>
      <c r="O91" s="486">
        <f t="shared" si="45"/>
        <v>0</v>
      </c>
      <c r="P91" s="486">
        <f t="shared" si="45"/>
        <v>0</v>
      </c>
      <c r="Q91" s="486">
        <f t="shared" si="45"/>
        <v>0</v>
      </c>
      <c r="R91" s="486">
        <f t="shared" si="45"/>
        <v>0</v>
      </c>
      <c r="S91" s="486">
        <f t="shared" si="46"/>
        <v>0</v>
      </c>
      <c r="T91" s="486">
        <f t="shared" si="46"/>
        <v>0</v>
      </c>
      <c r="U91" s="486">
        <f t="shared" si="46"/>
        <v>0</v>
      </c>
      <c r="V91" s="486">
        <f t="shared" si="46"/>
        <v>0</v>
      </c>
      <c r="W91" s="486">
        <f t="shared" si="46"/>
        <v>0</v>
      </c>
      <c r="X91" s="486">
        <f t="shared" si="46"/>
        <v>0</v>
      </c>
      <c r="Y91" s="486">
        <f t="shared" si="46"/>
        <v>0</v>
      </c>
      <c r="Z91" s="486">
        <f t="shared" si="46"/>
        <v>0</v>
      </c>
      <c r="AA91" s="486">
        <f t="shared" si="46"/>
        <v>0</v>
      </c>
      <c r="AB91" s="486">
        <f t="shared" si="46"/>
        <v>0</v>
      </c>
      <c r="AC91" s="486">
        <f t="shared" si="47"/>
        <v>0</v>
      </c>
      <c r="AD91" s="486">
        <f t="shared" si="47"/>
        <v>0</v>
      </c>
      <c r="AE91" s="486">
        <f t="shared" si="47"/>
        <v>0</v>
      </c>
      <c r="AF91" s="486">
        <f t="shared" si="47"/>
        <v>0</v>
      </c>
      <c r="AG91" s="486">
        <f t="shared" si="47"/>
        <v>0</v>
      </c>
      <c r="AH91" s="486">
        <f t="shared" si="47"/>
        <v>0</v>
      </c>
      <c r="AI91" s="486">
        <f t="shared" si="47"/>
        <v>0</v>
      </c>
      <c r="AJ91" s="486">
        <f t="shared" si="47"/>
        <v>0</v>
      </c>
      <c r="AK91" s="486">
        <f t="shared" si="47"/>
        <v>0</v>
      </c>
      <c r="AL91" s="486">
        <f t="shared" si="47"/>
        <v>0</v>
      </c>
      <c r="AM91" s="486">
        <f t="shared" si="48"/>
        <v>0</v>
      </c>
      <c r="AN91" s="486">
        <f t="shared" si="48"/>
        <v>0</v>
      </c>
      <c r="AO91" s="486">
        <f t="shared" si="48"/>
        <v>0</v>
      </c>
      <c r="AP91" s="486">
        <f t="shared" si="48"/>
        <v>0</v>
      </c>
      <c r="AQ91" s="486">
        <f t="shared" si="48"/>
        <v>0</v>
      </c>
      <c r="AR91" s="486">
        <f t="shared" si="48"/>
        <v>0</v>
      </c>
      <c r="AS91" s="486">
        <f t="shared" si="48"/>
        <v>0</v>
      </c>
      <c r="AT91" s="486">
        <f t="shared" si="48"/>
        <v>0</v>
      </c>
      <c r="AU91" s="486">
        <f t="shared" si="48"/>
        <v>0</v>
      </c>
      <c r="AV91" s="486">
        <f t="shared" si="48"/>
        <v>0</v>
      </c>
      <c r="AW91" s="486">
        <f t="shared" si="49"/>
        <v>0</v>
      </c>
      <c r="AX91" s="486">
        <f t="shared" si="49"/>
        <v>0</v>
      </c>
      <c r="AY91" s="486">
        <f t="shared" si="49"/>
        <v>0</v>
      </c>
      <c r="AZ91" s="486">
        <f t="shared" si="49"/>
        <v>0</v>
      </c>
      <c r="BA91" s="486">
        <f t="shared" si="49"/>
        <v>0</v>
      </c>
      <c r="BB91" s="486">
        <f t="shared" si="49"/>
        <v>0</v>
      </c>
      <c r="BC91" s="486">
        <f t="shared" si="49"/>
        <v>0</v>
      </c>
      <c r="BD91" s="486">
        <f t="shared" si="49"/>
        <v>0</v>
      </c>
      <c r="BE91" s="486">
        <f t="shared" si="49"/>
        <v>0</v>
      </c>
      <c r="BF91" s="486">
        <f t="shared" si="49"/>
        <v>0</v>
      </c>
      <c r="BG91" s="486">
        <f t="shared" si="49"/>
        <v>0</v>
      </c>
      <c r="BH91" s="487">
        <f t="shared" si="49"/>
        <v>0</v>
      </c>
    </row>
    <row r="92" spans="6:60" x14ac:dyDescent="0.25">
      <c r="F92" s="488">
        <f t="shared" si="39"/>
        <v>44986</v>
      </c>
      <c r="G92" s="312">
        <v>28</v>
      </c>
      <c r="H92" t="str">
        <f t="shared" si="33"/>
        <v/>
      </c>
      <c r="I92" s="486">
        <f t="shared" si="45"/>
        <v>0</v>
      </c>
      <c r="J92" s="486">
        <f t="shared" si="45"/>
        <v>0</v>
      </c>
      <c r="K92" s="486">
        <f t="shared" si="45"/>
        <v>0</v>
      </c>
      <c r="L92" s="486">
        <f t="shared" si="45"/>
        <v>0</v>
      </c>
      <c r="M92" s="486">
        <f t="shared" si="45"/>
        <v>0</v>
      </c>
      <c r="N92" s="486">
        <f t="shared" si="45"/>
        <v>0</v>
      </c>
      <c r="O92" s="486">
        <f t="shared" si="45"/>
        <v>0</v>
      </c>
      <c r="P92" s="486">
        <f t="shared" si="45"/>
        <v>0</v>
      </c>
      <c r="Q92" s="486">
        <f t="shared" si="45"/>
        <v>0</v>
      </c>
      <c r="R92" s="486">
        <f t="shared" si="45"/>
        <v>0</v>
      </c>
      <c r="S92" s="486">
        <f t="shared" si="46"/>
        <v>0</v>
      </c>
      <c r="T92" s="486">
        <f t="shared" si="46"/>
        <v>0</v>
      </c>
      <c r="U92" s="486">
        <f t="shared" si="46"/>
        <v>0</v>
      </c>
      <c r="V92" s="486">
        <f t="shared" si="46"/>
        <v>0</v>
      </c>
      <c r="W92" s="486">
        <f t="shared" si="46"/>
        <v>0</v>
      </c>
      <c r="X92" s="486">
        <f t="shared" si="46"/>
        <v>0</v>
      </c>
      <c r="Y92" s="486">
        <f t="shared" si="46"/>
        <v>0</v>
      </c>
      <c r="Z92" s="486">
        <f t="shared" si="46"/>
        <v>0</v>
      </c>
      <c r="AA92" s="486">
        <f t="shared" si="46"/>
        <v>0</v>
      </c>
      <c r="AB92" s="486">
        <f t="shared" si="46"/>
        <v>0</v>
      </c>
      <c r="AC92" s="486">
        <f t="shared" si="47"/>
        <v>0</v>
      </c>
      <c r="AD92" s="486">
        <f t="shared" si="47"/>
        <v>0</v>
      </c>
      <c r="AE92" s="486">
        <f t="shared" si="47"/>
        <v>0</v>
      </c>
      <c r="AF92" s="486">
        <f t="shared" si="47"/>
        <v>0</v>
      </c>
      <c r="AG92" s="486">
        <f t="shared" si="47"/>
        <v>0</v>
      </c>
      <c r="AH92" s="486">
        <f t="shared" si="47"/>
        <v>0</v>
      </c>
      <c r="AI92" s="486">
        <f t="shared" si="47"/>
        <v>0</v>
      </c>
      <c r="AJ92" s="486">
        <f t="shared" si="47"/>
        <v>0</v>
      </c>
      <c r="AK92" s="486">
        <f t="shared" si="47"/>
        <v>0</v>
      </c>
      <c r="AL92" s="486">
        <f t="shared" si="47"/>
        <v>0</v>
      </c>
      <c r="AM92" s="486">
        <f t="shared" si="48"/>
        <v>0</v>
      </c>
      <c r="AN92" s="486">
        <f t="shared" si="48"/>
        <v>0</v>
      </c>
      <c r="AO92" s="486">
        <f t="shared" si="48"/>
        <v>0</v>
      </c>
      <c r="AP92" s="486">
        <f t="shared" si="48"/>
        <v>0</v>
      </c>
      <c r="AQ92" s="486">
        <f t="shared" si="48"/>
        <v>0</v>
      </c>
      <c r="AR92" s="486">
        <f t="shared" si="48"/>
        <v>0</v>
      </c>
      <c r="AS92" s="486">
        <f t="shared" si="48"/>
        <v>0</v>
      </c>
      <c r="AT92" s="486">
        <f t="shared" si="48"/>
        <v>0</v>
      </c>
      <c r="AU92" s="486">
        <f t="shared" si="48"/>
        <v>0</v>
      </c>
      <c r="AV92" s="486">
        <f t="shared" si="48"/>
        <v>0</v>
      </c>
      <c r="AW92" s="486">
        <f t="shared" si="49"/>
        <v>0</v>
      </c>
      <c r="AX92" s="486">
        <f t="shared" si="49"/>
        <v>0</v>
      </c>
      <c r="AY92" s="486">
        <f t="shared" si="49"/>
        <v>0</v>
      </c>
      <c r="AZ92" s="486">
        <f t="shared" si="49"/>
        <v>0</v>
      </c>
      <c r="BA92" s="486">
        <f t="shared" si="49"/>
        <v>0</v>
      </c>
      <c r="BB92" s="486">
        <f t="shared" si="49"/>
        <v>0</v>
      </c>
      <c r="BC92" s="486">
        <f t="shared" si="49"/>
        <v>0</v>
      </c>
      <c r="BD92" s="486">
        <f t="shared" si="49"/>
        <v>0</v>
      </c>
      <c r="BE92" s="486">
        <f t="shared" si="49"/>
        <v>0</v>
      </c>
      <c r="BF92" s="486">
        <f t="shared" si="49"/>
        <v>0</v>
      </c>
      <c r="BG92" s="486">
        <f t="shared" si="49"/>
        <v>0</v>
      </c>
      <c r="BH92" s="487">
        <f t="shared" si="49"/>
        <v>0</v>
      </c>
    </row>
    <row r="93" spans="6:60" x14ac:dyDescent="0.25">
      <c r="F93" s="488">
        <f t="shared" si="39"/>
        <v>45017</v>
      </c>
      <c r="G93" s="312">
        <v>29</v>
      </c>
      <c r="H93" t="str">
        <f t="shared" si="33"/>
        <v>CH</v>
      </c>
      <c r="I93" s="486">
        <f t="shared" si="45"/>
        <v>0</v>
      </c>
      <c r="J93" s="486">
        <f t="shared" si="45"/>
        <v>0</v>
      </c>
      <c r="K93" s="486">
        <f t="shared" si="45"/>
        <v>0</v>
      </c>
      <c r="L93" s="486">
        <f t="shared" si="45"/>
        <v>0</v>
      </c>
      <c r="M93" s="486">
        <f t="shared" si="45"/>
        <v>0</v>
      </c>
      <c r="N93" s="486">
        <f t="shared" si="45"/>
        <v>0</v>
      </c>
      <c r="O93" s="486">
        <f t="shared" si="45"/>
        <v>0</v>
      </c>
      <c r="P93" s="486">
        <f t="shared" si="45"/>
        <v>0</v>
      </c>
      <c r="Q93" s="486">
        <f t="shared" si="45"/>
        <v>0</v>
      </c>
      <c r="R93" s="486">
        <f t="shared" si="45"/>
        <v>0</v>
      </c>
      <c r="S93" s="486">
        <f t="shared" si="46"/>
        <v>0</v>
      </c>
      <c r="T93" s="486">
        <f t="shared" si="46"/>
        <v>0</v>
      </c>
      <c r="U93" s="486">
        <f t="shared" si="46"/>
        <v>0</v>
      </c>
      <c r="V93" s="486">
        <f t="shared" si="46"/>
        <v>0</v>
      </c>
      <c r="W93" s="486">
        <f t="shared" si="46"/>
        <v>0</v>
      </c>
      <c r="X93" s="486">
        <f t="shared" si="46"/>
        <v>0</v>
      </c>
      <c r="Y93" s="486">
        <f t="shared" si="46"/>
        <v>0</v>
      </c>
      <c r="Z93" s="486">
        <f t="shared" si="46"/>
        <v>0</v>
      </c>
      <c r="AA93" s="486">
        <f t="shared" si="46"/>
        <v>0</v>
      </c>
      <c r="AB93" s="486">
        <f t="shared" si="46"/>
        <v>0</v>
      </c>
      <c r="AC93" s="486">
        <f t="shared" si="47"/>
        <v>0</v>
      </c>
      <c r="AD93" s="486">
        <f t="shared" si="47"/>
        <v>0</v>
      </c>
      <c r="AE93" s="486">
        <f t="shared" si="47"/>
        <v>0</v>
      </c>
      <c r="AF93" s="486">
        <f t="shared" si="47"/>
        <v>0</v>
      </c>
      <c r="AG93" s="486">
        <f t="shared" si="47"/>
        <v>0</v>
      </c>
      <c r="AH93" s="486">
        <f t="shared" si="47"/>
        <v>0</v>
      </c>
      <c r="AI93" s="486">
        <f t="shared" si="47"/>
        <v>0</v>
      </c>
      <c r="AJ93" s="486">
        <f t="shared" si="47"/>
        <v>0</v>
      </c>
      <c r="AK93" s="486">
        <f t="shared" si="47"/>
        <v>0</v>
      </c>
      <c r="AL93" s="486">
        <f t="shared" si="47"/>
        <v>0</v>
      </c>
      <c r="AM93" s="486">
        <f t="shared" si="48"/>
        <v>0</v>
      </c>
      <c r="AN93" s="486">
        <f t="shared" si="48"/>
        <v>0</v>
      </c>
      <c r="AO93" s="486">
        <f t="shared" si="48"/>
        <v>0</v>
      </c>
      <c r="AP93" s="486">
        <f t="shared" si="48"/>
        <v>0</v>
      </c>
      <c r="AQ93" s="486">
        <f t="shared" si="48"/>
        <v>0</v>
      </c>
      <c r="AR93" s="486">
        <f t="shared" si="48"/>
        <v>0</v>
      </c>
      <c r="AS93" s="486">
        <f t="shared" si="48"/>
        <v>0</v>
      </c>
      <c r="AT93" s="486">
        <f t="shared" si="48"/>
        <v>0</v>
      </c>
      <c r="AU93" s="486">
        <f t="shared" si="48"/>
        <v>0</v>
      </c>
      <c r="AV93" s="486">
        <f t="shared" si="48"/>
        <v>0</v>
      </c>
      <c r="AW93" s="486">
        <f t="shared" si="49"/>
        <v>0</v>
      </c>
      <c r="AX93" s="486">
        <f t="shared" si="49"/>
        <v>0</v>
      </c>
      <c r="AY93" s="486">
        <f t="shared" si="49"/>
        <v>0</v>
      </c>
      <c r="AZ93" s="486">
        <f t="shared" si="49"/>
        <v>0</v>
      </c>
      <c r="BA93" s="486">
        <f t="shared" si="49"/>
        <v>0</v>
      </c>
      <c r="BB93" s="486">
        <f t="shared" si="49"/>
        <v>0</v>
      </c>
      <c r="BC93" s="486">
        <f t="shared" si="49"/>
        <v>0</v>
      </c>
      <c r="BD93" s="486">
        <f t="shared" si="49"/>
        <v>0</v>
      </c>
      <c r="BE93" s="486">
        <f t="shared" si="49"/>
        <v>0</v>
      </c>
      <c r="BF93" s="486">
        <f t="shared" si="49"/>
        <v>0</v>
      </c>
      <c r="BG93" s="486">
        <f t="shared" si="49"/>
        <v>0</v>
      </c>
      <c r="BH93" s="487">
        <f t="shared" si="49"/>
        <v>0</v>
      </c>
    </row>
    <row r="94" spans="6:60" x14ac:dyDescent="0.25">
      <c r="F94" s="488">
        <f t="shared" si="39"/>
        <v>45047</v>
      </c>
      <c r="G94" s="312">
        <v>30</v>
      </c>
      <c r="H94" t="str">
        <f t="shared" si="33"/>
        <v/>
      </c>
      <c r="I94" s="486">
        <f t="shared" si="45"/>
        <v>0</v>
      </c>
      <c r="J94" s="486">
        <f t="shared" si="45"/>
        <v>0</v>
      </c>
      <c r="K94" s="486">
        <f t="shared" si="45"/>
        <v>0</v>
      </c>
      <c r="L94" s="486">
        <f t="shared" si="45"/>
        <v>0</v>
      </c>
      <c r="M94" s="486">
        <f t="shared" si="45"/>
        <v>0</v>
      </c>
      <c r="N94" s="486">
        <f t="shared" si="45"/>
        <v>0</v>
      </c>
      <c r="O94" s="486">
        <f t="shared" si="45"/>
        <v>0</v>
      </c>
      <c r="P94" s="486">
        <f t="shared" si="45"/>
        <v>0</v>
      </c>
      <c r="Q94" s="486">
        <f t="shared" si="45"/>
        <v>0</v>
      </c>
      <c r="R94" s="486">
        <f t="shared" si="45"/>
        <v>0</v>
      </c>
      <c r="S94" s="486">
        <f t="shared" si="46"/>
        <v>0</v>
      </c>
      <c r="T94" s="486">
        <f t="shared" si="46"/>
        <v>0</v>
      </c>
      <c r="U94" s="486">
        <f t="shared" si="46"/>
        <v>0</v>
      </c>
      <c r="V94" s="486">
        <f t="shared" si="46"/>
        <v>0</v>
      </c>
      <c r="W94" s="486">
        <f t="shared" si="46"/>
        <v>0</v>
      </c>
      <c r="X94" s="486">
        <f t="shared" si="46"/>
        <v>0</v>
      </c>
      <c r="Y94" s="486">
        <f t="shared" si="46"/>
        <v>0</v>
      </c>
      <c r="Z94" s="486">
        <f t="shared" si="46"/>
        <v>0</v>
      </c>
      <c r="AA94" s="486">
        <f t="shared" si="46"/>
        <v>0</v>
      </c>
      <c r="AB94" s="486">
        <f t="shared" si="46"/>
        <v>0</v>
      </c>
      <c r="AC94" s="486">
        <f t="shared" si="47"/>
        <v>0</v>
      </c>
      <c r="AD94" s="486">
        <f t="shared" si="47"/>
        <v>0</v>
      </c>
      <c r="AE94" s="486">
        <f t="shared" si="47"/>
        <v>0</v>
      </c>
      <c r="AF94" s="486">
        <f t="shared" si="47"/>
        <v>0</v>
      </c>
      <c r="AG94" s="486">
        <f t="shared" si="47"/>
        <v>0</v>
      </c>
      <c r="AH94" s="486">
        <f t="shared" si="47"/>
        <v>0</v>
      </c>
      <c r="AI94" s="486">
        <f t="shared" si="47"/>
        <v>0</v>
      </c>
      <c r="AJ94" s="486">
        <f t="shared" si="47"/>
        <v>0</v>
      </c>
      <c r="AK94" s="486">
        <f t="shared" si="47"/>
        <v>0</v>
      </c>
      <c r="AL94" s="486">
        <f t="shared" si="47"/>
        <v>0.15</v>
      </c>
      <c r="AM94" s="486">
        <f t="shared" si="48"/>
        <v>0</v>
      </c>
      <c r="AN94" s="486">
        <f t="shared" si="48"/>
        <v>0</v>
      </c>
      <c r="AO94" s="486">
        <f t="shared" si="48"/>
        <v>0</v>
      </c>
      <c r="AP94" s="486">
        <f t="shared" si="48"/>
        <v>0</v>
      </c>
      <c r="AQ94" s="486">
        <f t="shared" si="48"/>
        <v>0</v>
      </c>
      <c r="AR94" s="486">
        <f t="shared" si="48"/>
        <v>0</v>
      </c>
      <c r="AS94" s="486">
        <f t="shared" si="48"/>
        <v>0</v>
      </c>
      <c r="AT94" s="486">
        <f t="shared" si="48"/>
        <v>0</v>
      </c>
      <c r="AU94" s="486">
        <f t="shared" si="48"/>
        <v>0</v>
      </c>
      <c r="AV94" s="486">
        <f t="shared" si="48"/>
        <v>0</v>
      </c>
      <c r="AW94" s="486">
        <f t="shared" si="49"/>
        <v>0</v>
      </c>
      <c r="AX94" s="486">
        <f t="shared" si="49"/>
        <v>0</v>
      </c>
      <c r="AY94" s="486">
        <f t="shared" si="49"/>
        <v>0</v>
      </c>
      <c r="AZ94" s="486">
        <f t="shared" si="49"/>
        <v>0</v>
      </c>
      <c r="BA94" s="486">
        <f t="shared" si="49"/>
        <v>0</v>
      </c>
      <c r="BB94" s="486">
        <f t="shared" si="49"/>
        <v>0</v>
      </c>
      <c r="BC94" s="486">
        <f t="shared" si="49"/>
        <v>0</v>
      </c>
      <c r="BD94" s="486">
        <f t="shared" si="49"/>
        <v>0</v>
      </c>
      <c r="BE94" s="486">
        <f t="shared" si="49"/>
        <v>0</v>
      </c>
      <c r="BF94" s="486">
        <f t="shared" si="49"/>
        <v>0</v>
      </c>
      <c r="BG94" s="486">
        <f t="shared" si="49"/>
        <v>0</v>
      </c>
      <c r="BH94" s="487">
        <f t="shared" si="49"/>
        <v>0</v>
      </c>
    </row>
    <row r="95" spans="6:60" x14ac:dyDescent="0.25">
      <c r="F95" s="488">
        <f t="shared" si="39"/>
        <v>45078</v>
      </c>
      <c r="G95" s="312">
        <v>31</v>
      </c>
      <c r="H95" t="str">
        <f t="shared" si="33"/>
        <v/>
      </c>
      <c r="I95" s="486">
        <f t="shared" ref="I95:R104" si="50">IF(AND($F95&gt;entrega, I$63&gt;entrega), IF(AND($F95=I$63, $F95&lt;EDATE(terminoProjeto, -prazoRepasseVendas)), atoPosCh, 0)+IF(AND($F95&gt;I$63, $F95&lt;=EDATE(terminoProjeto, -2), $F95&lt;EDATE(I$63, prazoRepasseVendas), I$63&lt;EDATE(terminoProjeto, -prazoRepasseVendas)), mensaisPosCh/(prazoRepasseVendas-1), 0)+IF(AND($F95=EDATE(I$63, prazoRepasseVendas), $F95&lt;=EDATE(terminoProjeto, -1)), repassePosCh, 0), 0)</f>
        <v>0</v>
      </c>
      <c r="J95" s="486">
        <f t="shared" si="50"/>
        <v>0</v>
      </c>
      <c r="K95" s="486">
        <f t="shared" si="50"/>
        <v>0</v>
      </c>
      <c r="L95" s="486">
        <f t="shared" si="50"/>
        <v>0</v>
      </c>
      <c r="M95" s="486">
        <f t="shared" si="50"/>
        <v>0</v>
      </c>
      <c r="N95" s="486">
        <f t="shared" si="50"/>
        <v>0</v>
      </c>
      <c r="O95" s="486">
        <f t="shared" si="50"/>
        <v>0</v>
      </c>
      <c r="P95" s="486">
        <f t="shared" si="50"/>
        <v>0</v>
      </c>
      <c r="Q95" s="486">
        <f t="shared" si="50"/>
        <v>0</v>
      </c>
      <c r="R95" s="486">
        <f t="shared" si="50"/>
        <v>0</v>
      </c>
      <c r="S95" s="486">
        <f t="shared" ref="S95:AB104" si="51">IF(AND($F95&gt;entrega, S$63&gt;entrega), IF(AND($F95=S$63, $F95&lt;EDATE(terminoProjeto, -prazoRepasseVendas)), atoPosCh, 0)+IF(AND($F95&gt;S$63, $F95&lt;=EDATE(terminoProjeto, -2), $F95&lt;EDATE(S$63, prazoRepasseVendas), S$63&lt;EDATE(terminoProjeto, -prazoRepasseVendas)), mensaisPosCh/(prazoRepasseVendas-1), 0)+IF(AND($F95=EDATE(S$63, prazoRepasseVendas), $F95&lt;=EDATE(terminoProjeto, -1)), repassePosCh, 0), 0)</f>
        <v>0</v>
      </c>
      <c r="T95" s="486">
        <f t="shared" si="51"/>
        <v>0</v>
      </c>
      <c r="U95" s="486">
        <f t="shared" si="51"/>
        <v>0</v>
      </c>
      <c r="V95" s="486">
        <f t="shared" si="51"/>
        <v>0</v>
      </c>
      <c r="W95" s="486">
        <f t="shared" si="51"/>
        <v>0</v>
      </c>
      <c r="X95" s="486">
        <f t="shared" si="51"/>
        <v>0</v>
      </c>
      <c r="Y95" s="486">
        <f t="shared" si="51"/>
        <v>0</v>
      </c>
      <c r="Z95" s="486">
        <f t="shared" si="51"/>
        <v>0</v>
      </c>
      <c r="AA95" s="486">
        <f t="shared" si="51"/>
        <v>0</v>
      </c>
      <c r="AB95" s="486">
        <f t="shared" si="51"/>
        <v>0</v>
      </c>
      <c r="AC95" s="486">
        <f t="shared" ref="AC95:AL104" si="52">IF(AND($F95&gt;entrega, AC$63&gt;entrega), IF(AND($F95=AC$63, $F95&lt;EDATE(terminoProjeto, -prazoRepasseVendas)), atoPosCh, 0)+IF(AND($F95&gt;AC$63, $F95&lt;=EDATE(terminoProjeto, -2), $F95&lt;EDATE(AC$63, prazoRepasseVendas), AC$63&lt;EDATE(terminoProjeto, -prazoRepasseVendas)), mensaisPosCh/(prazoRepasseVendas-1), 0)+IF(AND($F95=EDATE(AC$63, prazoRepasseVendas), $F95&lt;=EDATE(terminoProjeto, -1)), repassePosCh, 0), 0)</f>
        <v>0</v>
      </c>
      <c r="AD95" s="486">
        <f t="shared" si="52"/>
        <v>0</v>
      </c>
      <c r="AE95" s="486">
        <f t="shared" si="52"/>
        <v>0</v>
      </c>
      <c r="AF95" s="486">
        <f t="shared" si="52"/>
        <v>0</v>
      </c>
      <c r="AG95" s="486">
        <f t="shared" si="52"/>
        <v>0</v>
      </c>
      <c r="AH95" s="486">
        <f t="shared" si="52"/>
        <v>0</v>
      </c>
      <c r="AI95" s="486">
        <f t="shared" si="52"/>
        <v>0</v>
      </c>
      <c r="AJ95" s="486">
        <f t="shared" si="52"/>
        <v>0</v>
      </c>
      <c r="AK95" s="486">
        <f t="shared" si="52"/>
        <v>0</v>
      </c>
      <c r="AL95" s="486">
        <f t="shared" si="52"/>
        <v>7.4999999999999997E-2</v>
      </c>
      <c r="AM95" s="486">
        <f t="shared" ref="AM95:AV104" si="53">IF(AND($F95&gt;entrega, AM$63&gt;entrega), IF(AND($F95=AM$63, $F95&lt;EDATE(terminoProjeto, -prazoRepasseVendas)), atoPosCh, 0)+IF(AND($F95&gt;AM$63, $F95&lt;=EDATE(terminoProjeto, -2), $F95&lt;EDATE(AM$63, prazoRepasseVendas), AM$63&lt;EDATE(terminoProjeto, -prazoRepasseVendas)), mensaisPosCh/(prazoRepasseVendas-1), 0)+IF(AND($F95=EDATE(AM$63, prazoRepasseVendas), $F95&lt;=EDATE(terminoProjeto, -1)), repassePosCh, 0), 0)</f>
        <v>0.15</v>
      </c>
      <c r="AN95" s="486">
        <f t="shared" si="53"/>
        <v>0</v>
      </c>
      <c r="AO95" s="486">
        <f t="shared" si="53"/>
        <v>0</v>
      </c>
      <c r="AP95" s="486">
        <f t="shared" si="53"/>
        <v>0</v>
      </c>
      <c r="AQ95" s="486">
        <f t="shared" si="53"/>
        <v>0</v>
      </c>
      <c r="AR95" s="486">
        <f t="shared" si="53"/>
        <v>0</v>
      </c>
      <c r="AS95" s="486">
        <f t="shared" si="53"/>
        <v>0</v>
      </c>
      <c r="AT95" s="486">
        <f t="shared" si="53"/>
        <v>0</v>
      </c>
      <c r="AU95" s="486">
        <f t="shared" si="53"/>
        <v>0</v>
      </c>
      <c r="AV95" s="486">
        <f t="shared" si="53"/>
        <v>0</v>
      </c>
      <c r="AW95" s="486">
        <f t="shared" ref="AW95:BH104" si="54">IF(AND($F95&gt;entrega, AW$63&gt;entrega), IF(AND($F95=AW$63, $F95&lt;EDATE(terminoProjeto, -prazoRepasseVendas)), atoPosCh, 0)+IF(AND($F95&gt;AW$63, $F95&lt;=EDATE(terminoProjeto, -2), $F95&lt;EDATE(AW$63, prazoRepasseVendas), AW$63&lt;EDATE(terminoProjeto, -prazoRepasseVendas)), mensaisPosCh/(prazoRepasseVendas-1), 0)+IF(AND($F95=EDATE(AW$63, prazoRepasseVendas), $F95&lt;=EDATE(terminoProjeto, -1)), repassePosCh, 0), 0)</f>
        <v>0</v>
      </c>
      <c r="AX95" s="486">
        <f t="shared" si="54"/>
        <v>0</v>
      </c>
      <c r="AY95" s="486">
        <f t="shared" si="54"/>
        <v>0</v>
      </c>
      <c r="AZ95" s="486">
        <f t="shared" si="54"/>
        <v>0</v>
      </c>
      <c r="BA95" s="486">
        <f t="shared" si="54"/>
        <v>0</v>
      </c>
      <c r="BB95" s="486">
        <f t="shared" si="54"/>
        <v>0</v>
      </c>
      <c r="BC95" s="486">
        <f t="shared" si="54"/>
        <v>0</v>
      </c>
      <c r="BD95" s="486">
        <f t="shared" si="54"/>
        <v>0</v>
      </c>
      <c r="BE95" s="486">
        <f t="shared" si="54"/>
        <v>0</v>
      </c>
      <c r="BF95" s="486">
        <f t="shared" si="54"/>
        <v>0</v>
      </c>
      <c r="BG95" s="486">
        <f t="shared" si="54"/>
        <v>0</v>
      </c>
      <c r="BH95" s="487">
        <f t="shared" si="54"/>
        <v>0</v>
      </c>
    </row>
    <row r="96" spans="6:60" x14ac:dyDescent="0.25">
      <c r="F96" s="488">
        <f t="shared" si="39"/>
        <v>45108</v>
      </c>
      <c r="G96" s="312">
        <v>32</v>
      </c>
      <c r="H96" t="str">
        <f t="shared" si="33"/>
        <v/>
      </c>
      <c r="I96" s="486">
        <f t="shared" si="50"/>
        <v>0</v>
      </c>
      <c r="J96" s="486">
        <f t="shared" si="50"/>
        <v>0</v>
      </c>
      <c r="K96" s="486">
        <f t="shared" si="50"/>
        <v>0</v>
      </c>
      <c r="L96" s="486">
        <f t="shared" si="50"/>
        <v>0</v>
      </c>
      <c r="M96" s="486">
        <f t="shared" si="50"/>
        <v>0</v>
      </c>
      <c r="N96" s="486">
        <f t="shared" si="50"/>
        <v>0</v>
      </c>
      <c r="O96" s="486">
        <f t="shared" si="50"/>
        <v>0</v>
      </c>
      <c r="P96" s="486">
        <f t="shared" si="50"/>
        <v>0</v>
      </c>
      <c r="Q96" s="486">
        <f t="shared" si="50"/>
        <v>0</v>
      </c>
      <c r="R96" s="486">
        <f t="shared" si="50"/>
        <v>0</v>
      </c>
      <c r="S96" s="486">
        <f t="shared" si="51"/>
        <v>0</v>
      </c>
      <c r="T96" s="486">
        <f t="shared" si="51"/>
        <v>0</v>
      </c>
      <c r="U96" s="486">
        <f t="shared" si="51"/>
        <v>0</v>
      </c>
      <c r="V96" s="486">
        <f t="shared" si="51"/>
        <v>0</v>
      </c>
      <c r="W96" s="486">
        <f t="shared" si="51"/>
        <v>0</v>
      </c>
      <c r="X96" s="486">
        <f t="shared" si="51"/>
        <v>0</v>
      </c>
      <c r="Y96" s="486">
        <f t="shared" si="51"/>
        <v>0</v>
      </c>
      <c r="Z96" s="486">
        <f t="shared" si="51"/>
        <v>0</v>
      </c>
      <c r="AA96" s="486">
        <f t="shared" si="51"/>
        <v>0</v>
      </c>
      <c r="AB96" s="486">
        <f t="shared" si="51"/>
        <v>0</v>
      </c>
      <c r="AC96" s="486">
        <f t="shared" si="52"/>
        <v>0</v>
      </c>
      <c r="AD96" s="486">
        <f t="shared" si="52"/>
        <v>0</v>
      </c>
      <c r="AE96" s="486">
        <f t="shared" si="52"/>
        <v>0</v>
      </c>
      <c r="AF96" s="486">
        <f t="shared" si="52"/>
        <v>0</v>
      </c>
      <c r="AG96" s="486">
        <f t="shared" si="52"/>
        <v>0</v>
      </c>
      <c r="AH96" s="486">
        <f t="shared" si="52"/>
        <v>0</v>
      </c>
      <c r="AI96" s="486">
        <f t="shared" si="52"/>
        <v>0</v>
      </c>
      <c r="AJ96" s="486">
        <f t="shared" si="52"/>
        <v>0</v>
      </c>
      <c r="AK96" s="486">
        <f t="shared" si="52"/>
        <v>0</v>
      </c>
      <c r="AL96" s="486">
        <f t="shared" si="52"/>
        <v>7.4999999999999997E-2</v>
      </c>
      <c r="AM96" s="486">
        <f t="shared" si="53"/>
        <v>7.4999999999999997E-2</v>
      </c>
      <c r="AN96" s="486">
        <f t="shared" si="53"/>
        <v>0.15</v>
      </c>
      <c r="AO96" s="486">
        <f t="shared" si="53"/>
        <v>0</v>
      </c>
      <c r="AP96" s="486">
        <f t="shared" si="53"/>
        <v>0</v>
      </c>
      <c r="AQ96" s="486">
        <f t="shared" si="53"/>
        <v>0</v>
      </c>
      <c r="AR96" s="486">
        <f t="shared" si="53"/>
        <v>0</v>
      </c>
      <c r="AS96" s="486">
        <f t="shared" si="53"/>
        <v>0</v>
      </c>
      <c r="AT96" s="486">
        <f t="shared" si="53"/>
        <v>0</v>
      </c>
      <c r="AU96" s="486">
        <f t="shared" si="53"/>
        <v>0</v>
      </c>
      <c r="AV96" s="486">
        <f t="shared" si="53"/>
        <v>0</v>
      </c>
      <c r="AW96" s="486">
        <f t="shared" si="54"/>
        <v>0</v>
      </c>
      <c r="AX96" s="486">
        <f t="shared" si="54"/>
        <v>0</v>
      </c>
      <c r="AY96" s="486">
        <f t="shared" si="54"/>
        <v>0</v>
      </c>
      <c r="AZ96" s="486">
        <f t="shared" si="54"/>
        <v>0</v>
      </c>
      <c r="BA96" s="486">
        <f t="shared" si="54"/>
        <v>0</v>
      </c>
      <c r="BB96" s="486">
        <f t="shared" si="54"/>
        <v>0</v>
      </c>
      <c r="BC96" s="486">
        <f t="shared" si="54"/>
        <v>0</v>
      </c>
      <c r="BD96" s="486">
        <f t="shared" si="54"/>
        <v>0</v>
      </c>
      <c r="BE96" s="486">
        <f t="shared" si="54"/>
        <v>0</v>
      </c>
      <c r="BF96" s="486">
        <f t="shared" si="54"/>
        <v>0</v>
      </c>
      <c r="BG96" s="486">
        <f t="shared" si="54"/>
        <v>0</v>
      </c>
      <c r="BH96" s="487">
        <f t="shared" si="54"/>
        <v>0</v>
      </c>
    </row>
    <row r="97" spans="6:60" x14ac:dyDescent="0.25">
      <c r="F97" s="488">
        <f t="shared" si="39"/>
        <v>45139</v>
      </c>
      <c r="G97" s="312">
        <v>33</v>
      </c>
      <c r="H97" t="str">
        <f t="shared" ref="H97:H128" si="55">IFERROR(INDEX($A$2:$A$6, MATCH(G97, $D$2:$D$6, 0)), "")</f>
        <v/>
      </c>
      <c r="I97" s="486">
        <f t="shared" si="50"/>
        <v>0</v>
      </c>
      <c r="J97" s="486">
        <f t="shared" si="50"/>
        <v>0</v>
      </c>
      <c r="K97" s="486">
        <f t="shared" si="50"/>
        <v>0</v>
      </c>
      <c r="L97" s="486">
        <f t="shared" si="50"/>
        <v>0</v>
      </c>
      <c r="M97" s="486">
        <f t="shared" si="50"/>
        <v>0</v>
      </c>
      <c r="N97" s="486">
        <f t="shared" si="50"/>
        <v>0</v>
      </c>
      <c r="O97" s="486">
        <f t="shared" si="50"/>
        <v>0</v>
      </c>
      <c r="P97" s="486">
        <f t="shared" si="50"/>
        <v>0</v>
      </c>
      <c r="Q97" s="486">
        <f t="shared" si="50"/>
        <v>0</v>
      </c>
      <c r="R97" s="486">
        <f t="shared" si="50"/>
        <v>0</v>
      </c>
      <c r="S97" s="486">
        <f t="shared" si="51"/>
        <v>0</v>
      </c>
      <c r="T97" s="486">
        <f t="shared" si="51"/>
        <v>0</v>
      </c>
      <c r="U97" s="486">
        <f t="shared" si="51"/>
        <v>0</v>
      </c>
      <c r="V97" s="486">
        <f t="shared" si="51"/>
        <v>0</v>
      </c>
      <c r="W97" s="486">
        <f t="shared" si="51"/>
        <v>0</v>
      </c>
      <c r="X97" s="486">
        <f t="shared" si="51"/>
        <v>0</v>
      </c>
      <c r="Y97" s="486">
        <f t="shared" si="51"/>
        <v>0</v>
      </c>
      <c r="Z97" s="486">
        <f t="shared" si="51"/>
        <v>0</v>
      </c>
      <c r="AA97" s="486">
        <f t="shared" si="51"/>
        <v>0</v>
      </c>
      <c r="AB97" s="486">
        <f t="shared" si="51"/>
        <v>0</v>
      </c>
      <c r="AC97" s="486">
        <f t="shared" si="52"/>
        <v>0</v>
      </c>
      <c r="AD97" s="486">
        <f t="shared" si="52"/>
        <v>0</v>
      </c>
      <c r="AE97" s="486">
        <f t="shared" si="52"/>
        <v>0</v>
      </c>
      <c r="AF97" s="486">
        <f t="shared" si="52"/>
        <v>0</v>
      </c>
      <c r="AG97" s="486">
        <f t="shared" si="52"/>
        <v>0</v>
      </c>
      <c r="AH97" s="486">
        <f t="shared" si="52"/>
        <v>0</v>
      </c>
      <c r="AI97" s="486">
        <f t="shared" si="52"/>
        <v>0</v>
      </c>
      <c r="AJ97" s="486">
        <f t="shared" si="52"/>
        <v>0</v>
      </c>
      <c r="AK97" s="486">
        <f t="shared" si="52"/>
        <v>0</v>
      </c>
      <c r="AL97" s="486">
        <f t="shared" si="52"/>
        <v>0.7</v>
      </c>
      <c r="AM97" s="486">
        <f t="shared" si="53"/>
        <v>7.4999999999999997E-2</v>
      </c>
      <c r="AN97" s="486">
        <f t="shared" si="53"/>
        <v>7.4999999999999997E-2</v>
      </c>
      <c r="AO97" s="486">
        <f t="shared" si="53"/>
        <v>0.15</v>
      </c>
      <c r="AP97" s="486">
        <f t="shared" si="53"/>
        <v>0</v>
      </c>
      <c r="AQ97" s="486">
        <f t="shared" si="53"/>
        <v>0</v>
      </c>
      <c r="AR97" s="486">
        <f t="shared" si="53"/>
        <v>0</v>
      </c>
      <c r="AS97" s="486">
        <f t="shared" si="53"/>
        <v>0</v>
      </c>
      <c r="AT97" s="486">
        <f t="shared" si="53"/>
        <v>0</v>
      </c>
      <c r="AU97" s="486">
        <f t="shared" si="53"/>
        <v>0</v>
      </c>
      <c r="AV97" s="486">
        <f t="shared" si="53"/>
        <v>0</v>
      </c>
      <c r="AW97" s="486">
        <f t="shared" si="54"/>
        <v>0</v>
      </c>
      <c r="AX97" s="486">
        <f t="shared" si="54"/>
        <v>0</v>
      </c>
      <c r="AY97" s="486">
        <f t="shared" si="54"/>
        <v>0</v>
      </c>
      <c r="AZ97" s="486">
        <f t="shared" si="54"/>
        <v>0</v>
      </c>
      <c r="BA97" s="486">
        <f t="shared" si="54"/>
        <v>0</v>
      </c>
      <c r="BB97" s="486">
        <f t="shared" si="54"/>
        <v>0</v>
      </c>
      <c r="BC97" s="486">
        <f t="shared" si="54"/>
        <v>0</v>
      </c>
      <c r="BD97" s="486">
        <f t="shared" si="54"/>
        <v>0</v>
      </c>
      <c r="BE97" s="486">
        <f t="shared" si="54"/>
        <v>0</v>
      </c>
      <c r="BF97" s="486">
        <f t="shared" si="54"/>
        <v>0</v>
      </c>
      <c r="BG97" s="486">
        <f t="shared" si="54"/>
        <v>0</v>
      </c>
      <c r="BH97" s="487">
        <f t="shared" si="54"/>
        <v>0</v>
      </c>
    </row>
    <row r="98" spans="6:60" x14ac:dyDescent="0.25">
      <c r="F98" s="488">
        <f t="shared" ref="F98:F116" si="56">EDATE(F97, 1)</f>
        <v>45170</v>
      </c>
      <c r="G98" s="312">
        <v>34</v>
      </c>
      <c r="H98" t="str">
        <f t="shared" si="55"/>
        <v/>
      </c>
      <c r="I98" s="486">
        <f t="shared" si="50"/>
        <v>0</v>
      </c>
      <c r="J98" s="486">
        <f t="shared" si="50"/>
        <v>0</v>
      </c>
      <c r="K98" s="486">
        <f t="shared" si="50"/>
        <v>0</v>
      </c>
      <c r="L98" s="486">
        <f t="shared" si="50"/>
        <v>0</v>
      </c>
      <c r="M98" s="486">
        <f t="shared" si="50"/>
        <v>0</v>
      </c>
      <c r="N98" s="486">
        <f t="shared" si="50"/>
        <v>0</v>
      </c>
      <c r="O98" s="486">
        <f t="shared" si="50"/>
        <v>0</v>
      </c>
      <c r="P98" s="486">
        <f t="shared" si="50"/>
        <v>0</v>
      </c>
      <c r="Q98" s="486">
        <f t="shared" si="50"/>
        <v>0</v>
      </c>
      <c r="R98" s="486">
        <f t="shared" si="50"/>
        <v>0</v>
      </c>
      <c r="S98" s="486">
        <f t="shared" si="51"/>
        <v>0</v>
      </c>
      <c r="T98" s="486">
        <f t="shared" si="51"/>
        <v>0</v>
      </c>
      <c r="U98" s="486">
        <f t="shared" si="51"/>
        <v>0</v>
      </c>
      <c r="V98" s="486">
        <f t="shared" si="51"/>
        <v>0</v>
      </c>
      <c r="W98" s="486">
        <f t="shared" si="51"/>
        <v>0</v>
      </c>
      <c r="X98" s="486">
        <f t="shared" si="51"/>
        <v>0</v>
      </c>
      <c r="Y98" s="486">
        <f t="shared" si="51"/>
        <v>0</v>
      </c>
      <c r="Z98" s="486">
        <f t="shared" si="51"/>
        <v>0</v>
      </c>
      <c r="AA98" s="486">
        <f t="shared" si="51"/>
        <v>0</v>
      </c>
      <c r="AB98" s="486">
        <f t="shared" si="51"/>
        <v>0</v>
      </c>
      <c r="AC98" s="486">
        <f t="shared" si="52"/>
        <v>0</v>
      </c>
      <c r="AD98" s="486">
        <f t="shared" si="52"/>
        <v>0</v>
      </c>
      <c r="AE98" s="486">
        <f t="shared" si="52"/>
        <v>0</v>
      </c>
      <c r="AF98" s="486">
        <f t="shared" si="52"/>
        <v>0</v>
      </c>
      <c r="AG98" s="486">
        <f t="shared" si="52"/>
        <v>0</v>
      </c>
      <c r="AH98" s="486">
        <f t="shared" si="52"/>
        <v>0</v>
      </c>
      <c r="AI98" s="486">
        <f t="shared" si="52"/>
        <v>0</v>
      </c>
      <c r="AJ98" s="486">
        <f t="shared" si="52"/>
        <v>0</v>
      </c>
      <c r="AK98" s="486">
        <f t="shared" si="52"/>
        <v>0</v>
      </c>
      <c r="AL98" s="486">
        <f t="shared" si="52"/>
        <v>0</v>
      </c>
      <c r="AM98" s="486">
        <f t="shared" si="53"/>
        <v>0.7</v>
      </c>
      <c r="AN98" s="486">
        <f t="shared" si="53"/>
        <v>7.4999999999999997E-2</v>
      </c>
      <c r="AO98" s="486">
        <f t="shared" si="53"/>
        <v>7.4999999999999997E-2</v>
      </c>
      <c r="AP98" s="486">
        <f t="shared" si="53"/>
        <v>0.15</v>
      </c>
      <c r="AQ98" s="486">
        <f t="shared" si="53"/>
        <v>0</v>
      </c>
      <c r="AR98" s="486">
        <f t="shared" si="53"/>
        <v>0</v>
      </c>
      <c r="AS98" s="486">
        <f t="shared" si="53"/>
        <v>0</v>
      </c>
      <c r="AT98" s="486">
        <f t="shared" si="53"/>
        <v>0</v>
      </c>
      <c r="AU98" s="486">
        <f t="shared" si="53"/>
        <v>0</v>
      </c>
      <c r="AV98" s="486">
        <f t="shared" si="53"/>
        <v>0</v>
      </c>
      <c r="AW98" s="486">
        <f t="shared" si="54"/>
        <v>0</v>
      </c>
      <c r="AX98" s="486">
        <f t="shared" si="54"/>
        <v>0</v>
      </c>
      <c r="AY98" s="486">
        <f t="shared" si="54"/>
        <v>0</v>
      </c>
      <c r="AZ98" s="486">
        <f t="shared" si="54"/>
        <v>0</v>
      </c>
      <c r="BA98" s="486">
        <f t="shared" si="54"/>
        <v>0</v>
      </c>
      <c r="BB98" s="486">
        <f t="shared" si="54"/>
        <v>0</v>
      </c>
      <c r="BC98" s="486">
        <f t="shared" si="54"/>
        <v>0</v>
      </c>
      <c r="BD98" s="486">
        <f t="shared" si="54"/>
        <v>0</v>
      </c>
      <c r="BE98" s="486">
        <f t="shared" si="54"/>
        <v>0</v>
      </c>
      <c r="BF98" s="486">
        <f t="shared" si="54"/>
        <v>0</v>
      </c>
      <c r="BG98" s="486">
        <f t="shared" si="54"/>
        <v>0</v>
      </c>
      <c r="BH98" s="487">
        <f t="shared" si="54"/>
        <v>0</v>
      </c>
    </row>
    <row r="99" spans="6:60" x14ac:dyDescent="0.25">
      <c r="F99" s="488">
        <f t="shared" si="56"/>
        <v>45200</v>
      </c>
      <c r="G99" s="312">
        <v>35</v>
      </c>
      <c r="H99" t="str">
        <f t="shared" si="55"/>
        <v/>
      </c>
      <c r="I99" s="486">
        <f t="shared" si="50"/>
        <v>0</v>
      </c>
      <c r="J99" s="486">
        <f t="shared" si="50"/>
        <v>0</v>
      </c>
      <c r="K99" s="486">
        <f t="shared" si="50"/>
        <v>0</v>
      </c>
      <c r="L99" s="486">
        <f t="shared" si="50"/>
        <v>0</v>
      </c>
      <c r="M99" s="486">
        <f t="shared" si="50"/>
        <v>0</v>
      </c>
      <c r="N99" s="486">
        <f t="shared" si="50"/>
        <v>0</v>
      </c>
      <c r="O99" s="486">
        <f t="shared" si="50"/>
        <v>0</v>
      </c>
      <c r="P99" s="486">
        <f t="shared" si="50"/>
        <v>0</v>
      </c>
      <c r="Q99" s="486">
        <f t="shared" si="50"/>
        <v>0</v>
      </c>
      <c r="R99" s="486">
        <f t="shared" si="50"/>
        <v>0</v>
      </c>
      <c r="S99" s="486">
        <f t="shared" si="51"/>
        <v>0</v>
      </c>
      <c r="T99" s="486">
        <f t="shared" si="51"/>
        <v>0</v>
      </c>
      <c r="U99" s="486">
        <f t="shared" si="51"/>
        <v>0</v>
      </c>
      <c r="V99" s="486">
        <f t="shared" si="51"/>
        <v>0</v>
      </c>
      <c r="W99" s="486">
        <f t="shared" si="51"/>
        <v>0</v>
      </c>
      <c r="X99" s="486">
        <f t="shared" si="51"/>
        <v>0</v>
      </c>
      <c r="Y99" s="486">
        <f t="shared" si="51"/>
        <v>0</v>
      </c>
      <c r="Z99" s="486">
        <f t="shared" si="51"/>
        <v>0</v>
      </c>
      <c r="AA99" s="486">
        <f t="shared" si="51"/>
        <v>0</v>
      </c>
      <c r="AB99" s="486">
        <f t="shared" si="51"/>
        <v>0</v>
      </c>
      <c r="AC99" s="486">
        <f t="shared" si="52"/>
        <v>0</v>
      </c>
      <c r="AD99" s="486">
        <f t="shared" si="52"/>
        <v>0</v>
      </c>
      <c r="AE99" s="486">
        <f t="shared" si="52"/>
        <v>0</v>
      </c>
      <c r="AF99" s="486">
        <f t="shared" si="52"/>
        <v>0</v>
      </c>
      <c r="AG99" s="486">
        <f t="shared" si="52"/>
        <v>0</v>
      </c>
      <c r="AH99" s="486">
        <f t="shared" si="52"/>
        <v>0</v>
      </c>
      <c r="AI99" s="486">
        <f t="shared" si="52"/>
        <v>0</v>
      </c>
      <c r="AJ99" s="486">
        <f t="shared" si="52"/>
        <v>0</v>
      </c>
      <c r="AK99" s="486">
        <f t="shared" si="52"/>
        <v>0</v>
      </c>
      <c r="AL99" s="486">
        <f t="shared" si="52"/>
        <v>0</v>
      </c>
      <c r="AM99" s="486">
        <f t="shared" si="53"/>
        <v>0</v>
      </c>
      <c r="AN99" s="486">
        <f t="shared" si="53"/>
        <v>0.7</v>
      </c>
      <c r="AO99" s="486">
        <f t="shared" si="53"/>
        <v>7.4999999999999997E-2</v>
      </c>
      <c r="AP99" s="486">
        <f t="shared" si="53"/>
        <v>7.4999999999999997E-2</v>
      </c>
      <c r="AQ99" s="486">
        <f t="shared" si="53"/>
        <v>0.15</v>
      </c>
      <c r="AR99" s="486">
        <f t="shared" si="53"/>
        <v>0</v>
      </c>
      <c r="AS99" s="486">
        <f t="shared" si="53"/>
        <v>0</v>
      </c>
      <c r="AT99" s="486">
        <f t="shared" si="53"/>
        <v>0</v>
      </c>
      <c r="AU99" s="486">
        <f t="shared" si="53"/>
        <v>0</v>
      </c>
      <c r="AV99" s="486">
        <f t="shared" si="53"/>
        <v>0</v>
      </c>
      <c r="AW99" s="486">
        <f t="shared" si="54"/>
        <v>0</v>
      </c>
      <c r="AX99" s="486">
        <f t="shared" si="54"/>
        <v>0</v>
      </c>
      <c r="AY99" s="486">
        <f t="shared" si="54"/>
        <v>0</v>
      </c>
      <c r="AZ99" s="486">
        <f t="shared" si="54"/>
        <v>0</v>
      </c>
      <c r="BA99" s="486">
        <f t="shared" si="54"/>
        <v>0</v>
      </c>
      <c r="BB99" s="486">
        <f t="shared" si="54"/>
        <v>0</v>
      </c>
      <c r="BC99" s="486">
        <f t="shared" si="54"/>
        <v>0</v>
      </c>
      <c r="BD99" s="486">
        <f t="shared" si="54"/>
        <v>0</v>
      </c>
      <c r="BE99" s="486">
        <f t="shared" si="54"/>
        <v>0</v>
      </c>
      <c r="BF99" s="486">
        <f t="shared" si="54"/>
        <v>0</v>
      </c>
      <c r="BG99" s="486">
        <f t="shared" si="54"/>
        <v>0</v>
      </c>
      <c r="BH99" s="487">
        <f t="shared" si="54"/>
        <v>0</v>
      </c>
    </row>
    <row r="100" spans="6:60" x14ac:dyDescent="0.25">
      <c r="F100" s="488">
        <f t="shared" si="56"/>
        <v>45231</v>
      </c>
      <c r="G100" s="312">
        <v>36</v>
      </c>
      <c r="H100" t="str">
        <f t="shared" si="55"/>
        <v/>
      </c>
      <c r="I100" s="486">
        <f t="shared" si="50"/>
        <v>0</v>
      </c>
      <c r="J100" s="486">
        <f t="shared" si="50"/>
        <v>0</v>
      </c>
      <c r="K100" s="486">
        <f t="shared" si="50"/>
        <v>0</v>
      </c>
      <c r="L100" s="486">
        <f t="shared" si="50"/>
        <v>0</v>
      </c>
      <c r="M100" s="486">
        <f t="shared" si="50"/>
        <v>0</v>
      </c>
      <c r="N100" s="486">
        <f t="shared" si="50"/>
        <v>0</v>
      </c>
      <c r="O100" s="486">
        <f t="shared" si="50"/>
        <v>0</v>
      </c>
      <c r="P100" s="486">
        <f t="shared" si="50"/>
        <v>0</v>
      </c>
      <c r="Q100" s="486">
        <f t="shared" si="50"/>
        <v>0</v>
      </c>
      <c r="R100" s="486">
        <f t="shared" si="50"/>
        <v>0</v>
      </c>
      <c r="S100" s="486">
        <f t="shared" si="51"/>
        <v>0</v>
      </c>
      <c r="T100" s="486">
        <f t="shared" si="51"/>
        <v>0</v>
      </c>
      <c r="U100" s="486">
        <f t="shared" si="51"/>
        <v>0</v>
      </c>
      <c r="V100" s="486">
        <f t="shared" si="51"/>
        <v>0</v>
      </c>
      <c r="W100" s="486">
        <f t="shared" si="51"/>
        <v>0</v>
      </c>
      <c r="X100" s="486">
        <f t="shared" si="51"/>
        <v>0</v>
      </c>
      <c r="Y100" s="486">
        <f t="shared" si="51"/>
        <v>0</v>
      </c>
      <c r="Z100" s="486">
        <f t="shared" si="51"/>
        <v>0</v>
      </c>
      <c r="AA100" s="486">
        <f t="shared" si="51"/>
        <v>0</v>
      </c>
      <c r="AB100" s="486">
        <f t="shared" si="51"/>
        <v>0</v>
      </c>
      <c r="AC100" s="486">
        <f t="shared" si="52"/>
        <v>0</v>
      </c>
      <c r="AD100" s="486">
        <f t="shared" si="52"/>
        <v>0</v>
      </c>
      <c r="AE100" s="486">
        <f t="shared" si="52"/>
        <v>0</v>
      </c>
      <c r="AF100" s="486">
        <f t="shared" si="52"/>
        <v>0</v>
      </c>
      <c r="AG100" s="486">
        <f t="shared" si="52"/>
        <v>0</v>
      </c>
      <c r="AH100" s="486">
        <f t="shared" si="52"/>
        <v>0</v>
      </c>
      <c r="AI100" s="486">
        <f t="shared" si="52"/>
        <v>0</v>
      </c>
      <c r="AJ100" s="486">
        <f t="shared" si="52"/>
        <v>0</v>
      </c>
      <c r="AK100" s="486">
        <f t="shared" si="52"/>
        <v>0</v>
      </c>
      <c r="AL100" s="486">
        <f t="shared" si="52"/>
        <v>0</v>
      </c>
      <c r="AM100" s="486">
        <f t="shared" si="53"/>
        <v>0</v>
      </c>
      <c r="AN100" s="486">
        <f t="shared" si="53"/>
        <v>0</v>
      </c>
      <c r="AO100" s="486">
        <f t="shared" si="53"/>
        <v>0.7</v>
      </c>
      <c r="AP100" s="486">
        <f t="shared" si="53"/>
        <v>7.4999999999999997E-2</v>
      </c>
      <c r="AQ100" s="486">
        <f t="shared" si="53"/>
        <v>7.4999999999999997E-2</v>
      </c>
      <c r="AR100" s="486">
        <f t="shared" si="53"/>
        <v>0.15</v>
      </c>
      <c r="AS100" s="486">
        <f t="shared" si="53"/>
        <v>0</v>
      </c>
      <c r="AT100" s="486">
        <f t="shared" si="53"/>
        <v>0</v>
      </c>
      <c r="AU100" s="486">
        <f t="shared" si="53"/>
        <v>0</v>
      </c>
      <c r="AV100" s="486">
        <f t="shared" si="53"/>
        <v>0</v>
      </c>
      <c r="AW100" s="486">
        <f t="shared" si="54"/>
        <v>0</v>
      </c>
      <c r="AX100" s="486">
        <f t="shared" si="54"/>
        <v>0</v>
      </c>
      <c r="AY100" s="486">
        <f t="shared" si="54"/>
        <v>0</v>
      </c>
      <c r="AZ100" s="486">
        <f t="shared" si="54"/>
        <v>0</v>
      </c>
      <c r="BA100" s="486">
        <f t="shared" si="54"/>
        <v>0</v>
      </c>
      <c r="BB100" s="486">
        <f t="shared" si="54"/>
        <v>0</v>
      </c>
      <c r="BC100" s="486">
        <f t="shared" si="54"/>
        <v>0</v>
      </c>
      <c r="BD100" s="486">
        <f t="shared" si="54"/>
        <v>0</v>
      </c>
      <c r="BE100" s="486">
        <f t="shared" si="54"/>
        <v>0</v>
      </c>
      <c r="BF100" s="486">
        <f t="shared" si="54"/>
        <v>0</v>
      </c>
      <c r="BG100" s="486">
        <f t="shared" si="54"/>
        <v>0</v>
      </c>
      <c r="BH100" s="487">
        <f t="shared" si="54"/>
        <v>0</v>
      </c>
    </row>
    <row r="101" spans="6:60" x14ac:dyDescent="0.25">
      <c r="F101" s="488">
        <f t="shared" si="56"/>
        <v>45261</v>
      </c>
      <c r="G101" s="312">
        <v>37</v>
      </c>
      <c r="H101" t="str">
        <f t="shared" si="55"/>
        <v/>
      </c>
      <c r="I101" s="486">
        <f t="shared" si="50"/>
        <v>0</v>
      </c>
      <c r="J101" s="486">
        <f t="shared" si="50"/>
        <v>0</v>
      </c>
      <c r="K101" s="486">
        <f t="shared" si="50"/>
        <v>0</v>
      </c>
      <c r="L101" s="486">
        <f t="shared" si="50"/>
        <v>0</v>
      </c>
      <c r="M101" s="486">
        <f t="shared" si="50"/>
        <v>0</v>
      </c>
      <c r="N101" s="486">
        <f t="shared" si="50"/>
        <v>0</v>
      </c>
      <c r="O101" s="486">
        <f t="shared" si="50"/>
        <v>0</v>
      </c>
      <c r="P101" s="486">
        <f t="shared" si="50"/>
        <v>0</v>
      </c>
      <c r="Q101" s="486">
        <f t="shared" si="50"/>
        <v>0</v>
      </c>
      <c r="R101" s="486">
        <f t="shared" si="50"/>
        <v>0</v>
      </c>
      <c r="S101" s="486">
        <f t="shared" si="51"/>
        <v>0</v>
      </c>
      <c r="T101" s="486">
        <f t="shared" si="51"/>
        <v>0</v>
      </c>
      <c r="U101" s="486">
        <f t="shared" si="51"/>
        <v>0</v>
      </c>
      <c r="V101" s="486">
        <f t="shared" si="51"/>
        <v>0</v>
      </c>
      <c r="W101" s="486">
        <f t="shared" si="51"/>
        <v>0</v>
      </c>
      <c r="X101" s="486">
        <f t="shared" si="51"/>
        <v>0</v>
      </c>
      <c r="Y101" s="486">
        <f t="shared" si="51"/>
        <v>0</v>
      </c>
      <c r="Z101" s="486">
        <f t="shared" si="51"/>
        <v>0</v>
      </c>
      <c r="AA101" s="486">
        <f t="shared" si="51"/>
        <v>0</v>
      </c>
      <c r="AB101" s="486">
        <f t="shared" si="51"/>
        <v>0</v>
      </c>
      <c r="AC101" s="486">
        <f t="shared" si="52"/>
        <v>0</v>
      </c>
      <c r="AD101" s="486">
        <f t="shared" si="52"/>
        <v>0</v>
      </c>
      <c r="AE101" s="486">
        <f t="shared" si="52"/>
        <v>0</v>
      </c>
      <c r="AF101" s="486">
        <f t="shared" si="52"/>
        <v>0</v>
      </c>
      <c r="AG101" s="486">
        <f t="shared" si="52"/>
        <v>0</v>
      </c>
      <c r="AH101" s="486">
        <f t="shared" si="52"/>
        <v>0</v>
      </c>
      <c r="AI101" s="486">
        <f t="shared" si="52"/>
        <v>0</v>
      </c>
      <c r="AJ101" s="486">
        <f t="shared" si="52"/>
        <v>0</v>
      </c>
      <c r="AK101" s="486">
        <f t="shared" si="52"/>
        <v>0</v>
      </c>
      <c r="AL101" s="486">
        <f t="shared" si="52"/>
        <v>0</v>
      </c>
      <c r="AM101" s="486">
        <f t="shared" si="53"/>
        <v>0</v>
      </c>
      <c r="AN101" s="486">
        <f t="shared" si="53"/>
        <v>0</v>
      </c>
      <c r="AO101" s="486">
        <f t="shared" si="53"/>
        <v>0</v>
      </c>
      <c r="AP101" s="486">
        <f t="shared" si="53"/>
        <v>0.7</v>
      </c>
      <c r="AQ101" s="486">
        <f t="shared" si="53"/>
        <v>7.4999999999999997E-2</v>
      </c>
      <c r="AR101" s="486">
        <f t="shared" si="53"/>
        <v>7.4999999999999997E-2</v>
      </c>
      <c r="AS101" s="486">
        <f t="shared" si="53"/>
        <v>0.15</v>
      </c>
      <c r="AT101" s="486">
        <f t="shared" si="53"/>
        <v>0</v>
      </c>
      <c r="AU101" s="486">
        <f t="shared" si="53"/>
        <v>0</v>
      </c>
      <c r="AV101" s="486">
        <f t="shared" si="53"/>
        <v>0</v>
      </c>
      <c r="AW101" s="486">
        <f t="shared" si="54"/>
        <v>0</v>
      </c>
      <c r="AX101" s="486">
        <f t="shared" si="54"/>
        <v>0</v>
      </c>
      <c r="AY101" s="486">
        <f t="shared" si="54"/>
        <v>0</v>
      </c>
      <c r="AZ101" s="486">
        <f t="shared" si="54"/>
        <v>0</v>
      </c>
      <c r="BA101" s="486">
        <f t="shared" si="54"/>
        <v>0</v>
      </c>
      <c r="BB101" s="486">
        <f t="shared" si="54"/>
        <v>0</v>
      </c>
      <c r="BC101" s="486">
        <f t="shared" si="54"/>
        <v>0</v>
      </c>
      <c r="BD101" s="486">
        <f t="shared" si="54"/>
        <v>0</v>
      </c>
      <c r="BE101" s="486">
        <f t="shared" si="54"/>
        <v>0</v>
      </c>
      <c r="BF101" s="486">
        <f t="shared" si="54"/>
        <v>0</v>
      </c>
      <c r="BG101" s="486">
        <f t="shared" si="54"/>
        <v>0</v>
      </c>
      <c r="BH101" s="487">
        <f t="shared" si="54"/>
        <v>0</v>
      </c>
    </row>
    <row r="102" spans="6:60" x14ac:dyDescent="0.25">
      <c r="F102" s="488">
        <f t="shared" si="56"/>
        <v>45292</v>
      </c>
      <c r="G102" s="312">
        <v>38</v>
      </c>
      <c r="H102" t="str">
        <f t="shared" si="55"/>
        <v/>
      </c>
      <c r="I102" s="486">
        <f t="shared" si="50"/>
        <v>0</v>
      </c>
      <c r="J102" s="486">
        <f t="shared" si="50"/>
        <v>0</v>
      </c>
      <c r="K102" s="486">
        <f t="shared" si="50"/>
        <v>0</v>
      </c>
      <c r="L102" s="486">
        <f t="shared" si="50"/>
        <v>0</v>
      </c>
      <c r="M102" s="486">
        <f t="shared" si="50"/>
        <v>0</v>
      </c>
      <c r="N102" s="486">
        <f t="shared" si="50"/>
        <v>0</v>
      </c>
      <c r="O102" s="486">
        <f t="shared" si="50"/>
        <v>0</v>
      </c>
      <c r="P102" s="486">
        <f t="shared" si="50"/>
        <v>0</v>
      </c>
      <c r="Q102" s="486">
        <f t="shared" si="50"/>
        <v>0</v>
      </c>
      <c r="R102" s="486">
        <f t="shared" si="50"/>
        <v>0</v>
      </c>
      <c r="S102" s="486">
        <f t="shared" si="51"/>
        <v>0</v>
      </c>
      <c r="T102" s="486">
        <f t="shared" si="51"/>
        <v>0</v>
      </c>
      <c r="U102" s="486">
        <f t="shared" si="51"/>
        <v>0</v>
      </c>
      <c r="V102" s="486">
        <f t="shared" si="51"/>
        <v>0</v>
      </c>
      <c r="W102" s="486">
        <f t="shared" si="51"/>
        <v>0</v>
      </c>
      <c r="X102" s="486">
        <f t="shared" si="51"/>
        <v>0</v>
      </c>
      <c r="Y102" s="486">
        <f t="shared" si="51"/>
        <v>0</v>
      </c>
      <c r="Z102" s="486">
        <f t="shared" si="51"/>
        <v>0</v>
      </c>
      <c r="AA102" s="486">
        <f t="shared" si="51"/>
        <v>0</v>
      </c>
      <c r="AB102" s="486">
        <f t="shared" si="51"/>
        <v>0</v>
      </c>
      <c r="AC102" s="486">
        <f t="shared" si="52"/>
        <v>0</v>
      </c>
      <c r="AD102" s="486">
        <f t="shared" si="52"/>
        <v>0</v>
      </c>
      <c r="AE102" s="486">
        <f t="shared" si="52"/>
        <v>0</v>
      </c>
      <c r="AF102" s="486">
        <f t="shared" si="52"/>
        <v>0</v>
      </c>
      <c r="AG102" s="486">
        <f t="shared" si="52"/>
        <v>0</v>
      </c>
      <c r="AH102" s="486">
        <f t="shared" si="52"/>
        <v>0</v>
      </c>
      <c r="AI102" s="486">
        <f t="shared" si="52"/>
        <v>0</v>
      </c>
      <c r="AJ102" s="486">
        <f t="shared" si="52"/>
        <v>0</v>
      </c>
      <c r="AK102" s="486">
        <f t="shared" si="52"/>
        <v>0</v>
      </c>
      <c r="AL102" s="486">
        <f t="shared" si="52"/>
        <v>0</v>
      </c>
      <c r="AM102" s="486">
        <f t="shared" si="53"/>
        <v>0</v>
      </c>
      <c r="AN102" s="486">
        <f t="shared" si="53"/>
        <v>0</v>
      </c>
      <c r="AO102" s="486">
        <f t="shared" si="53"/>
        <v>0</v>
      </c>
      <c r="AP102" s="486">
        <f t="shared" si="53"/>
        <v>0</v>
      </c>
      <c r="AQ102" s="486">
        <f t="shared" si="53"/>
        <v>0.7</v>
      </c>
      <c r="AR102" s="486">
        <f t="shared" si="53"/>
        <v>7.4999999999999997E-2</v>
      </c>
      <c r="AS102" s="486">
        <f t="shared" si="53"/>
        <v>7.4999999999999997E-2</v>
      </c>
      <c r="AT102" s="486">
        <f t="shared" si="53"/>
        <v>0</v>
      </c>
      <c r="AU102" s="486">
        <f t="shared" si="53"/>
        <v>0</v>
      </c>
      <c r="AV102" s="486">
        <f t="shared" si="53"/>
        <v>0</v>
      </c>
      <c r="AW102" s="486">
        <f t="shared" si="54"/>
        <v>0</v>
      </c>
      <c r="AX102" s="486">
        <f t="shared" si="54"/>
        <v>0</v>
      </c>
      <c r="AY102" s="486">
        <f t="shared" si="54"/>
        <v>0</v>
      </c>
      <c r="AZ102" s="486">
        <f t="shared" si="54"/>
        <v>0</v>
      </c>
      <c r="BA102" s="486">
        <f t="shared" si="54"/>
        <v>0</v>
      </c>
      <c r="BB102" s="486">
        <f t="shared" si="54"/>
        <v>0</v>
      </c>
      <c r="BC102" s="486">
        <f t="shared" si="54"/>
        <v>0</v>
      </c>
      <c r="BD102" s="486">
        <f t="shared" si="54"/>
        <v>0</v>
      </c>
      <c r="BE102" s="486">
        <f t="shared" si="54"/>
        <v>0</v>
      </c>
      <c r="BF102" s="486">
        <f t="shared" si="54"/>
        <v>0</v>
      </c>
      <c r="BG102" s="486">
        <f t="shared" si="54"/>
        <v>0</v>
      </c>
      <c r="BH102" s="487">
        <f t="shared" si="54"/>
        <v>0</v>
      </c>
    </row>
    <row r="103" spans="6:60" x14ac:dyDescent="0.25">
      <c r="F103" s="488">
        <f t="shared" si="56"/>
        <v>45323</v>
      </c>
      <c r="G103" s="312">
        <v>39</v>
      </c>
      <c r="H103" t="str">
        <f t="shared" si="55"/>
        <v/>
      </c>
      <c r="I103" s="486">
        <f t="shared" si="50"/>
        <v>0</v>
      </c>
      <c r="J103" s="486">
        <f t="shared" si="50"/>
        <v>0</v>
      </c>
      <c r="K103" s="486">
        <f t="shared" si="50"/>
        <v>0</v>
      </c>
      <c r="L103" s="486">
        <f t="shared" si="50"/>
        <v>0</v>
      </c>
      <c r="M103" s="486">
        <f t="shared" si="50"/>
        <v>0</v>
      </c>
      <c r="N103" s="486">
        <f t="shared" si="50"/>
        <v>0</v>
      </c>
      <c r="O103" s="486">
        <f t="shared" si="50"/>
        <v>0</v>
      </c>
      <c r="P103" s="486">
        <f t="shared" si="50"/>
        <v>0</v>
      </c>
      <c r="Q103" s="486">
        <f t="shared" si="50"/>
        <v>0</v>
      </c>
      <c r="R103" s="486">
        <f t="shared" si="50"/>
        <v>0</v>
      </c>
      <c r="S103" s="486">
        <f t="shared" si="51"/>
        <v>0</v>
      </c>
      <c r="T103" s="486">
        <f t="shared" si="51"/>
        <v>0</v>
      </c>
      <c r="U103" s="486">
        <f t="shared" si="51"/>
        <v>0</v>
      </c>
      <c r="V103" s="486">
        <f t="shared" si="51"/>
        <v>0</v>
      </c>
      <c r="W103" s="486">
        <f t="shared" si="51"/>
        <v>0</v>
      </c>
      <c r="X103" s="486">
        <f t="shared" si="51"/>
        <v>0</v>
      </c>
      <c r="Y103" s="486">
        <f t="shared" si="51"/>
        <v>0</v>
      </c>
      <c r="Z103" s="486">
        <f t="shared" si="51"/>
        <v>0</v>
      </c>
      <c r="AA103" s="486">
        <f t="shared" si="51"/>
        <v>0</v>
      </c>
      <c r="AB103" s="486">
        <f t="shared" si="51"/>
        <v>0</v>
      </c>
      <c r="AC103" s="486">
        <f t="shared" si="52"/>
        <v>0</v>
      </c>
      <c r="AD103" s="486">
        <f t="shared" si="52"/>
        <v>0</v>
      </c>
      <c r="AE103" s="486">
        <f t="shared" si="52"/>
        <v>0</v>
      </c>
      <c r="AF103" s="486">
        <f t="shared" si="52"/>
        <v>0</v>
      </c>
      <c r="AG103" s="486">
        <f t="shared" si="52"/>
        <v>0</v>
      </c>
      <c r="AH103" s="486">
        <f t="shared" si="52"/>
        <v>0</v>
      </c>
      <c r="AI103" s="486">
        <f t="shared" si="52"/>
        <v>0</v>
      </c>
      <c r="AJ103" s="486">
        <f t="shared" si="52"/>
        <v>0</v>
      </c>
      <c r="AK103" s="486">
        <f t="shared" si="52"/>
        <v>0</v>
      </c>
      <c r="AL103" s="486">
        <f t="shared" si="52"/>
        <v>0</v>
      </c>
      <c r="AM103" s="486">
        <f t="shared" si="53"/>
        <v>0</v>
      </c>
      <c r="AN103" s="486">
        <f t="shared" si="53"/>
        <v>0</v>
      </c>
      <c r="AO103" s="486">
        <f t="shared" si="53"/>
        <v>0</v>
      </c>
      <c r="AP103" s="486">
        <f t="shared" si="53"/>
        <v>0</v>
      </c>
      <c r="AQ103" s="486">
        <f t="shared" si="53"/>
        <v>0</v>
      </c>
      <c r="AR103" s="486">
        <f t="shared" si="53"/>
        <v>0.7</v>
      </c>
      <c r="AS103" s="486">
        <f t="shared" si="53"/>
        <v>7.4999999999999997E-2</v>
      </c>
      <c r="AT103" s="486">
        <f t="shared" si="53"/>
        <v>0</v>
      </c>
      <c r="AU103" s="486">
        <f t="shared" si="53"/>
        <v>0</v>
      </c>
      <c r="AV103" s="486">
        <f t="shared" si="53"/>
        <v>0</v>
      </c>
      <c r="AW103" s="486">
        <f t="shared" si="54"/>
        <v>0</v>
      </c>
      <c r="AX103" s="486">
        <f t="shared" si="54"/>
        <v>0</v>
      </c>
      <c r="AY103" s="486">
        <f t="shared" si="54"/>
        <v>0</v>
      </c>
      <c r="AZ103" s="486">
        <f t="shared" si="54"/>
        <v>0</v>
      </c>
      <c r="BA103" s="486">
        <f t="shared" si="54"/>
        <v>0</v>
      </c>
      <c r="BB103" s="486">
        <f t="shared" si="54"/>
        <v>0</v>
      </c>
      <c r="BC103" s="486">
        <f t="shared" si="54"/>
        <v>0</v>
      </c>
      <c r="BD103" s="486">
        <f t="shared" si="54"/>
        <v>0</v>
      </c>
      <c r="BE103" s="486">
        <f t="shared" si="54"/>
        <v>0</v>
      </c>
      <c r="BF103" s="486">
        <f t="shared" si="54"/>
        <v>0</v>
      </c>
      <c r="BG103" s="486">
        <f t="shared" si="54"/>
        <v>0</v>
      </c>
      <c r="BH103" s="487">
        <f t="shared" si="54"/>
        <v>0</v>
      </c>
    </row>
    <row r="104" spans="6:60" x14ac:dyDescent="0.25">
      <c r="F104" s="488">
        <f t="shared" si="56"/>
        <v>45352</v>
      </c>
      <c r="G104" s="312">
        <v>40</v>
      </c>
      <c r="H104" t="str">
        <f t="shared" si="55"/>
        <v/>
      </c>
      <c r="I104" s="486">
        <f t="shared" si="50"/>
        <v>0</v>
      </c>
      <c r="J104" s="486">
        <f t="shared" si="50"/>
        <v>0</v>
      </c>
      <c r="K104" s="486">
        <f t="shared" si="50"/>
        <v>0</v>
      </c>
      <c r="L104" s="486">
        <f t="shared" si="50"/>
        <v>0</v>
      </c>
      <c r="M104" s="486">
        <f t="shared" si="50"/>
        <v>0</v>
      </c>
      <c r="N104" s="486">
        <f t="shared" si="50"/>
        <v>0</v>
      </c>
      <c r="O104" s="486">
        <f t="shared" si="50"/>
        <v>0</v>
      </c>
      <c r="P104" s="486">
        <f t="shared" si="50"/>
        <v>0</v>
      </c>
      <c r="Q104" s="486">
        <f t="shared" si="50"/>
        <v>0</v>
      </c>
      <c r="R104" s="486">
        <f t="shared" si="50"/>
        <v>0</v>
      </c>
      <c r="S104" s="486">
        <f t="shared" si="51"/>
        <v>0</v>
      </c>
      <c r="T104" s="486">
        <f t="shared" si="51"/>
        <v>0</v>
      </c>
      <c r="U104" s="486">
        <f t="shared" si="51"/>
        <v>0</v>
      </c>
      <c r="V104" s="486">
        <f t="shared" si="51"/>
        <v>0</v>
      </c>
      <c r="W104" s="486">
        <f t="shared" si="51"/>
        <v>0</v>
      </c>
      <c r="X104" s="486">
        <f t="shared" si="51"/>
        <v>0</v>
      </c>
      <c r="Y104" s="486">
        <f t="shared" si="51"/>
        <v>0</v>
      </c>
      <c r="Z104" s="486">
        <f t="shared" si="51"/>
        <v>0</v>
      </c>
      <c r="AA104" s="486">
        <f t="shared" si="51"/>
        <v>0</v>
      </c>
      <c r="AB104" s="486">
        <f t="shared" si="51"/>
        <v>0</v>
      </c>
      <c r="AC104" s="486">
        <f t="shared" si="52"/>
        <v>0</v>
      </c>
      <c r="AD104" s="486">
        <f t="shared" si="52"/>
        <v>0</v>
      </c>
      <c r="AE104" s="486">
        <f t="shared" si="52"/>
        <v>0</v>
      </c>
      <c r="AF104" s="486">
        <f t="shared" si="52"/>
        <v>0</v>
      </c>
      <c r="AG104" s="486">
        <f t="shared" si="52"/>
        <v>0</v>
      </c>
      <c r="AH104" s="486">
        <f t="shared" si="52"/>
        <v>0</v>
      </c>
      <c r="AI104" s="486">
        <f t="shared" si="52"/>
        <v>0</v>
      </c>
      <c r="AJ104" s="486">
        <f t="shared" si="52"/>
        <v>0</v>
      </c>
      <c r="AK104" s="486">
        <f t="shared" si="52"/>
        <v>0</v>
      </c>
      <c r="AL104" s="486">
        <f t="shared" si="52"/>
        <v>0</v>
      </c>
      <c r="AM104" s="486">
        <f t="shared" si="53"/>
        <v>0</v>
      </c>
      <c r="AN104" s="486">
        <f t="shared" si="53"/>
        <v>0</v>
      </c>
      <c r="AO104" s="486">
        <f t="shared" si="53"/>
        <v>0</v>
      </c>
      <c r="AP104" s="486">
        <f t="shared" si="53"/>
        <v>0</v>
      </c>
      <c r="AQ104" s="486">
        <f t="shared" si="53"/>
        <v>0</v>
      </c>
      <c r="AR104" s="486">
        <f t="shared" si="53"/>
        <v>0</v>
      </c>
      <c r="AS104" s="486">
        <f t="shared" si="53"/>
        <v>0.7</v>
      </c>
      <c r="AT104" s="486">
        <f t="shared" si="53"/>
        <v>0</v>
      </c>
      <c r="AU104" s="486">
        <f t="shared" si="53"/>
        <v>0</v>
      </c>
      <c r="AV104" s="486">
        <f t="shared" si="53"/>
        <v>0</v>
      </c>
      <c r="AW104" s="486">
        <f t="shared" si="54"/>
        <v>0</v>
      </c>
      <c r="AX104" s="486">
        <f t="shared" si="54"/>
        <v>0</v>
      </c>
      <c r="AY104" s="486">
        <f t="shared" si="54"/>
        <v>0</v>
      </c>
      <c r="AZ104" s="486">
        <f t="shared" si="54"/>
        <v>0</v>
      </c>
      <c r="BA104" s="486">
        <f t="shared" si="54"/>
        <v>0</v>
      </c>
      <c r="BB104" s="486">
        <f t="shared" si="54"/>
        <v>0</v>
      </c>
      <c r="BC104" s="486">
        <f t="shared" si="54"/>
        <v>0</v>
      </c>
      <c r="BD104" s="486">
        <f t="shared" si="54"/>
        <v>0</v>
      </c>
      <c r="BE104" s="486">
        <f t="shared" si="54"/>
        <v>0</v>
      </c>
      <c r="BF104" s="486">
        <f t="shared" si="54"/>
        <v>0</v>
      </c>
      <c r="BG104" s="486">
        <f t="shared" si="54"/>
        <v>0</v>
      </c>
      <c r="BH104" s="487">
        <f t="shared" si="54"/>
        <v>0</v>
      </c>
    </row>
    <row r="105" spans="6:60" x14ac:dyDescent="0.25">
      <c r="F105" s="488">
        <f t="shared" si="56"/>
        <v>45383</v>
      </c>
      <c r="G105" s="312">
        <v>41</v>
      </c>
      <c r="H105" t="str">
        <f t="shared" si="55"/>
        <v>TP</v>
      </c>
      <c r="I105" s="486">
        <f t="shared" ref="I105:R116" si="57">IF(AND($F105&gt;entrega, I$63&gt;entrega), IF(AND($F105=I$63, $F105&lt;EDATE(terminoProjeto, -prazoRepasseVendas)), atoPosCh, 0)+IF(AND($F105&gt;I$63, $F105&lt;=EDATE(terminoProjeto, -2), $F105&lt;EDATE(I$63, prazoRepasseVendas), I$63&lt;EDATE(terminoProjeto, -prazoRepasseVendas)), mensaisPosCh/(prazoRepasseVendas-1), 0)+IF(AND($F105=EDATE(I$63, prazoRepasseVendas), $F105&lt;=EDATE(terminoProjeto, -1)), repassePosCh, 0), 0)</f>
        <v>0</v>
      </c>
      <c r="J105" s="486">
        <f t="shared" si="57"/>
        <v>0</v>
      </c>
      <c r="K105" s="486">
        <f t="shared" si="57"/>
        <v>0</v>
      </c>
      <c r="L105" s="486">
        <f t="shared" si="57"/>
        <v>0</v>
      </c>
      <c r="M105" s="486">
        <f t="shared" si="57"/>
        <v>0</v>
      </c>
      <c r="N105" s="486">
        <f t="shared" si="57"/>
        <v>0</v>
      </c>
      <c r="O105" s="486">
        <f t="shared" si="57"/>
        <v>0</v>
      </c>
      <c r="P105" s="486">
        <f t="shared" si="57"/>
        <v>0</v>
      </c>
      <c r="Q105" s="486">
        <f t="shared" si="57"/>
        <v>0</v>
      </c>
      <c r="R105" s="486">
        <f t="shared" si="57"/>
        <v>0</v>
      </c>
      <c r="S105" s="486">
        <f t="shared" ref="S105:AB116" si="58">IF(AND($F105&gt;entrega, S$63&gt;entrega), IF(AND($F105=S$63, $F105&lt;EDATE(terminoProjeto, -prazoRepasseVendas)), atoPosCh, 0)+IF(AND($F105&gt;S$63, $F105&lt;=EDATE(terminoProjeto, -2), $F105&lt;EDATE(S$63, prazoRepasseVendas), S$63&lt;EDATE(terminoProjeto, -prazoRepasseVendas)), mensaisPosCh/(prazoRepasseVendas-1), 0)+IF(AND($F105=EDATE(S$63, prazoRepasseVendas), $F105&lt;=EDATE(terminoProjeto, -1)), repassePosCh, 0), 0)</f>
        <v>0</v>
      </c>
      <c r="T105" s="486">
        <f t="shared" si="58"/>
        <v>0</v>
      </c>
      <c r="U105" s="486">
        <f t="shared" si="58"/>
        <v>0</v>
      </c>
      <c r="V105" s="486">
        <f t="shared" si="58"/>
        <v>0</v>
      </c>
      <c r="W105" s="486">
        <f t="shared" si="58"/>
        <v>0</v>
      </c>
      <c r="X105" s="486">
        <f t="shared" si="58"/>
        <v>0</v>
      </c>
      <c r="Y105" s="486">
        <f t="shared" si="58"/>
        <v>0</v>
      </c>
      <c r="Z105" s="486">
        <f t="shared" si="58"/>
        <v>0</v>
      </c>
      <c r="AA105" s="486">
        <f t="shared" si="58"/>
        <v>0</v>
      </c>
      <c r="AB105" s="486">
        <f t="shared" si="58"/>
        <v>0</v>
      </c>
      <c r="AC105" s="486">
        <f t="shared" ref="AC105:AL116" si="59">IF(AND($F105&gt;entrega, AC$63&gt;entrega), IF(AND($F105=AC$63, $F105&lt;EDATE(terminoProjeto, -prazoRepasseVendas)), atoPosCh, 0)+IF(AND($F105&gt;AC$63, $F105&lt;=EDATE(terminoProjeto, -2), $F105&lt;EDATE(AC$63, prazoRepasseVendas), AC$63&lt;EDATE(terminoProjeto, -prazoRepasseVendas)), mensaisPosCh/(prazoRepasseVendas-1), 0)+IF(AND($F105=EDATE(AC$63, prazoRepasseVendas), $F105&lt;=EDATE(terminoProjeto, -1)), repassePosCh, 0), 0)</f>
        <v>0</v>
      </c>
      <c r="AD105" s="486">
        <f t="shared" si="59"/>
        <v>0</v>
      </c>
      <c r="AE105" s="486">
        <f t="shared" si="59"/>
        <v>0</v>
      </c>
      <c r="AF105" s="486">
        <f t="shared" si="59"/>
        <v>0</v>
      </c>
      <c r="AG105" s="486">
        <f t="shared" si="59"/>
        <v>0</v>
      </c>
      <c r="AH105" s="486">
        <f t="shared" si="59"/>
        <v>0</v>
      </c>
      <c r="AI105" s="486">
        <f t="shared" si="59"/>
        <v>0</v>
      </c>
      <c r="AJ105" s="486">
        <f t="shared" si="59"/>
        <v>0</v>
      </c>
      <c r="AK105" s="486">
        <f t="shared" si="59"/>
        <v>0</v>
      </c>
      <c r="AL105" s="486">
        <f t="shared" si="59"/>
        <v>0</v>
      </c>
      <c r="AM105" s="486">
        <f t="shared" ref="AM105:AV116" si="60">IF(AND($F105&gt;entrega, AM$63&gt;entrega), IF(AND($F105=AM$63, $F105&lt;EDATE(terminoProjeto, -prazoRepasseVendas)), atoPosCh, 0)+IF(AND($F105&gt;AM$63, $F105&lt;=EDATE(terminoProjeto, -2), $F105&lt;EDATE(AM$63, prazoRepasseVendas), AM$63&lt;EDATE(terminoProjeto, -prazoRepasseVendas)), mensaisPosCh/(prazoRepasseVendas-1), 0)+IF(AND($F105=EDATE(AM$63, prazoRepasseVendas), $F105&lt;=EDATE(terminoProjeto, -1)), repassePosCh, 0), 0)</f>
        <v>0</v>
      </c>
      <c r="AN105" s="486">
        <f t="shared" si="60"/>
        <v>0</v>
      </c>
      <c r="AO105" s="486">
        <f t="shared" si="60"/>
        <v>0</v>
      </c>
      <c r="AP105" s="486">
        <f t="shared" si="60"/>
        <v>0</v>
      </c>
      <c r="AQ105" s="486">
        <f t="shared" si="60"/>
        <v>0</v>
      </c>
      <c r="AR105" s="486">
        <f t="shared" si="60"/>
        <v>0</v>
      </c>
      <c r="AS105" s="486">
        <f t="shared" si="60"/>
        <v>0</v>
      </c>
      <c r="AT105" s="486">
        <f t="shared" si="60"/>
        <v>0</v>
      </c>
      <c r="AU105" s="486">
        <f t="shared" si="60"/>
        <v>0</v>
      </c>
      <c r="AV105" s="486">
        <f t="shared" si="60"/>
        <v>0</v>
      </c>
      <c r="AW105" s="486">
        <f t="shared" ref="AW105:BH116" si="61">IF(AND($F105&gt;entrega, AW$63&gt;entrega), IF(AND($F105=AW$63, $F105&lt;EDATE(terminoProjeto, -prazoRepasseVendas)), atoPosCh, 0)+IF(AND($F105&gt;AW$63, $F105&lt;=EDATE(terminoProjeto, -2), $F105&lt;EDATE(AW$63, prazoRepasseVendas), AW$63&lt;EDATE(terminoProjeto, -prazoRepasseVendas)), mensaisPosCh/(prazoRepasseVendas-1), 0)+IF(AND($F105=EDATE(AW$63, prazoRepasseVendas), $F105&lt;=EDATE(terminoProjeto, -1)), repassePosCh, 0), 0)</f>
        <v>0</v>
      </c>
      <c r="AX105" s="486">
        <f t="shared" si="61"/>
        <v>0</v>
      </c>
      <c r="AY105" s="486">
        <f t="shared" si="61"/>
        <v>0</v>
      </c>
      <c r="AZ105" s="486">
        <f t="shared" si="61"/>
        <v>0</v>
      </c>
      <c r="BA105" s="486">
        <f t="shared" si="61"/>
        <v>0</v>
      </c>
      <c r="BB105" s="486">
        <f t="shared" si="61"/>
        <v>0</v>
      </c>
      <c r="BC105" s="486">
        <f t="shared" si="61"/>
        <v>0</v>
      </c>
      <c r="BD105" s="486">
        <f t="shared" si="61"/>
        <v>0</v>
      </c>
      <c r="BE105" s="486">
        <f t="shared" si="61"/>
        <v>0</v>
      </c>
      <c r="BF105" s="486">
        <f t="shared" si="61"/>
        <v>0</v>
      </c>
      <c r="BG105" s="486">
        <f t="shared" si="61"/>
        <v>0</v>
      </c>
      <c r="BH105" s="487">
        <f t="shared" si="61"/>
        <v>0</v>
      </c>
    </row>
    <row r="106" spans="6:60" x14ac:dyDescent="0.25">
      <c r="F106" s="488">
        <f t="shared" si="56"/>
        <v>45413</v>
      </c>
      <c r="G106" s="312">
        <v>42</v>
      </c>
      <c r="H106" t="str">
        <f t="shared" si="55"/>
        <v/>
      </c>
      <c r="I106" s="486">
        <f t="shared" si="57"/>
        <v>0</v>
      </c>
      <c r="J106" s="486">
        <f t="shared" si="57"/>
        <v>0</v>
      </c>
      <c r="K106" s="486">
        <f t="shared" si="57"/>
        <v>0</v>
      </c>
      <c r="L106" s="486">
        <f t="shared" si="57"/>
        <v>0</v>
      </c>
      <c r="M106" s="486">
        <f t="shared" si="57"/>
        <v>0</v>
      </c>
      <c r="N106" s="486">
        <f t="shared" si="57"/>
        <v>0</v>
      </c>
      <c r="O106" s="486">
        <f t="shared" si="57"/>
        <v>0</v>
      </c>
      <c r="P106" s="486">
        <f t="shared" si="57"/>
        <v>0</v>
      </c>
      <c r="Q106" s="486">
        <f t="shared" si="57"/>
        <v>0</v>
      </c>
      <c r="R106" s="486">
        <f t="shared" si="57"/>
        <v>0</v>
      </c>
      <c r="S106" s="486">
        <f t="shared" si="58"/>
        <v>0</v>
      </c>
      <c r="T106" s="486">
        <f t="shared" si="58"/>
        <v>0</v>
      </c>
      <c r="U106" s="486">
        <f t="shared" si="58"/>
        <v>0</v>
      </c>
      <c r="V106" s="486">
        <f t="shared" si="58"/>
        <v>0</v>
      </c>
      <c r="W106" s="486">
        <f t="shared" si="58"/>
        <v>0</v>
      </c>
      <c r="X106" s="486">
        <f t="shared" si="58"/>
        <v>0</v>
      </c>
      <c r="Y106" s="486">
        <f t="shared" si="58"/>
        <v>0</v>
      </c>
      <c r="Z106" s="486">
        <f t="shared" si="58"/>
        <v>0</v>
      </c>
      <c r="AA106" s="486">
        <f t="shared" si="58"/>
        <v>0</v>
      </c>
      <c r="AB106" s="486">
        <f t="shared" si="58"/>
        <v>0</v>
      </c>
      <c r="AC106" s="486">
        <f t="shared" si="59"/>
        <v>0</v>
      </c>
      <c r="AD106" s="486">
        <f t="shared" si="59"/>
        <v>0</v>
      </c>
      <c r="AE106" s="486">
        <f t="shared" si="59"/>
        <v>0</v>
      </c>
      <c r="AF106" s="486">
        <f t="shared" si="59"/>
        <v>0</v>
      </c>
      <c r="AG106" s="486">
        <f t="shared" si="59"/>
        <v>0</v>
      </c>
      <c r="AH106" s="486">
        <f t="shared" si="59"/>
        <v>0</v>
      </c>
      <c r="AI106" s="486">
        <f t="shared" si="59"/>
        <v>0</v>
      </c>
      <c r="AJ106" s="486">
        <f t="shared" si="59"/>
        <v>0</v>
      </c>
      <c r="AK106" s="486">
        <f t="shared" si="59"/>
        <v>0</v>
      </c>
      <c r="AL106" s="486">
        <f t="shared" si="59"/>
        <v>0</v>
      </c>
      <c r="AM106" s="486">
        <f t="shared" si="60"/>
        <v>0</v>
      </c>
      <c r="AN106" s="486">
        <f t="shared" si="60"/>
        <v>0</v>
      </c>
      <c r="AO106" s="486">
        <f t="shared" si="60"/>
        <v>0</v>
      </c>
      <c r="AP106" s="486">
        <f t="shared" si="60"/>
        <v>0</v>
      </c>
      <c r="AQ106" s="486">
        <f t="shared" si="60"/>
        <v>0</v>
      </c>
      <c r="AR106" s="486">
        <f t="shared" si="60"/>
        <v>0</v>
      </c>
      <c r="AS106" s="486">
        <f t="shared" si="60"/>
        <v>0</v>
      </c>
      <c r="AT106" s="486">
        <f t="shared" si="60"/>
        <v>0</v>
      </c>
      <c r="AU106" s="486">
        <f t="shared" si="60"/>
        <v>0</v>
      </c>
      <c r="AV106" s="486">
        <f t="shared" si="60"/>
        <v>0</v>
      </c>
      <c r="AW106" s="486">
        <f t="shared" si="61"/>
        <v>0</v>
      </c>
      <c r="AX106" s="486">
        <f t="shared" si="61"/>
        <v>0</v>
      </c>
      <c r="AY106" s="486">
        <f t="shared" si="61"/>
        <v>0</v>
      </c>
      <c r="AZ106" s="486">
        <f t="shared" si="61"/>
        <v>0</v>
      </c>
      <c r="BA106" s="486">
        <f t="shared" si="61"/>
        <v>0</v>
      </c>
      <c r="BB106" s="486">
        <f t="shared" si="61"/>
        <v>0</v>
      </c>
      <c r="BC106" s="486">
        <f t="shared" si="61"/>
        <v>0</v>
      </c>
      <c r="BD106" s="486">
        <f t="shared" si="61"/>
        <v>0</v>
      </c>
      <c r="BE106" s="486">
        <f t="shared" si="61"/>
        <v>0</v>
      </c>
      <c r="BF106" s="486">
        <f t="shared" si="61"/>
        <v>0</v>
      </c>
      <c r="BG106" s="486">
        <f t="shared" si="61"/>
        <v>0</v>
      </c>
      <c r="BH106" s="487">
        <f t="shared" si="61"/>
        <v>0</v>
      </c>
    </row>
    <row r="107" spans="6:60" x14ac:dyDescent="0.25">
      <c r="F107" s="488">
        <f t="shared" si="56"/>
        <v>45444</v>
      </c>
      <c r="G107" s="312">
        <v>43</v>
      </c>
      <c r="H107" t="str">
        <f t="shared" si="55"/>
        <v/>
      </c>
      <c r="I107" s="486">
        <f t="shared" si="57"/>
        <v>0</v>
      </c>
      <c r="J107" s="486">
        <f t="shared" si="57"/>
        <v>0</v>
      </c>
      <c r="K107" s="486">
        <f t="shared" si="57"/>
        <v>0</v>
      </c>
      <c r="L107" s="486">
        <f t="shared" si="57"/>
        <v>0</v>
      </c>
      <c r="M107" s="486">
        <f t="shared" si="57"/>
        <v>0</v>
      </c>
      <c r="N107" s="486">
        <f t="shared" si="57"/>
        <v>0</v>
      </c>
      <c r="O107" s="486">
        <f t="shared" si="57"/>
        <v>0</v>
      </c>
      <c r="P107" s="486">
        <f t="shared" si="57"/>
        <v>0</v>
      </c>
      <c r="Q107" s="486">
        <f t="shared" si="57"/>
        <v>0</v>
      </c>
      <c r="R107" s="486">
        <f t="shared" si="57"/>
        <v>0</v>
      </c>
      <c r="S107" s="486">
        <f t="shared" si="58"/>
        <v>0</v>
      </c>
      <c r="T107" s="486">
        <f t="shared" si="58"/>
        <v>0</v>
      </c>
      <c r="U107" s="486">
        <f t="shared" si="58"/>
        <v>0</v>
      </c>
      <c r="V107" s="486">
        <f t="shared" si="58"/>
        <v>0</v>
      </c>
      <c r="W107" s="486">
        <f t="shared" si="58"/>
        <v>0</v>
      </c>
      <c r="X107" s="486">
        <f t="shared" si="58"/>
        <v>0</v>
      </c>
      <c r="Y107" s="486">
        <f t="shared" si="58"/>
        <v>0</v>
      </c>
      <c r="Z107" s="486">
        <f t="shared" si="58"/>
        <v>0</v>
      </c>
      <c r="AA107" s="486">
        <f t="shared" si="58"/>
        <v>0</v>
      </c>
      <c r="AB107" s="486">
        <f t="shared" si="58"/>
        <v>0</v>
      </c>
      <c r="AC107" s="486">
        <f t="shared" si="59"/>
        <v>0</v>
      </c>
      <c r="AD107" s="486">
        <f t="shared" si="59"/>
        <v>0</v>
      </c>
      <c r="AE107" s="486">
        <f t="shared" si="59"/>
        <v>0</v>
      </c>
      <c r="AF107" s="486">
        <f t="shared" si="59"/>
        <v>0</v>
      </c>
      <c r="AG107" s="486">
        <f t="shared" si="59"/>
        <v>0</v>
      </c>
      <c r="AH107" s="486">
        <f t="shared" si="59"/>
        <v>0</v>
      </c>
      <c r="AI107" s="486">
        <f t="shared" si="59"/>
        <v>0</v>
      </c>
      <c r="AJ107" s="486">
        <f t="shared" si="59"/>
        <v>0</v>
      </c>
      <c r="AK107" s="486">
        <f t="shared" si="59"/>
        <v>0</v>
      </c>
      <c r="AL107" s="486">
        <f t="shared" si="59"/>
        <v>0</v>
      </c>
      <c r="AM107" s="486">
        <f t="shared" si="60"/>
        <v>0</v>
      </c>
      <c r="AN107" s="486">
        <f t="shared" si="60"/>
        <v>0</v>
      </c>
      <c r="AO107" s="486">
        <f t="shared" si="60"/>
        <v>0</v>
      </c>
      <c r="AP107" s="486">
        <f t="shared" si="60"/>
        <v>0</v>
      </c>
      <c r="AQ107" s="486">
        <f t="shared" si="60"/>
        <v>0</v>
      </c>
      <c r="AR107" s="486">
        <f t="shared" si="60"/>
        <v>0</v>
      </c>
      <c r="AS107" s="486">
        <f t="shared" si="60"/>
        <v>0</v>
      </c>
      <c r="AT107" s="486">
        <f t="shared" si="60"/>
        <v>0</v>
      </c>
      <c r="AU107" s="486">
        <f t="shared" si="60"/>
        <v>0</v>
      </c>
      <c r="AV107" s="486">
        <f t="shared" si="60"/>
        <v>0</v>
      </c>
      <c r="AW107" s="486">
        <f t="shared" si="61"/>
        <v>0</v>
      </c>
      <c r="AX107" s="486">
        <f t="shared" si="61"/>
        <v>0</v>
      </c>
      <c r="AY107" s="486">
        <f t="shared" si="61"/>
        <v>0</v>
      </c>
      <c r="AZ107" s="486">
        <f t="shared" si="61"/>
        <v>0</v>
      </c>
      <c r="BA107" s="486">
        <f t="shared" si="61"/>
        <v>0</v>
      </c>
      <c r="BB107" s="486">
        <f t="shared" si="61"/>
        <v>0</v>
      </c>
      <c r="BC107" s="486">
        <f t="shared" si="61"/>
        <v>0</v>
      </c>
      <c r="BD107" s="486">
        <f t="shared" si="61"/>
        <v>0</v>
      </c>
      <c r="BE107" s="486">
        <f t="shared" si="61"/>
        <v>0</v>
      </c>
      <c r="BF107" s="486">
        <f t="shared" si="61"/>
        <v>0</v>
      </c>
      <c r="BG107" s="486">
        <f t="shared" si="61"/>
        <v>0</v>
      </c>
      <c r="BH107" s="487">
        <f t="shared" si="61"/>
        <v>0</v>
      </c>
    </row>
    <row r="108" spans="6:60" x14ac:dyDescent="0.25">
      <c r="F108" s="488">
        <f t="shared" si="56"/>
        <v>45474</v>
      </c>
      <c r="G108" s="312">
        <v>44</v>
      </c>
      <c r="H108" t="str">
        <f t="shared" si="55"/>
        <v/>
      </c>
      <c r="I108" s="486">
        <f t="shared" si="57"/>
        <v>0</v>
      </c>
      <c r="J108" s="486">
        <f t="shared" si="57"/>
        <v>0</v>
      </c>
      <c r="K108" s="486">
        <f t="shared" si="57"/>
        <v>0</v>
      </c>
      <c r="L108" s="486">
        <f t="shared" si="57"/>
        <v>0</v>
      </c>
      <c r="M108" s="486">
        <f t="shared" si="57"/>
        <v>0</v>
      </c>
      <c r="N108" s="486">
        <f t="shared" si="57"/>
        <v>0</v>
      </c>
      <c r="O108" s="486">
        <f t="shared" si="57"/>
        <v>0</v>
      </c>
      <c r="P108" s="486">
        <f t="shared" si="57"/>
        <v>0</v>
      </c>
      <c r="Q108" s="486">
        <f t="shared" si="57"/>
        <v>0</v>
      </c>
      <c r="R108" s="486">
        <f t="shared" si="57"/>
        <v>0</v>
      </c>
      <c r="S108" s="486">
        <f t="shared" si="58"/>
        <v>0</v>
      </c>
      <c r="T108" s="486">
        <f t="shared" si="58"/>
        <v>0</v>
      </c>
      <c r="U108" s="486">
        <f t="shared" si="58"/>
        <v>0</v>
      </c>
      <c r="V108" s="486">
        <f t="shared" si="58"/>
        <v>0</v>
      </c>
      <c r="W108" s="486">
        <f t="shared" si="58"/>
        <v>0</v>
      </c>
      <c r="X108" s="486">
        <f t="shared" si="58"/>
        <v>0</v>
      </c>
      <c r="Y108" s="486">
        <f t="shared" si="58"/>
        <v>0</v>
      </c>
      <c r="Z108" s="486">
        <f t="shared" si="58"/>
        <v>0</v>
      </c>
      <c r="AA108" s="486">
        <f t="shared" si="58"/>
        <v>0</v>
      </c>
      <c r="AB108" s="486">
        <f t="shared" si="58"/>
        <v>0</v>
      </c>
      <c r="AC108" s="486">
        <f t="shared" si="59"/>
        <v>0</v>
      </c>
      <c r="AD108" s="486">
        <f t="shared" si="59"/>
        <v>0</v>
      </c>
      <c r="AE108" s="486">
        <f t="shared" si="59"/>
        <v>0</v>
      </c>
      <c r="AF108" s="486">
        <f t="shared" si="59"/>
        <v>0</v>
      </c>
      <c r="AG108" s="486">
        <f t="shared" si="59"/>
        <v>0</v>
      </c>
      <c r="AH108" s="486">
        <f t="shared" si="59"/>
        <v>0</v>
      </c>
      <c r="AI108" s="486">
        <f t="shared" si="59"/>
        <v>0</v>
      </c>
      <c r="AJ108" s="486">
        <f t="shared" si="59"/>
        <v>0</v>
      </c>
      <c r="AK108" s="486">
        <f t="shared" si="59"/>
        <v>0</v>
      </c>
      <c r="AL108" s="486">
        <f t="shared" si="59"/>
        <v>0</v>
      </c>
      <c r="AM108" s="486">
        <f t="shared" si="60"/>
        <v>0</v>
      </c>
      <c r="AN108" s="486">
        <f t="shared" si="60"/>
        <v>0</v>
      </c>
      <c r="AO108" s="486">
        <f t="shared" si="60"/>
        <v>0</v>
      </c>
      <c r="AP108" s="486">
        <f t="shared" si="60"/>
        <v>0</v>
      </c>
      <c r="AQ108" s="486">
        <f t="shared" si="60"/>
        <v>0</v>
      </c>
      <c r="AR108" s="486">
        <f t="shared" si="60"/>
        <v>0</v>
      </c>
      <c r="AS108" s="486">
        <f t="shared" si="60"/>
        <v>0</v>
      </c>
      <c r="AT108" s="486">
        <f t="shared" si="60"/>
        <v>0</v>
      </c>
      <c r="AU108" s="486">
        <f t="shared" si="60"/>
        <v>0</v>
      </c>
      <c r="AV108" s="486">
        <f t="shared" si="60"/>
        <v>0</v>
      </c>
      <c r="AW108" s="486">
        <f t="shared" si="61"/>
        <v>0</v>
      </c>
      <c r="AX108" s="486">
        <f t="shared" si="61"/>
        <v>0</v>
      </c>
      <c r="AY108" s="486">
        <f t="shared" si="61"/>
        <v>0</v>
      </c>
      <c r="AZ108" s="486">
        <f t="shared" si="61"/>
        <v>0</v>
      </c>
      <c r="BA108" s="486">
        <f t="shared" si="61"/>
        <v>0</v>
      </c>
      <c r="BB108" s="486">
        <f t="shared" si="61"/>
        <v>0</v>
      </c>
      <c r="BC108" s="486">
        <f t="shared" si="61"/>
        <v>0</v>
      </c>
      <c r="BD108" s="486">
        <f t="shared" si="61"/>
        <v>0</v>
      </c>
      <c r="BE108" s="486">
        <f t="shared" si="61"/>
        <v>0</v>
      </c>
      <c r="BF108" s="486">
        <f t="shared" si="61"/>
        <v>0</v>
      </c>
      <c r="BG108" s="486">
        <f t="shared" si="61"/>
        <v>0</v>
      </c>
      <c r="BH108" s="487">
        <f t="shared" si="61"/>
        <v>0</v>
      </c>
    </row>
    <row r="109" spans="6:60" x14ac:dyDescent="0.25">
      <c r="F109" s="488">
        <f t="shared" si="56"/>
        <v>45505</v>
      </c>
      <c r="G109" s="312">
        <v>45</v>
      </c>
      <c r="H109" t="str">
        <f t="shared" si="55"/>
        <v/>
      </c>
      <c r="I109" s="486">
        <f t="shared" si="57"/>
        <v>0</v>
      </c>
      <c r="J109" s="486">
        <f t="shared" si="57"/>
        <v>0</v>
      </c>
      <c r="K109" s="486">
        <f t="shared" si="57"/>
        <v>0</v>
      </c>
      <c r="L109" s="486">
        <f t="shared" si="57"/>
        <v>0</v>
      </c>
      <c r="M109" s="486">
        <f t="shared" si="57"/>
        <v>0</v>
      </c>
      <c r="N109" s="486">
        <f t="shared" si="57"/>
        <v>0</v>
      </c>
      <c r="O109" s="486">
        <f t="shared" si="57"/>
        <v>0</v>
      </c>
      <c r="P109" s="486">
        <f t="shared" si="57"/>
        <v>0</v>
      </c>
      <c r="Q109" s="486">
        <f t="shared" si="57"/>
        <v>0</v>
      </c>
      <c r="R109" s="486">
        <f t="shared" si="57"/>
        <v>0</v>
      </c>
      <c r="S109" s="486">
        <f t="shared" si="58"/>
        <v>0</v>
      </c>
      <c r="T109" s="486">
        <f t="shared" si="58"/>
        <v>0</v>
      </c>
      <c r="U109" s="486">
        <f t="shared" si="58"/>
        <v>0</v>
      </c>
      <c r="V109" s="486">
        <f t="shared" si="58"/>
        <v>0</v>
      </c>
      <c r="W109" s="486">
        <f t="shared" si="58"/>
        <v>0</v>
      </c>
      <c r="X109" s="486">
        <f t="shared" si="58"/>
        <v>0</v>
      </c>
      <c r="Y109" s="486">
        <f t="shared" si="58"/>
        <v>0</v>
      </c>
      <c r="Z109" s="486">
        <f t="shared" si="58"/>
        <v>0</v>
      </c>
      <c r="AA109" s="486">
        <f t="shared" si="58"/>
        <v>0</v>
      </c>
      <c r="AB109" s="486">
        <f t="shared" si="58"/>
        <v>0</v>
      </c>
      <c r="AC109" s="486">
        <f t="shared" si="59"/>
        <v>0</v>
      </c>
      <c r="AD109" s="486">
        <f t="shared" si="59"/>
        <v>0</v>
      </c>
      <c r="AE109" s="486">
        <f t="shared" si="59"/>
        <v>0</v>
      </c>
      <c r="AF109" s="486">
        <f t="shared" si="59"/>
        <v>0</v>
      </c>
      <c r="AG109" s="486">
        <f t="shared" si="59"/>
        <v>0</v>
      </c>
      <c r="AH109" s="486">
        <f t="shared" si="59"/>
        <v>0</v>
      </c>
      <c r="AI109" s="486">
        <f t="shared" si="59"/>
        <v>0</v>
      </c>
      <c r="AJ109" s="486">
        <f t="shared" si="59"/>
        <v>0</v>
      </c>
      <c r="AK109" s="486">
        <f t="shared" si="59"/>
        <v>0</v>
      </c>
      <c r="AL109" s="486">
        <f t="shared" si="59"/>
        <v>0</v>
      </c>
      <c r="AM109" s="486">
        <f t="shared" si="60"/>
        <v>0</v>
      </c>
      <c r="AN109" s="486">
        <f t="shared" si="60"/>
        <v>0</v>
      </c>
      <c r="AO109" s="486">
        <f t="shared" si="60"/>
        <v>0</v>
      </c>
      <c r="AP109" s="486">
        <f t="shared" si="60"/>
        <v>0</v>
      </c>
      <c r="AQ109" s="486">
        <f t="shared" si="60"/>
        <v>0</v>
      </c>
      <c r="AR109" s="486">
        <f t="shared" si="60"/>
        <v>0</v>
      </c>
      <c r="AS109" s="486">
        <f t="shared" si="60"/>
        <v>0</v>
      </c>
      <c r="AT109" s="486">
        <f t="shared" si="60"/>
        <v>0</v>
      </c>
      <c r="AU109" s="486">
        <f t="shared" si="60"/>
        <v>0</v>
      </c>
      <c r="AV109" s="486">
        <f t="shared" si="60"/>
        <v>0</v>
      </c>
      <c r="AW109" s="486">
        <f t="shared" si="61"/>
        <v>0</v>
      </c>
      <c r="AX109" s="486">
        <f t="shared" si="61"/>
        <v>0</v>
      </c>
      <c r="AY109" s="486">
        <f t="shared" si="61"/>
        <v>0</v>
      </c>
      <c r="AZ109" s="486">
        <f t="shared" si="61"/>
        <v>0</v>
      </c>
      <c r="BA109" s="486">
        <f t="shared" si="61"/>
        <v>0</v>
      </c>
      <c r="BB109" s="486">
        <f t="shared" si="61"/>
        <v>0</v>
      </c>
      <c r="BC109" s="486">
        <f t="shared" si="61"/>
        <v>0</v>
      </c>
      <c r="BD109" s="486">
        <f t="shared" si="61"/>
        <v>0</v>
      </c>
      <c r="BE109" s="486">
        <f t="shared" si="61"/>
        <v>0</v>
      </c>
      <c r="BF109" s="486">
        <f t="shared" si="61"/>
        <v>0</v>
      </c>
      <c r="BG109" s="486">
        <f t="shared" si="61"/>
        <v>0</v>
      </c>
      <c r="BH109" s="487">
        <f t="shared" si="61"/>
        <v>0</v>
      </c>
    </row>
    <row r="110" spans="6:60" x14ac:dyDescent="0.25">
      <c r="F110" s="488">
        <f t="shared" si="56"/>
        <v>45536</v>
      </c>
      <c r="G110" s="312">
        <v>46</v>
      </c>
      <c r="H110" t="str">
        <f t="shared" si="55"/>
        <v/>
      </c>
      <c r="I110" s="486">
        <f t="shared" si="57"/>
        <v>0</v>
      </c>
      <c r="J110" s="486">
        <f t="shared" si="57"/>
        <v>0</v>
      </c>
      <c r="K110" s="486">
        <f t="shared" si="57"/>
        <v>0</v>
      </c>
      <c r="L110" s="486">
        <f t="shared" si="57"/>
        <v>0</v>
      </c>
      <c r="M110" s="486">
        <f t="shared" si="57"/>
        <v>0</v>
      </c>
      <c r="N110" s="486">
        <f t="shared" si="57"/>
        <v>0</v>
      </c>
      <c r="O110" s="486">
        <f t="shared" si="57"/>
        <v>0</v>
      </c>
      <c r="P110" s="486">
        <f t="shared" si="57"/>
        <v>0</v>
      </c>
      <c r="Q110" s="486">
        <f t="shared" si="57"/>
        <v>0</v>
      </c>
      <c r="R110" s="486">
        <f t="shared" si="57"/>
        <v>0</v>
      </c>
      <c r="S110" s="486">
        <f t="shared" si="58"/>
        <v>0</v>
      </c>
      <c r="T110" s="486">
        <f t="shared" si="58"/>
        <v>0</v>
      </c>
      <c r="U110" s="486">
        <f t="shared" si="58"/>
        <v>0</v>
      </c>
      <c r="V110" s="486">
        <f t="shared" si="58"/>
        <v>0</v>
      </c>
      <c r="W110" s="486">
        <f t="shared" si="58"/>
        <v>0</v>
      </c>
      <c r="X110" s="486">
        <f t="shared" si="58"/>
        <v>0</v>
      </c>
      <c r="Y110" s="486">
        <f t="shared" si="58"/>
        <v>0</v>
      </c>
      <c r="Z110" s="486">
        <f t="shared" si="58"/>
        <v>0</v>
      </c>
      <c r="AA110" s="486">
        <f t="shared" si="58"/>
        <v>0</v>
      </c>
      <c r="AB110" s="486">
        <f t="shared" si="58"/>
        <v>0</v>
      </c>
      <c r="AC110" s="486">
        <f t="shared" si="59"/>
        <v>0</v>
      </c>
      <c r="AD110" s="486">
        <f t="shared" si="59"/>
        <v>0</v>
      </c>
      <c r="AE110" s="486">
        <f t="shared" si="59"/>
        <v>0</v>
      </c>
      <c r="AF110" s="486">
        <f t="shared" si="59"/>
        <v>0</v>
      </c>
      <c r="AG110" s="486">
        <f t="shared" si="59"/>
        <v>0</v>
      </c>
      <c r="AH110" s="486">
        <f t="shared" si="59"/>
        <v>0</v>
      </c>
      <c r="AI110" s="486">
        <f t="shared" si="59"/>
        <v>0</v>
      </c>
      <c r="AJ110" s="486">
        <f t="shared" si="59"/>
        <v>0</v>
      </c>
      <c r="AK110" s="486">
        <f t="shared" si="59"/>
        <v>0</v>
      </c>
      <c r="AL110" s="486">
        <f t="shared" si="59"/>
        <v>0</v>
      </c>
      <c r="AM110" s="486">
        <f t="shared" si="60"/>
        <v>0</v>
      </c>
      <c r="AN110" s="486">
        <f t="shared" si="60"/>
        <v>0</v>
      </c>
      <c r="AO110" s="486">
        <f t="shared" si="60"/>
        <v>0</v>
      </c>
      <c r="AP110" s="486">
        <f t="shared" si="60"/>
        <v>0</v>
      </c>
      <c r="AQ110" s="486">
        <f t="shared" si="60"/>
        <v>0</v>
      </c>
      <c r="AR110" s="486">
        <f t="shared" si="60"/>
        <v>0</v>
      </c>
      <c r="AS110" s="486">
        <f t="shared" si="60"/>
        <v>0</v>
      </c>
      <c r="AT110" s="486">
        <f t="shared" si="60"/>
        <v>0</v>
      </c>
      <c r="AU110" s="486">
        <f t="shared" si="60"/>
        <v>0</v>
      </c>
      <c r="AV110" s="486">
        <f t="shared" si="60"/>
        <v>0</v>
      </c>
      <c r="AW110" s="486">
        <f t="shared" si="61"/>
        <v>0</v>
      </c>
      <c r="AX110" s="486">
        <f t="shared" si="61"/>
        <v>0</v>
      </c>
      <c r="AY110" s="486">
        <f t="shared" si="61"/>
        <v>0</v>
      </c>
      <c r="AZ110" s="486">
        <f t="shared" si="61"/>
        <v>0</v>
      </c>
      <c r="BA110" s="486">
        <f t="shared" si="61"/>
        <v>0</v>
      </c>
      <c r="BB110" s="486">
        <f t="shared" si="61"/>
        <v>0</v>
      </c>
      <c r="BC110" s="486">
        <f t="shared" si="61"/>
        <v>0</v>
      </c>
      <c r="BD110" s="486">
        <f t="shared" si="61"/>
        <v>0</v>
      </c>
      <c r="BE110" s="486">
        <f t="shared" si="61"/>
        <v>0</v>
      </c>
      <c r="BF110" s="486">
        <f t="shared" si="61"/>
        <v>0</v>
      </c>
      <c r="BG110" s="486">
        <f t="shared" si="61"/>
        <v>0</v>
      </c>
      <c r="BH110" s="487">
        <f t="shared" si="61"/>
        <v>0</v>
      </c>
    </row>
    <row r="111" spans="6:60" x14ac:dyDescent="0.25">
      <c r="F111" s="488">
        <f t="shared" si="56"/>
        <v>45566</v>
      </c>
      <c r="G111" s="312">
        <v>47</v>
      </c>
      <c r="H111" t="str">
        <f t="shared" si="55"/>
        <v/>
      </c>
      <c r="I111" s="486">
        <f t="shared" si="57"/>
        <v>0</v>
      </c>
      <c r="J111" s="486">
        <f t="shared" si="57"/>
        <v>0</v>
      </c>
      <c r="K111" s="486">
        <f t="shared" si="57"/>
        <v>0</v>
      </c>
      <c r="L111" s="486">
        <f t="shared" si="57"/>
        <v>0</v>
      </c>
      <c r="M111" s="486">
        <f t="shared" si="57"/>
        <v>0</v>
      </c>
      <c r="N111" s="486">
        <f t="shared" si="57"/>
        <v>0</v>
      </c>
      <c r="O111" s="486">
        <f t="shared" si="57"/>
        <v>0</v>
      </c>
      <c r="P111" s="486">
        <f t="shared" si="57"/>
        <v>0</v>
      </c>
      <c r="Q111" s="486">
        <f t="shared" si="57"/>
        <v>0</v>
      </c>
      <c r="R111" s="486">
        <f t="shared" si="57"/>
        <v>0</v>
      </c>
      <c r="S111" s="486">
        <f t="shared" si="58"/>
        <v>0</v>
      </c>
      <c r="T111" s="486">
        <f t="shared" si="58"/>
        <v>0</v>
      </c>
      <c r="U111" s="486">
        <f t="shared" si="58"/>
        <v>0</v>
      </c>
      <c r="V111" s="486">
        <f t="shared" si="58"/>
        <v>0</v>
      </c>
      <c r="W111" s="486">
        <f t="shared" si="58"/>
        <v>0</v>
      </c>
      <c r="X111" s="486">
        <f t="shared" si="58"/>
        <v>0</v>
      </c>
      <c r="Y111" s="486">
        <f t="shared" si="58"/>
        <v>0</v>
      </c>
      <c r="Z111" s="486">
        <f t="shared" si="58"/>
        <v>0</v>
      </c>
      <c r="AA111" s="486">
        <f t="shared" si="58"/>
        <v>0</v>
      </c>
      <c r="AB111" s="486">
        <f t="shared" si="58"/>
        <v>0</v>
      </c>
      <c r="AC111" s="486">
        <f t="shared" si="59"/>
        <v>0</v>
      </c>
      <c r="AD111" s="486">
        <f t="shared" si="59"/>
        <v>0</v>
      </c>
      <c r="AE111" s="486">
        <f t="shared" si="59"/>
        <v>0</v>
      </c>
      <c r="AF111" s="486">
        <f t="shared" si="59"/>
        <v>0</v>
      </c>
      <c r="AG111" s="486">
        <f t="shared" si="59"/>
        <v>0</v>
      </c>
      <c r="AH111" s="486">
        <f t="shared" si="59"/>
        <v>0</v>
      </c>
      <c r="AI111" s="486">
        <f t="shared" si="59"/>
        <v>0</v>
      </c>
      <c r="AJ111" s="486">
        <f t="shared" si="59"/>
        <v>0</v>
      </c>
      <c r="AK111" s="486">
        <f t="shared" si="59"/>
        <v>0</v>
      </c>
      <c r="AL111" s="486">
        <f t="shared" si="59"/>
        <v>0</v>
      </c>
      <c r="AM111" s="486">
        <f t="shared" si="60"/>
        <v>0</v>
      </c>
      <c r="AN111" s="486">
        <f t="shared" si="60"/>
        <v>0</v>
      </c>
      <c r="AO111" s="486">
        <f t="shared" si="60"/>
        <v>0</v>
      </c>
      <c r="AP111" s="486">
        <f t="shared" si="60"/>
        <v>0</v>
      </c>
      <c r="AQ111" s="486">
        <f t="shared" si="60"/>
        <v>0</v>
      </c>
      <c r="AR111" s="486">
        <f t="shared" si="60"/>
        <v>0</v>
      </c>
      <c r="AS111" s="486">
        <f t="shared" si="60"/>
        <v>0</v>
      </c>
      <c r="AT111" s="486">
        <f t="shared" si="60"/>
        <v>0</v>
      </c>
      <c r="AU111" s="486">
        <f t="shared" si="60"/>
        <v>0</v>
      </c>
      <c r="AV111" s="486">
        <f t="shared" si="60"/>
        <v>0</v>
      </c>
      <c r="AW111" s="486">
        <f t="shared" si="61"/>
        <v>0</v>
      </c>
      <c r="AX111" s="486">
        <f t="shared" si="61"/>
        <v>0</v>
      </c>
      <c r="AY111" s="486">
        <f t="shared" si="61"/>
        <v>0</v>
      </c>
      <c r="AZ111" s="486">
        <f t="shared" si="61"/>
        <v>0</v>
      </c>
      <c r="BA111" s="486">
        <f t="shared" si="61"/>
        <v>0</v>
      </c>
      <c r="BB111" s="486">
        <f t="shared" si="61"/>
        <v>0</v>
      </c>
      <c r="BC111" s="486">
        <f t="shared" si="61"/>
        <v>0</v>
      </c>
      <c r="BD111" s="486">
        <f t="shared" si="61"/>
        <v>0</v>
      </c>
      <c r="BE111" s="486">
        <f t="shared" si="61"/>
        <v>0</v>
      </c>
      <c r="BF111" s="486">
        <f t="shared" si="61"/>
        <v>0</v>
      </c>
      <c r="BG111" s="486">
        <f t="shared" si="61"/>
        <v>0</v>
      </c>
      <c r="BH111" s="487">
        <f t="shared" si="61"/>
        <v>0</v>
      </c>
    </row>
    <row r="112" spans="6:60" x14ac:dyDescent="0.25">
      <c r="F112" s="488">
        <f t="shared" si="56"/>
        <v>45597</v>
      </c>
      <c r="G112" s="312">
        <v>48</v>
      </c>
      <c r="H112" t="str">
        <f t="shared" si="55"/>
        <v/>
      </c>
      <c r="I112" s="486">
        <f t="shared" si="57"/>
        <v>0</v>
      </c>
      <c r="J112" s="486">
        <f t="shared" si="57"/>
        <v>0</v>
      </c>
      <c r="K112" s="486">
        <f t="shared" si="57"/>
        <v>0</v>
      </c>
      <c r="L112" s="486">
        <f t="shared" si="57"/>
        <v>0</v>
      </c>
      <c r="M112" s="486">
        <f t="shared" si="57"/>
        <v>0</v>
      </c>
      <c r="N112" s="486">
        <f t="shared" si="57"/>
        <v>0</v>
      </c>
      <c r="O112" s="486">
        <f t="shared" si="57"/>
        <v>0</v>
      </c>
      <c r="P112" s="486">
        <f t="shared" si="57"/>
        <v>0</v>
      </c>
      <c r="Q112" s="486">
        <f t="shared" si="57"/>
        <v>0</v>
      </c>
      <c r="R112" s="486">
        <f t="shared" si="57"/>
        <v>0</v>
      </c>
      <c r="S112" s="486">
        <f t="shared" si="58"/>
        <v>0</v>
      </c>
      <c r="T112" s="486">
        <f t="shared" si="58"/>
        <v>0</v>
      </c>
      <c r="U112" s="486">
        <f t="shared" si="58"/>
        <v>0</v>
      </c>
      <c r="V112" s="486">
        <f t="shared" si="58"/>
        <v>0</v>
      </c>
      <c r="W112" s="486">
        <f t="shared" si="58"/>
        <v>0</v>
      </c>
      <c r="X112" s="486">
        <f t="shared" si="58"/>
        <v>0</v>
      </c>
      <c r="Y112" s="486">
        <f t="shared" si="58"/>
        <v>0</v>
      </c>
      <c r="Z112" s="486">
        <f t="shared" si="58"/>
        <v>0</v>
      </c>
      <c r="AA112" s="486">
        <f t="shared" si="58"/>
        <v>0</v>
      </c>
      <c r="AB112" s="486">
        <f t="shared" si="58"/>
        <v>0</v>
      </c>
      <c r="AC112" s="486">
        <f t="shared" si="59"/>
        <v>0</v>
      </c>
      <c r="AD112" s="486">
        <f t="shared" si="59"/>
        <v>0</v>
      </c>
      <c r="AE112" s="486">
        <f t="shared" si="59"/>
        <v>0</v>
      </c>
      <c r="AF112" s="486">
        <f t="shared" si="59"/>
        <v>0</v>
      </c>
      <c r="AG112" s="486">
        <f t="shared" si="59"/>
        <v>0</v>
      </c>
      <c r="AH112" s="486">
        <f t="shared" si="59"/>
        <v>0</v>
      </c>
      <c r="AI112" s="486">
        <f t="shared" si="59"/>
        <v>0</v>
      </c>
      <c r="AJ112" s="486">
        <f t="shared" si="59"/>
        <v>0</v>
      </c>
      <c r="AK112" s="486">
        <f t="shared" si="59"/>
        <v>0</v>
      </c>
      <c r="AL112" s="486">
        <f t="shared" si="59"/>
        <v>0</v>
      </c>
      <c r="AM112" s="486">
        <f t="shared" si="60"/>
        <v>0</v>
      </c>
      <c r="AN112" s="486">
        <f t="shared" si="60"/>
        <v>0</v>
      </c>
      <c r="AO112" s="486">
        <f t="shared" si="60"/>
        <v>0</v>
      </c>
      <c r="AP112" s="486">
        <f t="shared" si="60"/>
        <v>0</v>
      </c>
      <c r="AQ112" s="486">
        <f t="shared" si="60"/>
        <v>0</v>
      </c>
      <c r="AR112" s="486">
        <f t="shared" si="60"/>
        <v>0</v>
      </c>
      <c r="AS112" s="486">
        <f t="shared" si="60"/>
        <v>0</v>
      </c>
      <c r="AT112" s="486">
        <f t="shared" si="60"/>
        <v>0</v>
      </c>
      <c r="AU112" s="486">
        <f t="shared" si="60"/>
        <v>0</v>
      </c>
      <c r="AV112" s="486">
        <f t="shared" si="60"/>
        <v>0</v>
      </c>
      <c r="AW112" s="486">
        <f t="shared" si="61"/>
        <v>0</v>
      </c>
      <c r="AX112" s="486">
        <f t="shared" si="61"/>
        <v>0</v>
      </c>
      <c r="AY112" s="486">
        <f t="shared" si="61"/>
        <v>0</v>
      </c>
      <c r="AZ112" s="486">
        <f t="shared" si="61"/>
        <v>0</v>
      </c>
      <c r="BA112" s="486">
        <f t="shared" si="61"/>
        <v>0</v>
      </c>
      <c r="BB112" s="486">
        <f t="shared" si="61"/>
        <v>0</v>
      </c>
      <c r="BC112" s="486">
        <f t="shared" si="61"/>
        <v>0</v>
      </c>
      <c r="BD112" s="486">
        <f t="shared" si="61"/>
        <v>0</v>
      </c>
      <c r="BE112" s="486">
        <f t="shared" si="61"/>
        <v>0</v>
      </c>
      <c r="BF112" s="486">
        <f t="shared" si="61"/>
        <v>0</v>
      </c>
      <c r="BG112" s="486">
        <f t="shared" si="61"/>
        <v>0</v>
      </c>
      <c r="BH112" s="487">
        <f t="shared" si="61"/>
        <v>0</v>
      </c>
    </row>
    <row r="113" spans="6:60" x14ac:dyDescent="0.25">
      <c r="F113" s="488">
        <f t="shared" si="56"/>
        <v>45627</v>
      </c>
      <c r="G113" s="312">
        <v>49</v>
      </c>
      <c r="H113" t="str">
        <f t="shared" si="55"/>
        <v/>
      </c>
      <c r="I113" s="486">
        <f t="shared" si="57"/>
        <v>0</v>
      </c>
      <c r="J113" s="486">
        <f t="shared" si="57"/>
        <v>0</v>
      </c>
      <c r="K113" s="486">
        <f t="shared" si="57"/>
        <v>0</v>
      </c>
      <c r="L113" s="486">
        <f t="shared" si="57"/>
        <v>0</v>
      </c>
      <c r="M113" s="486">
        <f t="shared" si="57"/>
        <v>0</v>
      </c>
      <c r="N113" s="486">
        <f t="shared" si="57"/>
        <v>0</v>
      </c>
      <c r="O113" s="486">
        <f t="shared" si="57"/>
        <v>0</v>
      </c>
      <c r="P113" s="486">
        <f t="shared" si="57"/>
        <v>0</v>
      </c>
      <c r="Q113" s="486">
        <f t="shared" si="57"/>
        <v>0</v>
      </c>
      <c r="R113" s="486">
        <f t="shared" si="57"/>
        <v>0</v>
      </c>
      <c r="S113" s="486">
        <f t="shared" si="58"/>
        <v>0</v>
      </c>
      <c r="T113" s="486">
        <f t="shared" si="58"/>
        <v>0</v>
      </c>
      <c r="U113" s="486">
        <f t="shared" si="58"/>
        <v>0</v>
      </c>
      <c r="V113" s="486">
        <f t="shared" si="58"/>
        <v>0</v>
      </c>
      <c r="W113" s="486">
        <f t="shared" si="58"/>
        <v>0</v>
      </c>
      <c r="X113" s="486">
        <f t="shared" si="58"/>
        <v>0</v>
      </c>
      <c r="Y113" s="486">
        <f t="shared" si="58"/>
        <v>0</v>
      </c>
      <c r="Z113" s="486">
        <f t="shared" si="58"/>
        <v>0</v>
      </c>
      <c r="AA113" s="486">
        <f t="shared" si="58"/>
        <v>0</v>
      </c>
      <c r="AB113" s="486">
        <f t="shared" si="58"/>
        <v>0</v>
      </c>
      <c r="AC113" s="486">
        <f t="shared" si="59"/>
        <v>0</v>
      </c>
      <c r="AD113" s="486">
        <f t="shared" si="59"/>
        <v>0</v>
      </c>
      <c r="AE113" s="486">
        <f t="shared" si="59"/>
        <v>0</v>
      </c>
      <c r="AF113" s="486">
        <f t="shared" si="59"/>
        <v>0</v>
      </c>
      <c r="AG113" s="486">
        <f t="shared" si="59"/>
        <v>0</v>
      </c>
      <c r="AH113" s="486">
        <f t="shared" si="59"/>
        <v>0</v>
      </c>
      <c r="AI113" s="486">
        <f t="shared" si="59"/>
        <v>0</v>
      </c>
      <c r="AJ113" s="486">
        <f t="shared" si="59"/>
        <v>0</v>
      </c>
      <c r="AK113" s="486">
        <f t="shared" si="59"/>
        <v>0</v>
      </c>
      <c r="AL113" s="486">
        <f t="shared" si="59"/>
        <v>0</v>
      </c>
      <c r="AM113" s="486">
        <f t="shared" si="60"/>
        <v>0</v>
      </c>
      <c r="AN113" s="486">
        <f t="shared" si="60"/>
        <v>0</v>
      </c>
      <c r="AO113" s="486">
        <f t="shared" si="60"/>
        <v>0</v>
      </c>
      <c r="AP113" s="486">
        <f t="shared" si="60"/>
        <v>0</v>
      </c>
      <c r="AQ113" s="486">
        <f t="shared" si="60"/>
        <v>0</v>
      </c>
      <c r="AR113" s="486">
        <f t="shared" si="60"/>
        <v>0</v>
      </c>
      <c r="AS113" s="486">
        <f t="shared" si="60"/>
        <v>0</v>
      </c>
      <c r="AT113" s="486">
        <f t="shared" si="60"/>
        <v>0</v>
      </c>
      <c r="AU113" s="486">
        <f t="shared" si="60"/>
        <v>0</v>
      </c>
      <c r="AV113" s="486">
        <f t="shared" si="60"/>
        <v>0</v>
      </c>
      <c r="AW113" s="486">
        <f t="shared" si="61"/>
        <v>0</v>
      </c>
      <c r="AX113" s="486">
        <f t="shared" si="61"/>
        <v>0</v>
      </c>
      <c r="AY113" s="486">
        <f t="shared" si="61"/>
        <v>0</v>
      </c>
      <c r="AZ113" s="486">
        <f t="shared" si="61"/>
        <v>0</v>
      </c>
      <c r="BA113" s="486">
        <f t="shared" si="61"/>
        <v>0</v>
      </c>
      <c r="BB113" s="486">
        <f t="shared" si="61"/>
        <v>0</v>
      </c>
      <c r="BC113" s="486">
        <f t="shared" si="61"/>
        <v>0</v>
      </c>
      <c r="BD113" s="486">
        <f t="shared" si="61"/>
        <v>0</v>
      </c>
      <c r="BE113" s="486">
        <f t="shared" si="61"/>
        <v>0</v>
      </c>
      <c r="BF113" s="486">
        <f t="shared" si="61"/>
        <v>0</v>
      </c>
      <c r="BG113" s="486">
        <f t="shared" si="61"/>
        <v>0</v>
      </c>
      <c r="BH113" s="487">
        <f t="shared" si="61"/>
        <v>0</v>
      </c>
    </row>
    <row r="114" spans="6:60" x14ac:dyDescent="0.25">
      <c r="F114" s="488">
        <f t="shared" si="56"/>
        <v>45658</v>
      </c>
      <c r="G114" s="312">
        <v>50</v>
      </c>
      <c r="H114" t="str">
        <f t="shared" si="55"/>
        <v/>
      </c>
      <c r="I114" s="486">
        <f t="shared" si="57"/>
        <v>0</v>
      </c>
      <c r="J114" s="486">
        <f t="shared" si="57"/>
        <v>0</v>
      </c>
      <c r="K114" s="486">
        <f t="shared" si="57"/>
        <v>0</v>
      </c>
      <c r="L114" s="486">
        <f t="shared" si="57"/>
        <v>0</v>
      </c>
      <c r="M114" s="486">
        <f t="shared" si="57"/>
        <v>0</v>
      </c>
      <c r="N114" s="486">
        <f t="shared" si="57"/>
        <v>0</v>
      </c>
      <c r="O114" s="486">
        <f t="shared" si="57"/>
        <v>0</v>
      </c>
      <c r="P114" s="486">
        <f t="shared" si="57"/>
        <v>0</v>
      </c>
      <c r="Q114" s="486">
        <f t="shared" si="57"/>
        <v>0</v>
      </c>
      <c r="R114" s="486">
        <f t="shared" si="57"/>
        <v>0</v>
      </c>
      <c r="S114" s="486">
        <f t="shared" si="58"/>
        <v>0</v>
      </c>
      <c r="T114" s="486">
        <f t="shared" si="58"/>
        <v>0</v>
      </c>
      <c r="U114" s="486">
        <f t="shared" si="58"/>
        <v>0</v>
      </c>
      <c r="V114" s="486">
        <f t="shared" si="58"/>
        <v>0</v>
      </c>
      <c r="W114" s="486">
        <f t="shared" si="58"/>
        <v>0</v>
      </c>
      <c r="X114" s="486">
        <f t="shared" si="58"/>
        <v>0</v>
      </c>
      <c r="Y114" s="486">
        <f t="shared" si="58"/>
        <v>0</v>
      </c>
      <c r="Z114" s="486">
        <f t="shared" si="58"/>
        <v>0</v>
      </c>
      <c r="AA114" s="486">
        <f t="shared" si="58"/>
        <v>0</v>
      </c>
      <c r="AB114" s="486">
        <f t="shared" si="58"/>
        <v>0</v>
      </c>
      <c r="AC114" s="486">
        <f t="shared" si="59"/>
        <v>0</v>
      </c>
      <c r="AD114" s="486">
        <f t="shared" si="59"/>
        <v>0</v>
      </c>
      <c r="AE114" s="486">
        <f t="shared" si="59"/>
        <v>0</v>
      </c>
      <c r="AF114" s="486">
        <f t="shared" si="59"/>
        <v>0</v>
      </c>
      <c r="AG114" s="486">
        <f t="shared" si="59"/>
        <v>0</v>
      </c>
      <c r="AH114" s="486">
        <f t="shared" si="59"/>
        <v>0</v>
      </c>
      <c r="AI114" s="486">
        <f t="shared" si="59"/>
        <v>0</v>
      </c>
      <c r="AJ114" s="486">
        <f t="shared" si="59"/>
        <v>0</v>
      </c>
      <c r="AK114" s="486">
        <f t="shared" si="59"/>
        <v>0</v>
      </c>
      <c r="AL114" s="486">
        <f t="shared" si="59"/>
        <v>0</v>
      </c>
      <c r="AM114" s="486">
        <f t="shared" si="60"/>
        <v>0</v>
      </c>
      <c r="AN114" s="486">
        <f t="shared" si="60"/>
        <v>0</v>
      </c>
      <c r="AO114" s="486">
        <f t="shared" si="60"/>
        <v>0</v>
      </c>
      <c r="AP114" s="486">
        <f t="shared" si="60"/>
        <v>0</v>
      </c>
      <c r="AQ114" s="486">
        <f t="shared" si="60"/>
        <v>0</v>
      </c>
      <c r="AR114" s="486">
        <f t="shared" si="60"/>
        <v>0</v>
      </c>
      <c r="AS114" s="486">
        <f t="shared" si="60"/>
        <v>0</v>
      </c>
      <c r="AT114" s="486">
        <f t="shared" si="60"/>
        <v>0</v>
      </c>
      <c r="AU114" s="486">
        <f t="shared" si="60"/>
        <v>0</v>
      </c>
      <c r="AV114" s="486">
        <f t="shared" si="60"/>
        <v>0</v>
      </c>
      <c r="AW114" s="486">
        <f t="shared" si="61"/>
        <v>0</v>
      </c>
      <c r="AX114" s="486">
        <f t="shared" si="61"/>
        <v>0</v>
      </c>
      <c r="AY114" s="486">
        <f t="shared" si="61"/>
        <v>0</v>
      </c>
      <c r="AZ114" s="486">
        <f t="shared" si="61"/>
        <v>0</v>
      </c>
      <c r="BA114" s="486">
        <f t="shared" si="61"/>
        <v>0</v>
      </c>
      <c r="BB114" s="486">
        <f t="shared" si="61"/>
        <v>0</v>
      </c>
      <c r="BC114" s="486">
        <f t="shared" si="61"/>
        <v>0</v>
      </c>
      <c r="BD114" s="486">
        <f t="shared" si="61"/>
        <v>0</v>
      </c>
      <c r="BE114" s="486">
        <f t="shared" si="61"/>
        <v>0</v>
      </c>
      <c r="BF114" s="486">
        <f t="shared" si="61"/>
        <v>0</v>
      </c>
      <c r="BG114" s="486">
        <f t="shared" si="61"/>
        <v>0</v>
      </c>
      <c r="BH114" s="487">
        <f t="shared" si="61"/>
        <v>0</v>
      </c>
    </row>
    <row r="115" spans="6:60" x14ac:dyDescent="0.25">
      <c r="F115" s="488">
        <f t="shared" si="56"/>
        <v>45689</v>
      </c>
      <c r="G115" s="312">
        <v>57</v>
      </c>
      <c r="H115" t="str">
        <f t="shared" si="55"/>
        <v/>
      </c>
      <c r="I115" s="486">
        <f t="shared" si="57"/>
        <v>0</v>
      </c>
      <c r="J115" s="486">
        <f t="shared" si="57"/>
        <v>0</v>
      </c>
      <c r="K115" s="486">
        <f t="shared" si="57"/>
        <v>0</v>
      </c>
      <c r="L115" s="486">
        <f t="shared" si="57"/>
        <v>0</v>
      </c>
      <c r="M115" s="486">
        <f t="shared" si="57"/>
        <v>0</v>
      </c>
      <c r="N115" s="486">
        <f t="shared" si="57"/>
        <v>0</v>
      </c>
      <c r="O115" s="486">
        <f t="shared" si="57"/>
        <v>0</v>
      </c>
      <c r="P115" s="486">
        <f t="shared" si="57"/>
        <v>0</v>
      </c>
      <c r="Q115" s="486">
        <f t="shared" si="57"/>
        <v>0</v>
      </c>
      <c r="R115" s="486">
        <f t="shared" si="57"/>
        <v>0</v>
      </c>
      <c r="S115" s="486">
        <f t="shared" si="58"/>
        <v>0</v>
      </c>
      <c r="T115" s="486">
        <f t="shared" si="58"/>
        <v>0</v>
      </c>
      <c r="U115" s="486">
        <f t="shared" si="58"/>
        <v>0</v>
      </c>
      <c r="V115" s="486">
        <f t="shared" si="58"/>
        <v>0</v>
      </c>
      <c r="W115" s="486">
        <f t="shared" si="58"/>
        <v>0</v>
      </c>
      <c r="X115" s="486">
        <f t="shared" si="58"/>
        <v>0</v>
      </c>
      <c r="Y115" s="486">
        <f t="shared" si="58"/>
        <v>0</v>
      </c>
      <c r="Z115" s="486">
        <f t="shared" si="58"/>
        <v>0</v>
      </c>
      <c r="AA115" s="486">
        <f t="shared" si="58"/>
        <v>0</v>
      </c>
      <c r="AB115" s="486">
        <f t="shared" si="58"/>
        <v>0</v>
      </c>
      <c r="AC115" s="486">
        <f t="shared" si="59"/>
        <v>0</v>
      </c>
      <c r="AD115" s="486">
        <f t="shared" si="59"/>
        <v>0</v>
      </c>
      <c r="AE115" s="486">
        <f t="shared" si="59"/>
        <v>0</v>
      </c>
      <c r="AF115" s="486">
        <f t="shared" si="59"/>
        <v>0</v>
      </c>
      <c r="AG115" s="486">
        <f t="shared" si="59"/>
        <v>0</v>
      </c>
      <c r="AH115" s="486">
        <f t="shared" si="59"/>
        <v>0</v>
      </c>
      <c r="AI115" s="486">
        <f t="shared" si="59"/>
        <v>0</v>
      </c>
      <c r="AJ115" s="486">
        <f t="shared" si="59"/>
        <v>0</v>
      </c>
      <c r="AK115" s="486">
        <f t="shared" si="59"/>
        <v>0</v>
      </c>
      <c r="AL115" s="486">
        <f t="shared" si="59"/>
        <v>0</v>
      </c>
      <c r="AM115" s="486">
        <f t="shared" si="60"/>
        <v>0</v>
      </c>
      <c r="AN115" s="486">
        <f t="shared" si="60"/>
        <v>0</v>
      </c>
      <c r="AO115" s="486">
        <f t="shared" si="60"/>
        <v>0</v>
      </c>
      <c r="AP115" s="486">
        <f t="shared" si="60"/>
        <v>0</v>
      </c>
      <c r="AQ115" s="486">
        <f t="shared" si="60"/>
        <v>0</v>
      </c>
      <c r="AR115" s="486">
        <f t="shared" si="60"/>
        <v>0</v>
      </c>
      <c r="AS115" s="486">
        <f t="shared" si="60"/>
        <v>0</v>
      </c>
      <c r="AT115" s="486">
        <f t="shared" si="60"/>
        <v>0</v>
      </c>
      <c r="AU115" s="486">
        <f t="shared" si="60"/>
        <v>0</v>
      </c>
      <c r="AV115" s="486">
        <f t="shared" si="60"/>
        <v>0</v>
      </c>
      <c r="AW115" s="486">
        <f t="shared" si="61"/>
        <v>0</v>
      </c>
      <c r="AX115" s="486">
        <f t="shared" si="61"/>
        <v>0</v>
      </c>
      <c r="AY115" s="486">
        <f t="shared" si="61"/>
        <v>0</v>
      </c>
      <c r="AZ115" s="486">
        <f t="shared" si="61"/>
        <v>0</v>
      </c>
      <c r="BA115" s="486">
        <f t="shared" si="61"/>
        <v>0</v>
      </c>
      <c r="BB115" s="486">
        <f t="shared" si="61"/>
        <v>0</v>
      </c>
      <c r="BC115" s="486">
        <f t="shared" si="61"/>
        <v>0</v>
      </c>
      <c r="BD115" s="486">
        <f t="shared" si="61"/>
        <v>0</v>
      </c>
      <c r="BE115" s="486">
        <f t="shared" si="61"/>
        <v>0</v>
      </c>
      <c r="BF115" s="486">
        <f t="shared" si="61"/>
        <v>0</v>
      </c>
      <c r="BG115" s="486">
        <f t="shared" si="61"/>
        <v>0</v>
      </c>
      <c r="BH115" s="487">
        <f t="shared" si="61"/>
        <v>0</v>
      </c>
    </row>
    <row r="116" spans="6:60" x14ac:dyDescent="0.25">
      <c r="F116" s="489">
        <f t="shared" si="56"/>
        <v>45717</v>
      </c>
      <c r="G116" s="154">
        <v>58</v>
      </c>
      <c r="H116" s="490" t="str">
        <f t="shared" si="55"/>
        <v/>
      </c>
      <c r="I116" s="490">
        <f t="shared" si="57"/>
        <v>0</v>
      </c>
      <c r="J116" s="490">
        <f t="shared" si="57"/>
        <v>0</v>
      </c>
      <c r="K116" s="490">
        <f t="shared" si="57"/>
        <v>0</v>
      </c>
      <c r="L116" s="490">
        <f t="shared" si="57"/>
        <v>0</v>
      </c>
      <c r="M116" s="490">
        <f t="shared" si="57"/>
        <v>0</v>
      </c>
      <c r="N116" s="490">
        <f t="shared" si="57"/>
        <v>0</v>
      </c>
      <c r="O116" s="490">
        <f t="shared" si="57"/>
        <v>0</v>
      </c>
      <c r="P116" s="490">
        <f t="shared" si="57"/>
        <v>0</v>
      </c>
      <c r="Q116" s="490">
        <f t="shared" si="57"/>
        <v>0</v>
      </c>
      <c r="R116" s="490">
        <f t="shared" si="57"/>
        <v>0</v>
      </c>
      <c r="S116" s="490">
        <f t="shared" si="58"/>
        <v>0</v>
      </c>
      <c r="T116" s="490">
        <f t="shared" si="58"/>
        <v>0</v>
      </c>
      <c r="U116" s="490">
        <f t="shared" si="58"/>
        <v>0</v>
      </c>
      <c r="V116" s="490">
        <f t="shared" si="58"/>
        <v>0</v>
      </c>
      <c r="W116" s="490">
        <f t="shared" si="58"/>
        <v>0</v>
      </c>
      <c r="X116" s="490">
        <f t="shared" si="58"/>
        <v>0</v>
      </c>
      <c r="Y116" s="490">
        <f t="shared" si="58"/>
        <v>0</v>
      </c>
      <c r="Z116" s="490">
        <f t="shared" si="58"/>
        <v>0</v>
      </c>
      <c r="AA116" s="490">
        <f t="shared" si="58"/>
        <v>0</v>
      </c>
      <c r="AB116" s="490">
        <f t="shared" si="58"/>
        <v>0</v>
      </c>
      <c r="AC116" s="490">
        <f t="shared" si="59"/>
        <v>0</v>
      </c>
      <c r="AD116" s="490">
        <f t="shared" si="59"/>
        <v>0</v>
      </c>
      <c r="AE116" s="490">
        <f t="shared" si="59"/>
        <v>0</v>
      </c>
      <c r="AF116" s="490">
        <f t="shared" si="59"/>
        <v>0</v>
      </c>
      <c r="AG116" s="490">
        <f t="shared" si="59"/>
        <v>0</v>
      </c>
      <c r="AH116" s="490">
        <f t="shared" si="59"/>
        <v>0</v>
      </c>
      <c r="AI116" s="490">
        <f t="shared" si="59"/>
        <v>0</v>
      </c>
      <c r="AJ116" s="490">
        <f t="shared" si="59"/>
        <v>0</v>
      </c>
      <c r="AK116" s="490">
        <f t="shared" si="59"/>
        <v>0</v>
      </c>
      <c r="AL116" s="490">
        <f t="shared" si="59"/>
        <v>0</v>
      </c>
      <c r="AM116" s="490">
        <f t="shared" si="60"/>
        <v>0</v>
      </c>
      <c r="AN116" s="490">
        <f t="shared" si="60"/>
        <v>0</v>
      </c>
      <c r="AO116" s="490">
        <f t="shared" si="60"/>
        <v>0</v>
      </c>
      <c r="AP116" s="490">
        <f t="shared" si="60"/>
        <v>0</v>
      </c>
      <c r="AQ116" s="490">
        <f t="shared" si="60"/>
        <v>0</v>
      </c>
      <c r="AR116" s="490">
        <f t="shared" si="60"/>
        <v>0</v>
      </c>
      <c r="AS116" s="490">
        <f t="shared" si="60"/>
        <v>0</v>
      </c>
      <c r="AT116" s="490">
        <f t="shared" si="60"/>
        <v>0</v>
      </c>
      <c r="AU116" s="490">
        <f t="shared" si="60"/>
        <v>0</v>
      </c>
      <c r="AV116" s="490">
        <f t="shared" si="60"/>
        <v>0</v>
      </c>
      <c r="AW116" s="490">
        <f t="shared" si="61"/>
        <v>0</v>
      </c>
      <c r="AX116" s="490">
        <f t="shared" si="61"/>
        <v>0</v>
      </c>
      <c r="AY116" s="490">
        <f t="shared" si="61"/>
        <v>0</v>
      </c>
      <c r="AZ116" s="490">
        <f t="shared" si="61"/>
        <v>0</v>
      </c>
      <c r="BA116" s="490">
        <f t="shared" si="61"/>
        <v>0</v>
      </c>
      <c r="BB116" s="490">
        <f t="shared" si="61"/>
        <v>0</v>
      </c>
      <c r="BC116" s="490">
        <f t="shared" si="61"/>
        <v>0</v>
      </c>
      <c r="BD116" s="490">
        <f t="shared" si="61"/>
        <v>0</v>
      </c>
      <c r="BE116" s="490">
        <f t="shared" si="61"/>
        <v>0</v>
      </c>
      <c r="BF116" s="490">
        <f t="shared" si="61"/>
        <v>0</v>
      </c>
      <c r="BG116" s="490">
        <f t="shared" si="61"/>
        <v>0</v>
      </c>
      <c r="BH116" s="491">
        <f t="shared" si="61"/>
        <v>0</v>
      </c>
    </row>
    <row r="119" spans="6:60" x14ac:dyDescent="0.25">
      <c r="AS119" s="192"/>
    </row>
  </sheetData>
  <mergeCells count="2">
    <mergeCell ref="G2:I2"/>
    <mergeCell ref="G60:I60"/>
  </mergeCells>
  <conditionalFormatting sqref="I7:BH58 I65:BH116">
    <cfRule type="cellIs" dxfId="1376" priority="6" operator="equal">
      <formula>0</formula>
    </cfRule>
  </conditionalFormatting>
  <conditionalFormatting sqref="H58">
    <cfRule type="cellIs" dxfId="1375" priority="5" operator="equal">
      <formula>0</formula>
    </cfRule>
  </conditionalFormatting>
  <conditionalFormatting sqref="H116">
    <cfRule type="cellIs" dxfId="1374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>
    <tabColor rgb="FFFFC000"/>
  </sheetPr>
  <dimension ref="A1:L86"/>
  <sheetViews>
    <sheetView showGridLines="0" topLeftCell="A9" workbookViewId="0">
      <selection activeCell="C25" sqref="C25"/>
    </sheetView>
  </sheetViews>
  <sheetFormatPr defaultRowHeight="15" x14ac:dyDescent="0.25"/>
  <cols>
    <col min="1" max="1" width="8.5703125" style="63" bestFit="1" customWidth="1"/>
    <col min="2" max="2" width="27.28515625" style="63" bestFit="1" customWidth="1"/>
    <col min="3" max="3" width="10.140625" style="63" bestFit="1" customWidth="1"/>
    <col min="4" max="4" width="3.7109375" style="186" customWidth="1"/>
    <col min="5" max="8" width="10.85546875" style="186" bestFit="1" customWidth="1"/>
    <col min="9" max="9" width="3.7109375" style="186" customWidth="1"/>
    <col min="10" max="10" width="11.7109375" style="186" bestFit="1" customWidth="1"/>
    <col min="11" max="11" width="11.42578125" style="186" bestFit="1" customWidth="1"/>
    <col min="12" max="12" width="10.85546875" style="186" bestFit="1" customWidth="1"/>
    <col min="13" max="252" width="9.140625" style="63" customWidth="1"/>
    <col min="253" max="253" width="8.5703125" style="63" bestFit="1" customWidth="1"/>
    <col min="254" max="254" width="19.42578125" style="63" bestFit="1" customWidth="1"/>
    <col min="255" max="255" width="10.140625" style="63" bestFit="1" customWidth="1"/>
    <col min="256" max="508" width="9.140625" style="63" customWidth="1"/>
    <col min="509" max="509" width="8.5703125" style="63" bestFit="1" customWidth="1"/>
    <col min="510" max="510" width="19.42578125" style="63" bestFit="1" customWidth="1"/>
    <col min="511" max="511" width="10.140625" style="63" bestFit="1" customWidth="1"/>
    <col min="512" max="764" width="9.140625" style="63" customWidth="1"/>
    <col min="765" max="765" width="8.5703125" style="63" bestFit="1" customWidth="1"/>
    <col min="766" max="766" width="19.42578125" style="63" bestFit="1" customWidth="1"/>
    <col min="767" max="767" width="10.140625" style="63" bestFit="1" customWidth="1"/>
    <col min="768" max="1020" width="9.140625" style="63" customWidth="1"/>
    <col min="1021" max="1021" width="8.5703125" style="63" bestFit="1" customWidth="1"/>
    <col min="1022" max="1022" width="19.42578125" style="63" bestFit="1" customWidth="1"/>
    <col min="1023" max="1023" width="10.140625" style="63" bestFit="1" customWidth="1"/>
    <col min="1024" max="1276" width="9.140625" style="63" customWidth="1"/>
    <col min="1277" max="1277" width="8.5703125" style="63" bestFit="1" customWidth="1"/>
    <col min="1278" max="1278" width="19.42578125" style="63" bestFit="1" customWidth="1"/>
    <col min="1279" max="1279" width="10.140625" style="63" bestFit="1" customWidth="1"/>
    <col min="1280" max="1532" width="9.140625" style="63" customWidth="1"/>
    <col min="1533" max="1533" width="8.5703125" style="63" bestFit="1" customWidth="1"/>
    <col min="1534" max="1534" width="19.42578125" style="63" bestFit="1" customWidth="1"/>
    <col min="1535" max="1535" width="10.140625" style="63" bestFit="1" customWidth="1"/>
    <col min="1536" max="1788" width="9.140625" style="63" customWidth="1"/>
    <col min="1789" max="1789" width="8.5703125" style="63" bestFit="1" customWidth="1"/>
    <col min="1790" max="1790" width="19.42578125" style="63" bestFit="1" customWidth="1"/>
    <col min="1791" max="1791" width="10.140625" style="63" bestFit="1" customWidth="1"/>
    <col min="1792" max="2044" width="9.140625" style="63" customWidth="1"/>
    <col min="2045" max="2045" width="8.5703125" style="63" bestFit="1" customWidth="1"/>
    <col min="2046" max="2046" width="19.42578125" style="63" bestFit="1" customWidth="1"/>
    <col min="2047" max="2047" width="10.140625" style="63" bestFit="1" customWidth="1"/>
    <col min="2048" max="2300" width="9.140625" style="63" customWidth="1"/>
    <col min="2301" max="2301" width="8.5703125" style="63" bestFit="1" customWidth="1"/>
    <col min="2302" max="2302" width="19.42578125" style="63" bestFit="1" customWidth="1"/>
    <col min="2303" max="2303" width="10.140625" style="63" bestFit="1" customWidth="1"/>
    <col min="2304" max="2556" width="9.140625" style="63" customWidth="1"/>
    <col min="2557" max="2557" width="8.5703125" style="63" bestFit="1" customWidth="1"/>
    <col min="2558" max="2558" width="19.42578125" style="63" bestFit="1" customWidth="1"/>
    <col min="2559" max="2559" width="10.140625" style="63" bestFit="1" customWidth="1"/>
    <col min="2560" max="2812" width="9.140625" style="63" customWidth="1"/>
    <col min="2813" max="2813" width="8.5703125" style="63" bestFit="1" customWidth="1"/>
    <col min="2814" max="2814" width="19.42578125" style="63" bestFit="1" customWidth="1"/>
    <col min="2815" max="2815" width="10.140625" style="63" bestFit="1" customWidth="1"/>
    <col min="2816" max="3068" width="9.140625" style="63" customWidth="1"/>
    <col min="3069" max="3069" width="8.5703125" style="63" bestFit="1" customWidth="1"/>
    <col min="3070" max="3070" width="19.42578125" style="63" bestFit="1" customWidth="1"/>
    <col min="3071" max="3071" width="10.140625" style="63" bestFit="1" customWidth="1"/>
    <col min="3072" max="3324" width="9.140625" style="63" customWidth="1"/>
    <col min="3325" max="3325" width="8.5703125" style="63" bestFit="1" customWidth="1"/>
    <col min="3326" max="3326" width="19.42578125" style="63" bestFit="1" customWidth="1"/>
    <col min="3327" max="3327" width="10.140625" style="63" bestFit="1" customWidth="1"/>
    <col min="3328" max="3580" width="9.140625" style="63" customWidth="1"/>
    <col min="3581" max="3581" width="8.5703125" style="63" bestFit="1" customWidth="1"/>
    <col min="3582" max="3582" width="19.42578125" style="63" bestFit="1" customWidth="1"/>
    <col min="3583" max="3583" width="10.140625" style="63" bestFit="1" customWidth="1"/>
    <col min="3584" max="3836" width="9.140625" style="63" customWidth="1"/>
    <col min="3837" max="3837" width="8.5703125" style="63" bestFit="1" customWidth="1"/>
    <col min="3838" max="3838" width="19.42578125" style="63" bestFit="1" customWidth="1"/>
    <col min="3839" max="3839" width="10.140625" style="63" bestFit="1" customWidth="1"/>
    <col min="3840" max="4092" width="9.140625" style="63" customWidth="1"/>
    <col min="4093" max="4093" width="8.5703125" style="63" bestFit="1" customWidth="1"/>
    <col min="4094" max="4094" width="19.42578125" style="63" bestFit="1" customWidth="1"/>
    <col min="4095" max="4095" width="10.140625" style="63" bestFit="1" customWidth="1"/>
    <col min="4096" max="4348" width="9.140625" style="63" customWidth="1"/>
    <col min="4349" max="4349" width="8.5703125" style="63" bestFit="1" customWidth="1"/>
    <col min="4350" max="4350" width="19.42578125" style="63" bestFit="1" customWidth="1"/>
    <col min="4351" max="4351" width="10.140625" style="63" bestFit="1" customWidth="1"/>
    <col min="4352" max="4604" width="9.140625" style="63" customWidth="1"/>
    <col min="4605" max="4605" width="8.5703125" style="63" bestFit="1" customWidth="1"/>
    <col min="4606" max="4606" width="19.42578125" style="63" bestFit="1" customWidth="1"/>
    <col min="4607" max="4607" width="10.140625" style="63" bestFit="1" customWidth="1"/>
    <col min="4608" max="4860" width="9.140625" style="63" customWidth="1"/>
    <col min="4861" max="4861" width="8.5703125" style="63" bestFit="1" customWidth="1"/>
    <col min="4862" max="4862" width="19.42578125" style="63" bestFit="1" customWidth="1"/>
    <col min="4863" max="4863" width="10.140625" style="63" bestFit="1" customWidth="1"/>
    <col min="4864" max="5116" width="9.140625" style="63" customWidth="1"/>
    <col min="5117" max="5117" width="8.5703125" style="63" bestFit="1" customWidth="1"/>
    <col min="5118" max="5118" width="19.42578125" style="63" bestFit="1" customWidth="1"/>
    <col min="5119" max="5119" width="10.140625" style="63" bestFit="1" customWidth="1"/>
    <col min="5120" max="5372" width="9.140625" style="63" customWidth="1"/>
    <col min="5373" max="5373" width="8.5703125" style="63" bestFit="1" customWidth="1"/>
    <col min="5374" max="5374" width="19.42578125" style="63" bestFit="1" customWidth="1"/>
    <col min="5375" max="5375" width="10.140625" style="63" bestFit="1" customWidth="1"/>
    <col min="5376" max="5628" width="9.140625" style="63" customWidth="1"/>
    <col min="5629" max="5629" width="8.5703125" style="63" bestFit="1" customWidth="1"/>
    <col min="5630" max="5630" width="19.42578125" style="63" bestFit="1" customWidth="1"/>
    <col min="5631" max="5631" width="10.140625" style="63" bestFit="1" customWidth="1"/>
    <col min="5632" max="5884" width="9.140625" style="63" customWidth="1"/>
    <col min="5885" max="5885" width="8.5703125" style="63" bestFit="1" customWidth="1"/>
    <col min="5886" max="5886" width="19.42578125" style="63" bestFit="1" customWidth="1"/>
    <col min="5887" max="5887" width="10.140625" style="63" bestFit="1" customWidth="1"/>
    <col min="5888" max="6140" width="9.140625" style="63" customWidth="1"/>
    <col min="6141" max="6141" width="8.5703125" style="63" bestFit="1" customWidth="1"/>
    <col min="6142" max="6142" width="19.42578125" style="63" bestFit="1" customWidth="1"/>
    <col min="6143" max="6143" width="10.140625" style="63" bestFit="1" customWidth="1"/>
    <col min="6144" max="6396" width="9.140625" style="63" customWidth="1"/>
    <col min="6397" max="6397" width="8.5703125" style="63" bestFit="1" customWidth="1"/>
    <col min="6398" max="6398" width="19.42578125" style="63" bestFit="1" customWidth="1"/>
    <col min="6399" max="6399" width="10.140625" style="63" bestFit="1" customWidth="1"/>
    <col min="6400" max="6652" width="9.140625" style="63" customWidth="1"/>
    <col min="6653" max="6653" width="8.5703125" style="63" bestFit="1" customWidth="1"/>
    <col min="6654" max="6654" width="19.42578125" style="63" bestFit="1" customWidth="1"/>
    <col min="6655" max="6655" width="10.140625" style="63" bestFit="1" customWidth="1"/>
    <col min="6656" max="6908" width="9.140625" style="63" customWidth="1"/>
    <col min="6909" max="6909" width="8.5703125" style="63" bestFit="1" customWidth="1"/>
    <col min="6910" max="6910" width="19.42578125" style="63" bestFit="1" customWidth="1"/>
    <col min="6911" max="6911" width="10.140625" style="63" bestFit="1" customWidth="1"/>
    <col min="6912" max="7164" width="9.140625" style="63" customWidth="1"/>
    <col min="7165" max="7165" width="8.5703125" style="63" bestFit="1" customWidth="1"/>
    <col min="7166" max="7166" width="19.42578125" style="63" bestFit="1" customWidth="1"/>
    <col min="7167" max="7167" width="10.140625" style="63" bestFit="1" customWidth="1"/>
    <col min="7168" max="7420" width="9.140625" style="63" customWidth="1"/>
    <col min="7421" max="7421" width="8.5703125" style="63" bestFit="1" customWidth="1"/>
    <col min="7422" max="7422" width="19.42578125" style="63" bestFit="1" customWidth="1"/>
    <col min="7423" max="7423" width="10.140625" style="63" bestFit="1" customWidth="1"/>
    <col min="7424" max="7676" width="9.140625" style="63" customWidth="1"/>
    <col min="7677" max="7677" width="8.5703125" style="63" bestFit="1" customWidth="1"/>
    <col min="7678" max="7678" width="19.42578125" style="63" bestFit="1" customWidth="1"/>
    <col min="7679" max="7679" width="10.140625" style="63" bestFit="1" customWidth="1"/>
    <col min="7680" max="7932" width="9.140625" style="63" customWidth="1"/>
    <col min="7933" max="7933" width="8.5703125" style="63" bestFit="1" customWidth="1"/>
    <col min="7934" max="7934" width="19.42578125" style="63" bestFit="1" customWidth="1"/>
    <col min="7935" max="7935" width="10.140625" style="63" bestFit="1" customWidth="1"/>
    <col min="7936" max="8188" width="9.140625" style="63" customWidth="1"/>
    <col min="8189" max="8189" width="8.5703125" style="63" bestFit="1" customWidth="1"/>
    <col min="8190" max="8190" width="19.42578125" style="63" bestFit="1" customWidth="1"/>
    <col min="8191" max="8191" width="10.140625" style="63" bestFit="1" customWidth="1"/>
    <col min="8192" max="8444" width="9.140625" style="63" customWidth="1"/>
    <col min="8445" max="8445" width="8.5703125" style="63" bestFit="1" customWidth="1"/>
    <col min="8446" max="8446" width="19.42578125" style="63" bestFit="1" customWidth="1"/>
    <col min="8447" max="8447" width="10.140625" style="63" bestFit="1" customWidth="1"/>
    <col min="8448" max="8700" width="9.140625" style="63" customWidth="1"/>
    <col min="8701" max="8701" width="8.5703125" style="63" bestFit="1" customWidth="1"/>
    <col min="8702" max="8702" width="19.42578125" style="63" bestFit="1" customWidth="1"/>
    <col min="8703" max="8703" width="10.140625" style="63" bestFit="1" customWidth="1"/>
    <col min="8704" max="8956" width="9.140625" style="63" customWidth="1"/>
    <col min="8957" max="8957" width="8.5703125" style="63" bestFit="1" customWidth="1"/>
    <col min="8958" max="8958" width="19.42578125" style="63" bestFit="1" customWidth="1"/>
    <col min="8959" max="8959" width="10.140625" style="63" bestFit="1" customWidth="1"/>
    <col min="8960" max="9212" width="9.140625" style="63" customWidth="1"/>
    <col min="9213" max="9213" width="8.5703125" style="63" bestFit="1" customWidth="1"/>
    <col min="9214" max="9214" width="19.42578125" style="63" bestFit="1" customWidth="1"/>
    <col min="9215" max="9215" width="10.140625" style="63" bestFit="1" customWidth="1"/>
    <col min="9216" max="9468" width="9.140625" style="63" customWidth="1"/>
    <col min="9469" max="9469" width="8.5703125" style="63" bestFit="1" customWidth="1"/>
    <col min="9470" max="9470" width="19.42578125" style="63" bestFit="1" customWidth="1"/>
    <col min="9471" max="9471" width="10.140625" style="63" bestFit="1" customWidth="1"/>
    <col min="9472" max="9724" width="9.140625" style="63" customWidth="1"/>
    <col min="9725" max="9725" width="8.5703125" style="63" bestFit="1" customWidth="1"/>
    <col min="9726" max="9726" width="19.42578125" style="63" bestFit="1" customWidth="1"/>
    <col min="9727" max="9727" width="10.140625" style="63" bestFit="1" customWidth="1"/>
    <col min="9728" max="9980" width="9.140625" style="63" customWidth="1"/>
    <col min="9981" max="9981" width="8.5703125" style="63" bestFit="1" customWidth="1"/>
    <col min="9982" max="9982" width="19.42578125" style="63" bestFit="1" customWidth="1"/>
    <col min="9983" max="9983" width="10.140625" style="63" bestFit="1" customWidth="1"/>
    <col min="9984" max="10236" width="9.140625" style="63" customWidth="1"/>
    <col min="10237" max="10237" width="8.5703125" style="63" bestFit="1" customWidth="1"/>
    <col min="10238" max="10238" width="19.42578125" style="63" bestFit="1" customWidth="1"/>
    <col min="10239" max="10239" width="10.140625" style="63" bestFit="1" customWidth="1"/>
    <col min="10240" max="10492" width="9.140625" style="63" customWidth="1"/>
    <col min="10493" max="10493" width="8.5703125" style="63" bestFit="1" customWidth="1"/>
    <col min="10494" max="10494" width="19.42578125" style="63" bestFit="1" customWidth="1"/>
    <col min="10495" max="10495" width="10.140625" style="63" bestFit="1" customWidth="1"/>
    <col min="10496" max="10748" width="9.140625" style="63" customWidth="1"/>
    <col min="10749" max="10749" width="8.5703125" style="63" bestFit="1" customWidth="1"/>
    <col min="10750" max="10750" width="19.42578125" style="63" bestFit="1" customWidth="1"/>
    <col min="10751" max="10751" width="10.140625" style="63" bestFit="1" customWidth="1"/>
    <col min="10752" max="11004" width="9.140625" style="63" customWidth="1"/>
    <col min="11005" max="11005" width="8.5703125" style="63" bestFit="1" customWidth="1"/>
    <col min="11006" max="11006" width="19.42578125" style="63" bestFit="1" customWidth="1"/>
    <col min="11007" max="11007" width="10.140625" style="63" bestFit="1" customWidth="1"/>
    <col min="11008" max="11260" width="9.140625" style="63" customWidth="1"/>
    <col min="11261" max="11261" width="8.5703125" style="63" bestFit="1" customWidth="1"/>
    <col min="11262" max="11262" width="19.42578125" style="63" bestFit="1" customWidth="1"/>
    <col min="11263" max="11263" width="10.140625" style="63" bestFit="1" customWidth="1"/>
    <col min="11264" max="11516" width="9.140625" style="63" customWidth="1"/>
    <col min="11517" max="11517" width="8.5703125" style="63" bestFit="1" customWidth="1"/>
    <col min="11518" max="11518" width="19.42578125" style="63" bestFit="1" customWidth="1"/>
    <col min="11519" max="11519" width="10.140625" style="63" bestFit="1" customWidth="1"/>
    <col min="11520" max="11772" width="9.140625" style="63" customWidth="1"/>
    <col min="11773" max="11773" width="8.5703125" style="63" bestFit="1" customWidth="1"/>
    <col min="11774" max="11774" width="19.42578125" style="63" bestFit="1" customWidth="1"/>
    <col min="11775" max="11775" width="10.140625" style="63" bestFit="1" customWidth="1"/>
    <col min="11776" max="12028" width="9.140625" style="63" customWidth="1"/>
    <col min="12029" max="12029" width="8.5703125" style="63" bestFit="1" customWidth="1"/>
    <col min="12030" max="12030" width="19.42578125" style="63" bestFit="1" customWidth="1"/>
    <col min="12031" max="12031" width="10.140625" style="63" bestFit="1" customWidth="1"/>
    <col min="12032" max="12284" width="9.140625" style="63" customWidth="1"/>
    <col min="12285" max="12285" width="8.5703125" style="63" bestFit="1" customWidth="1"/>
    <col min="12286" max="12286" width="19.42578125" style="63" bestFit="1" customWidth="1"/>
    <col min="12287" max="12287" width="10.140625" style="63" bestFit="1" customWidth="1"/>
    <col min="12288" max="12540" width="9.140625" style="63" customWidth="1"/>
    <col min="12541" max="12541" width="8.5703125" style="63" bestFit="1" customWidth="1"/>
    <col min="12542" max="12542" width="19.42578125" style="63" bestFit="1" customWidth="1"/>
    <col min="12543" max="12543" width="10.140625" style="63" bestFit="1" customWidth="1"/>
    <col min="12544" max="12796" width="9.140625" style="63" customWidth="1"/>
    <col min="12797" max="12797" width="8.5703125" style="63" bestFit="1" customWidth="1"/>
    <col min="12798" max="12798" width="19.42578125" style="63" bestFit="1" customWidth="1"/>
    <col min="12799" max="12799" width="10.140625" style="63" bestFit="1" customWidth="1"/>
    <col min="12800" max="13052" width="9.140625" style="63" customWidth="1"/>
    <col min="13053" max="13053" width="8.5703125" style="63" bestFit="1" customWidth="1"/>
    <col min="13054" max="13054" width="19.42578125" style="63" bestFit="1" customWidth="1"/>
    <col min="13055" max="13055" width="10.140625" style="63" bestFit="1" customWidth="1"/>
    <col min="13056" max="13308" width="9.140625" style="63" customWidth="1"/>
    <col min="13309" max="13309" width="8.5703125" style="63" bestFit="1" customWidth="1"/>
    <col min="13310" max="13310" width="19.42578125" style="63" bestFit="1" customWidth="1"/>
    <col min="13311" max="13311" width="10.140625" style="63" bestFit="1" customWidth="1"/>
    <col min="13312" max="13564" width="9.140625" style="63" customWidth="1"/>
    <col min="13565" max="13565" width="8.5703125" style="63" bestFit="1" customWidth="1"/>
    <col min="13566" max="13566" width="19.42578125" style="63" bestFit="1" customWidth="1"/>
    <col min="13567" max="13567" width="10.140625" style="63" bestFit="1" customWidth="1"/>
    <col min="13568" max="13820" width="9.140625" style="63" customWidth="1"/>
    <col min="13821" max="13821" width="8.5703125" style="63" bestFit="1" customWidth="1"/>
    <col min="13822" max="13822" width="19.42578125" style="63" bestFit="1" customWidth="1"/>
    <col min="13823" max="13823" width="10.140625" style="63" bestFit="1" customWidth="1"/>
    <col min="13824" max="14076" width="9.140625" style="63" customWidth="1"/>
    <col min="14077" max="14077" width="8.5703125" style="63" bestFit="1" customWidth="1"/>
    <col min="14078" max="14078" width="19.42578125" style="63" bestFit="1" customWidth="1"/>
    <col min="14079" max="14079" width="10.140625" style="63" bestFit="1" customWidth="1"/>
    <col min="14080" max="14332" width="9.140625" style="63" customWidth="1"/>
    <col min="14333" max="14333" width="8.5703125" style="63" bestFit="1" customWidth="1"/>
    <col min="14334" max="14334" width="19.42578125" style="63" bestFit="1" customWidth="1"/>
    <col min="14335" max="14335" width="10.140625" style="63" bestFit="1" customWidth="1"/>
    <col min="14336" max="14588" width="9.140625" style="63" customWidth="1"/>
    <col min="14589" max="14589" width="8.5703125" style="63" bestFit="1" customWidth="1"/>
    <col min="14590" max="14590" width="19.42578125" style="63" bestFit="1" customWidth="1"/>
    <col min="14591" max="14591" width="10.140625" style="63" bestFit="1" customWidth="1"/>
    <col min="14592" max="14844" width="9.140625" style="63" customWidth="1"/>
    <col min="14845" max="14845" width="8.5703125" style="63" bestFit="1" customWidth="1"/>
    <col min="14846" max="14846" width="19.42578125" style="63" bestFit="1" customWidth="1"/>
    <col min="14847" max="14847" width="10.140625" style="63" bestFit="1" customWidth="1"/>
    <col min="14848" max="15100" width="9.140625" style="63" customWidth="1"/>
    <col min="15101" max="15101" width="8.5703125" style="63" bestFit="1" customWidth="1"/>
    <col min="15102" max="15102" width="19.42578125" style="63" bestFit="1" customWidth="1"/>
    <col min="15103" max="15103" width="10.140625" style="63" bestFit="1" customWidth="1"/>
    <col min="15104" max="15356" width="9.140625" style="63" customWidth="1"/>
    <col min="15357" max="15357" width="8.5703125" style="63" bestFit="1" customWidth="1"/>
    <col min="15358" max="15358" width="19.42578125" style="63" bestFit="1" customWidth="1"/>
    <col min="15359" max="15359" width="10.140625" style="63" bestFit="1" customWidth="1"/>
    <col min="15360" max="15612" width="9.140625" style="63" customWidth="1"/>
    <col min="15613" max="15613" width="8.5703125" style="63" bestFit="1" customWidth="1"/>
    <col min="15614" max="15614" width="19.42578125" style="63" bestFit="1" customWidth="1"/>
    <col min="15615" max="15615" width="10.140625" style="63" bestFit="1" customWidth="1"/>
    <col min="15616" max="15868" width="9.140625" style="63" customWidth="1"/>
    <col min="15869" max="15869" width="8.5703125" style="63" bestFit="1" customWidth="1"/>
    <col min="15870" max="15870" width="19.42578125" style="63" bestFit="1" customWidth="1"/>
    <col min="15871" max="15871" width="10.140625" style="63" bestFit="1" customWidth="1"/>
    <col min="15872" max="16124" width="9.140625" style="63" customWidth="1"/>
    <col min="16125" max="16125" width="8.5703125" style="63" bestFit="1" customWidth="1"/>
    <col min="16126" max="16126" width="19.42578125" style="63" bestFit="1" customWidth="1"/>
    <col min="16127" max="16127" width="10.140625" style="63" bestFit="1" customWidth="1"/>
    <col min="16128" max="16384" width="9.140625" style="63" customWidth="1"/>
  </cols>
  <sheetData>
    <row r="1" spans="1:12" ht="15.75" customHeight="1" thickBot="1" x14ac:dyDescent="0.3">
      <c r="A1" s="301" t="s">
        <v>240</v>
      </c>
      <c r="B1" s="301" t="s">
        <v>117</v>
      </c>
      <c r="C1" s="301" t="s">
        <v>305</v>
      </c>
      <c r="D1" s="5"/>
      <c r="E1" s="8" t="s">
        <v>304</v>
      </c>
      <c r="F1" s="8" t="s">
        <v>240</v>
      </c>
      <c r="G1" s="8" t="s">
        <v>305</v>
      </c>
      <c r="H1" s="8" t="s">
        <v>239</v>
      </c>
      <c r="I1" s="5"/>
      <c r="J1" s="8" t="s">
        <v>407</v>
      </c>
      <c r="K1" s="8" t="s">
        <v>408</v>
      </c>
      <c r="L1" s="5"/>
    </row>
    <row r="2" spans="1:12" x14ac:dyDescent="0.25">
      <c r="A2" s="318" t="s">
        <v>409</v>
      </c>
      <c r="B2" s="259" t="s">
        <v>410</v>
      </c>
      <c r="C2" s="302" t="s">
        <v>0</v>
      </c>
      <c r="D2" s="2"/>
      <c r="E2" s="9" t="str">
        <f t="shared" ref="E2:E24" si="0">LEFT(INT(RIGHT(A2, 3)), 1)</f>
        <v>1</v>
      </c>
      <c r="F2" s="9">
        <f t="shared" ref="F2:F24" si="1">INT(RIGHT(A2, 3))</f>
        <v>12</v>
      </c>
      <c r="G2" s="2" t="str">
        <f t="shared" ref="G2:G24" si="2">INDEX($K:$K, MATCH(C2, $J:$J, 0))</f>
        <v>Vendida</v>
      </c>
      <c r="H2" s="9" t="str">
        <f t="shared" ref="H2:H24" si="3">IF(F2&lt;100, "B-0"&amp;F2, "B-"&amp;F2)</f>
        <v>B-012</v>
      </c>
      <c r="I2" s="2"/>
      <c r="J2" s="2" t="s">
        <v>0</v>
      </c>
      <c r="K2" s="2" t="s">
        <v>313</v>
      </c>
      <c r="L2" s="2"/>
    </row>
    <row r="3" spans="1:12" x14ac:dyDescent="0.25">
      <c r="A3" s="318" t="s">
        <v>411</v>
      </c>
      <c r="B3" s="259" t="s">
        <v>410</v>
      </c>
      <c r="C3" s="302" t="s">
        <v>0</v>
      </c>
      <c r="D3" s="2"/>
      <c r="E3" s="9" t="str">
        <f t="shared" si="0"/>
        <v>4</v>
      </c>
      <c r="F3" s="9">
        <f t="shared" si="1"/>
        <v>41</v>
      </c>
      <c r="G3" s="2" t="str">
        <f t="shared" si="2"/>
        <v>Vendida</v>
      </c>
      <c r="H3" s="9" t="str">
        <f t="shared" si="3"/>
        <v>B-041</v>
      </c>
      <c r="I3" s="2"/>
      <c r="J3" s="2" t="s">
        <v>412</v>
      </c>
      <c r="K3" s="2" t="s">
        <v>314</v>
      </c>
      <c r="L3" s="2"/>
    </row>
    <row r="4" spans="1:12" x14ac:dyDescent="0.25">
      <c r="A4" s="318" t="s">
        <v>413</v>
      </c>
      <c r="B4" s="259" t="s">
        <v>410</v>
      </c>
      <c r="C4" s="302" t="s">
        <v>0</v>
      </c>
      <c r="D4" s="2"/>
      <c r="E4" s="9" t="str">
        <f t="shared" si="0"/>
        <v>5</v>
      </c>
      <c r="F4" s="9">
        <f t="shared" si="1"/>
        <v>52</v>
      </c>
      <c r="G4" s="2" t="str">
        <f t="shared" si="2"/>
        <v>Vendida</v>
      </c>
      <c r="H4" s="9" t="str">
        <f t="shared" si="3"/>
        <v>B-052</v>
      </c>
      <c r="I4" s="2"/>
      <c r="J4" s="2"/>
      <c r="K4" s="2"/>
      <c r="L4" s="2"/>
    </row>
    <row r="5" spans="1:12" x14ac:dyDescent="0.25">
      <c r="A5" s="274" t="s">
        <v>414</v>
      </c>
      <c r="B5" s="275" t="s">
        <v>410</v>
      </c>
      <c r="C5" s="276" t="s">
        <v>412</v>
      </c>
      <c r="D5" s="2"/>
      <c r="E5" s="9" t="str">
        <f t="shared" si="0"/>
        <v>6</v>
      </c>
      <c r="F5" s="9">
        <f t="shared" si="1"/>
        <v>62</v>
      </c>
      <c r="G5" s="2" t="str">
        <f t="shared" si="2"/>
        <v>Quitada</v>
      </c>
      <c r="H5" s="9" t="str">
        <f t="shared" si="3"/>
        <v>B-062</v>
      </c>
      <c r="I5" s="2"/>
      <c r="J5" s="2"/>
      <c r="K5" s="2"/>
      <c r="L5" s="2"/>
    </row>
    <row r="6" spans="1:12" x14ac:dyDescent="0.25">
      <c r="A6" s="318" t="s">
        <v>415</v>
      </c>
      <c r="B6" s="259" t="s">
        <v>410</v>
      </c>
      <c r="C6" s="302" t="s">
        <v>0</v>
      </c>
      <c r="D6" s="2"/>
      <c r="E6" s="9" t="str">
        <f t="shared" si="0"/>
        <v>7</v>
      </c>
      <c r="F6" s="9">
        <f t="shared" si="1"/>
        <v>72</v>
      </c>
      <c r="G6" s="2" t="str">
        <f t="shared" si="2"/>
        <v>Vendida</v>
      </c>
      <c r="H6" s="9" t="str">
        <f t="shared" si="3"/>
        <v>B-072</v>
      </c>
      <c r="I6" s="2"/>
      <c r="J6" s="2"/>
      <c r="K6" s="2"/>
      <c r="L6" s="2"/>
    </row>
    <row r="7" spans="1:12" x14ac:dyDescent="0.25">
      <c r="A7" s="318" t="s">
        <v>416</v>
      </c>
      <c r="B7" s="259" t="s">
        <v>410</v>
      </c>
      <c r="C7" s="302" t="s">
        <v>0</v>
      </c>
      <c r="D7" s="2"/>
      <c r="E7" s="9" t="str">
        <f t="shared" si="0"/>
        <v>8</v>
      </c>
      <c r="F7" s="9">
        <f t="shared" si="1"/>
        <v>82</v>
      </c>
      <c r="G7" s="2" t="str">
        <f t="shared" si="2"/>
        <v>Vendida</v>
      </c>
      <c r="H7" s="9" t="str">
        <f t="shared" si="3"/>
        <v>B-082</v>
      </c>
      <c r="I7" s="2"/>
      <c r="J7" s="2"/>
      <c r="K7" s="2"/>
      <c r="L7" s="2"/>
    </row>
    <row r="8" spans="1:12" x14ac:dyDescent="0.25">
      <c r="A8" s="318" t="s">
        <v>417</v>
      </c>
      <c r="B8" s="259" t="s">
        <v>410</v>
      </c>
      <c r="C8" s="302" t="s">
        <v>0</v>
      </c>
      <c r="D8" s="2"/>
      <c r="E8" s="9" t="str">
        <f t="shared" si="0"/>
        <v>9</v>
      </c>
      <c r="F8" s="9">
        <f t="shared" si="1"/>
        <v>92</v>
      </c>
      <c r="G8" s="2" t="str">
        <f t="shared" si="2"/>
        <v>Vendida</v>
      </c>
      <c r="H8" s="9" t="str">
        <f t="shared" si="3"/>
        <v>B-092</v>
      </c>
      <c r="I8" s="2"/>
      <c r="J8" s="2"/>
      <c r="K8" s="2"/>
      <c r="L8" s="2"/>
    </row>
    <row r="9" spans="1:12" x14ac:dyDescent="0.25">
      <c r="A9" s="318" t="s">
        <v>418</v>
      </c>
      <c r="B9" s="259" t="s">
        <v>410</v>
      </c>
      <c r="C9" s="302" t="s">
        <v>0</v>
      </c>
      <c r="D9" s="2"/>
      <c r="E9" s="9" t="str">
        <f t="shared" si="0"/>
        <v>1</v>
      </c>
      <c r="F9" s="9">
        <f t="shared" si="1"/>
        <v>112</v>
      </c>
      <c r="G9" s="2" t="str">
        <f t="shared" si="2"/>
        <v>Vendida</v>
      </c>
      <c r="H9" s="9" t="str">
        <f t="shared" si="3"/>
        <v>B-112</v>
      </c>
      <c r="I9" s="2"/>
      <c r="J9" s="2"/>
      <c r="K9" s="2"/>
      <c r="L9" s="2"/>
    </row>
    <row r="10" spans="1:12" x14ac:dyDescent="0.25">
      <c r="A10" s="318" t="s">
        <v>419</v>
      </c>
      <c r="B10" s="259" t="s">
        <v>410</v>
      </c>
      <c r="C10" s="302" t="s">
        <v>0</v>
      </c>
      <c r="D10" s="2"/>
      <c r="E10" s="9" t="str">
        <f t="shared" si="0"/>
        <v>1</v>
      </c>
      <c r="F10" s="9">
        <f t="shared" si="1"/>
        <v>122</v>
      </c>
      <c r="G10" s="2" t="str">
        <f t="shared" si="2"/>
        <v>Vendida</v>
      </c>
      <c r="H10" s="9" t="str">
        <f t="shared" si="3"/>
        <v>B-122</v>
      </c>
      <c r="I10" s="2"/>
      <c r="J10" s="2"/>
      <c r="K10" s="2"/>
      <c r="L10" s="2"/>
    </row>
    <row r="11" spans="1:12" x14ac:dyDescent="0.25">
      <c r="A11" s="318" t="s">
        <v>420</v>
      </c>
      <c r="B11" s="259" t="s">
        <v>410</v>
      </c>
      <c r="C11" s="302" t="s">
        <v>0</v>
      </c>
      <c r="D11" s="2"/>
      <c r="E11" s="9" t="str">
        <f t="shared" si="0"/>
        <v>1</v>
      </c>
      <c r="F11" s="9">
        <f t="shared" si="1"/>
        <v>132</v>
      </c>
      <c r="G11" s="2" t="str">
        <f t="shared" si="2"/>
        <v>Vendida</v>
      </c>
      <c r="H11" s="9" t="str">
        <f t="shared" si="3"/>
        <v>B-132</v>
      </c>
      <c r="I11" s="2"/>
      <c r="J11" s="2"/>
      <c r="K11" s="2"/>
      <c r="L11" s="2"/>
    </row>
    <row r="12" spans="1:12" x14ac:dyDescent="0.25">
      <c r="A12" s="318" t="s">
        <v>421</v>
      </c>
      <c r="B12" s="259" t="s">
        <v>410</v>
      </c>
      <c r="C12" s="302" t="s">
        <v>0</v>
      </c>
      <c r="D12" s="2"/>
      <c r="E12" s="9" t="str">
        <f t="shared" si="0"/>
        <v>1</v>
      </c>
      <c r="F12" s="9">
        <f t="shared" si="1"/>
        <v>141</v>
      </c>
      <c r="G12" s="2" t="str">
        <f t="shared" si="2"/>
        <v>Vendida</v>
      </c>
      <c r="H12" s="9" t="str">
        <f t="shared" si="3"/>
        <v>B-141</v>
      </c>
      <c r="I12" s="2"/>
      <c r="J12" s="2"/>
      <c r="K12" s="2"/>
      <c r="L12" s="2"/>
    </row>
    <row r="13" spans="1:12" x14ac:dyDescent="0.25">
      <c r="A13" s="274" t="s">
        <v>422</v>
      </c>
      <c r="B13" s="275" t="s">
        <v>410</v>
      </c>
      <c r="C13" s="276" t="s">
        <v>412</v>
      </c>
      <c r="D13" s="2"/>
      <c r="E13" s="9" t="str">
        <f t="shared" si="0"/>
        <v>1</v>
      </c>
      <c r="F13" s="9">
        <f t="shared" si="1"/>
        <v>151</v>
      </c>
      <c r="G13" s="2" t="str">
        <f t="shared" si="2"/>
        <v>Quitada</v>
      </c>
      <c r="H13" s="9" t="str">
        <f t="shared" si="3"/>
        <v>B-151</v>
      </c>
      <c r="I13" s="2"/>
      <c r="J13" s="2"/>
      <c r="K13" s="2"/>
      <c r="L13" s="2"/>
    </row>
    <row r="14" spans="1:12" x14ac:dyDescent="0.25">
      <c r="A14" s="318" t="s">
        <v>423</v>
      </c>
      <c r="B14" s="259" t="s">
        <v>410</v>
      </c>
      <c r="C14" s="302" t="s">
        <v>0</v>
      </c>
      <c r="D14" s="2"/>
      <c r="E14" s="9" t="str">
        <f t="shared" si="0"/>
        <v>1</v>
      </c>
      <c r="F14" s="9">
        <f t="shared" si="1"/>
        <v>171</v>
      </c>
      <c r="G14" s="2" t="str">
        <f t="shared" si="2"/>
        <v>Vendida</v>
      </c>
      <c r="H14" s="9" t="str">
        <f t="shared" si="3"/>
        <v>B-171</v>
      </c>
      <c r="I14" s="2"/>
      <c r="J14" s="2"/>
      <c r="K14" s="2"/>
      <c r="L14" s="2"/>
    </row>
    <row r="15" spans="1:12" x14ac:dyDescent="0.25">
      <c r="A15" s="318" t="s">
        <v>424</v>
      </c>
      <c r="B15" s="259" t="s">
        <v>410</v>
      </c>
      <c r="C15" s="302" t="s">
        <v>0</v>
      </c>
      <c r="D15" s="2"/>
      <c r="E15" s="9" t="str">
        <f t="shared" si="0"/>
        <v>1</v>
      </c>
      <c r="F15" s="9">
        <f t="shared" si="1"/>
        <v>172</v>
      </c>
      <c r="G15" s="2" t="str">
        <f t="shared" si="2"/>
        <v>Vendida</v>
      </c>
      <c r="H15" s="9" t="str">
        <f t="shared" si="3"/>
        <v>B-172</v>
      </c>
      <c r="I15" s="2"/>
      <c r="J15" s="2"/>
      <c r="K15" s="2"/>
      <c r="L15" s="2"/>
    </row>
    <row r="16" spans="1:12" x14ac:dyDescent="0.25">
      <c r="A16" s="318" t="s">
        <v>425</v>
      </c>
      <c r="B16" s="259" t="s">
        <v>410</v>
      </c>
      <c r="C16" s="302" t="s">
        <v>0</v>
      </c>
      <c r="D16" s="2"/>
      <c r="E16" s="9" t="str">
        <f t="shared" si="0"/>
        <v>1</v>
      </c>
      <c r="F16" s="9">
        <f t="shared" si="1"/>
        <v>181</v>
      </c>
      <c r="G16" s="2" t="str">
        <f t="shared" si="2"/>
        <v>Vendida</v>
      </c>
      <c r="H16" s="9" t="str">
        <f t="shared" si="3"/>
        <v>B-181</v>
      </c>
      <c r="I16" s="2"/>
      <c r="J16" s="2"/>
      <c r="K16" s="2"/>
      <c r="L16" s="2"/>
    </row>
    <row r="17" spans="1:12" x14ac:dyDescent="0.25">
      <c r="A17" s="318" t="s">
        <v>426</v>
      </c>
      <c r="B17" s="259" t="s">
        <v>410</v>
      </c>
      <c r="C17" s="302" t="s">
        <v>0</v>
      </c>
      <c r="D17" s="2"/>
      <c r="E17" s="9" t="str">
        <f t="shared" si="0"/>
        <v>1</v>
      </c>
      <c r="F17" s="9">
        <f t="shared" si="1"/>
        <v>191</v>
      </c>
      <c r="G17" s="2" t="str">
        <f t="shared" si="2"/>
        <v>Vendida</v>
      </c>
      <c r="H17" s="9" t="str">
        <f t="shared" si="3"/>
        <v>B-191</v>
      </c>
      <c r="I17" s="2"/>
      <c r="J17" s="2"/>
      <c r="K17" s="2"/>
      <c r="L17" s="2"/>
    </row>
    <row r="18" spans="1:12" x14ac:dyDescent="0.25">
      <c r="A18" s="318" t="s">
        <v>427</v>
      </c>
      <c r="B18" s="259" t="s">
        <v>410</v>
      </c>
      <c r="C18" s="302" t="s">
        <v>0</v>
      </c>
      <c r="D18" s="2"/>
      <c r="E18" s="9" t="str">
        <f t="shared" si="0"/>
        <v>1</v>
      </c>
      <c r="F18" s="9">
        <f t="shared" si="1"/>
        <v>192</v>
      </c>
      <c r="G18" s="2" t="str">
        <f t="shared" si="2"/>
        <v>Vendida</v>
      </c>
      <c r="H18" s="9" t="str">
        <f t="shared" si="3"/>
        <v>B-192</v>
      </c>
      <c r="I18" s="2"/>
      <c r="J18" s="2"/>
      <c r="K18" s="2"/>
      <c r="L18" s="2"/>
    </row>
    <row r="19" spans="1:12" x14ac:dyDescent="0.25">
      <c r="A19" s="318" t="s">
        <v>428</v>
      </c>
      <c r="B19" s="259" t="s">
        <v>410</v>
      </c>
      <c r="C19" s="302" t="s">
        <v>0</v>
      </c>
      <c r="D19" s="2"/>
      <c r="E19" s="9" t="str">
        <f t="shared" si="0"/>
        <v>2</v>
      </c>
      <c r="F19" s="9">
        <f t="shared" si="1"/>
        <v>201</v>
      </c>
      <c r="G19" s="2" t="str">
        <f t="shared" si="2"/>
        <v>Vendida</v>
      </c>
      <c r="H19" s="9" t="str">
        <f t="shared" si="3"/>
        <v>B-201</v>
      </c>
      <c r="I19" s="2"/>
      <c r="J19" s="2"/>
      <c r="K19" s="2"/>
      <c r="L19" s="2"/>
    </row>
    <row r="20" spans="1:12" x14ac:dyDescent="0.25">
      <c r="A20" s="318" t="s">
        <v>429</v>
      </c>
      <c r="B20" s="259" t="s">
        <v>410</v>
      </c>
      <c r="C20" s="302" t="s">
        <v>0</v>
      </c>
      <c r="D20" s="2"/>
      <c r="E20" s="9" t="str">
        <f t="shared" si="0"/>
        <v>2</v>
      </c>
      <c r="F20" s="9">
        <f t="shared" si="1"/>
        <v>211</v>
      </c>
      <c r="G20" s="2" t="str">
        <f t="shared" si="2"/>
        <v>Vendida</v>
      </c>
      <c r="H20" s="9" t="str">
        <f t="shared" si="3"/>
        <v>B-211</v>
      </c>
      <c r="I20" s="2"/>
      <c r="J20" s="2"/>
      <c r="K20" s="2"/>
      <c r="L20" s="2"/>
    </row>
    <row r="21" spans="1:12" x14ac:dyDescent="0.25">
      <c r="A21" s="318" t="s">
        <v>430</v>
      </c>
      <c r="B21" s="259" t="s">
        <v>410</v>
      </c>
      <c r="C21" s="302" t="s">
        <v>0</v>
      </c>
      <c r="D21" s="2"/>
      <c r="E21" s="9" t="str">
        <f t="shared" si="0"/>
        <v>2</v>
      </c>
      <c r="F21" s="9">
        <f t="shared" si="1"/>
        <v>212</v>
      </c>
      <c r="G21" s="2" t="str">
        <f t="shared" si="2"/>
        <v>Vendida</v>
      </c>
      <c r="H21" s="9" t="str">
        <f t="shared" si="3"/>
        <v>B-212</v>
      </c>
      <c r="I21" s="2"/>
      <c r="J21" s="2"/>
      <c r="K21" s="2"/>
      <c r="L21" s="2"/>
    </row>
    <row r="22" spans="1:12" x14ac:dyDescent="0.25">
      <c r="A22" s="318" t="s">
        <v>431</v>
      </c>
      <c r="B22" s="259" t="s">
        <v>410</v>
      </c>
      <c r="C22" s="302" t="s">
        <v>0</v>
      </c>
      <c r="D22" s="2"/>
      <c r="E22" s="9" t="str">
        <f t="shared" si="0"/>
        <v>2</v>
      </c>
      <c r="F22" s="9">
        <f t="shared" si="1"/>
        <v>221</v>
      </c>
      <c r="G22" s="2" t="str">
        <f t="shared" si="2"/>
        <v>Vendida</v>
      </c>
      <c r="H22" s="9" t="str">
        <f t="shared" si="3"/>
        <v>B-221</v>
      </c>
      <c r="I22" s="2"/>
      <c r="J22" s="2"/>
      <c r="K22" s="2"/>
      <c r="L22" s="2"/>
    </row>
    <row r="23" spans="1:12" x14ac:dyDescent="0.25">
      <c r="A23" s="318" t="s">
        <v>432</v>
      </c>
      <c r="B23" s="259" t="s">
        <v>410</v>
      </c>
      <c r="C23" s="302" t="s">
        <v>0</v>
      </c>
      <c r="D23" s="2"/>
      <c r="E23" s="9" t="str">
        <f t="shared" si="0"/>
        <v>2</v>
      </c>
      <c r="F23" s="9">
        <f t="shared" si="1"/>
        <v>231</v>
      </c>
      <c r="G23" s="2" t="str">
        <f t="shared" si="2"/>
        <v>Vendida</v>
      </c>
      <c r="H23" s="9" t="str">
        <f t="shared" si="3"/>
        <v>B-231</v>
      </c>
      <c r="I23" s="2"/>
      <c r="J23" s="2"/>
      <c r="K23" s="2"/>
      <c r="L23" s="2"/>
    </row>
    <row r="24" spans="1:12" x14ac:dyDescent="0.25">
      <c r="A24" s="318" t="s">
        <v>433</v>
      </c>
      <c r="B24" s="259" t="s">
        <v>410</v>
      </c>
      <c r="C24" s="302" t="s">
        <v>0</v>
      </c>
      <c r="D24" s="2"/>
      <c r="E24" s="9" t="str">
        <f t="shared" si="0"/>
        <v>2</v>
      </c>
      <c r="F24" s="9">
        <f t="shared" si="1"/>
        <v>232</v>
      </c>
      <c r="G24" s="2" t="str">
        <f t="shared" si="2"/>
        <v>Vendida</v>
      </c>
      <c r="H24" s="9" t="str">
        <f t="shared" si="3"/>
        <v>B-232</v>
      </c>
      <c r="I24" s="2"/>
      <c r="J24" s="2"/>
      <c r="K24" s="2"/>
      <c r="L24" s="2"/>
    </row>
    <row r="25" spans="1:12" x14ac:dyDescent="0.25">
      <c r="A25" s="303" t="s">
        <v>434</v>
      </c>
      <c r="B25" s="303"/>
      <c r="C25" s="304">
        <v>23</v>
      </c>
      <c r="D25" s="2"/>
      <c r="E25" s="2"/>
      <c r="F25" s="9"/>
      <c r="G25" s="2"/>
      <c r="H25" s="9"/>
      <c r="I25" s="2"/>
      <c r="J25" s="2"/>
      <c r="K25" s="2"/>
      <c r="L25" s="2"/>
    </row>
    <row r="26" spans="1:12" x14ac:dyDescent="0.25">
      <c r="A26" s="319"/>
      <c r="B26" s="319"/>
      <c r="C26" s="319"/>
      <c r="D26" s="2"/>
      <c r="E26" s="2"/>
      <c r="F26" s="9"/>
      <c r="G26" s="2"/>
      <c r="H26" s="9"/>
      <c r="I26" s="2"/>
      <c r="J26" s="2"/>
      <c r="K26" s="2"/>
      <c r="L26" s="2"/>
    </row>
    <row r="27" spans="1:12" x14ac:dyDescent="0.25">
      <c r="A27" s="305" t="s">
        <v>435</v>
      </c>
      <c r="B27" s="305"/>
      <c r="C27" s="305">
        <v>21</v>
      </c>
      <c r="D27" s="2"/>
      <c r="E27" s="2"/>
      <c r="F27" s="9"/>
      <c r="G27" s="2"/>
      <c r="H27" s="9"/>
      <c r="I27" s="2"/>
      <c r="J27" s="2"/>
      <c r="K27" s="2"/>
      <c r="L27" s="2"/>
    </row>
    <row r="28" spans="1:12" x14ac:dyDescent="0.25">
      <c r="A28" s="306" t="s">
        <v>436</v>
      </c>
      <c r="B28" s="306"/>
      <c r="C28" s="306">
        <v>2</v>
      </c>
      <c r="D28" s="2"/>
      <c r="E28" s="2"/>
      <c r="F28" s="9"/>
      <c r="G28" s="2"/>
      <c r="H28" s="9"/>
      <c r="I28" s="2"/>
      <c r="J28" s="2"/>
      <c r="K28" s="2"/>
      <c r="L28" s="2"/>
    </row>
    <row r="29" spans="1:12" x14ac:dyDescent="0.25">
      <c r="A29" s="307" t="s">
        <v>437</v>
      </c>
      <c r="B29" s="307"/>
      <c r="C29" s="307">
        <v>0</v>
      </c>
      <c r="D29" s="2"/>
      <c r="E29" s="2"/>
      <c r="F29" s="9"/>
      <c r="G29" s="2"/>
      <c r="H29" s="9"/>
      <c r="I29" s="2"/>
      <c r="J29" s="2"/>
      <c r="K29" s="2"/>
      <c r="L29" s="2"/>
    </row>
    <row r="30" spans="1:12" x14ac:dyDescent="0.25">
      <c r="D30" s="2"/>
      <c r="E30" s="2"/>
      <c r="F30" s="9"/>
      <c r="G30" s="2"/>
      <c r="H30" s="9"/>
      <c r="I30" s="2"/>
      <c r="J30" s="2"/>
      <c r="K30" s="2"/>
      <c r="L30" s="2"/>
    </row>
    <row r="31" spans="1:12" x14ac:dyDescent="0.25">
      <c r="D31" s="2"/>
      <c r="E31" s="2"/>
      <c r="F31" s="9"/>
      <c r="G31" s="2"/>
      <c r="H31" s="9"/>
      <c r="I31" s="2"/>
      <c r="J31" s="2"/>
      <c r="K31" s="2"/>
      <c r="L31" s="2"/>
    </row>
    <row r="32" spans="1:12" x14ac:dyDescent="0.25">
      <c r="D32" s="2"/>
      <c r="E32" s="2"/>
      <c r="F32" s="9"/>
      <c r="G32" s="2"/>
      <c r="H32" s="9"/>
      <c r="I32" s="2"/>
      <c r="J32" s="2"/>
      <c r="K32" s="2"/>
      <c r="L32" s="2"/>
    </row>
    <row r="33" spans="4:12" x14ac:dyDescent="0.25">
      <c r="D33" s="2"/>
      <c r="E33" s="2"/>
      <c r="F33" s="9"/>
      <c r="G33" s="2"/>
      <c r="H33" s="9"/>
      <c r="I33" s="2"/>
      <c r="J33" s="2"/>
      <c r="K33" s="2"/>
      <c r="L33" s="2"/>
    </row>
    <row r="34" spans="4:12" x14ac:dyDescent="0.25">
      <c r="D34" s="2"/>
      <c r="E34" s="2"/>
      <c r="F34" s="9"/>
      <c r="G34" s="2"/>
      <c r="H34" s="9"/>
      <c r="I34" s="2"/>
      <c r="J34" s="2"/>
      <c r="K34" s="2"/>
      <c r="L34" s="2"/>
    </row>
    <row r="35" spans="4:12" x14ac:dyDescent="0.25">
      <c r="D35" s="2"/>
      <c r="E35" s="2"/>
      <c r="F35" s="9"/>
      <c r="G35" s="2"/>
      <c r="H35" s="9"/>
      <c r="I35" s="2"/>
      <c r="J35" s="2"/>
      <c r="K35" s="2"/>
      <c r="L35" s="2"/>
    </row>
    <row r="36" spans="4:12" x14ac:dyDescent="0.25">
      <c r="D36" s="2"/>
      <c r="E36" s="2"/>
      <c r="F36" s="9"/>
      <c r="G36" s="2"/>
      <c r="H36" s="9"/>
      <c r="I36" s="2"/>
      <c r="J36" s="2"/>
      <c r="K36" s="2"/>
      <c r="L36" s="2"/>
    </row>
    <row r="37" spans="4:12" x14ac:dyDescent="0.25">
      <c r="D37" s="2"/>
      <c r="E37" s="2"/>
      <c r="F37" s="9"/>
      <c r="G37" s="2"/>
      <c r="H37" s="9"/>
      <c r="I37" s="2"/>
      <c r="J37" s="2"/>
      <c r="K37" s="2"/>
      <c r="L37" s="2"/>
    </row>
    <row r="38" spans="4:12" x14ac:dyDescent="0.25">
      <c r="D38" s="2"/>
      <c r="E38" s="2"/>
      <c r="F38" s="9"/>
      <c r="G38" s="2"/>
      <c r="H38" s="9"/>
      <c r="I38" s="2"/>
      <c r="J38" s="2"/>
      <c r="K38" s="2"/>
      <c r="L38" s="2"/>
    </row>
    <row r="39" spans="4:12" x14ac:dyDescent="0.25">
      <c r="D39" s="2"/>
      <c r="E39" s="2"/>
      <c r="F39" s="9"/>
      <c r="G39" s="2"/>
      <c r="H39" s="9"/>
      <c r="I39" s="2"/>
      <c r="J39" s="2"/>
      <c r="K39" s="2"/>
      <c r="L39" s="2"/>
    </row>
    <row r="40" spans="4:12" x14ac:dyDescent="0.25">
      <c r="D40" s="2"/>
      <c r="E40" s="2"/>
      <c r="F40" s="9"/>
      <c r="G40" s="2"/>
      <c r="H40" s="9"/>
      <c r="I40" s="2"/>
      <c r="J40" s="2"/>
      <c r="K40" s="2"/>
      <c r="L40" s="2"/>
    </row>
    <row r="41" spans="4:12" x14ac:dyDescent="0.25">
      <c r="D41" s="2"/>
      <c r="E41" s="2"/>
      <c r="F41" s="9"/>
      <c r="G41" s="2"/>
      <c r="H41" s="9"/>
      <c r="I41" s="2"/>
      <c r="J41" s="2"/>
      <c r="K41" s="2"/>
      <c r="L41" s="2"/>
    </row>
    <row r="42" spans="4:12" x14ac:dyDescent="0.25">
      <c r="D42" s="2"/>
      <c r="E42" s="2"/>
      <c r="F42" s="9"/>
      <c r="G42" s="2"/>
      <c r="H42" s="9"/>
      <c r="I42" s="2"/>
      <c r="J42" s="2"/>
      <c r="K42" s="2"/>
      <c r="L42" s="2"/>
    </row>
    <row r="43" spans="4:12" x14ac:dyDescent="0.25">
      <c r="D43" s="2"/>
      <c r="E43" s="2"/>
      <c r="F43" s="9"/>
      <c r="G43" s="2"/>
      <c r="H43" s="9"/>
      <c r="I43" s="2"/>
      <c r="J43" s="2"/>
      <c r="K43" s="2"/>
      <c r="L43" s="2"/>
    </row>
    <row r="44" spans="4:12" x14ac:dyDescent="0.25">
      <c r="D44" s="2"/>
      <c r="E44" s="2"/>
      <c r="F44" s="9"/>
      <c r="G44" s="2"/>
      <c r="H44" s="9"/>
      <c r="I44" s="2"/>
      <c r="J44" s="2"/>
      <c r="K44" s="2"/>
      <c r="L44" s="2"/>
    </row>
    <row r="45" spans="4:12" x14ac:dyDescent="0.25">
      <c r="D45" s="2"/>
      <c r="E45" s="2"/>
      <c r="F45" s="9"/>
      <c r="G45" s="2"/>
      <c r="H45" s="9"/>
      <c r="I45" s="2"/>
      <c r="J45" s="2"/>
      <c r="K45" s="2"/>
      <c r="L45" s="2"/>
    </row>
    <row r="46" spans="4:12" x14ac:dyDescent="0.25">
      <c r="D46" s="2"/>
      <c r="E46" s="2"/>
      <c r="F46" s="9"/>
      <c r="G46" s="2"/>
      <c r="H46" s="9"/>
      <c r="I46" s="2"/>
      <c r="J46" s="2"/>
      <c r="K46" s="2"/>
      <c r="L46" s="2"/>
    </row>
    <row r="47" spans="4:12" x14ac:dyDescent="0.25">
      <c r="D47" s="2"/>
      <c r="E47" s="2"/>
      <c r="F47" s="9"/>
      <c r="G47" s="2"/>
      <c r="H47" s="9"/>
      <c r="I47" s="2"/>
      <c r="J47" s="2"/>
      <c r="K47" s="2"/>
      <c r="L47" s="2"/>
    </row>
    <row r="48" spans="4:12" x14ac:dyDescent="0.25">
      <c r="D48" s="2"/>
      <c r="E48" s="2"/>
      <c r="F48" s="9"/>
      <c r="G48" s="2"/>
      <c r="H48" s="9"/>
      <c r="I48" s="2"/>
      <c r="J48" s="2"/>
      <c r="K48" s="2"/>
      <c r="L48" s="2"/>
    </row>
    <row r="49" spans="4:12" x14ac:dyDescent="0.25">
      <c r="D49" s="2"/>
      <c r="E49" s="2"/>
      <c r="F49" s="9"/>
      <c r="G49" s="2"/>
      <c r="H49" s="9"/>
      <c r="I49" s="2"/>
      <c r="J49" s="2"/>
      <c r="K49" s="2"/>
      <c r="L49" s="2"/>
    </row>
    <row r="50" spans="4:12" x14ac:dyDescent="0.25">
      <c r="D50" s="2"/>
      <c r="E50" s="2"/>
      <c r="F50" s="9"/>
      <c r="G50" s="2"/>
      <c r="H50" s="9"/>
      <c r="I50" s="2"/>
      <c r="J50" s="2"/>
      <c r="K50" s="2"/>
      <c r="L50" s="2"/>
    </row>
    <row r="51" spans="4:12" x14ac:dyDescent="0.25">
      <c r="D51" s="2"/>
      <c r="E51" s="2"/>
      <c r="F51" s="9"/>
      <c r="G51" s="2"/>
      <c r="H51" s="9"/>
      <c r="I51" s="2"/>
      <c r="J51" s="2"/>
      <c r="K51" s="2"/>
      <c r="L51" s="2"/>
    </row>
    <row r="52" spans="4:12" x14ac:dyDescent="0.25">
      <c r="D52" s="2"/>
      <c r="E52" s="2"/>
      <c r="F52" s="9"/>
      <c r="G52" s="2"/>
      <c r="H52" s="9"/>
      <c r="I52" s="2"/>
      <c r="J52" s="2"/>
      <c r="K52" s="2"/>
      <c r="L52" s="2"/>
    </row>
    <row r="53" spans="4:12" x14ac:dyDescent="0.25">
      <c r="D53" s="2"/>
      <c r="E53" s="2"/>
      <c r="F53" s="9"/>
      <c r="G53" s="2"/>
      <c r="H53" s="9"/>
      <c r="I53" s="2"/>
      <c r="J53" s="2"/>
      <c r="K53" s="2"/>
      <c r="L53" s="2"/>
    </row>
    <row r="54" spans="4:12" x14ac:dyDescent="0.25">
      <c r="D54" s="2"/>
      <c r="E54" s="2"/>
      <c r="F54" s="9"/>
      <c r="G54" s="2"/>
      <c r="H54" s="9"/>
      <c r="I54" s="2"/>
      <c r="J54" s="2"/>
      <c r="K54" s="2"/>
      <c r="L54" s="2"/>
    </row>
    <row r="55" spans="4:12" x14ac:dyDescent="0.25">
      <c r="D55" s="2"/>
      <c r="E55" s="2"/>
      <c r="F55" s="9"/>
      <c r="G55" s="2"/>
      <c r="H55" s="9"/>
      <c r="I55" s="2"/>
      <c r="J55" s="2"/>
      <c r="K55" s="2"/>
      <c r="L55" s="2"/>
    </row>
    <row r="56" spans="4:12" x14ac:dyDescent="0.25">
      <c r="D56" s="2"/>
      <c r="E56" s="2"/>
      <c r="F56" s="9"/>
      <c r="G56" s="2"/>
      <c r="H56" s="9"/>
      <c r="I56" s="2"/>
      <c r="J56" s="2"/>
      <c r="K56" s="2"/>
      <c r="L56" s="2"/>
    </row>
    <row r="57" spans="4:12" x14ac:dyDescent="0.25">
      <c r="D57" s="2"/>
      <c r="E57" s="2"/>
      <c r="F57" s="9"/>
      <c r="G57" s="2"/>
      <c r="H57" s="9"/>
      <c r="I57" s="2"/>
      <c r="J57" s="2"/>
      <c r="K57" s="2"/>
      <c r="L57" s="2"/>
    </row>
    <row r="58" spans="4:12" x14ac:dyDescent="0.25">
      <c r="D58" s="2"/>
      <c r="E58" s="2"/>
      <c r="F58" s="9"/>
      <c r="G58" s="2"/>
      <c r="H58" s="9"/>
      <c r="I58" s="2"/>
      <c r="J58" s="2"/>
      <c r="K58" s="2"/>
      <c r="L58" s="2"/>
    </row>
    <row r="59" spans="4:12" x14ac:dyDescent="0.25">
      <c r="D59" s="2"/>
      <c r="E59" s="2"/>
      <c r="F59" s="9"/>
      <c r="G59" s="2"/>
      <c r="H59" s="9"/>
      <c r="I59" s="2"/>
      <c r="J59" s="2"/>
      <c r="K59" s="2"/>
      <c r="L59" s="2"/>
    </row>
    <row r="60" spans="4:12" x14ac:dyDescent="0.25">
      <c r="D60" s="2"/>
      <c r="E60" s="2"/>
      <c r="F60" s="9"/>
      <c r="G60" s="2"/>
      <c r="H60" s="9"/>
      <c r="I60" s="2"/>
      <c r="J60" s="2"/>
      <c r="K60" s="2"/>
      <c r="L60" s="2"/>
    </row>
    <row r="61" spans="4:12" x14ac:dyDescent="0.25">
      <c r="D61" s="2"/>
      <c r="E61" s="2"/>
      <c r="F61" s="9"/>
      <c r="G61" s="2"/>
      <c r="H61" s="9"/>
      <c r="I61" s="2"/>
      <c r="J61" s="2"/>
      <c r="K61" s="2"/>
      <c r="L61" s="2"/>
    </row>
    <row r="62" spans="4:12" x14ac:dyDescent="0.25">
      <c r="D62" s="2"/>
      <c r="E62" s="2"/>
      <c r="F62" s="9"/>
      <c r="G62" s="2"/>
      <c r="H62" s="9"/>
      <c r="I62" s="2"/>
      <c r="J62" s="2"/>
      <c r="K62" s="2"/>
      <c r="L62" s="2"/>
    </row>
    <row r="63" spans="4:12" x14ac:dyDescent="0.25">
      <c r="D63" s="2"/>
      <c r="E63" s="2"/>
      <c r="F63" s="9"/>
      <c r="G63" s="2"/>
      <c r="H63" s="9"/>
      <c r="I63" s="2"/>
      <c r="J63" s="2"/>
      <c r="K63" s="2"/>
      <c r="L63" s="2"/>
    </row>
    <row r="64" spans="4:12" x14ac:dyDescent="0.25">
      <c r="D64" s="2"/>
      <c r="E64" s="2"/>
      <c r="F64" s="9"/>
      <c r="G64" s="2"/>
      <c r="H64" s="9"/>
      <c r="I64" s="2"/>
      <c r="J64" s="2"/>
      <c r="K64" s="2"/>
      <c r="L64" s="2"/>
    </row>
    <row r="65" spans="4:12" x14ac:dyDescent="0.25">
      <c r="D65" s="2"/>
      <c r="E65" s="2"/>
      <c r="F65" s="9"/>
      <c r="G65" s="2"/>
      <c r="H65" s="9"/>
      <c r="I65" s="2"/>
      <c r="J65" s="2"/>
      <c r="K65" s="2"/>
      <c r="L65" s="2"/>
    </row>
    <row r="66" spans="4:12" x14ac:dyDescent="0.25">
      <c r="D66" s="2"/>
      <c r="E66" s="2"/>
      <c r="F66" s="9"/>
      <c r="G66" s="2"/>
      <c r="H66" s="9"/>
      <c r="I66" s="2"/>
      <c r="J66" s="2"/>
      <c r="K66" s="2"/>
      <c r="L66" s="2"/>
    </row>
    <row r="67" spans="4:12" x14ac:dyDescent="0.25">
      <c r="D67" s="2"/>
      <c r="E67" s="2"/>
      <c r="F67" s="9"/>
      <c r="G67" s="2"/>
      <c r="H67" s="9"/>
      <c r="I67" s="2"/>
      <c r="J67" s="2"/>
      <c r="K67" s="2"/>
      <c r="L67" s="2"/>
    </row>
    <row r="68" spans="4:12" x14ac:dyDescent="0.25">
      <c r="D68" s="2"/>
      <c r="E68" s="2"/>
      <c r="F68" s="9"/>
      <c r="G68" s="2"/>
      <c r="H68" s="9"/>
      <c r="I68" s="2"/>
      <c r="J68" s="2"/>
      <c r="K68" s="2"/>
      <c r="L68" s="2"/>
    </row>
    <row r="69" spans="4:12" x14ac:dyDescent="0.25">
      <c r="D69" s="2"/>
      <c r="E69" s="2"/>
      <c r="F69" s="9"/>
      <c r="G69" s="2"/>
      <c r="H69" s="9"/>
      <c r="I69" s="2"/>
      <c r="J69" s="2"/>
      <c r="K69" s="2"/>
      <c r="L69" s="2"/>
    </row>
    <row r="70" spans="4:12" x14ac:dyDescent="0.25">
      <c r="D70" s="2"/>
      <c r="E70" s="2"/>
      <c r="F70" s="9"/>
      <c r="G70" s="2"/>
      <c r="H70" s="9"/>
      <c r="I70" s="2"/>
      <c r="J70" s="2"/>
      <c r="K70" s="2"/>
      <c r="L70" s="2"/>
    </row>
    <row r="71" spans="4:12" x14ac:dyDescent="0.25">
      <c r="D71" s="2"/>
      <c r="E71" s="2"/>
      <c r="F71" s="9"/>
      <c r="G71" s="2"/>
      <c r="H71" s="9"/>
      <c r="I71" s="2"/>
      <c r="J71" s="2"/>
      <c r="K71" s="2"/>
      <c r="L71" s="2"/>
    </row>
    <row r="72" spans="4:12" x14ac:dyDescent="0.25">
      <c r="D72" s="2"/>
      <c r="E72" s="2"/>
      <c r="F72" s="9"/>
      <c r="G72" s="2"/>
      <c r="H72" s="9"/>
      <c r="I72" s="2"/>
      <c r="J72" s="2"/>
      <c r="K72" s="2"/>
      <c r="L72" s="2"/>
    </row>
    <row r="73" spans="4:12" x14ac:dyDescent="0.25">
      <c r="D73" s="2"/>
      <c r="E73" s="2"/>
      <c r="F73" s="9"/>
      <c r="G73" s="2"/>
      <c r="H73" s="9"/>
      <c r="I73" s="2"/>
      <c r="J73" s="2"/>
      <c r="K73" s="2"/>
      <c r="L73" s="2"/>
    </row>
    <row r="74" spans="4:12" x14ac:dyDescent="0.25">
      <c r="D74" s="2"/>
      <c r="E74" s="2"/>
      <c r="F74" s="9"/>
      <c r="G74" s="2"/>
      <c r="H74" s="9"/>
      <c r="I74" s="2"/>
      <c r="J74" s="2"/>
      <c r="K74" s="2"/>
      <c r="L74" s="2"/>
    </row>
    <row r="75" spans="4:12" x14ac:dyDescent="0.25">
      <c r="D75" s="2"/>
      <c r="E75" s="2"/>
      <c r="F75" s="9"/>
      <c r="G75" s="2"/>
      <c r="H75" s="9"/>
      <c r="I75" s="2"/>
      <c r="J75" s="2"/>
      <c r="K75" s="2"/>
      <c r="L75" s="2"/>
    </row>
    <row r="76" spans="4:12" x14ac:dyDescent="0.25">
      <c r="D76" s="2"/>
      <c r="E76" s="2"/>
      <c r="F76" s="9"/>
      <c r="G76" s="2"/>
      <c r="H76" s="9"/>
      <c r="I76" s="2"/>
      <c r="J76" s="2"/>
      <c r="K76" s="2"/>
      <c r="L76" s="2"/>
    </row>
    <row r="77" spans="4:12" x14ac:dyDescent="0.25">
      <c r="D77" s="2"/>
      <c r="E77" s="2"/>
      <c r="F77" s="9"/>
      <c r="G77" s="2"/>
      <c r="H77" s="9"/>
      <c r="I77" s="2"/>
      <c r="J77" s="2"/>
      <c r="K77" s="2"/>
      <c r="L77" s="2"/>
    </row>
    <row r="78" spans="4:12" x14ac:dyDescent="0.25">
      <c r="D78" s="2"/>
      <c r="E78" s="2"/>
      <c r="F78" s="9"/>
      <c r="G78" s="2"/>
      <c r="H78" s="9"/>
      <c r="I78" s="2"/>
      <c r="J78" s="2"/>
      <c r="K78" s="2"/>
      <c r="L78" s="2"/>
    </row>
    <row r="79" spans="4:12" x14ac:dyDescent="0.25">
      <c r="D79" s="2"/>
      <c r="E79" s="2"/>
      <c r="F79" s="9"/>
      <c r="G79" s="2"/>
      <c r="H79" s="9"/>
      <c r="I79" s="2"/>
      <c r="J79" s="2"/>
      <c r="K79" s="2"/>
      <c r="L79" s="2"/>
    </row>
    <row r="80" spans="4:12" x14ac:dyDescent="0.25">
      <c r="D80" s="2"/>
      <c r="E80" s="2"/>
      <c r="F80" s="9"/>
      <c r="G80" s="2"/>
      <c r="H80" s="9"/>
      <c r="I80" s="2"/>
      <c r="J80" s="2"/>
      <c r="K80" s="2"/>
      <c r="L80" s="2"/>
    </row>
    <row r="81" spans="4:12" x14ac:dyDescent="0.25">
      <c r="D81" s="2"/>
      <c r="E81" s="2"/>
      <c r="F81" s="9"/>
      <c r="G81" s="2"/>
      <c r="H81" s="9"/>
      <c r="I81" s="2"/>
      <c r="J81" s="2"/>
      <c r="K81" s="2"/>
      <c r="L81" s="2"/>
    </row>
    <row r="82" spans="4:12" x14ac:dyDescent="0.25">
      <c r="D82" s="2"/>
      <c r="E82" s="2"/>
      <c r="F82" s="9"/>
      <c r="G82" s="2"/>
      <c r="H82" s="9"/>
      <c r="I82" s="2"/>
      <c r="J82" s="2"/>
      <c r="K82" s="2"/>
      <c r="L82" s="2"/>
    </row>
    <row r="83" spans="4:12" x14ac:dyDescent="0.25">
      <c r="D83" s="2"/>
      <c r="E83" s="2"/>
      <c r="F83" s="9"/>
      <c r="G83" s="2"/>
      <c r="H83" s="9"/>
      <c r="I83" s="2"/>
      <c r="J83" s="2"/>
      <c r="K83" s="2"/>
      <c r="L83" s="2"/>
    </row>
    <row r="84" spans="4:12" x14ac:dyDescent="0.25">
      <c r="D84" s="2"/>
      <c r="E84" s="2"/>
      <c r="F84" s="9"/>
      <c r="G84" s="2"/>
      <c r="H84" s="9"/>
      <c r="I84" s="2"/>
      <c r="J84" s="2"/>
      <c r="K84" s="2"/>
      <c r="L84" s="2"/>
    </row>
    <row r="85" spans="4:12" x14ac:dyDescent="0.25">
      <c r="D85" s="2"/>
      <c r="E85" s="2"/>
      <c r="F85" s="9"/>
      <c r="G85" s="2"/>
      <c r="H85" s="9"/>
      <c r="I85" s="2"/>
      <c r="J85" s="2"/>
      <c r="K85" s="2"/>
      <c r="L85" s="2"/>
    </row>
    <row r="86" spans="4:12" x14ac:dyDescent="0.25">
      <c r="D86" s="2"/>
      <c r="E86" s="2"/>
      <c r="F86" s="9"/>
      <c r="G86" s="2"/>
      <c r="H86" s="9"/>
      <c r="I86" s="2"/>
      <c r="J86" s="2"/>
      <c r="K86" s="2"/>
      <c r="L86" s="2"/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>
    <tabColor rgb="FFFFC000"/>
  </sheetPr>
  <dimension ref="A1:W520"/>
  <sheetViews>
    <sheetView showGridLines="0" zoomScaleNormal="100" workbookViewId="0">
      <selection activeCell="C439" sqref="C439"/>
    </sheetView>
  </sheetViews>
  <sheetFormatPr defaultRowHeight="15" x14ac:dyDescent="0.25"/>
  <cols>
    <col min="2" max="2" width="11.42578125" style="186" customWidth="1"/>
    <col min="3" max="3" width="54" style="186" bestFit="1" customWidth="1"/>
    <col min="4" max="4" width="14.140625" style="186" customWidth="1"/>
    <col min="5" max="5" width="8.42578125" style="186" customWidth="1"/>
    <col min="6" max="6" width="8.28515625" style="186" customWidth="1"/>
    <col min="7" max="7" width="10.85546875" style="186" bestFit="1" customWidth="1"/>
    <col min="8" max="8" width="23.7109375" style="186" bestFit="1" customWidth="1"/>
    <col min="9" max="9" width="7.85546875" style="186" bestFit="1" customWidth="1"/>
    <col min="10" max="10" width="7" style="186" bestFit="1" customWidth="1"/>
    <col min="11" max="11" width="6.85546875" style="186" bestFit="1" customWidth="1"/>
    <col min="12" max="12" width="4.28515625" style="186" bestFit="1" customWidth="1"/>
    <col min="13" max="13" width="10.85546875" style="186" bestFit="1" customWidth="1"/>
    <col min="14" max="14" width="8.140625" style="63" bestFit="1" customWidth="1"/>
    <col min="15" max="15" width="6.85546875" style="63" customWidth="1"/>
    <col min="16" max="16" width="9.140625" style="63" customWidth="1"/>
    <col min="17" max="17" width="3.140625" style="63" customWidth="1"/>
    <col min="18" max="18" width="11" style="63" bestFit="1" customWidth="1"/>
    <col min="19" max="19" width="11.7109375" style="63" bestFit="1" customWidth="1"/>
    <col min="20" max="20" width="10.85546875" style="63" bestFit="1" customWidth="1"/>
    <col min="21" max="21" width="3.140625" style="63" customWidth="1"/>
    <col min="22" max="22" width="9.140625" style="63" customWidth="1"/>
    <col min="23" max="23" width="14.28515625" style="63" bestFit="1" customWidth="1"/>
    <col min="24" max="234" width="6.85546875" style="63" customWidth="1"/>
    <col min="235" max="235" width="11" style="63" bestFit="1" customWidth="1"/>
    <col min="236" max="236" width="45.28515625" style="63" bestFit="1" customWidth="1"/>
    <col min="237" max="237" width="5.28515625" style="63" bestFit="1" customWidth="1"/>
    <col min="238" max="238" width="36.5703125" style="63" bestFit="1" customWidth="1"/>
    <col min="239" max="239" width="13.85546875" style="63" bestFit="1" customWidth="1"/>
    <col min="240" max="240" width="10.7109375" style="63" bestFit="1" customWidth="1"/>
    <col min="241" max="241" width="11.7109375" style="63" bestFit="1" customWidth="1"/>
    <col min="242" max="242" width="6.5703125" style="63" bestFit="1" customWidth="1"/>
    <col min="243" max="243" width="5.42578125" style="63" bestFit="1" customWidth="1"/>
    <col min="244" max="246" width="11.7109375" style="63" bestFit="1" customWidth="1"/>
    <col min="247" max="247" width="10.7109375" style="63" bestFit="1" customWidth="1"/>
    <col min="248" max="248" width="11.7109375" style="63" bestFit="1" customWidth="1"/>
    <col min="249" max="249" width="6.85546875" style="63" customWidth="1"/>
    <col min="250" max="250" width="4.5703125" style="63" bestFit="1" customWidth="1"/>
    <col min="251" max="251" width="8.7109375" style="63" bestFit="1" customWidth="1"/>
    <col min="252" max="252" width="10.7109375" style="63" bestFit="1" customWidth="1"/>
    <col min="253" max="253" width="11.7109375" style="63" bestFit="1" customWidth="1"/>
    <col min="254" max="254" width="28.140625" style="63" bestFit="1" customWidth="1"/>
    <col min="255" max="255" width="10.140625" style="63" bestFit="1" customWidth="1"/>
    <col min="256" max="256" width="10.28515625" style="63" bestFit="1" customWidth="1"/>
    <col min="257" max="257" width="10.85546875" style="63" bestFit="1" customWidth="1"/>
    <col min="258" max="490" width="6.85546875" style="63" customWidth="1"/>
    <col min="491" max="491" width="11" style="63" bestFit="1" customWidth="1"/>
    <col min="492" max="492" width="45.28515625" style="63" bestFit="1" customWidth="1"/>
    <col min="493" max="493" width="5.28515625" style="63" bestFit="1" customWidth="1"/>
    <col min="494" max="494" width="36.5703125" style="63" bestFit="1" customWidth="1"/>
    <col min="495" max="495" width="13.85546875" style="63" bestFit="1" customWidth="1"/>
    <col min="496" max="496" width="10.7109375" style="63" bestFit="1" customWidth="1"/>
    <col min="497" max="497" width="11.7109375" style="63" bestFit="1" customWidth="1"/>
    <col min="498" max="498" width="6.5703125" style="63" bestFit="1" customWidth="1"/>
    <col min="499" max="499" width="5.42578125" style="63" bestFit="1" customWidth="1"/>
    <col min="500" max="502" width="11.7109375" style="63" bestFit="1" customWidth="1"/>
    <col min="503" max="503" width="10.7109375" style="63" bestFit="1" customWidth="1"/>
    <col min="504" max="504" width="11.7109375" style="63" bestFit="1" customWidth="1"/>
    <col min="505" max="505" width="6.85546875" style="63" customWidth="1"/>
    <col min="506" max="506" width="4.5703125" style="63" bestFit="1" customWidth="1"/>
    <col min="507" max="507" width="8.7109375" style="63" bestFit="1" customWidth="1"/>
    <col min="508" max="508" width="10.7109375" style="63" bestFit="1" customWidth="1"/>
    <col min="509" max="509" width="11.7109375" style="63" bestFit="1" customWidth="1"/>
    <col min="510" max="510" width="28.140625" style="63" bestFit="1" customWidth="1"/>
    <col min="511" max="511" width="10.140625" style="63" bestFit="1" customWidth="1"/>
    <col min="512" max="512" width="10.28515625" style="63" bestFit="1" customWidth="1"/>
    <col min="513" max="513" width="10.85546875" style="63" bestFit="1" customWidth="1"/>
    <col min="514" max="746" width="6.85546875" style="63" customWidth="1"/>
    <col min="747" max="747" width="11" style="63" bestFit="1" customWidth="1"/>
    <col min="748" max="748" width="45.28515625" style="63" bestFit="1" customWidth="1"/>
    <col min="749" max="749" width="5.28515625" style="63" bestFit="1" customWidth="1"/>
    <col min="750" max="750" width="36.5703125" style="63" bestFit="1" customWidth="1"/>
    <col min="751" max="751" width="13.85546875" style="63" bestFit="1" customWidth="1"/>
    <col min="752" max="752" width="10.7109375" style="63" bestFit="1" customWidth="1"/>
    <col min="753" max="753" width="11.7109375" style="63" bestFit="1" customWidth="1"/>
    <col min="754" max="754" width="6.5703125" style="63" bestFit="1" customWidth="1"/>
    <col min="755" max="755" width="5.42578125" style="63" bestFit="1" customWidth="1"/>
    <col min="756" max="758" width="11.7109375" style="63" bestFit="1" customWidth="1"/>
    <col min="759" max="759" width="10.7109375" style="63" bestFit="1" customWidth="1"/>
    <col min="760" max="760" width="11.7109375" style="63" bestFit="1" customWidth="1"/>
    <col min="761" max="761" width="6.85546875" style="63" customWidth="1"/>
    <col min="762" max="762" width="4.5703125" style="63" bestFit="1" customWidth="1"/>
    <col min="763" max="763" width="8.7109375" style="63" bestFit="1" customWidth="1"/>
    <col min="764" max="764" width="10.7109375" style="63" bestFit="1" customWidth="1"/>
    <col min="765" max="765" width="11.7109375" style="63" bestFit="1" customWidth="1"/>
    <col min="766" max="766" width="28.140625" style="63" bestFit="1" customWidth="1"/>
    <col min="767" max="767" width="10.140625" style="63" bestFit="1" customWidth="1"/>
    <col min="768" max="768" width="10.28515625" style="63" bestFit="1" customWidth="1"/>
    <col min="769" max="769" width="10.85546875" style="63" bestFit="1" customWidth="1"/>
    <col min="770" max="1002" width="6.85546875" style="63" customWidth="1"/>
    <col min="1003" max="1003" width="11" style="63" bestFit="1" customWidth="1"/>
    <col min="1004" max="1004" width="45.28515625" style="63" bestFit="1" customWidth="1"/>
    <col min="1005" max="1005" width="5.28515625" style="63" bestFit="1" customWidth="1"/>
    <col min="1006" max="1006" width="36.5703125" style="63" bestFit="1" customWidth="1"/>
    <col min="1007" max="1007" width="13.85546875" style="63" bestFit="1" customWidth="1"/>
    <col min="1008" max="1008" width="10.7109375" style="63" bestFit="1" customWidth="1"/>
    <col min="1009" max="1009" width="11.7109375" style="63" bestFit="1" customWidth="1"/>
    <col min="1010" max="1010" width="6.5703125" style="63" bestFit="1" customWidth="1"/>
    <col min="1011" max="1011" width="5.42578125" style="63" bestFit="1" customWidth="1"/>
    <col min="1012" max="1014" width="11.7109375" style="63" bestFit="1" customWidth="1"/>
    <col min="1015" max="1015" width="10.7109375" style="63" bestFit="1" customWidth="1"/>
    <col min="1016" max="1016" width="11.7109375" style="63" bestFit="1" customWidth="1"/>
    <col min="1017" max="1017" width="6.85546875" style="63" customWidth="1"/>
    <col min="1018" max="1018" width="4.5703125" style="63" bestFit="1" customWidth="1"/>
    <col min="1019" max="1019" width="8.7109375" style="63" bestFit="1" customWidth="1"/>
    <col min="1020" max="1020" width="10.7109375" style="63" bestFit="1" customWidth="1"/>
    <col min="1021" max="1021" width="11.7109375" style="63" bestFit="1" customWidth="1"/>
    <col min="1022" max="1022" width="28.140625" style="63" bestFit="1" customWidth="1"/>
    <col min="1023" max="1023" width="10.140625" style="63" bestFit="1" customWidth="1"/>
    <col min="1024" max="1024" width="10.28515625" style="63" bestFit="1" customWidth="1"/>
    <col min="1025" max="1025" width="10.85546875" style="63" bestFit="1" customWidth="1"/>
    <col min="1026" max="1258" width="6.85546875" style="63" customWidth="1"/>
    <col min="1259" max="1259" width="11" style="63" bestFit="1" customWidth="1"/>
    <col min="1260" max="1260" width="45.28515625" style="63" bestFit="1" customWidth="1"/>
    <col min="1261" max="1261" width="5.28515625" style="63" bestFit="1" customWidth="1"/>
    <col min="1262" max="1262" width="36.5703125" style="63" bestFit="1" customWidth="1"/>
    <col min="1263" max="1263" width="13.85546875" style="63" bestFit="1" customWidth="1"/>
    <col min="1264" max="1264" width="10.7109375" style="63" bestFit="1" customWidth="1"/>
    <col min="1265" max="1265" width="11.7109375" style="63" bestFit="1" customWidth="1"/>
    <col min="1266" max="1266" width="6.5703125" style="63" bestFit="1" customWidth="1"/>
    <col min="1267" max="1267" width="5.42578125" style="63" bestFit="1" customWidth="1"/>
    <col min="1268" max="1270" width="11.7109375" style="63" bestFit="1" customWidth="1"/>
    <col min="1271" max="1271" width="10.7109375" style="63" bestFit="1" customWidth="1"/>
    <col min="1272" max="1272" width="11.7109375" style="63" bestFit="1" customWidth="1"/>
    <col min="1273" max="1273" width="6.85546875" style="63" customWidth="1"/>
    <col min="1274" max="1274" width="4.5703125" style="63" bestFit="1" customWidth="1"/>
    <col min="1275" max="1275" width="8.7109375" style="63" bestFit="1" customWidth="1"/>
    <col min="1276" max="1276" width="10.7109375" style="63" bestFit="1" customWidth="1"/>
    <col min="1277" max="1277" width="11.7109375" style="63" bestFit="1" customWidth="1"/>
    <col min="1278" max="1278" width="28.140625" style="63" bestFit="1" customWidth="1"/>
    <col min="1279" max="1279" width="10.140625" style="63" bestFit="1" customWidth="1"/>
    <col min="1280" max="1280" width="10.28515625" style="63" bestFit="1" customWidth="1"/>
    <col min="1281" max="1281" width="10.85546875" style="63" bestFit="1" customWidth="1"/>
    <col min="1282" max="1514" width="6.85546875" style="63" customWidth="1"/>
    <col min="1515" max="1515" width="11" style="63" bestFit="1" customWidth="1"/>
    <col min="1516" max="1516" width="45.28515625" style="63" bestFit="1" customWidth="1"/>
    <col min="1517" max="1517" width="5.28515625" style="63" bestFit="1" customWidth="1"/>
    <col min="1518" max="1518" width="36.5703125" style="63" bestFit="1" customWidth="1"/>
    <col min="1519" max="1519" width="13.85546875" style="63" bestFit="1" customWidth="1"/>
    <col min="1520" max="1520" width="10.7109375" style="63" bestFit="1" customWidth="1"/>
    <col min="1521" max="1521" width="11.7109375" style="63" bestFit="1" customWidth="1"/>
    <col min="1522" max="1522" width="6.5703125" style="63" bestFit="1" customWidth="1"/>
    <col min="1523" max="1523" width="5.42578125" style="63" bestFit="1" customWidth="1"/>
    <col min="1524" max="1526" width="11.7109375" style="63" bestFit="1" customWidth="1"/>
    <col min="1527" max="1527" width="10.7109375" style="63" bestFit="1" customWidth="1"/>
    <col min="1528" max="1528" width="11.7109375" style="63" bestFit="1" customWidth="1"/>
    <col min="1529" max="1529" width="6.85546875" style="63" customWidth="1"/>
    <col min="1530" max="1530" width="4.5703125" style="63" bestFit="1" customWidth="1"/>
    <col min="1531" max="1531" width="8.7109375" style="63" bestFit="1" customWidth="1"/>
    <col min="1532" max="1532" width="10.7109375" style="63" bestFit="1" customWidth="1"/>
    <col min="1533" max="1533" width="11.7109375" style="63" bestFit="1" customWidth="1"/>
    <col min="1534" max="1534" width="28.140625" style="63" bestFit="1" customWidth="1"/>
    <col min="1535" max="1535" width="10.140625" style="63" bestFit="1" customWidth="1"/>
    <col min="1536" max="1536" width="10.28515625" style="63" bestFit="1" customWidth="1"/>
    <col min="1537" max="1537" width="10.85546875" style="63" bestFit="1" customWidth="1"/>
    <col min="1538" max="1770" width="6.85546875" style="63" customWidth="1"/>
    <col min="1771" max="1771" width="11" style="63" bestFit="1" customWidth="1"/>
    <col min="1772" max="1772" width="45.28515625" style="63" bestFit="1" customWidth="1"/>
    <col min="1773" max="1773" width="5.28515625" style="63" bestFit="1" customWidth="1"/>
    <col min="1774" max="1774" width="36.5703125" style="63" bestFit="1" customWidth="1"/>
    <col min="1775" max="1775" width="13.85546875" style="63" bestFit="1" customWidth="1"/>
    <col min="1776" max="1776" width="10.7109375" style="63" bestFit="1" customWidth="1"/>
    <col min="1777" max="1777" width="11.7109375" style="63" bestFit="1" customWidth="1"/>
    <col min="1778" max="1778" width="6.5703125" style="63" bestFit="1" customWidth="1"/>
    <col min="1779" max="1779" width="5.42578125" style="63" bestFit="1" customWidth="1"/>
    <col min="1780" max="1782" width="11.7109375" style="63" bestFit="1" customWidth="1"/>
    <col min="1783" max="1783" width="10.7109375" style="63" bestFit="1" customWidth="1"/>
    <col min="1784" max="1784" width="11.7109375" style="63" bestFit="1" customWidth="1"/>
    <col min="1785" max="1785" width="6.85546875" style="63" customWidth="1"/>
    <col min="1786" max="1786" width="4.5703125" style="63" bestFit="1" customWidth="1"/>
    <col min="1787" max="1787" width="8.7109375" style="63" bestFit="1" customWidth="1"/>
    <col min="1788" max="1788" width="10.7109375" style="63" bestFit="1" customWidth="1"/>
    <col min="1789" max="1789" width="11.7109375" style="63" bestFit="1" customWidth="1"/>
    <col min="1790" max="1790" width="28.140625" style="63" bestFit="1" customWidth="1"/>
    <col min="1791" max="1791" width="10.140625" style="63" bestFit="1" customWidth="1"/>
    <col min="1792" max="1792" width="10.28515625" style="63" bestFit="1" customWidth="1"/>
    <col min="1793" max="1793" width="10.85546875" style="63" bestFit="1" customWidth="1"/>
    <col min="1794" max="2026" width="6.85546875" style="63" customWidth="1"/>
    <col min="2027" max="2027" width="11" style="63" bestFit="1" customWidth="1"/>
    <col min="2028" max="2028" width="45.28515625" style="63" bestFit="1" customWidth="1"/>
    <col min="2029" max="2029" width="5.28515625" style="63" bestFit="1" customWidth="1"/>
    <col min="2030" max="2030" width="36.5703125" style="63" bestFit="1" customWidth="1"/>
    <col min="2031" max="2031" width="13.85546875" style="63" bestFit="1" customWidth="1"/>
    <col min="2032" max="2032" width="10.7109375" style="63" bestFit="1" customWidth="1"/>
    <col min="2033" max="2033" width="11.7109375" style="63" bestFit="1" customWidth="1"/>
    <col min="2034" max="2034" width="6.5703125" style="63" bestFit="1" customWidth="1"/>
    <col min="2035" max="2035" width="5.42578125" style="63" bestFit="1" customWidth="1"/>
    <col min="2036" max="2038" width="11.7109375" style="63" bestFit="1" customWidth="1"/>
    <col min="2039" max="2039" width="10.7109375" style="63" bestFit="1" customWidth="1"/>
    <col min="2040" max="2040" width="11.7109375" style="63" bestFit="1" customWidth="1"/>
    <col min="2041" max="2041" width="6.85546875" style="63" customWidth="1"/>
    <col min="2042" max="2042" width="4.5703125" style="63" bestFit="1" customWidth="1"/>
    <col min="2043" max="2043" width="8.7109375" style="63" bestFit="1" customWidth="1"/>
    <col min="2044" max="2044" width="10.7109375" style="63" bestFit="1" customWidth="1"/>
    <col min="2045" max="2045" width="11.7109375" style="63" bestFit="1" customWidth="1"/>
    <col min="2046" max="2046" width="28.140625" style="63" bestFit="1" customWidth="1"/>
    <col min="2047" max="2047" width="10.140625" style="63" bestFit="1" customWidth="1"/>
    <col min="2048" max="2048" width="10.28515625" style="63" bestFit="1" customWidth="1"/>
    <col min="2049" max="2049" width="10.85546875" style="63" bestFit="1" customWidth="1"/>
    <col min="2050" max="2282" width="6.85546875" style="63" customWidth="1"/>
    <col min="2283" max="2283" width="11" style="63" bestFit="1" customWidth="1"/>
    <col min="2284" max="2284" width="45.28515625" style="63" bestFit="1" customWidth="1"/>
    <col min="2285" max="2285" width="5.28515625" style="63" bestFit="1" customWidth="1"/>
    <col min="2286" max="2286" width="36.5703125" style="63" bestFit="1" customWidth="1"/>
    <col min="2287" max="2287" width="13.85546875" style="63" bestFit="1" customWidth="1"/>
    <col min="2288" max="2288" width="10.7109375" style="63" bestFit="1" customWidth="1"/>
    <col min="2289" max="2289" width="11.7109375" style="63" bestFit="1" customWidth="1"/>
    <col min="2290" max="2290" width="6.5703125" style="63" bestFit="1" customWidth="1"/>
    <col min="2291" max="2291" width="5.42578125" style="63" bestFit="1" customWidth="1"/>
    <col min="2292" max="2294" width="11.7109375" style="63" bestFit="1" customWidth="1"/>
    <col min="2295" max="2295" width="10.7109375" style="63" bestFit="1" customWidth="1"/>
    <col min="2296" max="2296" width="11.7109375" style="63" bestFit="1" customWidth="1"/>
    <col min="2297" max="2297" width="6.85546875" style="63" customWidth="1"/>
    <col min="2298" max="2298" width="4.5703125" style="63" bestFit="1" customWidth="1"/>
    <col min="2299" max="2299" width="8.7109375" style="63" bestFit="1" customWidth="1"/>
    <col min="2300" max="2300" width="10.7109375" style="63" bestFit="1" customWidth="1"/>
    <col min="2301" max="2301" width="11.7109375" style="63" bestFit="1" customWidth="1"/>
    <col min="2302" max="2302" width="28.140625" style="63" bestFit="1" customWidth="1"/>
    <col min="2303" max="2303" width="10.140625" style="63" bestFit="1" customWidth="1"/>
    <col min="2304" max="2304" width="10.28515625" style="63" bestFit="1" customWidth="1"/>
    <col min="2305" max="2305" width="10.85546875" style="63" bestFit="1" customWidth="1"/>
    <col min="2306" max="2538" width="6.85546875" style="63" customWidth="1"/>
    <col min="2539" max="2539" width="11" style="63" bestFit="1" customWidth="1"/>
    <col min="2540" max="2540" width="45.28515625" style="63" bestFit="1" customWidth="1"/>
    <col min="2541" max="2541" width="5.28515625" style="63" bestFit="1" customWidth="1"/>
    <col min="2542" max="2542" width="36.5703125" style="63" bestFit="1" customWidth="1"/>
    <col min="2543" max="2543" width="13.85546875" style="63" bestFit="1" customWidth="1"/>
    <col min="2544" max="2544" width="10.7109375" style="63" bestFit="1" customWidth="1"/>
    <col min="2545" max="2545" width="11.7109375" style="63" bestFit="1" customWidth="1"/>
    <col min="2546" max="2546" width="6.5703125" style="63" bestFit="1" customWidth="1"/>
    <col min="2547" max="2547" width="5.42578125" style="63" bestFit="1" customWidth="1"/>
    <col min="2548" max="2550" width="11.7109375" style="63" bestFit="1" customWidth="1"/>
    <col min="2551" max="2551" width="10.7109375" style="63" bestFit="1" customWidth="1"/>
    <col min="2552" max="2552" width="11.7109375" style="63" bestFit="1" customWidth="1"/>
    <col min="2553" max="2553" width="6.85546875" style="63" customWidth="1"/>
    <col min="2554" max="2554" width="4.5703125" style="63" bestFit="1" customWidth="1"/>
    <col min="2555" max="2555" width="8.7109375" style="63" bestFit="1" customWidth="1"/>
    <col min="2556" max="2556" width="10.7109375" style="63" bestFit="1" customWidth="1"/>
    <col min="2557" max="2557" width="11.7109375" style="63" bestFit="1" customWidth="1"/>
    <col min="2558" max="2558" width="28.140625" style="63" bestFit="1" customWidth="1"/>
    <col min="2559" max="2559" width="10.140625" style="63" bestFit="1" customWidth="1"/>
    <col min="2560" max="2560" width="10.28515625" style="63" bestFit="1" customWidth="1"/>
    <col min="2561" max="2561" width="10.85546875" style="63" bestFit="1" customWidth="1"/>
    <col min="2562" max="2794" width="6.85546875" style="63" customWidth="1"/>
    <col min="2795" max="2795" width="11" style="63" bestFit="1" customWidth="1"/>
    <col min="2796" max="2796" width="45.28515625" style="63" bestFit="1" customWidth="1"/>
    <col min="2797" max="2797" width="5.28515625" style="63" bestFit="1" customWidth="1"/>
    <col min="2798" max="2798" width="36.5703125" style="63" bestFit="1" customWidth="1"/>
    <col min="2799" max="2799" width="13.85546875" style="63" bestFit="1" customWidth="1"/>
    <col min="2800" max="2800" width="10.7109375" style="63" bestFit="1" customWidth="1"/>
    <col min="2801" max="2801" width="11.7109375" style="63" bestFit="1" customWidth="1"/>
    <col min="2802" max="2802" width="6.5703125" style="63" bestFit="1" customWidth="1"/>
    <col min="2803" max="2803" width="5.42578125" style="63" bestFit="1" customWidth="1"/>
    <col min="2804" max="2806" width="11.7109375" style="63" bestFit="1" customWidth="1"/>
    <col min="2807" max="2807" width="10.7109375" style="63" bestFit="1" customWidth="1"/>
    <col min="2808" max="2808" width="11.7109375" style="63" bestFit="1" customWidth="1"/>
    <col min="2809" max="2809" width="6.85546875" style="63" customWidth="1"/>
    <col min="2810" max="2810" width="4.5703125" style="63" bestFit="1" customWidth="1"/>
    <col min="2811" max="2811" width="8.7109375" style="63" bestFit="1" customWidth="1"/>
    <col min="2812" max="2812" width="10.7109375" style="63" bestFit="1" customWidth="1"/>
    <col min="2813" max="2813" width="11.7109375" style="63" bestFit="1" customWidth="1"/>
    <col min="2814" max="2814" width="28.140625" style="63" bestFit="1" customWidth="1"/>
    <col min="2815" max="2815" width="10.140625" style="63" bestFit="1" customWidth="1"/>
    <col min="2816" max="2816" width="10.28515625" style="63" bestFit="1" customWidth="1"/>
    <col min="2817" max="2817" width="10.85546875" style="63" bestFit="1" customWidth="1"/>
    <col min="2818" max="3050" width="6.85546875" style="63" customWidth="1"/>
    <col min="3051" max="3051" width="11" style="63" bestFit="1" customWidth="1"/>
    <col min="3052" max="3052" width="45.28515625" style="63" bestFit="1" customWidth="1"/>
    <col min="3053" max="3053" width="5.28515625" style="63" bestFit="1" customWidth="1"/>
    <col min="3054" max="3054" width="36.5703125" style="63" bestFit="1" customWidth="1"/>
    <col min="3055" max="3055" width="13.85546875" style="63" bestFit="1" customWidth="1"/>
    <col min="3056" max="3056" width="10.7109375" style="63" bestFit="1" customWidth="1"/>
    <col min="3057" max="3057" width="11.7109375" style="63" bestFit="1" customWidth="1"/>
    <col min="3058" max="3058" width="6.5703125" style="63" bestFit="1" customWidth="1"/>
    <col min="3059" max="3059" width="5.42578125" style="63" bestFit="1" customWidth="1"/>
    <col min="3060" max="3062" width="11.7109375" style="63" bestFit="1" customWidth="1"/>
    <col min="3063" max="3063" width="10.7109375" style="63" bestFit="1" customWidth="1"/>
    <col min="3064" max="3064" width="11.7109375" style="63" bestFit="1" customWidth="1"/>
    <col min="3065" max="3065" width="6.85546875" style="63" customWidth="1"/>
    <col min="3066" max="3066" width="4.5703125" style="63" bestFit="1" customWidth="1"/>
    <col min="3067" max="3067" width="8.7109375" style="63" bestFit="1" customWidth="1"/>
    <col min="3068" max="3068" width="10.7109375" style="63" bestFit="1" customWidth="1"/>
    <col min="3069" max="3069" width="11.7109375" style="63" bestFit="1" customWidth="1"/>
    <col min="3070" max="3070" width="28.140625" style="63" bestFit="1" customWidth="1"/>
    <col min="3071" max="3071" width="10.140625" style="63" bestFit="1" customWidth="1"/>
    <col min="3072" max="3072" width="10.28515625" style="63" bestFit="1" customWidth="1"/>
    <col min="3073" max="3073" width="10.85546875" style="63" bestFit="1" customWidth="1"/>
    <col min="3074" max="3306" width="6.85546875" style="63" customWidth="1"/>
    <col min="3307" max="3307" width="11" style="63" bestFit="1" customWidth="1"/>
    <col min="3308" max="3308" width="45.28515625" style="63" bestFit="1" customWidth="1"/>
    <col min="3309" max="3309" width="5.28515625" style="63" bestFit="1" customWidth="1"/>
    <col min="3310" max="3310" width="36.5703125" style="63" bestFit="1" customWidth="1"/>
    <col min="3311" max="3311" width="13.85546875" style="63" bestFit="1" customWidth="1"/>
    <col min="3312" max="3312" width="10.7109375" style="63" bestFit="1" customWidth="1"/>
    <col min="3313" max="3313" width="11.7109375" style="63" bestFit="1" customWidth="1"/>
    <col min="3314" max="3314" width="6.5703125" style="63" bestFit="1" customWidth="1"/>
    <col min="3315" max="3315" width="5.42578125" style="63" bestFit="1" customWidth="1"/>
    <col min="3316" max="3318" width="11.7109375" style="63" bestFit="1" customWidth="1"/>
    <col min="3319" max="3319" width="10.7109375" style="63" bestFit="1" customWidth="1"/>
    <col min="3320" max="3320" width="11.7109375" style="63" bestFit="1" customWidth="1"/>
    <col min="3321" max="3321" width="6.85546875" style="63" customWidth="1"/>
    <col min="3322" max="3322" width="4.5703125" style="63" bestFit="1" customWidth="1"/>
    <col min="3323" max="3323" width="8.7109375" style="63" bestFit="1" customWidth="1"/>
    <col min="3324" max="3324" width="10.7109375" style="63" bestFit="1" customWidth="1"/>
    <col min="3325" max="3325" width="11.7109375" style="63" bestFit="1" customWidth="1"/>
    <col min="3326" max="3326" width="28.140625" style="63" bestFit="1" customWidth="1"/>
    <col min="3327" max="3327" width="10.140625" style="63" bestFit="1" customWidth="1"/>
    <col min="3328" max="3328" width="10.28515625" style="63" bestFit="1" customWidth="1"/>
    <col min="3329" max="3329" width="10.85546875" style="63" bestFit="1" customWidth="1"/>
    <col min="3330" max="3562" width="6.85546875" style="63" customWidth="1"/>
    <col min="3563" max="3563" width="11" style="63" bestFit="1" customWidth="1"/>
    <col min="3564" max="3564" width="45.28515625" style="63" bestFit="1" customWidth="1"/>
    <col min="3565" max="3565" width="5.28515625" style="63" bestFit="1" customWidth="1"/>
    <col min="3566" max="3566" width="36.5703125" style="63" bestFit="1" customWidth="1"/>
    <col min="3567" max="3567" width="13.85546875" style="63" bestFit="1" customWidth="1"/>
    <col min="3568" max="3568" width="10.7109375" style="63" bestFit="1" customWidth="1"/>
    <col min="3569" max="3569" width="11.7109375" style="63" bestFit="1" customWidth="1"/>
    <col min="3570" max="3570" width="6.5703125" style="63" bestFit="1" customWidth="1"/>
    <col min="3571" max="3571" width="5.42578125" style="63" bestFit="1" customWidth="1"/>
    <col min="3572" max="3574" width="11.7109375" style="63" bestFit="1" customWidth="1"/>
    <col min="3575" max="3575" width="10.7109375" style="63" bestFit="1" customWidth="1"/>
    <col min="3576" max="3576" width="11.7109375" style="63" bestFit="1" customWidth="1"/>
    <col min="3577" max="3577" width="6.85546875" style="63" customWidth="1"/>
    <col min="3578" max="3578" width="4.5703125" style="63" bestFit="1" customWidth="1"/>
    <col min="3579" max="3579" width="8.7109375" style="63" bestFit="1" customWidth="1"/>
    <col min="3580" max="3580" width="10.7109375" style="63" bestFit="1" customWidth="1"/>
    <col min="3581" max="3581" width="11.7109375" style="63" bestFit="1" customWidth="1"/>
    <col min="3582" max="3582" width="28.140625" style="63" bestFit="1" customWidth="1"/>
    <col min="3583" max="3583" width="10.140625" style="63" bestFit="1" customWidth="1"/>
    <col min="3584" max="3584" width="10.28515625" style="63" bestFit="1" customWidth="1"/>
    <col min="3585" max="3585" width="10.85546875" style="63" bestFit="1" customWidth="1"/>
    <col min="3586" max="3818" width="6.85546875" style="63" customWidth="1"/>
    <col min="3819" max="3819" width="11" style="63" bestFit="1" customWidth="1"/>
    <col min="3820" max="3820" width="45.28515625" style="63" bestFit="1" customWidth="1"/>
    <col min="3821" max="3821" width="5.28515625" style="63" bestFit="1" customWidth="1"/>
    <col min="3822" max="3822" width="36.5703125" style="63" bestFit="1" customWidth="1"/>
    <col min="3823" max="3823" width="13.85546875" style="63" bestFit="1" customWidth="1"/>
    <col min="3824" max="3824" width="10.7109375" style="63" bestFit="1" customWidth="1"/>
    <col min="3825" max="3825" width="11.7109375" style="63" bestFit="1" customWidth="1"/>
    <col min="3826" max="3826" width="6.5703125" style="63" bestFit="1" customWidth="1"/>
    <col min="3827" max="3827" width="5.42578125" style="63" bestFit="1" customWidth="1"/>
    <col min="3828" max="3830" width="11.7109375" style="63" bestFit="1" customWidth="1"/>
    <col min="3831" max="3831" width="10.7109375" style="63" bestFit="1" customWidth="1"/>
    <col min="3832" max="3832" width="11.7109375" style="63" bestFit="1" customWidth="1"/>
    <col min="3833" max="3833" width="6.85546875" style="63" customWidth="1"/>
    <col min="3834" max="3834" width="4.5703125" style="63" bestFit="1" customWidth="1"/>
    <col min="3835" max="3835" width="8.7109375" style="63" bestFit="1" customWidth="1"/>
    <col min="3836" max="3836" width="10.7109375" style="63" bestFit="1" customWidth="1"/>
    <col min="3837" max="3837" width="11.7109375" style="63" bestFit="1" customWidth="1"/>
    <col min="3838" max="3838" width="28.140625" style="63" bestFit="1" customWidth="1"/>
    <col min="3839" max="3839" width="10.140625" style="63" bestFit="1" customWidth="1"/>
    <col min="3840" max="3840" width="10.28515625" style="63" bestFit="1" customWidth="1"/>
    <col min="3841" max="3841" width="10.85546875" style="63" bestFit="1" customWidth="1"/>
    <col min="3842" max="4074" width="6.85546875" style="63" customWidth="1"/>
    <col min="4075" max="4075" width="11" style="63" bestFit="1" customWidth="1"/>
    <col min="4076" max="4076" width="45.28515625" style="63" bestFit="1" customWidth="1"/>
    <col min="4077" max="4077" width="5.28515625" style="63" bestFit="1" customWidth="1"/>
    <col min="4078" max="4078" width="36.5703125" style="63" bestFit="1" customWidth="1"/>
    <col min="4079" max="4079" width="13.85546875" style="63" bestFit="1" customWidth="1"/>
    <col min="4080" max="4080" width="10.7109375" style="63" bestFit="1" customWidth="1"/>
    <col min="4081" max="4081" width="11.7109375" style="63" bestFit="1" customWidth="1"/>
    <col min="4082" max="4082" width="6.5703125" style="63" bestFit="1" customWidth="1"/>
    <col min="4083" max="4083" width="5.42578125" style="63" bestFit="1" customWidth="1"/>
    <col min="4084" max="4086" width="11.7109375" style="63" bestFit="1" customWidth="1"/>
    <col min="4087" max="4087" width="10.7109375" style="63" bestFit="1" customWidth="1"/>
    <col min="4088" max="4088" width="11.7109375" style="63" bestFit="1" customWidth="1"/>
    <col min="4089" max="4089" width="6.85546875" style="63" customWidth="1"/>
    <col min="4090" max="4090" width="4.5703125" style="63" bestFit="1" customWidth="1"/>
    <col min="4091" max="4091" width="8.7109375" style="63" bestFit="1" customWidth="1"/>
    <col min="4092" max="4092" width="10.7109375" style="63" bestFit="1" customWidth="1"/>
    <col min="4093" max="4093" width="11.7109375" style="63" bestFit="1" customWidth="1"/>
    <col min="4094" max="4094" width="28.140625" style="63" bestFit="1" customWidth="1"/>
    <col min="4095" max="4095" width="10.140625" style="63" bestFit="1" customWidth="1"/>
    <col min="4096" max="4096" width="10.28515625" style="63" bestFit="1" customWidth="1"/>
    <col min="4097" max="4097" width="10.85546875" style="63" bestFit="1" customWidth="1"/>
    <col min="4098" max="4330" width="6.85546875" style="63" customWidth="1"/>
    <col min="4331" max="4331" width="11" style="63" bestFit="1" customWidth="1"/>
    <col min="4332" max="4332" width="45.28515625" style="63" bestFit="1" customWidth="1"/>
    <col min="4333" max="4333" width="5.28515625" style="63" bestFit="1" customWidth="1"/>
    <col min="4334" max="4334" width="36.5703125" style="63" bestFit="1" customWidth="1"/>
    <col min="4335" max="4335" width="13.85546875" style="63" bestFit="1" customWidth="1"/>
    <col min="4336" max="4336" width="10.7109375" style="63" bestFit="1" customWidth="1"/>
    <col min="4337" max="4337" width="11.7109375" style="63" bestFit="1" customWidth="1"/>
    <col min="4338" max="4338" width="6.5703125" style="63" bestFit="1" customWidth="1"/>
    <col min="4339" max="4339" width="5.42578125" style="63" bestFit="1" customWidth="1"/>
    <col min="4340" max="4342" width="11.7109375" style="63" bestFit="1" customWidth="1"/>
    <col min="4343" max="4343" width="10.7109375" style="63" bestFit="1" customWidth="1"/>
    <col min="4344" max="4344" width="11.7109375" style="63" bestFit="1" customWidth="1"/>
    <col min="4345" max="4345" width="6.85546875" style="63" customWidth="1"/>
    <col min="4346" max="4346" width="4.5703125" style="63" bestFit="1" customWidth="1"/>
    <col min="4347" max="4347" width="8.7109375" style="63" bestFit="1" customWidth="1"/>
    <col min="4348" max="4348" width="10.7109375" style="63" bestFit="1" customWidth="1"/>
    <col min="4349" max="4349" width="11.7109375" style="63" bestFit="1" customWidth="1"/>
    <col min="4350" max="4350" width="28.140625" style="63" bestFit="1" customWidth="1"/>
    <col min="4351" max="4351" width="10.140625" style="63" bestFit="1" customWidth="1"/>
    <col min="4352" max="4352" width="10.28515625" style="63" bestFit="1" customWidth="1"/>
    <col min="4353" max="4353" width="10.85546875" style="63" bestFit="1" customWidth="1"/>
    <col min="4354" max="4586" width="6.85546875" style="63" customWidth="1"/>
    <col min="4587" max="4587" width="11" style="63" bestFit="1" customWidth="1"/>
    <col min="4588" max="4588" width="45.28515625" style="63" bestFit="1" customWidth="1"/>
    <col min="4589" max="4589" width="5.28515625" style="63" bestFit="1" customWidth="1"/>
    <col min="4590" max="4590" width="36.5703125" style="63" bestFit="1" customWidth="1"/>
    <col min="4591" max="4591" width="13.85546875" style="63" bestFit="1" customWidth="1"/>
    <col min="4592" max="4592" width="10.7109375" style="63" bestFit="1" customWidth="1"/>
    <col min="4593" max="4593" width="11.7109375" style="63" bestFit="1" customWidth="1"/>
    <col min="4594" max="4594" width="6.5703125" style="63" bestFit="1" customWidth="1"/>
    <col min="4595" max="4595" width="5.42578125" style="63" bestFit="1" customWidth="1"/>
    <col min="4596" max="4598" width="11.7109375" style="63" bestFit="1" customWidth="1"/>
    <col min="4599" max="4599" width="10.7109375" style="63" bestFit="1" customWidth="1"/>
    <col min="4600" max="4600" width="11.7109375" style="63" bestFit="1" customWidth="1"/>
    <col min="4601" max="4601" width="6.85546875" style="63" customWidth="1"/>
    <col min="4602" max="4602" width="4.5703125" style="63" bestFit="1" customWidth="1"/>
    <col min="4603" max="4603" width="8.7109375" style="63" bestFit="1" customWidth="1"/>
    <col min="4604" max="4604" width="10.7109375" style="63" bestFit="1" customWidth="1"/>
    <col min="4605" max="4605" width="11.7109375" style="63" bestFit="1" customWidth="1"/>
    <col min="4606" max="4606" width="28.140625" style="63" bestFit="1" customWidth="1"/>
    <col min="4607" max="4607" width="10.140625" style="63" bestFit="1" customWidth="1"/>
    <col min="4608" max="4608" width="10.28515625" style="63" bestFit="1" customWidth="1"/>
    <col min="4609" max="4609" width="10.85546875" style="63" bestFit="1" customWidth="1"/>
    <col min="4610" max="4842" width="6.85546875" style="63" customWidth="1"/>
    <col min="4843" max="4843" width="11" style="63" bestFit="1" customWidth="1"/>
    <col min="4844" max="4844" width="45.28515625" style="63" bestFit="1" customWidth="1"/>
    <col min="4845" max="4845" width="5.28515625" style="63" bestFit="1" customWidth="1"/>
    <col min="4846" max="4846" width="36.5703125" style="63" bestFit="1" customWidth="1"/>
    <col min="4847" max="4847" width="13.85546875" style="63" bestFit="1" customWidth="1"/>
    <col min="4848" max="4848" width="10.7109375" style="63" bestFit="1" customWidth="1"/>
    <col min="4849" max="4849" width="11.7109375" style="63" bestFit="1" customWidth="1"/>
    <col min="4850" max="4850" width="6.5703125" style="63" bestFit="1" customWidth="1"/>
    <col min="4851" max="4851" width="5.42578125" style="63" bestFit="1" customWidth="1"/>
    <col min="4852" max="4854" width="11.7109375" style="63" bestFit="1" customWidth="1"/>
    <col min="4855" max="4855" width="10.7109375" style="63" bestFit="1" customWidth="1"/>
    <col min="4856" max="4856" width="11.7109375" style="63" bestFit="1" customWidth="1"/>
    <col min="4857" max="4857" width="6.85546875" style="63" customWidth="1"/>
    <col min="4858" max="4858" width="4.5703125" style="63" bestFit="1" customWidth="1"/>
    <col min="4859" max="4859" width="8.7109375" style="63" bestFit="1" customWidth="1"/>
    <col min="4860" max="4860" width="10.7109375" style="63" bestFit="1" customWidth="1"/>
    <col min="4861" max="4861" width="11.7109375" style="63" bestFit="1" customWidth="1"/>
    <col min="4862" max="4862" width="28.140625" style="63" bestFit="1" customWidth="1"/>
    <col min="4863" max="4863" width="10.140625" style="63" bestFit="1" customWidth="1"/>
    <col min="4864" max="4864" width="10.28515625" style="63" bestFit="1" customWidth="1"/>
    <col min="4865" max="4865" width="10.85546875" style="63" bestFit="1" customWidth="1"/>
    <col min="4866" max="5098" width="6.85546875" style="63" customWidth="1"/>
    <col min="5099" max="5099" width="11" style="63" bestFit="1" customWidth="1"/>
    <col min="5100" max="5100" width="45.28515625" style="63" bestFit="1" customWidth="1"/>
    <col min="5101" max="5101" width="5.28515625" style="63" bestFit="1" customWidth="1"/>
    <col min="5102" max="5102" width="36.5703125" style="63" bestFit="1" customWidth="1"/>
    <col min="5103" max="5103" width="13.85546875" style="63" bestFit="1" customWidth="1"/>
    <col min="5104" max="5104" width="10.7109375" style="63" bestFit="1" customWidth="1"/>
    <col min="5105" max="5105" width="11.7109375" style="63" bestFit="1" customWidth="1"/>
    <col min="5106" max="5106" width="6.5703125" style="63" bestFit="1" customWidth="1"/>
    <col min="5107" max="5107" width="5.42578125" style="63" bestFit="1" customWidth="1"/>
    <col min="5108" max="5110" width="11.7109375" style="63" bestFit="1" customWidth="1"/>
    <col min="5111" max="5111" width="10.7109375" style="63" bestFit="1" customWidth="1"/>
    <col min="5112" max="5112" width="11.7109375" style="63" bestFit="1" customWidth="1"/>
    <col min="5113" max="5113" width="6.85546875" style="63" customWidth="1"/>
    <col min="5114" max="5114" width="4.5703125" style="63" bestFit="1" customWidth="1"/>
    <col min="5115" max="5115" width="8.7109375" style="63" bestFit="1" customWidth="1"/>
    <col min="5116" max="5116" width="10.7109375" style="63" bestFit="1" customWidth="1"/>
    <col min="5117" max="5117" width="11.7109375" style="63" bestFit="1" customWidth="1"/>
    <col min="5118" max="5118" width="28.140625" style="63" bestFit="1" customWidth="1"/>
    <col min="5119" max="5119" width="10.140625" style="63" bestFit="1" customWidth="1"/>
    <col min="5120" max="5120" width="10.28515625" style="63" bestFit="1" customWidth="1"/>
    <col min="5121" max="5121" width="10.85546875" style="63" bestFit="1" customWidth="1"/>
    <col min="5122" max="5354" width="6.85546875" style="63" customWidth="1"/>
    <col min="5355" max="5355" width="11" style="63" bestFit="1" customWidth="1"/>
    <col min="5356" max="5356" width="45.28515625" style="63" bestFit="1" customWidth="1"/>
    <col min="5357" max="5357" width="5.28515625" style="63" bestFit="1" customWidth="1"/>
    <col min="5358" max="5358" width="36.5703125" style="63" bestFit="1" customWidth="1"/>
    <col min="5359" max="5359" width="13.85546875" style="63" bestFit="1" customWidth="1"/>
    <col min="5360" max="5360" width="10.7109375" style="63" bestFit="1" customWidth="1"/>
    <col min="5361" max="5361" width="11.7109375" style="63" bestFit="1" customWidth="1"/>
    <col min="5362" max="5362" width="6.5703125" style="63" bestFit="1" customWidth="1"/>
    <col min="5363" max="5363" width="5.42578125" style="63" bestFit="1" customWidth="1"/>
    <col min="5364" max="5366" width="11.7109375" style="63" bestFit="1" customWidth="1"/>
    <col min="5367" max="5367" width="10.7109375" style="63" bestFit="1" customWidth="1"/>
    <col min="5368" max="5368" width="11.7109375" style="63" bestFit="1" customWidth="1"/>
    <col min="5369" max="5369" width="6.85546875" style="63" customWidth="1"/>
    <col min="5370" max="5370" width="4.5703125" style="63" bestFit="1" customWidth="1"/>
    <col min="5371" max="5371" width="8.7109375" style="63" bestFit="1" customWidth="1"/>
    <col min="5372" max="5372" width="10.7109375" style="63" bestFit="1" customWidth="1"/>
    <col min="5373" max="5373" width="11.7109375" style="63" bestFit="1" customWidth="1"/>
    <col min="5374" max="5374" width="28.140625" style="63" bestFit="1" customWidth="1"/>
    <col min="5375" max="5375" width="10.140625" style="63" bestFit="1" customWidth="1"/>
    <col min="5376" max="5376" width="10.28515625" style="63" bestFit="1" customWidth="1"/>
    <col min="5377" max="5377" width="10.85546875" style="63" bestFit="1" customWidth="1"/>
    <col min="5378" max="5610" width="6.85546875" style="63" customWidth="1"/>
    <col min="5611" max="5611" width="11" style="63" bestFit="1" customWidth="1"/>
    <col min="5612" max="5612" width="45.28515625" style="63" bestFit="1" customWidth="1"/>
    <col min="5613" max="5613" width="5.28515625" style="63" bestFit="1" customWidth="1"/>
    <col min="5614" max="5614" width="36.5703125" style="63" bestFit="1" customWidth="1"/>
    <col min="5615" max="5615" width="13.85546875" style="63" bestFit="1" customWidth="1"/>
    <col min="5616" max="5616" width="10.7109375" style="63" bestFit="1" customWidth="1"/>
    <col min="5617" max="5617" width="11.7109375" style="63" bestFit="1" customWidth="1"/>
    <col min="5618" max="5618" width="6.5703125" style="63" bestFit="1" customWidth="1"/>
    <col min="5619" max="5619" width="5.42578125" style="63" bestFit="1" customWidth="1"/>
    <col min="5620" max="5622" width="11.7109375" style="63" bestFit="1" customWidth="1"/>
    <col min="5623" max="5623" width="10.7109375" style="63" bestFit="1" customWidth="1"/>
    <col min="5624" max="5624" width="11.7109375" style="63" bestFit="1" customWidth="1"/>
    <col min="5625" max="5625" width="6.85546875" style="63" customWidth="1"/>
    <col min="5626" max="5626" width="4.5703125" style="63" bestFit="1" customWidth="1"/>
    <col min="5627" max="5627" width="8.7109375" style="63" bestFit="1" customWidth="1"/>
    <col min="5628" max="5628" width="10.7109375" style="63" bestFit="1" customWidth="1"/>
    <col min="5629" max="5629" width="11.7109375" style="63" bestFit="1" customWidth="1"/>
    <col min="5630" max="5630" width="28.140625" style="63" bestFit="1" customWidth="1"/>
    <col min="5631" max="5631" width="10.140625" style="63" bestFit="1" customWidth="1"/>
    <col min="5632" max="5632" width="10.28515625" style="63" bestFit="1" customWidth="1"/>
    <col min="5633" max="5633" width="10.85546875" style="63" bestFit="1" customWidth="1"/>
    <col min="5634" max="5866" width="6.85546875" style="63" customWidth="1"/>
    <col min="5867" max="5867" width="11" style="63" bestFit="1" customWidth="1"/>
    <col min="5868" max="5868" width="45.28515625" style="63" bestFit="1" customWidth="1"/>
    <col min="5869" max="5869" width="5.28515625" style="63" bestFit="1" customWidth="1"/>
    <col min="5870" max="5870" width="36.5703125" style="63" bestFit="1" customWidth="1"/>
    <col min="5871" max="5871" width="13.85546875" style="63" bestFit="1" customWidth="1"/>
    <col min="5872" max="5872" width="10.7109375" style="63" bestFit="1" customWidth="1"/>
    <col min="5873" max="5873" width="11.7109375" style="63" bestFit="1" customWidth="1"/>
    <col min="5874" max="5874" width="6.5703125" style="63" bestFit="1" customWidth="1"/>
    <col min="5875" max="5875" width="5.42578125" style="63" bestFit="1" customWidth="1"/>
    <col min="5876" max="5878" width="11.7109375" style="63" bestFit="1" customWidth="1"/>
    <col min="5879" max="5879" width="10.7109375" style="63" bestFit="1" customWidth="1"/>
    <col min="5880" max="5880" width="11.7109375" style="63" bestFit="1" customWidth="1"/>
    <col min="5881" max="5881" width="6.85546875" style="63" customWidth="1"/>
    <col min="5882" max="5882" width="4.5703125" style="63" bestFit="1" customWidth="1"/>
    <col min="5883" max="5883" width="8.7109375" style="63" bestFit="1" customWidth="1"/>
    <col min="5884" max="5884" width="10.7109375" style="63" bestFit="1" customWidth="1"/>
    <col min="5885" max="5885" width="11.7109375" style="63" bestFit="1" customWidth="1"/>
    <col min="5886" max="5886" width="28.140625" style="63" bestFit="1" customWidth="1"/>
    <col min="5887" max="5887" width="10.140625" style="63" bestFit="1" customWidth="1"/>
    <col min="5888" max="5888" width="10.28515625" style="63" bestFit="1" customWidth="1"/>
    <col min="5889" max="5889" width="10.85546875" style="63" bestFit="1" customWidth="1"/>
    <col min="5890" max="6122" width="6.85546875" style="63" customWidth="1"/>
    <col min="6123" max="6123" width="11" style="63" bestFit="1" customWidth="1"/>
    <col min="6124" max="6124" width="45.28515625" style="63" bestFit="1" customWidth="1"/>
    <col min="6125" max="6125" width="5.28515625" style="63" bestFit="1" customWidth="1"/>
    <col min="6126" max="6126" width="36.5703125" style="63" bestFit="1" customWidth="1"/>
    <col min="6127" max="6127" width="13.85546875" style="63" bestFit="1" customWidth="1"/>
    <col min="6128" max="6128" width="10.7109375" style="63" bestFit="1" customWidth="1"/>
    <col min="6129" max="6129" width="11.7109375" style="63" bestFit="1" customWidth="1"/>
    <col min="6130" max="6130" width="6.5703125" style="63" bestFit="1" customWidth="1"/>
    <col min="6131" max="6131" width="5.42578125" style="63" bestFit="1" customWidth="1"/>
    <col min="6132" max="6134" width="11.7109375" style="63" bestFit="1" customWidth="1"/>
    <col min="6135" max="6135" width="10.7109375" style="63" bestFit="1" customWidth="1"/>
    <col min="6136" max="6136" width="11.7109375" style="63" bestFit="1" customWidth="1"/>
    <col min="6137" max="6137" width="6.85546875" style="63" customWidth="1"/>
    <col min="6138" max="6138" width="4.5703125" style="63" bestFit="1" customWidth="1"/>
    <col min="6139" max="6139" width="8.7109375" style="63" bestFit="1" customWidth="1"/>
    <col min="6140" max="6140" width="10.7109375" style="63" bestFit="1" customWidth="1"/>
    <col min="6141" max="6141" width="11.7109375" style="63" bestFit="1" customWidth="1"/>
    <col min="6142" max="6142" width="28.140625" style="63" bestFit="1" customWidth="1"/>
    <col min="6143" max="6143" width="10.140625" style="63" bestFit="1" customWidth="1"/>
    <col min="6144" max="6144" width="10.28515625" style="63" bestFit="1" customWidth="1"/>
    <col min="6145" max="6145" width="10.85546875" style="63" bestFit="1" customWidth="1"/>
    <col min="6146" max="6378" width="6.85546875" style="63" customWidth="1"/>
    <col min="6379" max="6379" width="11" style="63" bestFit="1" customWidth="1"/>
    <col min="6380" max="6380" width="45.28515625" style="63" bestFit="1" customWidth="1"/>
    <col min="6381" max="6381" width="5.28515625" style="63" bestFit="1" customWidth="1"/>
    <col min="6382" max="6382" width="36.5703125" style="63" bestFit="1" customWidth="1"/>
    <col min="6383" max="6383" width="13.85546875" style="63" bestFit="1" customWidth="1"/>
    <col min="6384" max="6384" width="10.7109375" style="63" bestFit="1" customWidth="1"/>
    <col min="6385" max="6385" width="11.7109375" style="63" bestFit="1" customWidth="1"/>
    <col min="6386" max="6386" width="6.5703125" style="63" bestFit="1" customWidth="1"/>
    <col min="6387" max="6387" width="5.42578125" style="63" bestFit="1" customWidth="1"/>
    <col min="6388" max="6390" width="11.7109375" style="63" bestFit="1" customWidth="1"/>
    <col min="6391" max="6391" width="10.7109375" style="63" bestFit="1" customWidth="1"/>
    <col min="6392" max="6392" width="11.7109375" style="63" bestFit="1" customWidth="1"/>
    <col min="6393" max="6393" width="6.85546875" style="63" customWidth="1"/>
    <col min="6394" max="6394" width="4.5703125" style="63" bestFit="1" customWidth="1"/>
    <col min="6395" max="6395" width="8.7109375" style="63" bestFit="1" customWidth="1"/>
    <col min="6396" max="6396" width="10.7109375" style="63" bestFit="1" customWidth="1"/>
    <col min="6397" max="6397" width="11.7109375" style="63" bestFit="1" customWidth="1"/>
    <col min="6398" max="6398" width="28.140625" style="63" bestFit="1" customWidth="1"/>
    <col min="6399" max="6399" width="10.140625" style="63" bestFit="1" customWidth="1"/>
    <col min="6400" max="6400" width="10.28515625" style="63" bestFit="1" customWidth="1"/>
    <col min="6401" max="6401" width="10.85546875" style="63" bestFit="1" customWidth="1"/>
    <col min="6402" max="6634" width="6.85546875" style="63" customWidth="1"/>
    <col min="6635" max="6635" width="11" style="63" bestFit="1" customWidth="1"/>
    <col min="6636" max="6636" width="45.28515625" style="63" bestFit="1" customWidth="1"/>
    <col min="6637" max="6637" width="5.28515625" style="63" bestFit="1" customWidth="1"/>
    <col min="6638" max="6638" width="36.5703125" style="63" bestFit="1" customWidth="1"/>
    <col min="6639" max="6639" width="13.85546875" style="63" bestFit="1" customWidth="1"/>
    <col min="6640" max="6640" width="10.7109375" style="63" bestFit="1" customWidth="1"/>
    <col min="6641" max="6641" width="11.7109375" style="63" bestFit="1" customWidth="1"/>
    <col min="6642" max="6642" width="6.5703125" style="63" bestFit="1" customWidth="1"/>
    <col min="6643" max="6643" width="5.42578125" style="63" bestFit="1" customWidth="1"/>
    <col min="6644" max="6646" width="11.7109375" style="63" bestFit="1" customWidth="1"/>
    <col min="6647" max="6647" width="10.7109375" style="63" bestFit="1" customWidth="1"/>
    <col min="6648" max="6648" width="11.7109375" style="63" bestFit="1" customWidth="1"/>
    <col min="6649" max="6649" width="6.85546875" style="63" customWidth="1"/>
    <col min="6650" max="6650" width="4.5703125" style="63" bestFit="1" customWidth="1"/>
    <col min="6651" max="6651" width="8.7109375" style="63" bestFit="1" customWidth="1"/>
    <col min="6652" max="6652" width="10.7109375" style="63" bestFit="1" customWidth="1"/>
    <col min="6653" max="6653" width="11.7109375" style="63" bestFit="1" customWidth="1"/>
    <col min="6654" max="6654" width="28.140625" style="63" bestFit="1" customWidth="1"/>
    <col min="6655" max="6655" width="10.140625" style="63" bestFit="1" customWidth="1"/>
    <col min="6656" max="6656" width="10.28515625" style="63" bestFit="1" customWidth="1"/>
    <col min="6657" max="6657" width="10.85546875" style="63" bestFit="1" customWidth="1"/>
    <col min="6658" max="6890" width="6.85546875" style="63" customWidth="1"/>
    <col min="6891" max="6891" width="11" style="63" bestFit="1" customWidth="1"/>
    <col min="6892" max="6892" width="45.28515625" style="63" bestFit="1" customWidth="1"/>
    <col min="6893" max="6893" width="5.28515625" style="63" bestFit="1" customWidth="1"/>
    <col min="6894" max="6894" width="36.5703125" style="63" bestFit="1" customWidth="1"/>
    <col min="6895" max="6895" width="13.85546875" style="63" bestFit="1" customWidth="1"/>
    <col min="6896" max="6896" width="10.7109375" style="63" bestFit="1" customWidth="1"/>
    <col min="6897" max="6897" width="11.7109375" style="63" bestFit="1" customWidth="1"/>
    <col min="6898" max="6898" width="6.5703125" style="63" bestFit="1" customWidth="1"/>
    <col min="6899" max="6899" width="5.42578125" style="63" bestFit="1" customWidth="1"/>
    <col min="6900" max="6902" width="11.7109375" style="63" bestFit="1" customWidth="1"/>
    <col min="6903" max="6903" width="10.7109375" style="63" bestFit="1" customWidth="1"/>
    <col min="6904" max="6904" width="11.7109375" style="63" bestFit="1" customWidth="1"/>
    <col min="6905" max="6905" width="6.85546875" style="63" customWidth="1"/>
    <col min="6906" max="6906" width="4.5703125" style="63" bestFit="1" customWidth="1"/>
    <col min="6907" max="6907" width="8.7109375" style="63" bestFit="1" customWidth="1"/>
    <col min="6908" max="6908" width="10.7109375" style="63" bestFit="1" customWidth="1"/>
    <col min="6909" max="6909" width="11.7109375" style="63" bestFit="1" customWidth="1"/>
    <col min="6910" max="6910" width="28.140625" style="63" bestFit="1" customWidth="1"/>
    <col min="6911" max="6911" width="10.140625" style="63" bestFit="1" customWidth="1"/>
    <col min="6912" max="6912" width="10.28515625" style="63" bestFit="1" customWidth="1"/>
    <col min="6913" max="6913" width="10.85546875" style="63" bestFit="1" customWidth="1"/>
    <col min="6914" max="7146" width="6.85546875" style="63" customWidth="1"/>
    <col min="7147" max="7147" width="11" style="63" bestFit="1" customWidth="1"/>
    <col min="7148" max="7148" width="45.28515625" style="63" bestFit="1" customWidth="1"/>
    <col min="7149" max="7149" width="5.28515625" style="63" bestFit="1" customWidth="1"/>
    <col min="7150" max="7150" width="36.5703125" style="63" bestFit="1" customWidth="1"/>
    <col min="7151" max="7151" width="13.85546875" style="63" bestFit="1" customWidth="1"/>
    <col min="7152" max="7152" width="10.7109375" style="63" bestFit="1" customWidth="1"/>
    <col min="7153" max="7153" width="11.7109375" style="63" bestFit="1" customWidth="1"/>
    <col min="7154" max="7154" width="6.5703125" style="63" bestFit="1" customWidth="1"/>
    <col min="7155" max="7155" width="5.42578125" style="63" bestFit="1" customWidth="1"/>
    <col min="7156" max="7158" width="11.7109375" style="63" bestFit="1" customWidth="1"/>
    <col min="7159" max="7159" width="10.7109375" style="63" bestFit="1" customWidth="1"/>
    <col min="7160" max="7160" width="11.7109375" style="63" bestFit="1" customWidth="1"/>
    <col min="7161" max="7161" width="6.85546875" style="63" customWidth="1"/>
    <col min="7162" max="7162" width="4.5703125" style="63" bestFit="1" customWidth="1"/>
    <col min="7163" max="7163" width="8.7109375" style="63" bestFit="1" customWidth="1"/>
    <col min="7164" max="7164" width="10.7109375" style="63" bestFit="1" customWidth="1"/>
    <col min="7165" max="7165" width="11.7109375" style="63" bestFit="1" customWidth="1"/>
    <col min="7166" max="7166" width="28.140625" style="63" bestFit="1" customWidth="1"/>
    <col min="7167" max="7167" width="10.140625" style="63" bestFit="1" customWidth="1"/>
    <col min="7168" max="7168" width="10.28515625" style="63" bestFit="1" customWidth="1"/>
    <col min="7169" max="7169" width="10.85546875" style="63" bestFit="1" customWidth="1"/>
    <col min="7170" max="7402" width="6.85546875" style="63" customWidth="1"/>
    <col min="7403" max="7403" width="11" style="63" bestFit="1" customWidth="1"/>
    <col min="7404" max="7404" width="45.28515625" style="63" bestFit="1" customWidth="1"/>
    <col min="7405" max="7405" width="5.28515625" style="63" bestFit="1" customWidth="1"/>
    <col min="7406" max="7406" width="36.5703125" style="63" bestFit="1" customWidth="1"/>
    <col min="7407" max="7407" width="13.85546875" style="63" bestFit="1" customWidth="1"/>
    <col min="7408" max="7408" width="10.7109375" style="63" bestFit="1" customWidth="1"/>
    <col min="7409" max="7409" width="11.7109375" style="63" bestFit="1" customWidth="1"/>
    <col min="7410" max="7410" width="6.5703125" style="63" bestFit="1" customWidth="1"/>
    <col min="7411" max="7411" width="5.42578125" style="63" bestFit="1" customWidth="1"/>
    <col min="7412" max="7414" width="11.7109375" style="63" bestFit="1" customWidth="1"/>
    <col min="7415" max="7415" width="10.7109375" style="63" bestFit="1" customWidth="1"/>
    <col min="7416" max="7416" width="11.7109375" style="63" bestFit="1" customWidth="1"/>
    <col min="7417" max="7417" width="6.85546875" style="63" customWidth="1"/>
    <col min="7418" max="7418" width="4.5703125" style="63" bestFit="1" customWidth="1"/>
    <col min="7419" max="7419" width="8.7109375" style="63" bestFit="1" customWidth="1"/>
    <col min="7420" max="7420" width="10.7109375" style="63" bestFit="1" customWidth="1"/>
    <col min="7421" max="7421" width="11.7109375" style="63" bestFit="1" customWidth="1"/>
    <col min="7422" max="7422" width="28.140625" style="63" bestFit="1" customWidth="1"/>
    <col min="7423" max="7423" width="10.140625" style="63" bestFit="1" customWidth="1"/>
    <col min="7424" max="7424" width="10.28515625" style="63" bestFit="1" customWidth="1"/>
    <col min="7425" max="7425" width="10.85546875" style="63" bestFit="1" customWidth="1"/>
    <col min="7426" max="7658" width="6.85546875" style="63" customWidth="1"/>
    <col min="7659" max="7659" width="11" style="63" bestFit="1" customWidth="1"/>
    <col min="7660" max="7660" width="45.28515625" style="63" bestFit="1" customWidth="1"/>
    <col min="7661" max="7661" width="5.28515625" style="63" bestFit="1" customWidth="1"/>
    <col min="7662" max="7662" width="36.5703125" style="63" bestFit="1" customWidth="1"/>
    <col min="7663" max="7663" width="13.85546875" style="63" bestFit="1" customWidth="1"/>
    <col min="7664" max="7664" width="10.7109375" style="63" bestFit="1" customWidth="1"/>
    <col min="7665" max="7665" width="11.7109375" style="63" bestFit="1" customWidth="1"/>
    <col min="7666" max="7666" width="6.5703125" style="63" bestFit="1" customWidth="1"/>
    <col min="7667" max="7667" width="5.42578125" style="63" bestFit="1" customWidth="1"/>
    <col min="7668" max="7670" width="11.7109375" style="63" bestFit="1" customWidth="1"/>
    <col min="7671" max="7671" width="10.7109375" style="63" bestFit="1" customWidth="1"/>
    <col min="7672" max="7672" width="11.7109375" style="63" bestFit="1" customWidth="1"/>
    <col min="7673" max="7673" width="6.85546875" style="63" customWidth="1"/>
    <col min="7674" max="7674" width="4.5703125" style="63" bestFit="1" customWidth="1"/>
    <col min="7675" max="7675" width="8.7109375" style="63" bestFit="1" customWidth="1"/>
    <col min="7676" max="7676" width="10.7109375" style="63" bestFit="1" customWidth="1"/>
    <col min="7677" max="7677" width="11.7109375" style="63" bestFit="1" customWidth="1"/>
    <col min="7678" max="7678" width="28.140625" style="63" bestFit="1" customWidth="1"/>
    <col min="7679" max="7679" width="10.140625" style="63" bestFit="1" customWidth="1"/>
    <col min="7680" max="7680" width="10.28515625" style="63" bestFit="1" customWidth="1"/>
    <col min="7681" max="7681" width="10.85546875" style="63" bestFit="1" customWidth="1"/>
    <col min="7682" max="7914" width="6.85546875" style="63" customWidth="1"/>
    <col min="7915" max="7915" width="11" style="63" bestFit="1" customWidth="1"/>
    <col min="7916" max="7916" width="45.28515625" style="63" bestFit="1" customWidth="1"/>
    <col min="7917" max="7917" width="5.28515625" style="63" bestFit="1" customWidth="1"/>
    <col min="7918" max="7918" width="36.5703125" style="63" bestFit="1" customWidth="1"/>
    <col min="7919" max="7919" width="13.85546875" style="63" bestFit="1" customWidth="1"/>
    <col min="7920" max="7920" width="10.7109375" style="63" bestFit="1" customWidth="1"/>
    <col min="7921" max="7921" width="11.7109375" style="63" bestFit="1" customWidth="1"/>
    <col min="7922" max="7922" width="6.5703125" style="63" bestFit="1" customWidth="1"/>
    <col min="7923" max="7923" width="5.42578125" style="63" bestFit="1" customWidth="1"/>
    <col min="7924" max="7926" width="11.7109375" style="63" bestFit="1" customWidth="1"/>
    <col min="7927" max="7927" width="10.7109375" style="63" bestFit="1" customWidth="1"/>
    <col min="7928" max="7928" width="11.7109375" style="63" bestFit="1" customWidth="1"/>
    <col min="7929" max="7929" width="6.85546875" style="63" customWidth="1"/>
    <col min="7930" max="7930" width="4.5703125" style="63" bestFit="1" customWidth="1"/>
    <col min="7931" max="7931" width="8.7109375" style="63" bestFit="1" customWidth="1"/>
    <col min="7932" max="7932" width="10.7109375" style="63" bestFit="1" customWidth="1"/>
    <col min="7933" max="7933" width="11.7109375" style="63" bestFit="1" customWidth="1"/>
    <col min="7934" max="7934" width="28.140625" style="63" bestFit="1" customWidth="1"/>
    <col min="7935" max="7935" width="10.140625" style="63" bestFit="1" customWidth="1"/>
    <col min="7936" max="7936" width="10.28515625" style="63" bestFit="1" customWidth="1"/>
    <col min="7937" max="7937" width="10.85546875" style="63" bestFit="1" customWidth="1"/>
    <col min="7938" max="8170" width="6.85546875" style="63" customWidth="1"/>
    <col min="8171" max="8171" width="11" style="63" bestFit="1" customWidth="1"/>
    <col min="8172" max="8172" width="45.28515625" style="63" bestFit="1" customWidth="1"/>
    <col min="8173" max="8173" width="5.28515625" style="63" bestFit="1" customWidth="1"/>
    <col min="8174" max="8174" width="36.5703125" style="63" bestFit="1" customWidth="1"/>
    <col min="8175" max="8175" width="13.85546875" style="63" bestFit="1" customWidth="1"/>
    <col min="8176" max="8176" width="10.7109375" style="63" bestFit="1" customWidth="1"/>
    <col min="8177" max="8177" width="11.7109375" style="63" bestFit="1" customWidth="1"/>
    <col min="8178" max="8178" width="6.5703125" style="63" bestFit="1" customWidth="1"/>
    <col min="8179" max="8179" width="5.42578125" style="63" bestFit="1" customWidth="1"/>
    <col min="8180" max="8182" width="11.7109375" style="63" bestFit="1" customWidth="1"/>
    <col min="8183" max="8183" width="10.7109375" style="63" bestFit="1" customWidth="1"/>
    <col min="8184" max="8184" width="11.7109375" style="63" bestFit="1" customWidth="1"/>
    <col min="8185" max="8185" width="6.85546875" style="63" customWidth="1"/>
    <col min="8186" max="8186" width="4.5703125" style="63" bestFit="1" customWidth="1"/>
    <col min="8187" max="8187" width="8.7109375" style="63" bestFit="1" customWidth="1"/>
    <col min="8188" max="8188" width="10.7109375" style="63" bestFit="1" customWidth="1"/>
    <col min="8189" max="8189" width="11.7109375" style="63" bestFit="1" customWidth="1"/>
    <col min="8190" max="8190" width="28.140625" style="63" bestFit="1" customWidth="1"/>
    <col min="8191" max="8191" width="10.140625" style="63" bestFit="1" customWidth="1"/>
    <col min="8192" max="8192" width="10.28515625" style="63" bestFit="1" customWidth="1"/>
    <col min="8193" max="8193" width="10.85546875" style="63" bestFit="1" customWidth="1"/>
    <col min="8194" max="8426" width="6.85546875" style="63" customWidth="1"/>
    <col min="8427" max="8427" width="11" style="63" bestFit="1" customWidth="1"/>
    <col min="8428" max="8428" width="45.28515625" style="63" bestFit="1" customWidth="1"/>
    <col min="8429" max="8429" width="5.28515625" style="63" bestFit="1" customWidth="1"/>
    <col min="8430" max="8430" width="36.5703125" style="63" bestFit="1" customWidth="1"/>
    <col min="8431" max="8431" width="13.85546875" style="63" bestFit="1" customWidth="1"/>
    <col min="8432" max="8432" width="10.7109375" style="63" bestFit="1" customWidth="1"/>
    <col min="8433" max="8433" width="11.7109375" style="63" bestFit="1" customWidth="1"/>
    <col min="8434" max="8434" width="6.5703125" style="63" bestFit="1" customWidth="1"/>
    <col min="8435" max="8435" width="5.42578125" style="63" bestFit="1" customWidth="1"/>
    <col min="8436" max="8438" width="11.7109375" style="63" bestFit="1" customWidth="1"/>
    <col min="8439" max="8439" width="10.7109375" style="63" bestFit="1" customWidth="1"/>
    <col min="8440" max="8440" width="11.7109375" style="63" bestFit="1" customWidth="1"/>
    <col min="8441" max="8441" width="6.85546875" style="63" customWidth="1"/>
    <col min="8442" max="8442" width="4.5703125" style="63" bestFit="1" customWidth="1"/>
    <col min="8443" max="8443" width="8.7109375" style="63" bestFit="1" customWidth="1"/>
    <col min="8444" max="8444" width="10.7109375" style="63" bestFit="1" customWidth="1"/>
    <col min="8445" max="8445" width="11.7109375" style="63" bestFit="1" customWidth="1"/>
    <col min="8446" max="8446" width="28.140625" style="63" bestFit="1" customWidth="1"/>
    <col min="8447" max="8447" width="10.140625" style="63" bestFit="1" customWidth="1"/>
    <col min="8448" max="8448" width="10.28515625" style="63" bestFit="1" customWidth="1"/>
    <col min="8449" max="8449" width="10.85546875" style="63" bestFit="1" customWidth="1"/>
    <col min="8450" max="8682" width="6.85546875" style="63" customWidth="1"/>
    <col min="8683" max="8683" width="11" style="63" bestFit="1" customWidth="1"/>
    <col min="8684" max="8684" width="45.28515625" style="63" bestFit="1" customWidth="1"/>
    <col min="8685" max="8685" width="5.28515625" style="63" bestFit="1" customWidth="1"/>
    <col min="8686" max="8686" width="36.5703125" style="63" bestFit="1" customWidth="1"/>
    <col min="8687" max="8687" width="13.85546875" style="63" bestFit="1" customWidth="1"/>
    <col min="8688" max="8688" width="10.7109375" style="63" bestFit="1" customWidth="1"/>
    <col min="8689" max="8689" width="11.7109375" style="63" bestFit="1" customWidth="1"/>
    <col min="8690" max="8690" width="6.5703125" style="63" bestFit="1" customWidth="1"/>
    <col min="8691" max="8691" width="5.42578125" style="63" bestFit="1" customWidth="1"/>
    <col min="8692" max="8694" width="11.7109375" style="63" bestFit="1" customWidth="1"/>
    <col min="8695" max="8695" width="10.7109375" style="63" bestFit="1" customWidth="1"/>
    <col min="8696" max="8696" width="11.7109375" style="63" bestFit="1" customWidth="1"/>
    <col min="8697" max="8697" width="6.85546875" style="63" customWidth="1"/>
    <col min="8698" max="8698" width="4.5703125" style="63" bestFit="1" customWidth="1"/>
    <col min="8699" max="8699" width="8.7109375" style="63" bestFit="1" customWidth="1"/>
    <col min="8700" max="8700" width="10.7109375" style="63" bestFit="1" customWidth="1"/>
    <col min="8701" max="8701" width="11.7109375" style="63" bestFit="1" customWidth="1"/>
    <col min="8702" max="8702" width="28.140625" style="63" bestFit="1" customWidth="1"/>
    <col min="8703" max="8703" width="10.140625" style="63" bestFit="1" customWidth="1"/>
    <col min="8704" max="8704" width="10.28515625" style="63" bestFit="1" customWidth="1"/>
    <col min="8705" max="8705" width="10.85546875" style="63" bestFit="1" customWidth="1"/>
    <col min="8706" max="8938" width="6.85546875" style="63" customWidth="1"/>
    <col min="8939" max="8939" width="11" style="63" bestFit="1" customWidth="1"/>
    <col min="8940" max="8940" width="45.28515625" style="63" bestFit="1" customWidth="1"/>
    <col min="8941" max="8941" width="5.28515625" style="63" bestFit="1" customWidth="1"/>
    <col min="8942" max="8942" width="36.5703125" style="63" bestFit="1" customWidth="1"/>
    <col min="8943" max="8943" width="13.85546875" style="63" bestFit="1" customWidth="1"/>
    <col min="8944" max="8944" width="10.7109375" style="63" bestFit="1" customWidth="1"/>
    <col min="8945" max="8945" width="11.7109375" style="63" bestFit="1" customWidth="1"/>
    <col min="8946" max="8946" width="6.5703125" style="63" bestFit="1" customWidth="1"/>
    <col min="8947" max="8947" width="5.42578125" style="63" bestFit="1" customWidth="1"/>
    <col min="8948" max="8950" width="11.7109375" style="63" bestFit="1" customWidth="1"/>
    <col min="8951" max="8951" width="10.7109375" style="63" bestFit="1" customWidth="1"/>
    <col min="8952" max="8952" width="11.7109375" style="63" bestFit="1" customWidth="1"/>
    <col min="8953" max="8953" width="6.85546875" style="63" customWidth="1"/>
    <col min="8954" max="8954" width="4.5703125" style="63" bestFit="1" customWidth="1"/>
    <col min="8955" max="8955" width="8.7109375" style="63" bestFit="1" customWidth="1"/>
    <col min="8956" max="8956" width="10.7109375" style="63" bestFit="1" customWidth="1"/>
    <col min="8957" max="8957" width="11.7109375" style="63" bestFit="1" customWidth="1"/>
    <col min="8958" max="8958" width="28.140625" style="63" bestFit="1" customWidth="1"/>
    <col min="8959" max="8959" width="10.140625" style="63" bestFit="1" customWidth="1"/>
    <col min="8960" max="8960" width="10.28515625" style="63" bestFit="1" customWidth="1"/>
    <col min="8961" max="8961" width="10.85546875" style="63" bestFit="1" customWidth="1"/>
    <col min="8962" max="9194" width="6.85546875" style="63" customWidth="1"/>
    <col min="9195" max="9195" width="11" style="63" bestFit="1" customWidth="1"/>
    <col min="9196" max="9196" width="45.28515625" style="63" bestFit="1" customWidth="1"/>
    <col min="9197" max="9197" width="5.28515625" style="63" bestFit="1" customWidth="1"/>
    <col min="9198" max="9198" width="36.5703125" style="63" bestFit="1" customWidth="1"/>
    <col min="9199" max="9199" width="13.85546875" style="63" bestFit="1" customWidth="1"/>
    <col min="9200" max="9200" width="10.7109375" style="63" bestFit="1" customWidth="1"/>
    <col min="9201" max="9201" width="11.7109375" style="63" bestFit="1" customWidth="1"/>
    <col min="9202" max="9202" width="6.5703125" style="63" bestFit="1" customWidth="1"/>
    <col min="9203" max="9203" width="5.42578125" style="63" bestFit="1" customWidth="1"/>
    <col min="9204" max="9206" width="11.7109375" style="63" bestFit="1" customWidth="1"/>
    <col min="9207" max="9207" width="10.7109375" style="63" bestFit="1" customWidth="1"/>
    <col min="9208" max="9208" width="11.7109375" style="63" bestFit="1" customWidth="1"/>
    <col min="9209" max="9209" width="6.85546875" style="63" customWidth="1"/>
    <col min="9210" max="9210" width="4.5703125" style="63" bestFit="1" customWidth="1"/>
    <col min="9211" max="9211" width="8.7109375" style="63" bestFit="1" customWidth="1"/>
    <col min="9212" max="9212" width="10.7109375" style="63" bestFit="1" customWidth="1"/>
    <col min="9213" max="9213" width="11.7109375" style="63" bestFit="1" customWidth="1"/>
    <col min="9214" max="9214" width="28.140625" style="63" bestFit="1" customWidth="1"/>
    <col min="9215" max="9215" width="10.140625" style="63" bestFit="1" customWidth="1"/>
    <col min="9216" max="9216" width="10.28515625" style="63" bestFit="1" customWidth="1"/>
    <col min="9217" max="9217" width="10.85546875" style="63" bestFit="1" customWidth="1"/>
    <col min="9218" max="9450" width="6.85546875" style="63" customWidth="1"/>
    <col min="9451" max="9451" width="11" style="63" bestFit="1" customWidth="1"/>
    <col min="9452" max="9452" width="45.28515625" style="63" bestFit="1" customWidth="1"/>
    <col min="9453" max="9453" width="5.28515625" style="63" bestFit="1" customWidth="1"/>
    <col min="9454" max="9454" width="36.5703125" style="63" bestFit="1" customWidth="1"/>
    <col min="9455" max="9455" width="13.85546875" style="63" bestFit="1" customWidth="1"/>
    <col min="9456" max="9456" width="10.7109375" style="63" bestFit="1" customWidth="1"/>
    <col min="9457" max="9457" width="11.7109375" style="63" bestFit="1" customWidth="1"/>
    <col min="9458" max="9458" width="6.5703125" style="63" bestFit="1" customWidth="1"/>
    <col min="9459" max="9459" width="5.42578125" style="63" bestFit="1" customWidth="1"/>
    <col min="9460" max="9462" width="11.7109375" style="63" bestFit="1" customWidth="1"/>
    <col min="9463" max="9463" width="10.7109375" style="63" bestFit="1" customWidth="1"/>
    <col min="9464" max="9464" width="11.7109375" style="63" bestFit="1" customWidth="1"/>
    <col min="9465" max="9465" width="6.85546875" style="63" customWidth="1"/>
    <col min="9466" max="9466" width="4.5703125" style="63" bestFit="1" customWidth="1"/>
    <col min="9467" max="9467" width="8.7109375" style="63" bestFit="1" customWidth="1"/>
    <col min="9468" max="9468" width="10.7109375" style="63" bestFit="1" customWidth="1"/>
    <col min="9469" max="9469" width="11.7109375" style="63" bestFit="1" customWidth="1"/>
    <col min="9470" max="9470" width="28.140625" style="63" bestFit="1" customWidth="1"/>
    <col min="9471" max="9471" width="10.140625" style="63" bestFit="1" customWidth="1"/>
    <col min="9472" max="9472" width="10.28515625" style="63" bestFit="1" customWidth="1"/>
    <col min="9473" max="9473" width="10.85546875" style="63" bestFit="1" customWidth="1"/>
    <col min="9474" max="9706" width="6.85546875" style="63" customWidth="1"/>
    <col min="9707" max="9707" width="11" style="63" bestFit="1" customWidth="1"/>
    <col min="9708" max="9708" width="45.28515625" style="63" bestFit="1" customWidth="1"/>
    <col min="9709" max="9709" width="5.28515625" style="63" bestFit="1" customWidth="1"/>
    <col min="9710" max="9710" width="36.5703125" style="63" bestFit="1" customWidth="1"/>
    <col min="9711" max="9711" width="13.85546875" style="63" bestFit="1" customWidth="1"/>
    <col min="9712" max="9712" width="10.7109375" style="63" bestFit="1" customWidth="1"/>
    <col min="9713" max="9713" width="11.7109375" style="63" bestFit="1" customWidth="1"/>
    <col min="9714" max="9714" width="6.5703125" style="63" bestFit="1" customWidth="1"/>
    <col min="9715" max="9715" width="5.42578125" style="63" bestFit="1" customWidth="1"/>
    <col min="9716" max="9718" width="11.7109375" style="63" bestFit="1" customWidth="1"/>
    <col min="9719" max="9719" width="10.7109375" style="63" bestFit="1" customWidth="1"/>
    <col min="9720" max="9720" width="11.7109375" style="63" bestFit="1" customWidth="1"/>
    <col min="9721" max="9721" width="6.85546875" style="63" customWidth="1"/>
    <col min="9722" max="9722" width="4.5703125" style="63" bestFit="1" customWidth="1"/>
    <col min="9723" max="9723" width="8.7109375" style="63" bestFit="1" customWidth="1"/>
    <col min="9724" max="9724" width="10.7109375" style="63" bestFit="1" customWidth="1"/>
    <col min="9725" max="9725" width="11.7109375" style="63" bestFit="1" customWidth="1"/>
    <col min="9726" max="9726" width="28.140625" style="63" bestFit="1" customWidth="1"/>
    <col min="9727" max="9727" width="10.140625" style="63" bestFit="1" customWidth="1"/>
    <col min="9728" max="9728" width="10.28515625" style="63" bestFit="1" customWidth="1"/>
    <col min="9729" max="9729" width="10.85546875" style="63" bestFit="1" customWidth="1"/>
    <col min="9730" max="9962" width="6.85546875" style="63" customWidth="1"/>
    <col min="9963" max="9963" width="11" style="63" bestFit="1" customWidth="1"/>
    <col min="9964" max="9964" width="45.28515625" style="63" bestFit="1" customWidth="1"/>
    <col min="9965" max="9965" width="5.28515625" style="63" bestFit="1" customWidth="1"/>
    <col min="9966" max="9966" width="36.5703125" style="63" bestFit="1" customWidth="1"/>
    <col min="9967" max="9967" width="13.85546875" style="63" bestFit="1" customWidth="1"/>
    <col min="9968" max="9968" width="10.7109375" style="63" bestFit="1" customWidth="1"/>
    <col min="9969" max="9969" width="11.7109375" style="63" bestFit="1" customWidth="1"/>
    <col min="9970" max="9970" width="6.5703125" style="63" bestFit="1" customWidth="1"/>
    <col min="9971" max="9971" width="5.42578125" style="63" bestFit="1" customWidth="1"/>
    <col min="9972" max="9974" width="11.7109375" style="63" bestFit="1" customWidth="1"/>
    <col min="9975" max="9975" width="10.7109375" style="63" bestFit="1" customWidth="1"/>
    <col min="9976" max="9976" width="11.7109375" style="63" bestFit="1" customWidth="1"/>
    <col min="9977" max="9977" width="6.85546875" style="63" customWidth="1"/>
    <col min="9978" max="9978" width="4.5703125" style="63" bestFit="1" customWidth="1"/>
    <col min="9979" max="9979" width="8.7109375" style="63" bestFit="1" customWidth="1"/>
    <col min="9980" max="9980" width="10.7109375" style="63" bestFit="1" customWidth="1"/>
    <col min="9981" max="9981" width="11.7109375" style="63" bestFit="1" customWidth="1"/>
    <col min="9982" max="9982" width="28.140625" style="63" bestFit="1" customWidth="1"/>
    <col min="9983" max="9983" width="10.140625" style="63" bestFit="1" customWidth="1"/>
    <col min="9984" max="9984" width="10.28515625" style="63" bestFit="1" customWidth="1"/>
    <col min="9985" max="9985" width="10.85546875" style="63" bestFit="1" customWidth="1"/>
    <col min="9986" max="10218" width="6.85546875" style="63" customWidth="1"/>
    <col min="10219" max="10219" width="11" style="63" bestFit="1" customWidth="1"/>
    <col min="10220" max="10220" width="45.28515625" style="63" bestFit="1" customWidth="1"/>
    <col min="10221" max="10221" width="5.28515625" style="63" bestFit="1" customWidth="1"/>
    <col min="10222" max="10222" width="36.5703125" style="63" bestFit="1" customWidth="1"/>
    <col min="10223" max="10223" width="13.85546875" style="63" bestFit="1" customWidth="1"/>
    <col min="10224" max="10224" width="10.7109375" style="63" bestFit="1" customWidth="1"/>
    <col min="10225" max="10225" width="11.7109375" style="63" bestFit="1" customWidth="1"/>
    <col min="10226" max="10226" width="6.5703125" style="63" bestFit="1" customWidth="1"/>
    <col min="10227" max="10227" width="5.42578125" style="63" bestFit="1" customWidth="1"/>
    <col min="10228" max="10230" width="11.7109375" style="63" bestFit="1" customWidth="1"/>
    <col min="10231" max="10231" width="10.7109375" style="63" bestFit="1" customWidth="1"/>
    <col min="10232" max="10232" width="11.7109375" style="63" bestFit="1" customWidth="1"/>
    <col min="10233" max="10233" width="6.85546875" style="63" customWidth="1"/>
    <col min="10234" max="10234" width="4.5703125" style="63" bestFit="1" customWidth="1"/>
    <col min="10235" max="10235" width="8.7109375" style="63" bestFit="1" customWidth="1"/>
    <col min="10236" max="10236" width="10.7109375" style="63" bestFit="1" customWidth="1"/>
    <col min="10237" max="10237" width="11.7109375" style="63" bestFit="1" customWidth="1"/>
    <col min="10238" max="10238" width="28.140625" style="63" bestFit="1" customWidth="1"/>
    <col min="10239" max="10239" width="10.140625" style="63" bestFit="1" customWidth="1"/>
    <col min="10240" max="10240" width="10.28515625" style="63" bestFit="1" customWidth="1"/>
    <col min="10241" max="10241" width="10.85546875" style="63" bestFit="1" customWidth="1"/>
    <col min="10242" max="10474" width="6.85546875" style="63" customWidth="1"/>
    <col min="10475" max="10475" width="11" style="63" bestFit="1" customWidth="1"/>
    <col min="10476" max="10476" width="45.28515625" style="63" bestFit="1" customWidth="1"/>
    <col min="10477" max="10477" width="5.28515625" style="63" bestFit="1" customWidth="1"/>
    <col min="10478" max="10478" width="36.5703125" style="63" bestFit="1" customWidth="1"/>
    <col min="10479" max="10479" width="13.85546875" style="63" bestFit="1" customWidth="1"/>
    <col min="10480" max="10480" width="10.7109375" style="63" bestFit="1" customWidth="1"/>
    <col min="10481" max="10481" width="11.7109375" style="63" bestFit="1" customWidth="1"/>
    <col min="10482" max="10482" width="6.5703125" style="63" bestFit="1" customWidth="1"/>
    <col min="10483" max="10483" width="5.42578125" style="63" bestFit="1" customWidth="1"/>
    <col min="10484" max="10486" width="11.7109375" style="63" bestFit="1" customWidth="1"/>
    <col min="10487" max="10487" width="10.7109375" style="63" bestFit="1" customWidth="1"/>
    <col min="10488" max="10488" width="11.7109375" style="63" bestFit="1" customWidth="1"/>
    <col min="10489" max="10489" width="6.85546875" style="63" customWidth="1"/>
    <col min="10490" max="10490" width="4.5703125" style="63" bestFit="1" customWidth="1"/>
    <col min="10491" max="10491" width="8.7109375" style="63" bestFit="1" customWidth="1"/>
    <col min="10492" max="10492" width="10.7109375" style="63" bestFit="1" customWidth="1"/>
    <col min="10493" max="10493" width="11.7109375" style="63" bestFit="1" customWidth="1"/>
    <col min="10494" max="10494" width="28.140625" style="63" bestFit="1" customWidth="1"/>
    <col min="10495" max="10495" width="10.140625" style="63" bestFit="1" customWidth="1"/>
    <col min="10496" max="10496" width="10.28515625" style="63" bestFit="1" customWidth="1"/>
    <col min="10497" max="10497" width="10.85546875" style="63" bestFit="1" customWidth="1"/>
    <col min="10498" max="10730" width="6.85546875" style="63" customWidth="1"/>
    <col min="10731" max="10731" width="11" style="63" bestFit="1" customWidth="1"/>
    <col min="10732" max="10732" width="45.28515625" style="63" bestFit="1" customWidth="1"/>
    <col min="10733" max="10733" width="5.28515625" style="63" bestFit="1" customWidth="1"/>
    <col min="10734" max="10734" width="36.5703125" style="63" bestFit="1" customWidth="1"/>
    <col min="10735" max="10735" width="13.85546875" style="63" bestFit="1" customWidth="1"/>
    <col min="10736" max="10736" width="10.7109375" style="63" bestFit="1" customWidth="1"/>
    <col min="10737" max="10737" width="11.7109375" style="63" bestFit="1" customWidth="1"/>
    <col min="10738" max="10738" width="6.5703125" style="63" bestFit="1" customWidth="1"/>
    <col min="10739" max="10739" width="5.42578125" style="63" bestFit="1" customWidth="1"/>
    <col min="10740" max="10742" width="11.7109375" style="63" bestFit="1" customWidth="1"/>
    <col min="10743" max="10743" width="10.7109375" style="63" bestFit="1" customWidth="1"/>
    <col min="10744" max="10744" width="11.7109375" style="63" bestFit="1" customWidth="1"/>
    <col min="10745" max="10745" width="6.85546875" style="63" customWidth="1"/>
    <col min="10746" max="10746" width="4.5703125" style="63" bestFit="1" customWidth="1"/>
    <col min="10747" max="10747" width="8.7109375" style="63" bestFit="1" customWidth="1"/>
    <col min="10748" max="10748" width="10.7109375" style="63" bestFit="1" customWidth="1"/>
    <col min="10749" max="10749" width="11.7109375" style="63" bestFit="1" customWidth="1"/>
    <col min="10750" max="10750" width="28.140625" style="63" bestFit="1" customWidth="1"/>
    <col min="10751" max="10751" width="10.140625" style="63" bestFit="1" customWidth="1"/>
    <col min="10752" max="10752" width="10.28515625" style="63" bestFit="1" customWidth="1"/>
    <col min="10753" max="10753" width="10.85546875" style="63" bestFit="1" customWidth="1"/>
    <col min="10754" max="10986" width="6.85546875" style="63" customWidth="1"/>
    <col min="10987" max="10987" width="11" style="63" bestFit="1" customWidth="1"/>
    <col min="10988" max="10988" width="45.28515625" style="63" bestFit="1" customWidth="1"/>
    <col min="10989" max="10989" width="5.28515625" style="63" bestFit="1" customWidth="1"/>
    <col min="10990" max="10990" width="36.5703125" style="63" bestFit="1" customWidth="1"/>
    <col min="10991" max="10991" width="13.85546875" style="63" bestFit="1" customWidth="1"/>
    <col min="10992" max="10992" width="10.7109375" style="63" bestFit="1" customWidth="1"/>
    <col min="10993" max="10993" width="11.7109375" style="63" bestFit="1" customWidth="1"/>
    <col min="10994" max="10994" width="6.5703125" style="63" bestFit="1" customWidth="1"/>
    <col min="10995" max="10995" width="5.42578125" style="63" bestFit="1" customWidth="1"/>
    <col min="10996" max="10998" width="11.7109375" style="63" bestFit="1" customWidth="1"/>
    <col min="10999" max="10999" width="10.7109375" style="63" bestFit="1" customWidth="1"/>
    <col min="11000" max="11000" width="11.7109375" style="63" bestFit="1" customWidth="1"/>
    <col min="11001" max="11001" width="6.85546875" style="63" customWidth="1"/>
    <col min="11002" max="11002" width="4.5703125" style="63" bestFit="1" customWidth="1"/>
    <col min="11003" max="11003" width="8.7109375" style="63" bestFit="1" customWidth="1"/>
    <col min="11004" max="11004" width="10.7109375" style="63" bestFit="1" customWidth="1"/>
    <col min="11005" max="11005" width="11.7109375" style="63" bestFit="1" customWidth="1"/>
    <col min="11006" max="11006" width="28.140625" style="63" bestFit="1" customWidth="1"/>
    <col min="11007" max="11007" width="10.140625" style="63" bestFit="1" customWidth="1"/>
    <col min="11008" max="11008" width="10.28515625" style="63" bestFit="1" customWidth="1"/>
    <col min="11009" max="11009" width="10.85546875" style="63" bestFit="1" customWidth="1"/>
    <col min="11010" max="11242" width="6.85546875" style="63" customWidth="1"/>
    <col min="11243" max="11243" width="11" style="63" bestFit="1" customWidth="1"/>
    <col min="11244" max="11244" width="45.28515625" style="63" bestFit="1" customWidth="1"/>
    <col min="11245" max="11245" width="5.28515625" style="63" bestFit="1" customWidth="1"/>
    <col min="11246" max="11246" width="36.5703125" style="63" bestFit="1" customWidth="1"/>
    <col min="11247" max="11247" width="13.85546875" style="63" bestFit="1" customWidth="1"/>
    <col min="11248" max="11248" width="10.7109375" style="63" bestFit="1" customWidth="1"/>
    <col min="11249" max="11249" width="11.7109375" style="63" bestFit="1" customWidth="1"/>
    <col min="11250" max="11250" width="6.5703125" style="63" bestFit="1" customWidth="1"/>
    <col min="11251" max="11251" width="5.42578125" style="63" bestFit="1" customWidth="1"/>
    <col min="11252" max="11254" width="11.7109375" style="63" bestFit="1" customWidth="1"/>
    <col min="11255" max="11255" width="10.7109375" style="63" bestFit="1" customWidth="1"/>
    <col min="11256" max="11256" width="11.7109375" style="63" bestFit="1" customWidth="1"/>
    <col min="11257" max="11257" width="6.85546875" style="63" customWidth="1"/>
    <col min="11258" max="11258" width="4.5703125" style="63" bestFit="1" customWidth="1"/>
    <col min="11259" max="11259" width="8.7109375" style="63" bestFit="1" customWidth="1"/>
    <col min="11260" max="11260" width="10.7109375" style="63" bestFit="1" customWidth="1"/>
    <col min="11261" max="11261" width="11.7109375" style="63" bestFit="1" customWidth="1"/>
    <col min="11262" max="11262" width="28.140625" style="63" bestFit="1" customWidth="1"/>
    <col min="11263" max="11263" width="10.140625" style="63" bestFit="1" customWidth="1"/>
    <col min="11264" max="11264" width="10.28515625" style="63" bestFit="1" customWidth="1"/>
    <col min="11265" max="11265" width="10.85546875" style="63" bestFit="1" customWidth="1"/>
    <col min="11266" max="11498" width="6.85546875" style="63" customWidth="1"/>
    <col min="11499" max="11499" width="11" style="63" bestFit="1" customWidth="1"/>
    <col min="11500" max="11500" width="45.28515625" style="63" bestFit="1" customWidth="1"/>
    <col min="11501" max="11501" width="5.28515625" style="63" bestFit="1" customWidth="1"/>
    <col min="11502" max="11502" width="36.5703125" style="63" bestFit="1" customWidth="1"/>
    <col min="11503" max="11503" width="13.85546875" style="63" bestFit="1" customWidth="1"/>
    <col min="11504" max="11504" width="10.7109375" style="63" bestFit="1" customWidth="1"/>
    <col min="11505" max="11505" width="11.7109375" style="63" bestFit="1" customWidth="1"/>
    <col min="11506" max="11506" width="6.5703125" style="63" bestFit="1" customWidth="1"/>
    <col min="11507" max="11507" width="5.42578125" style="63" bestFit="1" customWidth="1"/>
    <col min="11508" max="11510" width="11.7109375" style="63" bestFit="1" customWidth="1"/>
    <col min="11511" max="11511" width="10.7109375" style="63" bestFit="1" customWidth="1"/>
    <col min="11512" max="11512" width="11.7109375" style="63" bestFit="1" customWidth="1"/>
    <col min="11513" max="11513" width="6.85546875" style="63" customWidth="1"/>
    <col min="11514" max="11514" width="4.5703125" style="63" bestFit="1" customWidth="1"/>
    <col min="11515" max="11515" width="8.7109375" style="63" bestFit="1" customWidth="1"/>
    <col min="11516" max="11516" width="10.7109375" style="63" bestFit="1" customWidth="1"/>
    <col min="11517" max="11517" width="11.7109375" style="63" bestFit="1" customWidth="1"/>
    <col min="11518" max="11518" width="28.140625" style="63" bestFit="1" customWidth="1"/>
    <col min="11519" max="11519" width="10.140625" style="63" bestFit="1" customWidth="1"/>
    <col min="11520" max="11520" width="10.28515625" style="63" bestFit="1" customWidth="1"/>
    <col min="11521" max="11521" width="10.85546875" style="63" bestFit="1" customWidth="1"/>
    <col min="11522" max="11754" width="6.85546875" style="63" customWidth="1"/>
    <col min="11755" max="11755" width="11" style="63" bestFit="1" customWidth="1"/>
    <col min="11756" max="11756" width="45.28515625" style="63" bestFit="1" customWidth="1"/>
    <col min="11757" max="11757" width="5.28515625" style="63" bestFit="1" customWidth="1"/>
    <col min="11758" max="11758" width="36.5703125" style="63" bestFit="1" customWidth="1"/>
    <col min="11759" max="11759" width="13.85546875" style="63" bestFit="1" customWidth="1"/>
    <col min="11760" max="11760" width="10.7109375" style="63" bestFit="1" customWidth="1"/>
    <col min="11761" max="11761" width="11.7109375" style="63" bestFit="1" customWidth="1"/>
    <col min="11762" max="11762" width="6.5703125" style="63" bestFit="1" customWidth="1"/>
    <col min="11763" max="11763" width="5.42578125" style="63" bestFit="1" customWidth="1"/>
    <col min="11764" max="11766" width="11.7109375" style="63" bestFit="1" customWidth="1"/>
    <col min="11767" max="11767" width="10.7109375" style="63" bestFit="1" customWidth="1"/>
    <col min="11768" max="11768" width="11.7109375" style="63" bestFit="1" customWidth="1"/>
    <col min="11769" max="11769" width="6.85546875" style="63" customWidth="1"/>
    <col min="11770" max="11770" width="4.5703125" style="63" bestFit="1" customWidth="1"/>
    <col min="11771" max="11771" width="8.7109375" style="63" bestFit="1" customWidth="1"/>
    <col min="11772" max="11772" width="10.7109375" style="63" bestFit="1" customWidth="1"/>
    <col min="11773" max="11773" width="11.7109375" style="63" bestFit="1" customWidth="1"/>
    <col min="11774" max="11774" width="28.140625" style="63" bestFit="1" customWidth="1"/>
    <col min="11775" max="11775" width="10.140625" style="63" bestFit="1" customWidth="1"/>
    <col min="11776" max="11776" width="10.28515625" style="63" bestFit="1" customWidth="1"/>
    <col min="11777" max="11777" width="10.85546875" style="63" bestFit="1" customWidth="1"/>
    <col min="11778" max="12010" width="6.85546875" style="63" customWidth="1"/>
    <col min="12011" max="12011" width="11" style="63" bestFit="1" customWidth="1"/>
    <col min="12012" max="12012" width="45.28515625" style="63" bestFit="1" customWidth="1"/>
    <col min="12013" max="12013" width="5.28515625" style="63" bestFit="1" customWidth="1"/>
    <col min="12014" max="12014" width="36.5703125" style="63" bestFit="1" customWidth="1"/>
    <col min="12015" max="12015" width="13.85546875" style="63" bestFit="1" customWidth="1"/>
    <col min="12016" max="12016" width="10.7109375" style="63" bestFit="1" customWidth="1"/>
    <col min="12017" max="12017" width="11.7109375" style="63" bestFit="1" customWidth="1"/>
    <col min="12018" max="12018" width="6.5703125" style="63" bestFit="1" customWidth="1"/>
    <col min="12019" max="12019" width="5.42578125" style="63" bestFit="1" customWidth="1"/>
    <col min="12020" max="12022" width="11.7109375" style="63" bestFit="1" customWidth="1"/>
    <col min="12023" max="12023" width="10.7109375" style="63" bestFit="1" customWidth="1"/>
    <col min="12024" max="12024" width="11.7109375" style="63" bestFit="1" customWidth="1"/>
    <col min="12025" max="12025" width="6.85546875" style="63" customWidth="1"/>
    <col min="12026" max="12026" width="4.5703125" style="63" bestFit="1" customWidth="1"/>
    <col min="12027" max="12027" width="8.7109375" style="63" bestFit="1" customWidth="1"/>
    <col min="12028" max="12028" width="10.7109375" style="63" bestFit="1" customWidth="1"/>
    <col min="12029" max="12029" width="11.7109375" style="63" bestFit="1" customWidth="1"/>
    <col min="12030" max="12030" width="28.140625" style="63" bestFit="1" customWidth="1"/>
    <col min="12031" max="12031" width="10.140625" style="63" bestFit="1" customWidth="1"/>
    <col min="12032" max="12032" width="10.28515625" style="63" bestFit="1" customWidth="1"/>
    <col min="12033" max="12033" width="10.85546875" style="63" bestFit="1" customWidth="1"/>
    <col min="12034" max="12266" width="6.85546875" style="63" customWidth="1"/>
    <col min="12267" max="12267" width="11" style="63" bestFit="1" customWidth="1"/>
    <col min="12268" max="12268" width="45.28515625" style="63" bestFit="1" customWidth="1"/>
    <col min="12269" max="12269" width="5.28515625" style="63" bestFit="1" customWidth="1"/>
    <col min="12270" max="12270" width="36.5703125" style="63" bestFit="1" customWidth="1"/>
    <col min="12271" max="12271" width="13.85546875" style="63" bestFit="1" customWidth="1"/>
    <col min="12272" max="12272" width="10.7109375" style="63" bestFit="1" customWidth="1"/>
    <col min="12273" max="12273" width="11.7109375" style="63" bestFit="1" customWidth="1"/>
    <col min="12274" max="12274" width="6.5703125" style="63" bestFit="1" customWidth="1"/>
    <col min="12275" max="12275" width="5.42578125" style="63" bestFit="1" customWidth="1"/>
    <col min="12276" max="12278" width="11.7109375" style="63" bestFit="1" customWidth="1"/>
    <col min="12279" max="12279" width="10.7109375" style="63" bestFit="1" customWidth="1"/>
    <col min="12280" max="12280" width="11.7109375" style="63" bestFit="1" customWidth="1"/>
    <col min="12281" max="12281" width="6.85546875" style="63" customWidth="1"/>
    <col min="12282" max="12282" width="4.5703125" style="63" bestFit="1" customWidth="1"/>
    <col min="12283" max="12283" width="8.7109375" style="63" bestFit="1" customWidth="1"/>
    <col min="12284" max="12284" width="10.7109375" style="63" bestFit="1" customWidth="1"/>
    <col min="12285" max="12285" width="11.7109375" style="63" bestFit="1" customWidth="1"/>
    <col min="12286" max="12286" width="28.140625" style="63" bestFit="1" customWidth="1"/>
    <col min="12287" max="12287" width="10.140625" style="63" bestFit="1" customWidth="1"/>
    <col min="12288" max="12288" width="10.28515625" style="63" bestFit="1" customWidth="1"/>
    <col min="12289" max="12289" width="10.85546875" style="63" bestFit="1" customWidth="1"/>
    <col min="12290" max="12522" width="6.85546875" style="63" customWidth="1"/>
    <col min="12523" max="12523" width="11" style="63" bestFit="1" customWidth="1"/>
    <col min="12524" max="12524" width="45.28515625" style="63" bestFit="1" customWidth="1"/>
    <col min="12525" max="12525" width="5.28515625" style="63" bestFit="1" customWidth="1"/>
    <col min="12526" max="12526" width="36.5703125" style="63" bestFit="1" customWidth="1"/>
    <col min="12527" max="12527" width="13.85546875" style="63" bestFit="1" customWidth="1"/>
    <col min="12528" max="12528" width="10.7109375" style="63" bestFit="1" customWidth="1"/>
    <col min="12529" max="12529" width="11.7109375" style="63" bestFit="1" customWidth="1"/>
    <col min="12530" max="12530" width="6.5703125" style="63" bestFit="1" customWidth="1"/>
    <col min="12531" max="12531" width="5.42578125" style="63" bestFit="1" customWidth="1"/>
    <col min="12532" max="12534" width="11.7109375" style="63" bestFit="1" customWidth="1"/>
    <col min="12535" max="12535" width="10.7109375" style="63" bestFit="1" customWidth="1"/>
    <col min="12536" max="12536" width="11.7109375" style="63" bestFit="1" customWidth="1"/>
    <col min="12537" max="12537" width="6.85546875" style="63" customWidth="1"/>
    <col min="12538" max="12538" width="4.5703125" style="63" bestFit="1" customWidth="1"/>
    <col min="12539" max="12539" width="8.7109375" style="63" bestFit="1" customWidth="1"/>
    <col min="12540" max="12540" width="10.7109375" style="63" bestFit="1" customWidth="1"/>
    <col min="12541" max="12541" width="11.7109375" style="63" bestFit="1" customWidth="1"/>
    <col min="12542" max="12542" width="28.140625" style="63" bestFit="1" customWidth="1"/>
    <col min="12543" max="12543" width="10.140625" style="63" bestFit="1" customWidth="1"/>
    <col min="12544" max="12544" width="10.28515625" style="63" bestFit="1" customWidth="1"/>
    <col min="12545" max="12545" width="10.85546875" style="63" bestFit="1" customWidth="1"/>
    <col min="12546" max="12778" width="6.85546875" style="63" customWidth="1"/>
    <col min="12779" max="12779" width="11" style="63" bestFit="1" customWidth="1"/>
    <col min="12780" max="12780" width="45.28515625" style="63" bestFit="1" customWidth="1"/>
    <col min="12781" max="12781" width="5.28515625" style="63" bestFit="1" customWidth="1"/>
    <col min="12782" max="12782" width="36.5703125" style="63" bestFit="1" customWidth="1"/>
    <col min="12783" max="12783" width="13.85546875" style="63" bestFit="1" customWidth="1"/>
    <col min="12784" max="12784" width="10.7109375" style="63" bestFit="1" customWidth="1"/>
    <col min="12785" max="12785" width="11.7109375" style="63" bestFit="1" customWidth="1"/>
    <col min="12786" max="12786" width="6.5703125" style="63" bestFit="1" customWidth="1"/>
    <col min="12787" max="12787" width="5.42578125" style="63" bestFit="1" customWidth="1"/>
    <col min="12788" max="12790" width="11.7109375" style="63" bestFit="1" customWidth="1"/>
    <col min="12791" max="12791" width="10.7109375" style="63" bestFit="1" customWidth="1"/>
    <col min="12792" max="12792" width="11.7109375" style="63" bestFit="1" customWidth="1"/>
    <col min="12793" max="12793" width="6.85546875" style="63" customWidth="1"/>
    <col min="12794" max="12794" width="4.5703125" style="63" bestFit="1" customWidth="1"/>
    <col min="12795" max="12795" width="8.7109375" style="63" bestFit="1" customWidth="1"/>
    <col min="12796" max="12796" width="10.7109375" style="63" bestFit="1" customWidth="1"/>
    <col min="12797" max="12797" width="11.7109375" style="63" bestFit="1" customWidth="1"/>
    <col min="12798" max="12798" width="28.140625" style="63" bestFit="1" customWidth="1"/>
    <col min="12799" max="12799" width="10.140625" style="63" bestFit="1" customWidth="1"/>
    <col min="12800" max="12800" width="10.28515625" style="63" bestFit="1" customWidth="1"/>
    <col min="12801" max="12801" width="10.85546875" style="63" bestFit="1" customWidth="1"/>
    <col min="12802" max="13034" width="6.85546875" style="63" customWidth="1"/>
    <col min="13035" max="13035" width="11" style="63" bestFit="1" customWidth="1"/>
    <col min="13036" max="13036" width="45.28515625" style="63" bestFit="1" customWidth="1"/>
    <col min="13037" max="13037" width="5.28515625" style="63" bestFit="1" customWidth="1"/>
    <col min="13038" max="13038" width="36.5703125" style="63" bestFit="1" customWidth="1"/>
    <col min="13039" max="13039" width="13.85546875" style="63" bestFit="1" customWidth="1"/>
    <col min="13040" max="13040" width="10.7109375" style="63" bestFit="1" customWidth="1"/>
    <col min="13041" max="13041" width="11.7109375" style="63" bestFit="1" customWidth="1"/>
    <col min="13042" max="13042" width="6.5703125" style="63" bestFit="1" customWidth="1"/>
    <col min="13043" max="13043" width="5.42578125" style="63" bestFit="1" customWidth="1"/>
    <col min="13044" max="13046" width="11.7109375" style="63" bestFit="1" customWidth="1"/>
    <col min="13047" max="13047" width="10.7109375" style="63" bestFit="1" customWidth="1"/>
    <col min="13048" max="13048" width="11.7109375" style="63" bestFit="1" customWidth="1"/>
    <col min="13049" max="13049" width="6.85546875" style="63" customWidth="1"/>
    <col min="13050" max="13050" width="4.5703125" style="63" bestFit="1" customWidth="1"/>
    <col min="13051" max="13051" width="8.7109375" style="63" bestFit="1" customWidth="1"/>
    <col min="13052" max="13052" width="10.7109375" style="63" bestFit="1" customWidth="1"/>
    <col min="13053" max="13053" width="11.7109375" style="63" bestFit="1" customWidth="1"/>
    <col min="13054" max="13054" width="28.140625" style="63" bestFit="1" customWidth="1"/>
    <col min="13055" max="13055" width="10.140625" style="63" bestFit="1" customWidth="1"/>
    <col min="13056" max="13056" width="10.28515625" style="63" bestFit="1" customWidth="1"/>
    <col min="13057" max="13057" width="10.85546875" style="63" bestFit="1" customWidth="1"/>
    <col min="13058" max="13290" width="6.85546875" style="63" customWidth="1"/>
    <col min="13291" max="13291" width="11" style="63" bestFit="1" customWidth="1"/>
    <col min="13292" max="13292" width="45.28515625" style="63" bestFit="1" customWidth="1"/>
    <col min="13293" max="13293" width="5.28515625" style="63" bestFit="1" customWidth="1"/>
    <col min="13294" max="13294" width="36.5703125" style="63" bestFit="1" customWidth="1"/>
    <col min="13295" max="13295" width="13.85546875" style="63" bestFit="1" customWidth="1"/>
    <col min="13296" max="13296" width="10.7109375" style="63" bestFit="1" customWidth="1"/>
    <col min="13297" max="13297" width="11.7109375" style="63" bestFit="1" customWidth="1"/>
    <col min="13298" max="13298" width="6.5703125" style="63" bestFit="1" customWidth="1"/>
    <col min="13299" max="13299" width="5.42578125" style="63" bestFit="1" customWidth="1"/>
    <col min="13300" max="13302" width="11.7109375" style="63" bestFit="1" customWidth="1"/>
    <col min="13303" max="13303" width="10.7109375" style="63" bestFit="1" customWidth="1"/>
    <col min="13304" max="13304" width="11.7109375" style="63" bestFit="1" customWidth="1"/>
    <col min="13305" max="13305" width="6.85546875" style="63" customWidth="1"/>
    <col min="13306" max="13306" width="4.5703125" style="63" bestFit="1" customWidth="1"/>
    <col min="13307" max="13307" width="8.7109375" style="63" bestFit="1" customWidth="1"/>
    <col min="13308" max="13308" width="10.7109375" style="63" bestFit="1" customWidth="1"/>
    <col min="13309" max="13309" width="11.7109375" style="63" bestFit="1" customWidth="1"/>
    <col min="13310" max="13310" width="28.140625" style="63" bestFit="1" customWidth="1"/>
    <col min="13311" max="13311" width="10.140625" style="63" bestFit="1" customWidth="1"/>
    <col min="13312" max="13312" width="10.28515625" style="63" bestFit="1" customWidth="1"/>
    <col min="13313" max="13313" width="10.85546875" style="63" bestFit="1" customWidth="1"/>
    <col min="13314" max="13546" width="6.85546875" style="63" customWidth="1"/>
    <col min="13547" max="13547" width="11" style="63" bestFit="1" customWidth="1"/>
    <col min="13548" max="13548" width="45.28515625" style="63" bestFit="1" customWidth="1"/>
    <col min="13549" max="13549" width="5.28515625" style="63" bestFit="1" customWidth="1"/>
    <col min="13550" max="13550" width="36.5703125" style="63" bestFit="1" customWidth="1"/>
    <col min="13551" max="13551" width="13.85546875" style="63" bestFit="1" customWidth="1"/>
    <col min="13552" max="13552" width="10.7109375" style="63" bestFit="1" customWidth="1"/>
    <col min="13553" max="13553" width="11.7109375" style="63" bestFit="1" customWidth="1"/>
    <col min="13554" max="13554" width="6.5703125" style="63" bestFit="1" customWidth="1"/>
    <col min="13555" max="13555" width="5.42578125" style="63" bestFit="1" customWidth="1"/>
    <col min="13556" max="13558" width="11.7109375" style="63" bestFit="1" customWidth="1"/>
    <col min="13559" max="13559" width="10.7109375" style="63" bestFit="1" customWidth="1"/>
    <col min="13560" max="13560" width="11.7109375" style="63" bestFit="1" customWidth="1"/>
    <col min="13561" max="13561" width="6.85546875" style="63" customWidth="1"/>
    <col min="13562" max="13562" width="4.5703125" style="63" bestFit="1" customWidth="1"/>
    <col min="13563" max="13563" width="8.7109375" style="63" bestFit="1" customWidth="1"/>
    <col min="13564" max="13564" width="10.7109375" style="63" bestFit="1" customWidth="1"/>
    <col min="13565" max="13565" width="11.7109375" style="63" bestFit="1" customWidth="1"/>
    <col min="13566" max="13566" width="28.140625" style="63" bestFit="1" customWidth="1"/>
    <col min="13567" max="13567" width="10.140625" style="63" bestFit="1" customWidth="1"/>
    <col min="13568" max="13568" width="10.28515625" style="63" bestFit="1" customWidth="1"/>
    <col min="13569" max="13569" width="10.85546875" style="63" bestFit="1" customWidth="1"/>
    <col min="13570" max="13802" width="6.85546875" style="63" customWidth="1"/>
    <col min="13803" max="13803" width="11" style="63" bestFit="1" customWidth="1"/>
    <col min="13804" max="13804" width="45.28515625" style="63" bestFit="1" customWidth="1"/>
    <col min="13805" max="13805" width="5.28515625" style="63" bestFit="1" customWidth="1"/>
    <col min="13806" max="13806" width="36.5703125" style="63" bestFit="1" customWidth="1"/>
    <col min="13807" max="13807" width="13.85546875" style="63" bestFit="1" customWidth="1"/>
    <col min="13808" max="13808" width="10.7109375" style="63" bestFit="1" customWidth="1"/>
    <col min="13809" max="13809" width="11.7109375" style="63" bestFit="1" customWidth="1"/>
    <col min="13810" max="13810" width="6.5703125" style="63" bestFit="1" customWidth="1"/>
    <col min="13811" max="13811" width="5.42578125" style="63" bestFit="1" customWidth="1"/>
    <col min="13812" max="13814" width="11.7109375" style="63" bestFit="1" customWidth="1"/>
    <col min="13815" max="13815" width="10.7109375" style="63" bestFit="1" customWidth="1"/>
    <col min="13816" max="13816" width="11.7109375" style="63" bestFit="1" customWidth="1"/>
    <col min="13817" max="13817" width="6.85546875" style="63" customWidth="1"/>
    <col min="13818" max="13818" width="4.5703125" style="63" bestFit="1" customWidth="1"/>
    <col min="13819" max="13819" width="8.7109375" style="63" bestFit="1" customWidth="1"/>
    <col min="13820" max="13820" width="10.7109375" style="63" bestFit="1" customWidth="1"/>
    <col min="13821" max="13821" width="11.7109375" style="63" bestFit="1" customWidth="1"/>
    <col min="13822" max="13822" width="28.140625" style="63" bestFit="1" customWidth="1"/>
    <col min="13823" max="13823" width="10.140625" style="63" bestFit="1" customWidth="1"/>
    <col min="13824" max="13824" width="10.28515625" style="63" bestFit="1" customWidth="1"/>
    <col min="13825" max="13825" width="10.85546875" style="63" bestFit="1" customWidth="1"/>
    <col min="13826" max="14058" width="6.85546875" style="63" customWidth="1"/>
    <col min="14059" max="14059" width="11" style="63" bestFit="1" customWidth="1"/>
    <col min="14060" max="14060" width="45.28515625" style="63" bestFit="1" customWidth="1"/>
    <col min="14061" max="14061" width="5.28515625" style="63" bestFit="1" customWidth="1"/>
    <col min="14062" max="14062" width="36.5703125" style="63" bestFit="1" customWidth="1"/>
    <col min="14063" max="14063" width="13.85546875" style="63" bestFit="1" customWidth="1"/>
    <col min="14064" max="14064" width="10.7109375" style="63" bestFit="1" customWidth="1"/>
    <col min="14065" max="14065" width="11.7109375" style="63" bestFit="1" customWidth="1"/>
    <col min="14066" max="14066" width="6.5703125" style="63" bestFit="1" customWidth="1"/>
    <col min="14067" max="14067" width="5.42578125" style="63" bestFit="1" customWidth="1"/>
    <col min="14068" max="14070" width="11.7109375" style="63" bestFit="1" customWidth="1"/>
    <col min="14071" max="14071" width="10.7109375" style="63" bestFit="1" customWidth="1"/>
    <col min="14072" max="14072" width="11.7109375" style="63" bestFit="1" customWidth="1"/>
    <col min="14073" max="14073" width="6.85546875" style="63" customWidth="1"/>
    <col min="14074" max="14074" width="4.5703125" style="63" bestFit="1" customWidth="1"/>
    <col min="14075" max="14075" width="8.7109375" style="63" bestFit="1" customWidth="1"/>
    <col min="14076" max="14076" width="10.7109375" style="63" bestFit="1" customWidth="1"/>
    <col min="14077" max="14077" width="11.7109375" style="63" bestFit="1" customWidth="1"/>
    <col min="14078" max="14078" width="28.140625" style="63" bestFit="1" customWidth="1"/>
    <col min="14079" max="14079" width="10.140625" style="63" bestFit="1" customWidth="1"/>
    <col min="14080" max="14080" width="10.28515625" style="63" bestFit="1" customWidth="1"/>
    <col min="14081" max="14081" width="10.85546875" style="63" bestFit="1" customWidth="1"/>
    <col min="14082" max="14314" width="6.85546875" style="63" customWidth="1"/>
    <col min="14315" max="14315" width="11" style="63" bestFit="1" customWidth="1"/>
    <col min="14316" max="14316" width="45.28515625" style="63" bestFit="1" customWidth="1"/>
    <col min="14317" max="14317" width="5.28515625" style="63" bestFit="1" customWidth="1"/>
    <col min="14318" max="14318" width="36.5703125" style="63" bestFit="1" customWidth="1"/>
    <col min="14319" max="14319" width="13.85546875" style="63" bestFit="1" customWidth="1"/>
    <col min="14320" max="14320" width="10.7109375" style="63" bestFit="1" customWidth="1"/>
    <col min="14321" max="14321" width="11.7109375" style="63" bestFit="1" customWidth="1"/>
    <col min="14322" max="14322" width="6.5703125" style="63" bestFit="1" customWidth="1"/>
    <col min="14323" max="14323" width="5.42578125" style="63" bestFit="1" customWidth="1"/>
    <col min="14324" max="14326" width="11.7109375" style="63" bestFit="1" customWidth="1"/>
    <col min="14327" max="14327" width="10.7109375" style="63" bestFit="1" customWidth="1"/>
    <col min="14328" max="14328" width="11.7109375" style="63" bestFit="1" customWidth="1"/>
    <col min="14329" max="14329" width="6.85546875" style="63" customWidth="1"/>
    <col min="14330" max="14330" width="4.5703125" style="63" bestFit="1" customWidth="1"/>
    <col min="14331" max="14331" width="8.7109375" style="63" bestFit="1" customWidth="1"/>
    <col min="14332" max="14332" width="10.7109375" style="63" bestFit="1" customWidth="1"/>
    <col min="14333" max="14333" width="11.7109375" style="63" bestFit="1" customWidth="1"/>
    <col min="14334" max="14334" width="28.140625" style="63" bestFit="1" customWidth="1"/>
    <col min="14335" max="14335" width="10.140625" style="63" bestFit="1" customWidth="1"/>
    <col min="14336" max="14336" width="10.28515625" style="63" bestFit="1" customWidth="1"/>
    <col min="14337" max="14337" width="10.85546875" style="63" bestFit="1" customWidth="1"/>
    <col min="14338" max="14570" width="6.85546875" style="63" customWidth="1"/>
    <col min="14571" max="14571" width="11" style="63" bestFit="1" customWidth="1"/>
    <col min="14572" max="14572" width="45.28515625" style="63" bestFit="1" customWidth="1"/>
    <col min="14573" max="14573" width="5.28515625" style="63" bestFit="1" customWidth="1"/>
    <col min="14574" max="14574" width="36.5703125" style="63" bestFit="1" customWidth="1"/>
    <col min="14575" max="14575" width="13.85546875" style="63" bestFit="1" customWidth="1"/>
    <col min="14576" max="14576" width="10.7109375" style="63" bestFit="1" customWidth="1"/>
    <col min="14577" max="14577" width="11.7109375" style="63" bestFit="1" customWidth="1"/>
    <col min="14578" max="14578" width="6.5703125" style="63" bestFit="1" customWidth="1"/>
    <col min="14579" max="14579" width="5.42578125" style="63" bestFit="1" customWidth="1"/>
    <col min="14580" max="14582" width="11.7109375" style="63" bestFit="1" customWidth="1"/>
    <col min="14583" max="14583" width="10.7109375" style="63" bestFit="1" customWidth="1"/>
    <col min="14584" max="14584" width="11.7109375" style="63" bestFit="1" customWidth="1"/>
    <col min="14585" max="14585" width="6.85546875" style="63" customWidth="1"/>
    <col min="14586" max="14586" width="4.5703125" style="63" bestFit="1" customWidth="1"/>
    <col min="14587" max="14587" width="8.7109375" style="63" bestFit="1" customWidth="1"/>
    <col min="14588" max="14588" width="10.7109375" style="63" bestFit="1" customWidth="1"/>
    <col min="14589" max="14589" width="11.7109375" style="63" bestFit="1" customWidth="1"/>
    <col min="14590" max="14590" width="28.140625" style="63" bestFit="1" customWidth="1"/>
    <col min="14591" max="14591" width="10.140625" style="63" bestFit="1" customWidth="1"/>
    <col min="14592" max="14592" width="10.28515625" style="63" bestFit="1" customWidth="1"/>
    <col min="14593" max="14593" width="10.85546875" style="63" bestFit="1" customWidth="1"/>
    <col min="14594" max="14826" width="6.85546875" style="63" customWidth="1"/>
    <col min="14827" max="14827" width="11" style="63" bestFit="1" customWidth="1"/>
    <col min="14828" max="14828" width="45.28515625" style="63" bestFit="1" customWidth="1"/>
    <col min="14829" max="14829" width="5.28515625" style="63" bestFit="1" customWidth="1"/>
    <col min="14830" max="14830" width="36.5703125" style="63" bestFit="1" customWidth="1"/>
    <col min="14831" max="14831" width="13.85546875" style="63" bestFit="1" customWidth="1"/>
    <col min="14832" max="14832" width="10.7109375" style="63" bestFit="1" customWidth="1"/>
    <col min="14833" max="14833" width="11.7109375" style="63" bestFit="1" customWidth="1"/>
    <col min="14834" max="14834" width="6.5703125" style="63" bestFit="1" customWidth="1"/>
    <col min="14835" max="14835" width="5.42578125" style="63" bestFit="1" customWidth="1"/>
    <col min="14836" max="14838" width="11.7109375" style="63" bestFit="1" customWidth="1"/>
    <col min="14839" max="14839" width="10.7109375" style="63" bestFit="1" customWidth="1"/>
    <col min="14840" max="14840" width="11.7109375" style="63" bestFit="1" customWidth="1"/>
    <col min="14841" max="14841" width="6.85546875" style="63" customWidth="1"/>
    <col min="14842" max="14842" width="4.5703125" style="63" bestFit="1" customWidth="1"/>
    <col min="14843" max="14843" width="8.7109375" style="63" bestFit="1" customWidth="1"/>
    <col min="14844" max="14844" width="10.7109375" style="63" bestFit="1" customWidth="1"/>
    <col min="14845" max="14845" width="11.7109375" style="63" bestFit="1" customWidth="1"/>
    <col min="14846" max="14846" width="28.140625" style="63" bestFit="1" customWidth="1"/>
    <col min="14847" max="14847" width="10.140625" style="63" bestFit="1" customWidth="1"/>
    <col min="14848" max="14848" width="10.28515625" style="63" bestFit="1" customWidth="1"/>
    <col min="14849" max="14849" width="10.85546875" style="63" bestFit="1" customWidth="1"/>
    <col min="14850" max="15082" width="6.85546875" style="63" customWidth="1"/>
    <col min="15083" max="15083" width="11" style="63" bestFit="1" customWidth="1"/>
    <col min="15084" max="15084" width="45.28515625" style="63" bestFit="1" customWidth="1"/>
    <col min="15085" max="15085" width="5.28515625" style="63" bestFit="1" customWidth="1"/>
    <col min="15086" max="15086" width="36.5703125" style="63" bestFit="1" customWidth="1"/>
    <col min="15087" max="15087" width="13.85546875" style="63" bestFit="1" customWidth="1"/>
    <col min="15088" max="15088" width="10.7109375" style="63" bestFit="1" customWidth="1"/>
    <col min="15089" max="15089" width="11.7109375" style="63" bestFit="1" customWidth="1"/>
    <col min="15090" max="15090" width="6.5703125" style="63" bestFit="1" customWidth="1"/>
    <col min="15091" max="15091" width="5.42578125" style="63" bestFit="1" customWidth="1"/>
    <col min="15092" max="15094" width="11.7109375" style="63" bestFit="1" customWidth="1"/>
    <col min="15095" max="15095" width="10.7109375" style="63" bestFit="1" customWidth="1"/>
    <col min="15096" max="15096" width="11.7109375" style="63" bestFit="1" customWidth="1"/>
    <col min="15097" max="15097" width="6.85546875" style="63" customWidth="1"/>
    <col min="15098" max="15098" width="4.5703125" style="63" bestFit="1" customWidth="1"/>
    <col min="15099" max="15099" width="8.7109375" style="63" bestFit="1" customWidth="1"/>
    <col min="15100" max="15100" width="10.7109375" style="63" bestFit="1" customWidth="1"/>
    <col min="15101" max="15101" width="11.7109375" style="63" bestFit="1" customWidth="1"/>
    <col min="15102" max="15102" width="28.140625" style="63" bestFit="1" customWidth="1"/>
    <col min="15103" max="15103" width="10.140625" style="63" bestFit="1" customWidth="1"/>
    <col min="15104" max="15104" width="10.28515625" style="63" bestFit="1" customWidth="1"/>
    <col min="15105" max="15105" width="10.85546875" style="63" bestFit="1" customWidth="1"/>
    <col min="15106" max="15338" width="6.85546875" style="63" customWidth="1"/>
    <col min="15339" max="15339" width="11" style="63" bestFit="1" customWidth="1"/>
    <col min="15340" max="15340" width="45.28515625" style="63" bestFit="1" customWidth="1"/>
    <col min="15341" max="15341" width="5.28515625" style="63" bestFit="1" customWidth="1"/>
    <col min="15342" max="15342" width="36.5703125" style="63" bestFit="1" customWidth="1"/>
    <col min="15343" max="15343" width="13.85546875" style="63" bestFit="1" customWidth="1"/>
    <col min="15344" max="15344" width="10.7109375" style="63" bestFit="1" customWidth="1"/>
    <col min="15345" max="15345" width="11.7109375" style="63" bestFit="1" customWidth="1"/>
    <col min="15346" max="15346" width="6.5703125" style="63" bestFit="1" customWidth="1"/>
    <col min="15347" max="15347" width="5.42578125" style="63" bestFit="1" customWidth="1"/>
    <col min="15348" max="15350" width="11.7109375" style="63" bestFit="1" customWidth="1"/>
    <col min="15351" max="15351" width="10.7109375" style="63" bestFit="1" customWidth="1"/>
    <col min="15352" max="15352" width="11.7109375" style="63" bestFit="1" customWidth="1"/>
    <col min="15353" max="15353" width="6.85546875" style="63" customWidth="1"/>
    <col min="15354" max="15354" width="4.5703125" style="63" bestFit="1" customWidth="1"/>
    <col min="15355" max="15355" width="8.7109375" style="63" bestFit="1" customWidth="1"/>
    <col min="15356" max="15356" width="10.7109375" style="63" bestFit="1" customWidth="1"/>
    <col min="15357" max="15357" width="11.7109375" style="63" bestFit="1" customWidth="1"/>
    <col min="15358" max="15358" width="28.140625" style="63" bestFit="1" customWidth="1"/>
    <col min="15359" max="15359" width="10.140625" style="63" bestFit="1" customWidth="1"/>
    <col min="15360" max="15360" width="10.28515625" style="63" bestFit="1" customWidth="1"/>
    <col min="15361" max="15361" width="10.85546875" style="63" bestFit="1" customWidth="1"/>
    <col min="15362" max="15594" width="6.85546875" style="63" customWidth="1"/>
    <col min="15595" max="15595" width="11" style="63" bestFit="1" customWidth="1"/>
    <col min="15596" max="15596" width="45.28515625" style="63" bestFit="1" customWidth="1"/>
    <col min="15597" max="15597" width="5.28515625" style="63" bestFit="1" customWidth="1"/>
    <col min="15598" max="15598" width="36.5703125" style="63" bestFit="1" customWidth="1"/>
    <col min="15599" max="15599" width="13.85546875" style="63" bestFit="1" customWidth="1"/>
    <col min="15600" max="15600" width="10.7109375" style="63" bestFit="1" customWidth="1"/>
    <col min="15601" max="15601" width="11.7109375" style="63" bestFit="1" customWidth="1"/>
    <col min="15602" max="15602" width="6.5703125" style="63" bestFit="1" customWidth="1"/>
    <col min="15603" max="15603" width="5.42578125" style="63" bestFit="1" customWidth="1"/>
    <col min="15604" max="15606" width="11.7109375" style="63" bestFit="1" customWidth="1"/>
    <col min="15607" max="15607" width="10.7109375" style="63" bestFit="1" customWidth="1"/>
    <col min="15608" max="15608" width="11.7109375" style="63" bestFit="1" customWidth="1"/>
    <col min="15609" max="15609" width="6.85546875" style="63" customWidth="1"/>
    <col min="15610" max="15610" width="4.5703125" style="63" bestFit="1" customWidth="1"/>
    <col min="15611" max="15611" width="8.7109375" style="63" bestFit="1" customWidth="1"/>
    <col min="15612" max="15612" width="10.7109375" style="63" bestFit="1" customWidth="1"/>
    <col min="15613" max="15613" width="11.7109375" style="63" bestFit="1" customWidth="1"/>
    <col min="15614" max="15614" width="28.140625" style="63" bestFit="1" customWidth="1"/>
    <col min="15615" max="15615" width="10.140625" style="63" bestFit="1" customWidth="1"/>
    <col min="15616" max="15616" width="10.28515625" style="63" bestFit="1" customWidth="1"/>
    <col min="15617" max="15617" width="10.85546875" style="63" bestFit="1" customWidth="1"/>
    <col min="15618" max="15850" width="6.85546875" style="63" customWidth="1"/>
    <col min="15851" max="15851" width="11" style="63" bestFit="1" customWidth="1"/>
    <col min="15852" max="15852" width="45.28515625" style="63" bestFit="1" customWidth="1"/>
    <col min="15853" max="15853" width="5.28515625" style="63" bestFit="1" customWidth="1"/>
    <col min="15854" max="15854" width="36.5703125" style="63" bestFit="1" customWidth="1"/>
    <col min="15855" max="15855" width="13.85546875" style="63" bestFit="1" customWidth="1"/>
    <col min="15856" max="15856" width="10.7109375" style="63" bestFit="1" customWidth="1"/>
    <col min="15857" max="15857" width="11.7109375" style="63" bestFit="1" customWidth="1"/>
    <col min="15858" max="15858" width="6.5703125" style="63" bestFit="1" customWidth="1"/>
    <col min="15859" max="15859" width="5.42578125" style="63" bestFit="1" customWidth="1"/>
    <col min="15860" max="15862" width="11.7109375" style="63" bestFit="1" customWidth="1"/>
    <col min="15863" max="15863" width="10.7109375" style="63" bestFit="1" customWidth="1"/>
    <col min="15864" max="15864" width="11.7109375" style="63" bestFit="1" customWidth="1"/>
    <col min="15865" max="15865" width="6.85546875" style="63" customWidth="1"/>
    <col min="15866" max="15866" width="4.5703125" style="63" bestFit="1" customWidth="1"/>
    <col min="15867" max="15867" width="8.7109375" style="63" bestFit="1" customWidth="1"/>
    <col min="15868" max="15868" width="10.7109375" style="63" bestFit="1" customWidth="1"/>
    <col min="15869" max="15869" width="11.7109375" style="63" bestFit="1" customWidth="1"/>
    <col min="15870" max="15870" width="28.140625" style="63" bestFit="1" customWidth="1"/>
    <col min="15871" max="15871" width="10.140625" style="63" bestFit="1" customWidth="1"/>
    <col min="15872" max="15872" width="10.28515625" style="63" bestFit="1" customWidth="1"/>
    <col min="15873" max="15873" width="10.85546875" style="63" bestFit="1" customWidth="1"/>
    <col min="15874" max="16106" width="6.85546875" style="63" customWidth="1"/>
    <col min="16107" max="16107" width="11" style="63" bestFit="1" customWidth="1"/>
    <col min="16108" max="16108" width="45.28515625" style="63" bestFit="1" customWidth="1"/>
    <col min="16109" max="16109" width="5.28515625" style="63" bestFit="1" customWidth="1"/>
    <col min="16110" max="16110" width="36.5703125" style="63" bestFit="1" customWidth="1"/>
    <col min="16111" max="16111" width="13.85546875" style="63" bestFit="1" customWidth="1"/>
    <col min="16112" max="16112" width="10.7109375" style="63" bestFit="1" customWidth="1"/>
    <col min="16113" max="16113" width="11.7109375" style="63" bestFit="1" customWidth="1"/>
    <col min="16114" max="16114" width="6.5703125" style="63" bestFit="1" customWidth="1"/>
    <col min="16115" max="16115" width="5.42578125" style="63" bestFit="1" customWidth="1"/>
    <col min="16116" max="16118" width="11.7109375" style="63" bestFit="1" customWidth="1"/>
    <col min="16119" max="16119" width="10.7109375" style="63" bestFit="1" customWidth="1"/>
    <col min="16120" max="16120" width="11.7109375" style="63" bestFit="1" customWidth="1"/>
    <col min="16121" max="16121" width="6.85546875" style="63" customWidth="1"/>
    <col min="16122" max="16122" width="4.5703125" style="63" bestFit="1" customWidth="1"/>
    <col min="16123" max="16123" width="8.7109375" style="63" bestFit="1" customWidth="1"/>
    <col min="16124" max="16124" width="10.7109375" style="63" bestFit="1" customWidth="1"/>
    <col min="16125" max="16125" width="11.7109375" style="63" bestFit="1" customWidth="1"/>
    <col min="16126" max="16126" width="28.140625" style="63" bestFit="1" customWidth="1"/>
    <col min="16127" max="16127" width="10.140625" style="63" bestFit="1" customWidth="1"/>
    <col min="16128" max="16128" width="10.28515625" style="63" bestFit="1" customWidth="1"/>
    <col min="16129" max="16129" width="10.85546875" style="63" bestFit="1" customWidth="1"/>
    <col min="16130" max="16384" width="6.85546875" style="63" customWidth="1"/>
  </cols>
  <sheetData>
    <row r="1" spans="1:23" s="72" customFormat="1" ht="20.25" customHeight="1" x14ac:dyDescent="0.25">
      <c r="A1" s="244" t="s">
        <v>438</v>
      </c>
      <c r="B1" s="245"/>
      <c r="C1" s="244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23" ht="20.25" customHeight="1" x14ac:dyDescent="0.25">
      <c r="A2" s="245"/>
      <c r="B2" s="244"/>
      <c r="C2" s="244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23" x14ac:dyDescent="0.25">
      <c r="A3" s="245"/>
      <c r="B3" s="246" t="s">
        <v>439</v>
      </c>
      <c r="C3" s="247" t="s">
        <v>440</v>
      </c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23" x14ac:dyDescent="0.25">
      <c r="A4" s="245"/>
      <c r="B4" s="248" t="s">
        <v>441</v>
      </c>
      <c r="C4" s="249" t="s">
        <v>410</v>
      </c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23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23" ht="15.75" customHeight="1" thickBot="1" x14ac:dyDescent="0.3">
      <c r="A6" s="250" t="s">
        <v>442</v>
      </c>
      <c r="B6" s="250" t="s">
        <v>240</v>
      </c>
      <c r="C6" s="250" t="s">
        <v>443</v>
      </c>
      <c r="D6" s="250" t="s">
        <v>54</v>
      </c>
      <c r="E6" s="250" t="s">
        <v>444</v>
      </c>
      <c r="F6" s="250" t="s">
        <v>445</v>
      </c>
      <c r="G6" s="251" t="s">
        <v>446</v>
      </c>
      <c r="H6" s="251" t="s">
        <v>447</v>
      </c>
      <c r="I6" s="251" t="s">
        <v>448</v>
      </c>
      <c r="J6" s="251" t="s">
        <v>449</v>
      </c>
      <c r="K6" s="251" t="s">
        <v>450</v>
      </c>
      <c r="L6" s="251" t="s">
        <v>451</v>
      </c>
      <c r="M6" s="251" t="s">
        <v>452</v>
      </c>
      <c r="N6" s="251" t="s">
        <v>453</v>
      </c>
      <c r="P6" s="277" t="s">
        <v>240</v>
      </c>
      <c r="Q6" s="312"/>
      <c r="R6" s="254" t="s">
        <v>454</v>
      </c>
      <c r="S6" s="256" t="s">
        <v>455</v>
      </c>
      <c r="T6" s="255" t="s">
        <v>73</v>
      </c>
      <c r="U6" s="312"/>
      <c r="V6" s="254" t="s">
        <v>291</v>
      </c>
      <c r="W6" s="256" t="s">
        <v>455</v>
      </c>
    </row>
    <row r="7" spans="1:23" ht="11.85" customHeight="1" x14ac:dyDescent="0.25">
      <c r="A7" s="492">
        <v>44188</v>
      </c>
      <c r="B7" s="252" t="s">
        <v>456</v>
      </c>
      <c r="C7" s="252" t="s">
        <v>457</v>
      </c>
      <c r="D7" s="252" t="s">
        <v>458</v>
      </c>
      <c r="E7" s="252" t="s">
        <v>459</v>
      </c>
      <c r="F7" s="252" t="s">
        <v>460</v>
      </c>
      <c r="G7" s="323">
        <v>247052.9881142581</v>
      </c>
      <c r="H7" s="253">
        <v>242947.18042801789</v>
      </c>
      <c r="I7" s="323">
        <v>0</v>
      </c>
      <c r="J7" s="323">
        <v>0</v>
      </c>
      <c r="K7" s="323">
        <v>0</v>
      </c>
      <c r="L7" s="323">
        <v>0</v>
      </c>
      <c r="M7" s="323">
        <v>242947.18042801789</v>
      </c>
      <c r="N7" s="253"/>
      <c r="O7" s="251"/>
      <c r="P7" s="278">
        <v>12</v>
      </c>
      <c r="Q7" s="312"/>
      <c r="R7" s="493">
        <v>44166</v>
      </c>
      <c r="S7" s="494">
        <f t="shared" ref="S7:S70" si="0">M7</f>
        <v>242947.18042801789</v>
      </c>
      <c r="T7" s="257">
        <v>0</v>
      </c>
      <c r="V7" s="495">
        <f>IF(SMALL(R7:R123, 1)&lt;=baseData, SMALL(R7:R123, 1), baseData)</f>
        <v>44136</v>
      </c>
      <c r="W7" s="496">
        <f t="shared" ref="W7:W38" si="1">SUMIFS($S:$S, $R:$R,$V7,$R:$R, "&lt;"&amp;terminoProjeto)+IF(V7=EDATE(terminoProjeto, -1), SUMIF($R:$R, "&gt;="&amp;terminoProjeto, $S:$S), 0)</f>
        <v>0</v>
      </c>
    </row>
    <row r="8" spans="1:23" ht="11.85" customHeight="1" x14ac:dyDescent="0.25">
      <c r="A8" s="492">
        <v>44219</v>
      </c>
      <c r="B8" s="252" t="s">
        <v>456</v>
      </c>
      <c r="C8" s="252" t="s">
        <v>457</v>
      </c>
      <c r="D8" s="252" t="s">
        <v>458</v>
      </c>
      <c r="E8" s="252" t="s">
        <v>461</v>
      </c>
      <c r="F8" s="252" t="s">
        <v>460</v>
      </c>
      <c r="G8" s="323">
        <v>247052.9881142581</v>
      </c>
      <c r="H8" s="253">
        <v>242947.18042801789</v>
      </c>
      <c r="I8" s="323">
        <v>0</v>
      </c>
      <c r="J8" s="323">
        <v>0</v>
      </c>
      <c r="K8" s="323">
        <v>0</v>
      </c>
      <c r="L8" s="323">
        <v>0</v>
      </c>
      <c r="M8" s="323">
        <v>242947.18042801789</v>
      </c>
      <c r="N8" s="253"/>
      <c r="P8" s="279">
        <v>12</v>
      </c>
      <c r="Q8" s="312"/>
      <c r="R8" s="497">
        <v>44197</v>
      </c>
      <c r="S8" s="498">
        <f t="shared" si="0"/>
        <v>242947.18042801789</v>
      </c>
      <c r="T8" s="258">
        <v>0</v>
      </c>
      <c r="V8" s="497">
        <f t="shared" ref="V8:V39" si="2">EDATE(V7, 1)</f>
        <v>44166</v>
      </c>
      <c r="W8" s="499">
        <f t="shared" si="1"/>
        <v>1259099.7533850474</v>
      </c>
    </row>
    <row r="9" spans="1:23" ht="11.85" customHeight="1" x14ac:dyDescent="0.25">
      <c r="A9" s="492">
        <v>44250</v>
      </c>
      <c r="B9" s="252" t="s">
        <v>456</v>
      </c>
      <c r="C9" s="252" t="s">
        <v>457</v>
      </c>
      <c r="D9" s="252" t="s">
        <v>458</v>
      </c>
      <c r="E9" s="252" t="s">
        <v>462</v>
      </c>
      <c r="F9" s="252" t="s">
        <v>460</v>
      </c>
      <c r="G9" s="323">
        <v>247052.9881142581</v>
      </c>
      <c r="H9" s="253">
        <v>242947.18042801789</v>
      </c>
      <c r="I9" s="323">
        <v>0</v>
      </c>
      <c r="J9" s="323">
        <v>0</v>
      </c>
      <c r="K9" s="323">
        <v>0</v>
      </c>
      <c r="L9" s="323">
        <v>0</v>
      </c>
      <c r="M9" s="323">
        <v>242947.18042801789</v>
      </c>
      <c r="N9" s="253"/>
      <c r="P9" s="279">
        <v>12</v>
      </c>
      <c r="Q9" s="312"/>
      <c r="R9" s="497">
        <v>44228</v>
      </c>
      <c r="S9" s="498">
        <f t="shared" si="0"/>
        <v>242947.18042801789</v>
      </c>
      <c r="T9" s="258">
        <v>0</v>
      </c>
      <c r="V9" s="497">
        <f t="shared" si="2"/>
        <v>44197</v>
      </c>
      <c r="W9" s="499">
        <f t="shared" si="1"/>
        <v>1154301.1001773241</v>
      </c>
    </row>
    <row r="10" spans="1:23" ht="11.85" customHeight="1" x14ac:dyDescent="0.25">
      <c r="A10" s="492">
        <v>44278</v>
      </c>
      <c r="B10" s="252" t="s">
        <v>456</v>
      </c>
      <c r="C10" s="252" t="s">
        <v>457</v>
      </c>
      <c r="D10" s="252" t="s">
        <v>458</v>
      </c>
      <c r="E10" s="252" t="s">
        <v>463</v>
      </c>
      <c r="F10" s="252" t="s">
        <v>460</v>
      </c>
      <c r="G10" s="323">
        <v>247052.9881142581</v>
      </c>
      <c r="H10" s="253">
        <v>242947.18042801789</v>
      </c>
      <c r="I10" s="323">
        <v>0</v>
      </c>
      <c r="J10" s="323">
        <v>0</v>
      </c>
      <c r="K10" s="323">
        <v>0</v>
      </c>
      <c r="L10" s="323">
        <v>0</v>
      </c>
      <c r="M10" s="323">
        <v>242947.18042801789</v>
      </c>
      <c r="N10" s="253"/>
      <c r="P10" s="279">
        <v>12</v>
      </c>
      <c r="Q10" s="312"/>
      <c r="R10" s="497">
        <v>44256</v>
      </c>
      <c r="S10" s="498">
        <f t="shared" si="0"/>
        <v>242947.18042801789</v>
      </c>
      <c r="T10" s="258">
        <v>0</v>
      </c>
      <c r="V10" s="497">
        <f t="shared" si="2"/>
        <v>44228</v>
      </c>
      <c r="W10" s="499">
        <f t="shared" si="1"/>
        <v>599271.7585906107</v>
      </c>
    </row>
    <row r="11" spans="1:23" ht="11.85" customHeight="1" x14ac:dyDescent="0.25">
      <c r="A11" s="492">
        <v>44309</v>
      </c>
      <c r="B11" s="252" t="s">
        <v>456</v>
      </c>
      <c r="C11" s="252" t="s">
        <v>457</v>
      </c>
      <c r="D11" s="252" t="s">
        <v>458</v>
      </c>
      <c r="E11" s="252" t="s">
        <v>464</v>
      </c>
      <c r="F11" s="252" t="s">
        <v>460</v>
      </c>
      <c r="G11" s="323">
        <v>247052.9881142581</v>
      </c>
      <c r="H11" s="253">
        <v>242947.18042801789</v>
      </c>
      <c r="I11" s="323">
        <v>0</v>
      </c>
      <c r="J11" s="323">
        <v>0</v>
      </c>
      <c r="K11" s="323">
        <v>0</v>
      </c>
      <c r="L11" s="323">
        <v>0</v>
      </c>
      <c r="M11" s="323">
        <v>242947.18042801789</v>
      </c>
      <c r="N11" s="253"/>
      <c r="P11" s="279">
        <v>12</v>
      </c>
      <c r="Q11" s="312"/>
      <c r="R11" s="497">
        <v>44287</v>
      </c>
      <c r="S11" s="498">
        <f t="shared" si="0"/>
        <v>242947.18042801789</v>
      </c>
      <c r="T11" s="258">
        <v>0</v>
      </c>
      <c r="V11" s="497">
        <f t="shared" si="2"/>
        <v>44256</v>
      </c>
      <c r="W11" s="499">
        <f t="shared" si="1"/>
        <v>775665.94490954711</v>
      </c>
    </row>
    <row r="12" spans="1:23" ht="11.85" customHeight="1" x14ac:dyDescent="0.25">
      <c r="A12" s="492">
        <v>45021</v>
      </c>
      <c r="B12" s="252" t="s">
        <v>456</v>
      </c>
      <c r="C12" s="252" t="s">
        <v>457</v>
      </c>
      <c r="D12" s="252" t="s">
        <v>465</v>
      </c>
      <c r="E12" s="252" t="s">
        <v>466</v>
      </c>
      <c r="F12" s="252" t="s">
        <v>460</v>
      </c>
      <c r="G12" s="323">
        <v>1002930.002812775</v>
      </c>
      <c r="H12" s="253">
        <v>986262.17075884703</v>
      </c>
      <c r="I12" s="323">
        <v>0</v>
      </c>
      <c r="J12" s="323">
        <v>0</v>
      </c>
      <c r="K12" s="323">
        <v>0</v>
      </c>
      <c r="L12" s="323">
        <v>0</v>
      </c>
      <c r="M12" s="323">
        <v>986262.17075884703</v>
      </c>
      <c r="N12" s="253"/>
      <c r="P12" s="279">
        <v>12</v>
      </c>
      <c r="Q12" s="312"/>
      <c r="R12" s="497">
        <v>45017</v>
      </c>
      <c r="S12" s="498">
        <f t="shared" si="0"/>
        <v>986262.17075884703</v>
      </c>
      <c r="T12" s="258">
        <v>0</v>
      </c>
      <c r="V12" s="497">
        <f t="shared" si="2"/>
        <v>44287</v>
      </c>
      <c r="W12" s="499">
        <f t="shared" si="1"/>
        <v>689283.14728691743</v>
      </c>
    </row>
    <row r="13" spans="1:23" ht="11.85" customHeight="1" x14ac:dyDescent="0.25">
      <c r="A13" s="492">
        <v>45112</v>
      </c>
      <c r="B13" s="252" t="s">
        <v>456</v>
      </c>
      <c r="C13" s="252" t="s">
        <v>457</v>
      </c>
      <c r="D13" s="252" t="s">
        <v>467</v>
      </c>
      <c r="E13" s="252" t="s">
        <v>466</v>
      </c>
      <c r="F13" s="252" t="s">
        <v>460</v>
      </c>
      <c r="G13" s="323">
        <v>1051.289311124503</v>
      </c>
      <c r="H13" s="253">
        <v>1033.817789055395</v>
      </c>
      <c r="I13" s="323">
        <v>0</v>
      </c>
      <c r="J13" s="323">
        <v>0</v>
      </c>
      <c r="K13" s="323">
        <v>0</v>
      </c>
      <c r="L13" s="323">
        <v>0</v>
      </c>
      <c r="M13" s="323">
        <v>1033.817789055395</v>
      </c>
      <c r="N13" s="253"/>
      <c r="P13" s="279">
        <v>12</v>
      </c>
      <c r="Q13" s="312"/>
      <c r="R13" s="497">
        <v>45108</v>
      </c>
      <c r="S13" s="498">
        <f t="shared" si="0"/>
        <v>1033.817789055395</v>
      </c>
      <c r="T13" s="258">
        <v>0</v>
      </c>
      <c r="V13" s="497">
        <f t="shared" si="2"/>
        <v>44317</v>
      </c>
      <c r="W13" s="499">
        <f t="shared" si="1"/>
        <v>538888.41807799949</v>
      </c>
    </row>
    <row r="14" spans="1:23" ht="11.85" customHeight="1" x14ac:dyDescent="0.25">
      <c r="A14" s="492">
        <v>44185</v>
      </c>
      <c r="B14" s="252" t="s">
        <v>468</v>
      </c>
      <c r="C14" s="252" t="s">
        <v>469</v>
      </c>
      <c r="D14" s="252" t="s">
        <v>470</v>
      </c>
      <c r="E14" s="252" t="s">
        <v>466</v>
      </c>
      <c r="F14" s="252" t="s">
        <v>460</v>
      </c>
      <c r="G14" s="323">
        <v>31372.195924362579</v>
      </c>
      <c r="H14" s="253">
        <v>30850.817073033271</v>
      </c>
      <c r="I14" s="323">
        <v>0</v>
      </c>
      <c r="J14" s="323">
        <v>0</v>
      </c>
      <c r="K14" s="323">
        <v>0</v>
      </c>
      <c r="L14" s="323">
        <v>0</v>
      </c>
      <c r="M14" s="323">
        <v>30850.817073033271</v>
      </c>
      <c r="N14" s="253"/>
      <c r="P14" s="279">
        <v>41</v>
      </c>
      <c r="Q14" s="312"/>
      <c r="R14" s="497">
        <v>44166</v>
      </c>
      <c r="S14" s="498">
        <f t="shared" si="0"/>
        <v>30850.817073033271</v>
      </c>
      <c r="T14" s="258">
        <v>0</v>
      </c>
      <c r="V14" s="497">
        <f t="shared" si="2"/>
        <v>44348</v>
      </c>
      <c r="W14" s="499">
        <f t="shared" si="1"/>
        <v>1957935.5055980489</v>
      </c>
    </row>
    <row r="15" spans="1:23" ht="11.85" customHeight="1" x14ac:dyDescent="0.25">
      <c r="A15" s="492">
        <v>44216</v>
      </c>
      <c r="B15" s="252" t="s">
        <v>468</v>
      </c>
      <c r="C15" s="252" t="s">
        <v>469</v>
      </c>
      <c r="D15" s="252" t="s">
        <v>471</v>
      </c>
      <c r="E15" s="252" t="s">
        <v>472</v>
      </c>
      <c r="F15" s="252" t="s">
        <v>460</v>
      </c>
      <c r="G15" s="323">
        <v>10457.398641454191</v>
      </c>
      <c r="H15" s="253">
        <v>10283.605691011089</v>
      </c>
      <c r="I15" s="323">
        <v>0</v>
      </c>
      <c r="J15" s="323">
        <v>0</v>
      </c>
      <c r="K15" s="323">
        <v>0</v>
      </c>
      <c r="L15" s="323">
        <v>0</v>
      </c>
      <c r="M15" s="323">
        <v>10283.605691011089</v>
      </c>
      <c r="N15" s="253"/>
      <c r="O15" s="280"/>
      <c r="P15" s="279">
        <v>41</v>
      </c>
      <c r="Q15" s="312"/>
      <c r="R15" s="497">
        <v>44197</v>
      </c>
      <c r="S15" s="498">
        <f t="shared" si="0"/>
        <v>10283.605691011089</v>
      </c>
      <c r="T15" s="258">
        <v>0</v>
      </c>
      <c r="V15" s="497">
        <f t="shared" si="2"/>
        <v>44378</v>
      </c>
      <c r="W15" s="499">
        <f t="shared" si="1"/>
        <v>1547088.5212612576</v>
      </c>
    </row>
    <row r="16" spans="1:23" ht="11.85" customHeight="1" x14ac:dyDescent="0.25">
      <c r="A16" s="492">
        <v>44275</v>
      </c>
      <c r="B16" s="252" t="s">
        <v>468</v>
      </c>
      <c r="C16" s="252" t="s">
        <v>469</v>
      </c>
      <c r="D16" s="252" t="s">
        <v>470</v>
      </c>
      <c r="E16" s="252" t="s">
        <v>466</v>
      </c>
      <c r="F16" s="252" t="s">
        <v>460</v>
      </c>
      <c r="G16" s="323">
        <v>15947.532928217641</v>
      </c>
      <c r="H16" s="253">
        <v>15682.498678791921</v>
      </c>
      <c r="I16" s="323">
        <v>0</v>
      </c>
      <c r="J16" s="323">
        <v>0</v>
      </c>
      <c r="K16" s="323">
        <v>0</v>
      </c>
      <c r="L16" s="323">
        <v>0</v>
      </c>
      <c r="M16" s="323">
        <v>15682.498678791921</v>
      </c>
      <c r="N16" s="253"/>
      <c r="O16" s="280"/>
      <c r="P16" s="279">
        <v>41</v>
      </c>
      <c r="Q16" s="312"/>
      <c r="R16" s="497">
        <v>44256</v>
      </c>
      <c r="S16" s="498">
        <f t="shared" si="0"/>
        <v>15682.498678791921</v>
      </c>
      <c r="T16" s="258">
        <v>0</v>
      </c>
      <c r="V16" s="497">
        <f t="shared" si="2"/>
        <v>44409</v>
      </c>
      <c r="W16" s="499">
        <f t="shared" si="1"/>
        <v>2009524.7878642941</v>
      </c>
    </row>
    <row r="17" spans="1:23" ht="11.85" customHeight="1" x14ac:dyDescent="0.25">
      <c r="A17" s="492">
        <v>44306</v>
      </c>
      <c r="B17" s="252" t="s">
        <v>468</v>
      </c>
      <c r="C17" s="252" t="s">
        <v>469</v>
      </c>
      <c r="D17" s="252" t="s">
        <v>470</v>
      </c>
      <c r="E17" s="252" t="s">
        <v>466</v>
      </c>
      <c r="F17" s="252" t="s">
        <v>460</v>
      </c>
      <c r="G17" s="323">
        <v>83659.189131633539</v>
      </c>
      <c r="H17" s="253">
        <v>82268.845528088743</v>
      </c>
      <c r="I17" s="323">
        <v>0</v>
      </c>
      <c r="J17" s="323">
        <v>0</v>
      </c>
      <c r="K17" s="323">
        <v>0</v>
      </c>
      <c r="L17" s="323">
        <v>0</v>
      </c>
      <c r="M17" s="323">
        <v>82268.845528088743</v>
      </c>
      <c r="N17" s="253"/>
      <c r="O17" s="280"/>
      <c r="P17" s="279">
        <v>41</v>
      </c>
      <c r="Q17" s="312"/>
      <c r="R17" s="497">
        <v>44287</v>
      </c>
      <c r="S17" s="498">
        <f t="shared" si="0"/>
        <v>82268.845528088743</v>
      </c>
      <c r="T17" s="258">
        <v>0</v>
      </c>
      <c r="V17" s="497">
        <f t="shared" si="2"/>
        <v>44440</v>
      </c>
      <c r="W17" s="499">
        <f t="shared" si="1"/>
        <v>374350.72702182201</v>
      </c>
    </row>
    <row r="18" spans="1:23" ht="11.85" customHeight="1" x14ac:dyDescent="0.25">
      <c r="A18" s="492">
        <v>44336</v>
      </c>
      <c r="B18" s="252" t="s">
        <v>468</v>
      </c>
      <c r="C18" s="252" t="s">
        <v>469</v>
      </c>
      <c r="D18" s="252" t="s">
        <v>473</v>
      </c>
      <c r="E18" s="252" t="s">
        <v>474</v>
      </c>
      <c r="F18" s="252" t="s">
        <v>460</v>
      </c>
      <c r="G18" s="323">
        <v>10457.398641454191</v>
      </c>
      <c r="H18" s="253">
        <v>10283.605691011089</v>
      </c>
      <c r="I18" s="323">
        <v>0</v>
      </c>
      <c r="J18" s="323">
        <v>0</v>
      </c>
      <c r="K18" s="323">
        <v>0</v>
      </c>
      <c r="L18" s="323">
        <v>0</v>
      </c>
      <c r="M18" s="323">
        <v>10283.605691011089</v>
      </c>
      <c r="N18" s="253"/>
      <c r="O18" s="280"/>
      <c r="P18" s="279">
        <v>41</v>
      </c>
      <c r="Q18" s="312"/>
      <c r="R18" s="497">
        <v>44317</v>
      </c>
      <c r="S18" s="498">
        <f t="shared" si="0"/>
        <v>10283.605691011089</v>
      </c>
      <c r="T18" s="258">
        <v>0</v>
      </c>
      <c r="V18" s="497">
        <f t="shared" si="2"/>
        <v>44470</v>
      </c>
      <c r="W18" s="499">
        <f t="shared" si="1"/>
        <v>962231.54520631966</v>
      </c>
    </row>
    <row r="19" spans="1:23" ht="11.85" customHeight="1" x14ac:dyDescent="0.25">
      <c r="A19" s="492">
        <v>44367</v>
      </c>
      <c r="B19" s="252" t="s">
        <v>468</v>
      </c>
      <c r="C19" s="252" t="s">
        <v>469</v>
      </c>
      <c r="D19" s="252" t="s">
        <v>473</v>
      </c>
      <c r="E19" s="252" t="s">
        <v>475</v>
      </c>
      <c r="F19" s="252" t="s">
        <v>460</v>
      </c>
      <c r="G19" s="323">
        <v>10457.398641454191</v>
      </c>
      <c r="H19" s="253">
        <v>10283.605691011089</v>
      </c>
      <c r="I19" s="323">
        <v>0</v>
      </c>
      <c r="J19" s="323">
        <v>0</v>
      </c>
      <c r="K19" s="323">
        <v>0</v>
      </c>
      <c r="L19" s="323">
        <v>0</v>
      </c>
      <c r="M19" s="323">
        <v>10283.605691011089</v>
      </c>
      <c r="N19" s="253"/>
      <c r="O19" s="280"/>
      <c r="P19" s="279">
        <v>41</v>
      </c>
      <c r="Q19" s="312"/>
      <c r="R19" s="497">
        <v>44348</v>
      </c>
      <c r="S19" s="498">
        <f t="shared" si="0"/>
        <v>10283.605691011089</v>
      </c>
      <c r="T19" s="258">
        <v>0</v>
      </c>
      <c r="V19" s="497">
        <f t="shared" si="2"/>
        <v>44501</v>
      </c>
      <c r="W19" s="499">
        <f t="shared" si="1"/>
        <v>629299.30114169919</v>
      </c>
    </row>
    <row r="20" spans="1:23" ht="11.85" customHeight="1" x14ac:dyDescent="0.25">
      <c r="A20" s="492">
        <v>44397</v>
      </c>
      <c r="B20" s="252" t="s">
        <v>468</v>
      </c>
      <c r="C20" s="252" t="s">
        <v>469</v>
      </c>
      <c r="D20" s="252" t="s">
        <v>473</v>
      </c>
      <c r="E20" s="252" t="s">
        <v>476</v>
      </c>
      <c r="F20" s="252" t="s">
        <v>460</v>
      </c>
      <c r="G20" s="323">
        <v>10457.398641454191</v>
      </c>
      <c r="H20" s="253">
        <v>10283.605691011089</v>
      </c>
      <c r="I20" s="323">
        <v>0</v>
      </c>
      <c r="J20" s="323">
        <v>0</v>
      </c>
      <c r="K20" s="323">
        <v>0</v>
      </c>
      <c r="L20" s="323">
        <v>0</v>
      </c>
      <c r="M20" s="323">
        <v>10283.605691011089</v>
      </c>
      <c r="N20" s="253"/>
      <c r="O20" s="280"/>
      <c r="P20" s="279">
        <v>41</v>
      </c>
      <c r="Q20" s="312"/>
      <c r="R20" s="497">
        <v>44378</v>
      </c>
      <c r="S20" s="498">
        <f t="shared" si="0"/>
        <v>10283.605691011089</v>
      </c>
      <c r="T20" s="258">
        <v>0</v>
      </c>
      <c r="V20" s="497">
        <f t="shared" si="2"/>
        <v>44531</v>
      </c>
      <c r="W20" s="499">
        <f t="shared" si="1"/>
        <v>1691900.1623361709</v>
      </c>
    </row>
    <row r="21" spans="1:23" ht="11.85" customHeight="1" x14ac:dyDescent="0.25">
      <c r="A21" s="492">
        <v>44397</v>
      </c>
      <c r="B21" s="252" t="s">
        <v>468</v>
      </c>
      <c r="C21" s="252" t="s">
        <v>469</v>
      </c>
      <c r="D21" s="252" t="s">
        <v>471</v>
      </c>
      <c r="E21" s="252" t="s">
        <v>472</v>
      </c>
      <c r="F21" s="252" t="s">
        <v>460</v>
      </c>
      <c r="G21" s="323">
        <v>522869.93207270949</v>
      </c>
      <c r="H21" s="253">
        <v>514180.28455055458</v>
      </c>
      <c r="I21" s="323">
        <v>0</v>
      </c>
      <c r="J21" s="323">
        <v>0</v>
      </c>
      <c r="K21" s="323">
        <v>0</v>
      </c>
      <c r="L21" s="323">
        <v>0</v>
      </c>
      <c r="M21" s="323">
        <v>514180.28455055458</v>
      </c>
      <c r="N21" s="253"/>
      <c r="O21" s="280"/>
      <c r="P21" s="279">
        <v>41</v>
      </c>
      <c r="Q21" s="312"/>
      <c r="R21" s="497">
        <v>44378</v>
      </c>
      <c r="S21" s="498">
        <f t="shared" si="0"/>
        <v>514180.28455055458</v>
      </c>
      <c r="T21" s="258">
        <v>0</v>
      </c>
      <c r="V21" s="497">
        <f t="shared" si="2"/>
        <v>44562</v>
      </c>
      <c r="W21" s="499">
        <f t="shared" si="1"/>
        <v>970976.24989335181</v>
      </c>
    </row>
    <row r="22" spans="1:23" ht="11.85" customHeight="1" x14ac:dyDescent="0.25">
      <c r="A22" s="492">
        <v>44428</v>
      </c>
      <c r="B22" s="252" t="s">
        <v>468</v>
      </c>
      <c r="C22" s="252" t="s">
        <v>469</v>
      </c>
      <c r="D22" s="252" t="s">
        <v>473</v>
      </c>
      <c r="E22" s="252" t="s">
        <v>477</v>
      </c>
      <c r="F22" s="252" t="s">
        <v>460</v>
      </c>
      <c r="G22" s="323">
        <v>10457.398641454191</v>
      </c>
      <c r="H22" s="253">
        <v>10283.605691011089</v>
      </c>
      <c r="I22" s="323">
        <v>0</v>
      </c>
      <c r="J22" s="323">
        <v>0</v>
      </c>
      <c r="K22" s="323">
        <v>0</v>
      </c>
      <c r="L22" s="323">
        <v>0</v>
      </c>
      <c r="M22" s="323">
        <v>10283.605691011089</v>
      </c>
      <c r="N22" s="253"/>
      <c r="O22" s="280"/>
      <c r="P22" s="279">
        <v>41</v>
      </c>
      <c r="Q22" s="312"/>
      <c r="R22" s="497">
        <v>44409</v>
      </c>
      <c r="S22" s="498">
        <f t="shared" si="0"/>
        <v>10283.605691011089</v>
      </c>
      <c r="T22" s="258">
        <v>0</v>
      </c>
      <c r="V22" s="497">
        <f t="shared" si="2"/>
        <v>44593</v>
      </c>
      <c r="W22" s="499">
        <f t="shared" si="1"/>
        <v>374350.72702182201</v>
      </c>
    </row>
    <row r="23" spans="1:23" ht="11.85" customHeight="1" x14ac:dyDescent="0.25">
      <c r="A23" s="492">
        <v>44459</v>
      </c>
      <c r="B23" s="252" t="s">
        <v>468</v>
      </c>
      <c r="C23" s="252" t="s">
        <v>469</v>
      </c>
      <c r="D23" s="252" t="s">
        <v>473</v>
      </c>
      <c r="E23" s="252" t="s">
        <v>478</v>
      </c>
      <c r="F23" s="252" t="s">
        <v>460</v>
      </c>
      <c r="G23" s="323">
        <v>10457.398641454191</v>
      </c>
      <c r="H23" s="253">
        <v>10283.605691011089</v>
      </c>
      <c r="I23" s="323">
        <v>0</v>
      </c>
      <c r="J23" s="323">
        <v>0</v>
      </c>
      <c r="K23" s="323">
        <v>0</v>
      </c>
      <c r="L23" s="323">
        <v>0</v>
      </c>
      <c r="M23" s="323">
        <v>10283.605691011089</v>
      </c>
      <c r="N23" s="253"/>
      <c r="O23" s="280"/>
      <c r="P23" s="279">
        <v>41</v>
      </c>
      <c r="Q23" s="312"/>
      <c r="R23" s="497">
        <v>44440</v>
      </c>
      <c r="S23" s="498">
        <f t="shared" si="0"/>
        <v>10283.605691011089</v>
      </c>
      <c r="T23" s="258">
        <v>0</v>
      </c>
      <c r="V23" s="497">
        <f t="shared" si="2"/>
        <v>44621</v>
      </c>
      <c r="W23" s="499">
        <f t="shared" si="1"/>
        <v>986227.30490952742</v>
      </c>
    </row>
    <row r="24" spans="1:23" ht="11.85" customHeight="1" x14ac:dyDescent="0.25">
      <c r="A24" s="492">
        <v>44489</v>
      </c>
      <c r="B24" s="252" t="s">
        <v>468</v>
      </c>
      <c r="C24" s="252" t="s">
        <v>469</v>
      </c>
      <c r="D24" s="252" t="s">
        <v>473</v>
      </c>
      <c r="E24" s="252" t="s">
        <v>479</v>
      </c>
      <c r="F24" s="252" t="s">
        <v>460</v>
      </c>
      <c r="G24" s="323">
        <v>10457.398641454191</v>
      </c>
      <c r="H24" s="253">
        <v>10283.605691011089</v>
      </c>
      <c r="I24" s="323">
        <v>0</v>
      </c>
      <c r="J24" s="323">
        <v>0</v>
      </c>
      <c r="K24" s="323">
        <v>0</v>
      </c>
      <c r="L24" s="323">
        <v>0</v>
      </c>
      <c r="M24" s="323">
        <v>10283.605691011089</v>
      </c>
      <c r="N24" s="253"/>
      <c r="O24" s="280"/>
      <c r="P24" s="279">
        <v>41</v>
      </c>
      <c r="Q24" s="312"/>
      <c r="R24" s="497">
        <v>44470</v>
      </c>
      <c r="S24" s="498">
        <f t="shared" si="0"/>
        <v>10283.605691011089</v>
      </c>
      <c r="T24" s="258">
        <v>0</v>
      </c>
      <c r="V24" s="497">
        <f t="shared" si="2"/>
        <v>44652</v>
      </c>
      <c r="W24" s="499">
        <f t="shared" si="1"/>
        <v>466903.17824092187</v>
      </c>
    </row>
    <row r="25" spans="1:23" ht="11.85" customHeight="1" x14ac:dyDescent="0.25">
      <c r="A25" s="492">
        <v>44520</v>
      </c>
      <c r="B25" s="252" t="s">
        <v>468</v>
      </c>
      <c r="C25" s="252" t="s">
        <v>469</v>
      </c>
      <c r="D25" s="252" t="s">
        <v>473</v>
      </c>
      <c r="E25" s="252" t="s">
        <v>480</v>
      </c>
      <c r="F25" s="252" t="s">
        <v>460</v>
      </c>
      <c r="G25" s="323">
        <v>10457.398641454191</v>
      </c>
      <c r="H25" s="253">
        <v>10283.605691011089</v>
      </c>
      <c r="I25" s="323">
        <v>0</v>
      </c>
      <c r="J25" s="323">
        <v>0</v>
      </c>
      <c r="K25" s="323">
        <v>0</v>
      </c>
      <c r="L25" s="323">
        <v>0</v>
      </c>
      <c r="M25" s="323">
        <v>10283.605691011089</v>
      </c>
      <c r="N25" s="253"/>
      <c r="O25" s="280"/>
      <c r="P25" s="279">
        <v>41</v>
      </c>
      <c r="Q25" s="312"/>
      <c r="R25" s="497">
        <v>44501</v>
      </c>
      <c r="S25" s="498">
        <f t="shared" si="0"/>
        <v>10283.605691011089</v>
      </c>
      <c r="T25" s="258">
        <v>0</v>
      </c>
      <c r="V25" s="497">
        <f t="shared" si="2"/>
        <v>44682</v>
      </c>
      <c r="W25" s="499">
        <f t="shared" si="1"/>
        <v>374350.72702182201</v>
      </c>
    </row>
    <row r="26" spans="1:23" ht="11.85" customHeight="1" x14ac:dyDescent="0.25">
      <c r="A26" s="492">
        <v>44550</v>
      </c>
      <c r="B26" s="252" t="s">
        <v>468</v>
      </c>
      <c r="C26" s="252" t="s">
        <v>469</v>
      </c>
      <c r="D26" s="252" t="s">
        <v>473</v>
      </c>
      <c r="E26" s="252" t="s">
        <v>481</v>
      </c>
      <c r="F26" s="252" t="s">
        <v>460</v>
      </c>
      <c r="G26" s="323">
        <v>10457.398641454191</v>
      </c>
      <c r="H26" s="253">
        <v>10283.605691011089</v>
      </c>
      <c r="I26" s="323">
        <v>0</v>
      </c>
      <c r="J26" s="323">
        <v>0</v>
      </c>
      <c r="K26" s="323">
        <v>0</v>
      </c>
      <c r="L26" s="323">
        <v>0</v>
      </c>
      <c r="M26" s="323">
        <v>10283.605691011089</v>
      </c>
      <c r="N26" s="253"/>
      <c r="O26" s="280"/>
      <c r="P26" s="279">
        <v>41</v>
      </c>
      <c r="Q26" s="312"/>
      <c r="R26" s="497">
        <v>44531</v>
      </c>
      <c r="S26" s="498">
        <f t="shared" si="0"/>
        <v>10283.605691011089</v>
      </c>
      <c r="T26" s="258">
        <v>0</v>
      </c>
      <c r="V26" s="497">
        <f t="shared" si="2"/>
        <v>44713</v>
      </c>
      <c r="W26" s="499">
        <f t="shared" si="1"/>
        <v>1791313.1224373085</v>
      </c>
    </row>
    <row r="27" spans="1:23" ht="11.85" customHeight="1" x14ac:dyDescent="0.25">
      <c r="A27" s="492">
        <v>44581</v>
      </c>
      <c r="B27" s="252" t="s">
        <v>468</v>
      </c>
      <c r="C27" s="252" t="s">
        <v>469</v>
      </c>
      <c r="D27" s="252" t="s">
        <v>471</v>
      </c>
      <c r="E27" s="252" t="s">
        <v>482</v>
      </c>
      <c r="F27" s="252" t="s">
        <v>460</v>
      </c>
      <c r="G27" s="323">
        <v>10457.398641454191</v>
      </c>
      <c r="H27" s="253">
        <v>10283.605691011089</v>
      </c>
      <c r="I27" s="323">
        <v>0</v>
      </c>
      <c r="J27" s="323">
        <v>0</v>
      </c>
      <c r="K27" s="323">
        <v>0</v>
      </c>
      <c r="L27" s="323">
        <v>0</v>
      </c>
      <c r="M27" s="323">
        <v>10283.605691011089</v>
      </c>
      <c r="N27" s="253"/>
      <c r="O27" s="280"/>
      <c r="P27" s="279">
        <v>41</v>
      </c>
      <c r="Q27" s="312"/>
      <c r="R27" s="497">
        <v>44562</v>
      </c>
      <c r="S27" s="498">
        <f t="shared" si="0"/>
        <v>10283.605691011089</v>
      </c>
      <c r="T27" s="258">
        <v>0</v>
      </c>
      <c r="V27" s="497">
        <f t="shared" si="2"/>
        <v>44743</v>
      </c>
      <c r="W27" s="499">
        <f t="shared" si="1"/>
        <v>1547088.5212612576</v>
      </c>
    </row>
    <row r="28" spans="1:23" ht="11.85" customHeight="1" x14ac:dyDescent="0.25">
      <c r="A28" s="492">
        <v>44581</v>
      </c>
      <c r="B28" s="252" t="s">
        <v>468</v>
      </c>
      <c r="C28" s="252" t="s">
        <v>469</v>
      </c>
      <c r="D28" s="252" t="s">
        <v>473</v>
      </c>
      <c r="E28" s="252" t="s">
        <v>483</v>
      </c>
      <c r="F28" s="252" t="s">
        <v>460</v>
      </c>
      <c r="G28" s="323">
        <v>10457.398641454191</v>
      </c>
      <c r="H28" s="253">
        <v>10283.605691011089</v>
      </c>
      <c r="I28" s="323">
        <v>0</v>
      </c>
      <c r="J28" s="323">
        <v>0</v>
      </c>
      <c r="K28" s="323">
        <v>0</v>
      </c>
      <c r="L28" s="323">
        <v>0</v>
      </c>
      <c r="M28" s="323">
        <v>10283.605691011089</v>
      </c>
      <c r="N28" s="253"/>
      <c r="O28" s="280"/>
      <c r="P28" s="279">
        <v>41</v>
      </c>
      <c r="Q28" s="312"/>
      <c r="R28" s="497">
        <v>44562</v>
      </c>
      <c r="S28" s="498">
        <f t="shared" si="0"/>
        <v>10283.605691011089</v>
      </c>
      <c r="T28" s="258">
        <v>0</v>
      </c>
      <c r="V28" s="497">
        <f t="shared" si="2"/>
        <v>44774</v>
      </c>
      <c r="W28" s="499">
        <f t="shared" si="1"/>
        <v>2009524.7878642941</v>
      </c>
    </row>
    <row r="29" spans="1:23" ht="11.85" customHeight="1" x14ac:dyDescent="0.25">
      <c r="A29" s="492">
        <v>44612</v>
      </c>
      <c r="B29" s="252" t="s">
        <v>468</v>
      </c>
      <c r="C29" s="252" t="s">
        <v>469</v>
      </c>
      <c r="D29" s="252" t="s">
        <v>473</v>
      </c>
      <c r="E29" s="252" t="s">
        <v>484</v>
      </c>
      <c r="F29" s="252" t="s">
        <v>460</v>
      </c>
      <c r="G29" s="323">
        <v>10457.398641454191</v>
      </c>
      <c r="H29" s="253">
        <v>10283.605691011089</v>
      </c>
      <c r="I29" s="323">
        <v>0</v>
      </c>
      <c r="J29" s="323">
        <v>0</v>
      </c>
      <c r="K29" s="323">
        <v>0</v>
      </c>
      <c r="L29" s="323">
        <v>0</v>
      </c>
      <c r="M29" s="323">
        <v>10283.605691011089</v>
      </c>
      <c r="N29" s="253"/>
      <c r="O29" s="280"/>
      <c r="P29" s="279">
        <v>41</v>
      </c>
      <c r="Q29" s="312"/>
      <c r="R29" s="497">
        <v>44593</v>
      </c>
      <c r="S29" s="498">
        <f t="shared" si="0"/>
        <v>10283.605691011089</v>
      </c>
      <c r="T29" s="258">
        <v>0</v>
      </c>
      <c r="V29" s="497">
        <f t="shared" si="2"/>
        <v>44805</v>
      </c>
      <c r="W29" s="499">
        <f t="shared" si="1"/>
        <v>374350.72702182201</v>
      </c>
    </row>
    <row r="30" spans="1:23" ht="11.85" customHeight="1" x14ac:dyDescent="0.25">
      <c r="A30" s="492">
        <v>44640</v>
      </c>
      <c r="B30" s="252" t="s">
        <v>468</v>
      </c>
      <c r="C30" s="252" t="s">
        <v>469</v>
      </c>
      <c r="D30" s="252" t="s">
        <v>473</v>
      </c>
      <c r="E30" s="252" t="s">
        <v>485</v>
      </c>
      <c r="F30" s="252" t="s">
        <v>460</v>
      </c>
      <c r="G30" s="323">
        <v>10457.398641454191</v>
      </c>
      <c r="H30" s="253">
        <v>10283.605691011089</v>
      </c>
      <c r="I30" s="323">
        <v>0</v>
      </c>
      <c r="J30" s="323">
        <v>0</v>
      </c>
      <c r="K30" s="323">
        <v>0</v>
      </c>
      <c r="L30" s="323">
        <v>0</v>
      </c>
      <c r="M30" s="323">
        <v>10283.605691011089</v>
      </c>
      <c r="N30" s="253"/>
      <c r="O30" s="280"/>
      <c r="P30" s="279">
        <v>41</v>
      </c>
      <c r="Q30" s="312"/>
      <c r="R30" s="497">
        <v>44621</v>
      </c>
      <c r="S30" s="498">
        <f t="shared" si="0"/>
        <v>10283.605691011089</v>
      </c>
      <c r="T30" s="258">
        <v>0</v>
      </c>
      <c r="V30" s="497">
        <f t="shared" si="2"/>
        <v>44835</v>
      </c>
      <c r="W30" s="499">
        <f t="shared" si="1"/>
        <v>1994646.9850041263</v>
      </c>
    </row>
    <row r="31" spans="1:23" ht="11.85" customHeight="1" x14ac:dyDescent="0.25">
      <c r="A31" s="492">
        <v>44671</v>
      </c>
      <c r="B31" s="252" t="s">
        <v>468</v>
      </c>
      <c r="C31" s="252" t="s">
        <v>469</v>
      </c>
      <c r="D31" s="252" t="s">
        <v>473</v>
      </c>
      <c r="E31" s="252" t="s">
        <v>486</v>
      </c>
      <c r="F31" s="252" t="s">
        <v>460</v>
      </c>
      <c r="G31" s="323">
        <v>10457.398641454191</v>
      </c>
      <c r="H31" s="253">
        <v>10283.605691011089</v>
      </c>
      <c r="I31" s="323">
        <v>0</v>
      </c>
      <c r="J31" s="323">
        <v>0</v>
      </c>
      <c r="K31" s="323">
        <v>0</v>
      </c>
      <c r="L31" s="323">
        <v>0</v>
      </c>
      <c r="M31" s="323">
        <v>10283.605691011089</v>
      </c>
      <c r="N31" s="253"/>
      <c r="O31" s="280"/>
      <c r="P31" s="279">
        <v>41</v>
      </c>
      <c r="Q31" s="312"/>
      <c r="R31" s="497">
        <v>44652</v>
      </c>
      <c r="S31" s="498">
        <f t="shared" si="0"/>
        <v>10283.605691011089</v>
      </c>
      <c r="T31" s="258">
        <v>0</v>
      </c>
      <c r="V31" s="497">
        <f t="shared" si="2"/>
        <v>44866</v>
      </c>
      <c r="W31" s="499">
        <f t="shared" si="1"/>
        <v>374350.72702182201</v>
      </c>
    </row>
    <row r="32" spans="1:23" ht="11.85" customHeight="1" x14ac:dyDescent="0.25">
      <c r="A32" s="492">
        <v>44701</v>
      </c>
      <c r="B32" s="252" t="s">
        <v>468</v>
      </c>
      <c r="C32" s="252" t="s">
        <v>469</v>
      </c>
      <c r="D32" s="252" t="s">
        <v>473</v>
      </c>
      <c r="E32" s="252" t="s">
        <v>487</v>
      </c>
      <c r="F32" s="252" t="s">
        <v>460</v>
      </c>
      <c r="G32" s="323">
        <v>10457.398641454191</v>
      </c>
      <c r="H32" s="253">
        <v>10283.605691011089</v>
      </c>
      <c r="I32" s="323">
        <v>0</v>
      </c>
      <c r="J32" s="323">
        <v>0</v>
      </c>
      <c r="K32" s="323">
        <v>0</v>
      </c>
      <c r="L32" s="323">
        <v>0</v>
      </c>
      <c r="M32" s="323">
        <v>10283.605691011089</v>
      </c>
      <c r="N32" s="253"/>
      <c r="O32" s="280"/>
      <c r="P32" s="279">
        <v>41</v>
      </c>
      <c r="Q32" s="312"/>
      <c r="R32" s="497">
        <v>44682</v>
      </c>
      <c r="S32" s="498">
        <f t="shared" si="0"/>
        <v>10283.605691011089</v>
      </c>
      <c r="T32" s="258">
        <v>0</v>
      </c>
      <c r="V32" s="497">
        <f t="shared" si="2"/>
        <v>44896</v>
      </c>
      <c r="W32" s="499">
        <f t="shared" si="1"/>
        <v>735428.68956363259</v>
      </c>
    </row>
    <row r="33" spans="1:23" ht="11.85" customHeight="1" x14ac:dyDescent="0.25">
      <c r="A33" s="492">
        <v>44732</v>
      </c>
      <c r="B33" s="252" t="s">
        <v>468</v>
      </c>
      <c r="C33" s="252" t="s">
        <v>469</v>
      </c>
      <c r="D33" s="252" t="s">
        <v>473</v>
      </c>
      <c r="E33" s="252" t="s">
        <v>488</v>
      </c>
      <c r="F33" s="252" t="s">
        <v>460</v>
      </c>
      <c r="G33" s="323">
        <v>10457.398641454191</v>
      </c>
      <c r="H33" s="253">
        <v>10283.605691011089</v>
      </c>
      <c r="I33" s="323">
        <v>0</v>
      </c>
      <c r="J33" s="323">
        <v>0</v>
      </c>
      <c r="K33" s="323">
        <v>0</v>
      </c>
      <c r="L33" s="323">
        <v>0</v>
      </c>
      <c r="M33" s="323">
        <v>10283.605691011089</v>
      </c>
      <c r="N33" s="253"/>
      <c r="O33" s="280"/>
      <c r="P33" s="279">
        <v>41</v>
      </c>
      <c r="Q33" s="312"/>
      <c r="R33" s="497">
        <v>44713</v>
      </c>
      <c r="S33" s="498">
        <f t="shared" si="0"/>
        <v>10283.605691011089</v>
      </c>
      <c r="T33" s="258">
        <v>0</v>
      </c>
      <c r="V33" s="497">
        <f t="shared" si="2"/>
        <v>44927</v>
      </c>
      <c r="W33" s="499">
        <f t="shared" si="1"/>
        <v>960692.64420234051</v>
      </c>
    </row>
    <row r="34" spans="1:23" ht="11.85" customHeight="1" x14ac:dyDescent="0.25">
      <c r="A34" s="492">
        <v>44762</v>
      </c>
      <c r="B34" s="252" t="s">
        <v>468</v>
      </c>
      <c r="C34" s="252" t="s">
        <v>469</v>
      </c>
      <c r="D34" s="252" t="s">
        <v>473</v>
      </c>
      <c r="E34" s="252" t="s">
        <v>489</v>
      </c>
      <c r="F34" s="252" t="s">
        <v>460</v>
      </c>
      <c r="G34" s="323">
        <v>10457.398641454191</v>
      </c>
      <c r="H34" s="253">
        <v>10283.605691011089</v>
      </c>
      <c r="I34" s="323">
        <v>0</v>
      </c>
      <c r="J34" s="323">
        <v>0</v>
      </c>
      <c r="K34" s="323">
        <v>0</v>
      </c>
      <c r="L34" s="323">
        <v>0</v>
      </c>
      <c r="M34" s="323">
        <v>10283.605691011089</v>
      </c>
      <c r="N34" s="253"/>
      <c r="O34" s="280"/>
      <c r="P34" s="279">
        <v>41</v>
      </c>
      <c r="Q34" s="312"/>
      <c r="R34" s="497">
        <v>44743</v>
      </c>
      <c r="S34" s="498">
        <f t="shared" si="0"/>
        <v>10283.605691011089</v>
      </c>
      <c r="T34" s="258">
        <v>0</v>
      </c>
      <c r="V34" s="497">
        <f t="shared" si="2"/>
        <v>44958</v>
      </c>
      <c r="W34" s="499">
        <f t="shared" si="1"/>
        <v>359940.51604461879</v>
      </c>
    </row>
    <row r="35" spans="1:23" ht="11.85" customHeight="1" x14ac:dyDescent="0.25">
      <c r="A35" s="492">
        <v>44762</v>
      </c>
      <c r="B35" s="252" t="s">
        <v>468</v>
      </c>
      <c r="C35" s="252" t="s">
        <v>469</v>
      </c>
      <c r="D35" s="252" t="s">
        <v>471</v>
      </c>
      <c r="E35" s="252" t="s">
        <v>482</v>
      </c>
      <c r="F35" s="252" t="s">
        <v>460</v>
      </c>
      <c r="G35" s="323">
        <v>522869.93207270949</v>
      </c>
      <c r="H35" s="253">
        <v>514180.28455055458</v>
      </c>
      <c r="I35" s="323">
        <v>0</v>
      </c>
      <c r="J35" s="323">
        <v>0</v>
      </c>
      <c r="K35" s="323">
        <v>0</v>
      </c>
      <c r="L35" s="323">
        <v>0</v>
      </c>
      <c r="M35" s="323">
        <v>514180.28455055458</v>
      </c>
      <c r="N35" s="253"/>
      <c r="O35" s="280"/>
      <c r="P35" s="279">
        <v>41</v>
      </c>
      <c r="Q35" s="312"/>
      <c r="R35" s="497">
        <v>44743</v>
      </c>
      <c r="S35" s="498">
        <f t="shared" si="0"/>
        <v>514180.28455055458</v>
      </c>
      <c r="T35" s="258">
        <v>0</v>
      </c>
      <c r="V35" s="497">
        <f t="shared" si="2"/>
        <v>44986</v>
      </c>
      <c r="W35" s="499">
        <f t="shared" si="1"/>
        <v>359940.51604461879</v>
      </c>
    </row>
    <row r="36" spans="1:23" ht="11.85" customHeight="1" x14ac:dyDescent="0.25">
      <c r="A36" s="492">
        <v>44793</v>
      </c>
      <c r="B36" s="252" t="s">
        <v>468</v>
      </c>
      <c r="C36" s="252" t="s">
        <v>469</v>
      </c>
      <c r="D36" s="252" t="s">
        <v>473</v>
      </c>
      <c r="E36" s="252" t="s">
        <v>490</v>
      </c>
      <c r="F36" s="252" t="s">
        <v>460</v>
      </c>
      <c r="G36" s="323">
        <v>10457.398641454191</v>
      </c>
      <c r="H36" s="253">
        <v>10283.605691011089</v>
      </c>
      <c r="I36" s="323">
        <v>0</v>
      </c>
      <c r="J36" s="323">
        <v>0</v>
      </c>
      <c r="K36" s="323">
        <v>0</v>
      </c>
      <c r="L36" s="323">
        <v>0</v>
      </c>
      <c r="M36" s="323">
        <v>10283.605691011089</v>
      </c>
      <c r="N36" s="253"/>
      <c r="O36" s="280"/>
      <c r="P36" s="279">
        <v>41</v>
      </c>
      <c r="Q36" s="312"/>
      <c r="R36" s="497">
        <v>44774</v>
      </c>
      <c r="S36" s="498">
        <f t="shared" si="0"/>
        <v>10283.605691011089</v>
      </c>
      <c r="T36" s="258">
        <v>0</v>
      </c>
      <c r="V36" s="497">
        <f t="shared" si="2"/>
        <v>45017</v>
      </c>
      <c r="W36" s="499">
        <f t="shared" si="1"/>
        <v>28372787.360802181</v>
      </c>
    </row>
    <row r="37" spans="1:23" ht="11.85" customHeight="1" x14ac:dyDescent="0.25">
      <c r="A37" s="492">
        <v>44824</v>
      </c>
      <c r="B37" s="252" t="s">
        <v>468</v>
      </c>
      <c r="C37" s="252" t="s">
        <v>469</v>
      </c>
      <c r="D37" s="252" t="s">
        <v>473</v>
      </c>
      <c r="E37" s="252" t="s">
        <v>491</v>
      </c>
      <c r="F37" s="252" t="s">
        <v>460</v>
      </c>
      <c r="G37" s="323">
        <v>10457.398641454191</v>
      </c>
      <c r="H37" s="253">
        <v>10283.605691011089</v>
      </c>
      <c r="I37" s="323">
        <v>0</v>
      </c>
      <c r="J37" s="323">
        <v>0</v>
      </c>
      <c r="K37" s="323">
        <v>0</v>
      </c>
      <c r="L37" s="323">
        <v>0</v>
      </c>
      <c r="M37" s="323">
        <v>10283.605691011089</v>
      </c>
      <c r="N37" s="253"/>
      <c r="O37" s="280"/>
      <c r="P37" s="279">
        <v>41</v>
      </c>
      <c r="Q37" s="312"/>
      <c r="R37" s="497">
        <v>44805</v>
      </c>
      <c r="S37" s="498">
        <f t="shared" si="0"/>
        <v>10283.605691011089</v>
      </c>
      <c r="T37" s="258">
        <v>0</v>
      </c>
      <c r="V37" s="497">
        <f t="shared" si="2"/>
        <v>45047</v>
      </c>
      <c r="W37" s="499">
        <f t="shared" si="1"/>
        <v>25791.28303870076</v>
      </c>
    </row>
    <row r="38" spans="1:23" ht="11.85" customHeight="1" x14ac:dyDescent="0.25">
      <c r="A38" s="492">
        <v>44854</v>
      </c>
      <c r="B38" s="252" t="s">
        <v>468</v>
      </c>
      <c r="C38" s="252" t="s">
        <v>469</v>
      </c>
      <c r="D38" s="252" t="s">
        <v>473</v>
      </c>
      <c r="E38" s="252" t="s">
        <v>492</v>
      </c>
      <c r="F38" s="252" t="s">
        <v>460</v>
      </c>
      <c r="G38" s="323">
        <v>10457.398641454191</v>
      </c>
      <c r="H38" s="253">
        <v>10283.605691011089</v>
      </c>
      <c r="I38" s="323">
        <v>0</v>
      </c>
      <c r="J38" s="323">
        <v>0</v>
      </c>
      <c r="K38" s="323">
        <v>0</v>
      </c>
      <c r="L38" s="323">
        <v>0</v>
      </c>
      <c r="M38" s="323">
        <v>10283.605691011089</v>
      </c>
      <c r="N38" s="253"/>
      <c r="O38" s="280"/>
      <c r="P38" s="279">
        <v>41</v>
      </c>
      <c r="Q38" s="312"/>
      <c r="R38" s="497">
        <v>44835</v>
      </c>
      <c r="S38" s="498">
        <f t="shared" si="0"/>
        <v>10283.605691011089</v>
      </c>
      <c r="T38" s="258">
        <v>0</v>
      </c>
      <c r="V38" s="497">
        <f t="shared" si="2"/>
        <v>45078</v>
      </c>
      <c r="W38" s="499">
        <f t="shared" si="1"/>
        <v>25791.28303870076</v>
      </c>
    </row>
    <row r="39" spans="1:23" ht="11.85" customHeight="1" x14ac:dyDescent="0.25">
      <c r="A39" s="492">
        <v>44885</v>
      </c>
      <c r="B39" s="252" t="s">
        <v>468</v>
      </c>
      <c r="C39" s="252" t="s">
        <v>469</v>
      </c>
      <c r="D39" s="252" t="s">
        <v>473</v>
      </c>
      <c r="E39" s="252" t="s">
        <v>493</v>
      </c>
      <c r="F39" s="252" t="s">
        <v>460</v>
      </c>
      <c r="G39" s="323">
        <v>10457.398641454191</v>
      </c>
      <c r="H39" s="253">
        <v>10283.605691011089</v>
      </c>
      <c r="I39" s="323">
        <v>0</v>
      </c>
      <c r="J39" s="323">
        <v>0</v>
      </c>
      <c r="K39" s="323">
        <v>0</v>
      </c>
      <c r="L39" s="323">
        <v>0</v>
      </c>
      <c r="M39" s="323">
        <v>10283.605691011089</v>
      </c>
      <c r="N39" s="253"/>
      <c r="O39" s="280"/>
      <c r="P39" s="279">
        <v>41</v>
      </c>
      <c r="Q39" s="312"/>
      <c r="R39" s="497">
        <v>44866</v>
      </c>
      <c r="S39" s="498">
        <f t="shared" si="0"/>
        <v>10283.605691011089</v>
      </c>
      <c r="T39" s="258">
        <v>0</v>
      </c>
      <c r="V39" s="497">
        <f t="shared" si="2"/>
        <v>45108</v>
      </c>
      <c r="W39" s="499">
        <f t="shared" ref="W39:W70" si="3">SUMIFS($S:$S, $R:$R,$V39,$R:$R, "&lt;"&amp;terminoProjeto)+IF(V39=EDATE(terminoProjeto, -1), SUMIF($R:$R, "&gt;="&amp;terminoProjeto, $S:$S), 0)</f>
        <v>5169.0889452769752</v>
      </c>
    </row>
    <row r="40" spans="1:23" ht="11.85" customHeight="1" x14ac:dyDescent="0.25">
      <c r="A40" s="492">
        <v>44915</v>
      </c>
      <c r="B40" s="252" t="s">
        <v>468</v>
      </c>
      <c r="C40" s="252" t="s">
        <v>469</v>
      </c>
      <c r="D40" s="252" t="s">
        <v>473</v>
      </c>
      <c r="E40" s="252" t="s">
        <v>494</v>
      </c>
      <c r="F40" s="252" t="s">
        <v>460</v>
      </c>
      <c r="G40" s="323">
        <v>10457.398641454191</v>
      </c>
      <c r="H40" s="253">
        <v>10283.605691011089</v>
      </c>
      <c r="I40" s="323">
        <v>0</v>
      </c>
      <c r="J40" s="323">
        <v>0</v>
      </c>
      <c r="K40" s="323">
        <v>0</v>
      </c>
      <c r="L40" s="323">
        <v>0</v>
      </c>
      <c r="M40" s="323">
        <v>10283.605691011089</v>
      </c>
      <c r="N40" s="253"/>
      <c r="O40" s="280"/>
      <c r="P40" s="279">
        <v>41</v>
      </c>
      <c r="Q40" s="312"/>
      <c r="R40" s="497">
        <v>44896</v>
      </c>
      <c r="S40" s="498">
        <f t="shared" si="0"/>
        <v>10283.605691011089</v>
      </c>
      <c r="T40" s="258">
        <v>0</v>
      </c>
      <c r="V40" s="497">
        <f t="shared" ref="V40:V72" si="4">EDATE(V39, 1)</f>
        <v>45139</v>
      </c>
      <c r="W40" s="499">
        <f t="shared" si="3"/>
        <v>8253.2105723842396</v>
      </c>
    </row>
    <row r="41" spans="1:23" ht="11.85" customHeight="1" x14ac:dyDescent="0.25">
      <c r="A41" s="492">
        <v>44946</v>
      </c>
      <c r="B41" s="252" t="s">
        <v>468</v>
      </c>
      <c r="C41" s="252" t="s">
        <v>469</v>
      </c>
      <c r="D41" s="252" t="s">
        <v>473</v>
      </c>
      <c r="E41" s="252" t="s">
        <v>495</v>
      </c>
      <c r="F41" s="252" t="s">
        <v>460</v>
      </c>
      <c r="G41" s="323">
        <v>10457.398641454191</v>
      </c>
      <c r="H41" s="253">
        <v>10283.605691011089</v>
      </c>
      <c r="I41" s="323">
        <v>0</v>
      </c>
      <c r="J41" s="323">
        <v>0</v>
      </c>
      <c r="K41" s="323">
        <v>0</v>
      </c>
      <c r="L41" s="323">
        <v>0</v>
      </c>
      <c r="M41" s="323">
        <v>10283.605691011089</v>
      </c>
      <c r="N41" s="253"/>
      <c r="O41" s="280"/>
      <c r="P41" s="279">
        <v>41</v>
      </c>
      <c r="Q41" s="312"/>
      <c r="R41" s="497">
        <v>44927</v>
      </c>
      <c r="S41" s="498">
        <f t="shared" si="0"/>
        <v>10283.605691011089</v>
      </c>
      <c r="T41" s="258">
        <v>0</v>
      </c>
      <c r="V41" s="497">
        <f t="shared" si="4"/>
        <v>45170</v>
      </c>
      <c r="W41" s="499">
        <f t="shared" si="3"/>
        <v>3124.6735892137199</v>
      </c>
    </row>
    <row r="42" spans="1:23" ht="11.85" customHeight="1" x14ac:dyDescent="0.25">
      <c r="A42" s="492">
        <v>45021</v>
      </c>
      <c r="B42" s="252" t="s">
        <v>468</v>
      </c>
      <c r="C42" s="252" t="s">
        <v>469</v>
      </c>
      <c r="D42" s="252" t="s">
        <v>465</v>
      </c>
      <c r="E42" s="252" t="s">
        <v>466</v>
      </c>
      <c r="F42" s="252" t="s">
        <v>460</v>
      </c>
      <c r="G42" s="323">
        <v>1457721.1096339449</v>
      </c>
      <c r="H42" s="253">
        <v>1433495.041445036</v>
      </c>
      <c r="I42" s="323">
        <v>0</v>
      </c>
      <c r="J42" s="323">
        <v>0</v>
      </c>
      <c r="K42" s="323">
        <v>0</v>
      </c>
      <c r="L42" s="323">
        <v>0</v>
      </c>
      <c r="M42" s="323">
        <v>1433495.041445036</v>
      </c>
      <c r="N42" s="253"/>
      <c r="O42" s="280"/>
      <c r="P42" s="279">
        <v>41</v>
      </c>
      <c r="Q42" s="312"/>
      <c r="R42" s="497">
        <v>45017</v>
      </c>
      <c r="S42" s="498">
        <f t="shared" si="0"/>
        <v>1433495.041445036</v>
      </c>
      <c r="T42" s="258">
        <v>0</v>
      </c>
      <c r="V42" s="497">
        <f t="shared" si="4"/>
        <v>45200</v>
      </c>
      <c r="W42" s="499">
        <f t="shared" si="3"/>
        <v>2039.5885929590179</v>
      </c>
    </row>
    <row r="43" spans="1:23" ht="11.85" customHeight="1" x14ac:dyDescent="0.25">
      <c r="A43" s="492">
        <v>45174</v>
      </c>
      <c r="B43" s="252" t="s">
        <v>468</v>
      </c>
      <c r="C43" s="252" t="s">
        <v>469</v>
      </c>
      <c r="D43" s="252" t="s">
        <v>467</v>
      </c>
      <c r="E43" s="252" t="s">
        <v>466</v>
      </c>
      <c r="F43" s="252" t="s">
        <v>460</v>
      </c>
      <c r="G43" s="323">
        <v>1086.000848915018</v>
      </c>
      <c r="H43" s="253">
        <v>1067.952451011502</v>
      </c>
      <c r="I43" s="323">
        <v>0</v>
      </c>
      <c r="J43" s="323">
        <v>0</v>
      </c>
      <c r="K43" s="323">
        <v>0</v>
      </c>
      <c r="L43" s="323">
        <v>0</v>
      </c>
      <c r="M43" s="323">
        <v>1067.952451011502</v>
      </c>
      <c r="N43" s="253"/>
      <c r="O43" s="280"/>
      <c r="P43" s="279">
        <v>41</v>
      </c>
      <c r="Q43" s="312"/>
      <c r="R43" s="497">
        <v>45170</v>
      </c>
      <c r="S43" s="498">
        <f t="shared" si="0"/>
        <v>1067.952451011502</v>
      </c>
      <c r="T43" s="258">
        <v>0</v>
      </c>
      <c r="V43" s="497">
        <f t="shared" si="4"/>
        <v>45231</v>
      </c>
      <c r="W43" s="499">
        <f t="shared" si="3"/>
        <v>0</v>
      </c>
    </row>
    <row r="44" spans="1:23" ht="11.85" customHeight="1" x14ac:dyDescent="0.25">
      <c r="A44" s="492">
        <v>44392</v>
      </c>
      <c r="B44" s="252" t="s">
        <v>496</v>
      </c>
      <c r="C44" s="252" t="s">
        <v>497</v>
      </c>
      <c r="D44" s="252" t="s">
        <v>471</v>
      </c>
      <c r="E44" s="252" t="s">
        <v>472</v>
      </c>
      <c r="F44" s="252" t="s">
        <v>460</v>
      </c>
      <c r="G44" s="323">
        <v>367180.18060964032</v>
      </c>
      <c r="H44" s="253">
        <v>361077.96254181059</v>
      </c>
      <c r="I44" s="323">
        <v>0</v>
      </c>
      <c r="J44" s="323">
        <v>0</v>
      </c>
      <c r="K44" s="323">
        <v>0</v>
      </c>
      <c r="L44" s="323">
        <v>0</v>
      </c>
      <c r="M44" s="323">
        <v>361077.96254181059</v>
      </c>
      <c r="N44" s="253"/>
      <c r="O44" s="280"/>
      <c r="P44" s="279">
        <v>52</v>
      </c>
      <c r="Q44" s="312"/>
      <c r="R44" s="497">
        <v>44378</v>
      </c>
      <c r="S44" s="498">
        <f t="shared" si="0"/>
        <v>361077.96254181059</v>
      </c>
      <c r="T44" s="258">
        <v>0</v>
      </c>
      <c r="V44" s="497">
        <f t="shared" si="4"/>
        <v>45261</v>
      </c>
      <c r="W44" s="499">
        <f t="shared" si="3"/>
        <v>1000</v>
      </c>
    </row>
    <row r="45" spans="1:23" ht="11.85" customHeight="1" x14ac:dyDescent="0.25">
      <c r="A45" s="492">
        <v>44545</v>
      </c>
      <c r="B45" s="252" t="s">
        <v>496</v>
      </c>
      <c r="C45" s="252" t="s">
        <v>497</v>
      </c>
      <c r="D45" s="252" t="s">
        <v>471</v>
      </c>
      <c r="E45" s="252" t="s">
        <v>472</v>
      </c>
      <c r="F45" s="252" t="s">
        <v>460</v>
      </c>
      <c r="G45" s="323">
        <v>367180.18060964032</v>
      </c>
      <c r="H45" s="253">
        <v>361077.96254181059</v>
      </c>
      <c r="I45" s="323">
        <v>0</v>
      </c>
      <c r="J45" s="323">
        <v>0</v>
      </c>
      <c r="K45" s="323">
        <v>0</v>
      </c>
      <c r="L45" s="323">
        <v>0</v>
      </c>
      <c r="M45" s="323">
        <v>361077.96254181059</v>
      </c>
      <c r="N45" s="253"/>
      <c r="O45" s="280"/>
      <c r="P45" s="279">
        <v>52</v>
      </c>
      <c r="Q45" s="312"/>
      <c r="R45" s="497">
        <v>44531</v>
      </c>
      <c r="S45" s="498">
        <f t="shared" si="0"/>
        <v>361077.96254181059</v>
      </c>
      <c r="T45" s="258">
        <v>0</v>
      </c>
      <c r="V45" s="497">
        <f t="shared" si="4"/>
        <v>45292</v>
      </c>
      <c r="W45" s="499">
        <f t="shared" si="3"/>
        <v>0</v>
      </c>
    </row>
    <row r="46" spans="1:23" ht="11.85" customHeight="1" x14ac:dyDescent="0.25">
      <c r="A46" s="492">
        <v>44757</v>
      </c>
      <c r="B46" s="252" t="s">
        <v>496</v>
      </c>
      <c r="C46" s="252" t="s">
        <v>497</v>
      </c>
      <c r="D46" s="252" t="s">
        <v>471</v>
      </c>
      <c r="E46" s="252" t="s">
        <v>482</v>
      </c>
      <c r="F46" s="252" t="s">
        <v>460</v>
      </c>
      <c r="G46" s="323">
        <v>367180.18060964032</v>
      </c>
      <c r="H46" s="253">
        <v>361077.96254181059</v>
      </c>
      <c r="I46" s="323">
        <v>0</v>
      </c>
      <c r="J46" s="323">
        <v>0</v>
      </c>
      <c r="K46" s="323">
        <v>0</v>
      </c>
      <c r="L46" s="323">
        <v>0</v>
      </c>
      <c r="M46" s="323">
        <v>361077.96254181059</v>
      </c>
      <c r="N46" s="253"/>
      <c r="O46" s="280"/>
      <c r="P46" s="279">
        <v>52</v>
      </c>
      <c r="Q46" s="312"/>
      <c r="R46" s="497">
        <v>44743</v>
      </c>
      <c r="S46" s="498">
        <f t="shared" si="0"/>
        <v>361077.96254181059</v>
      </c>
      <c r="T46" s="258">
        <v>0</v>
      </c>
      <c r="V46" s="497">
        <f t="shared" si="4"/>
        <v>45323</v>
      </c>
      <c r="W46" s="499">
        <f t="shared" si="3"/>
        <v>0</v>
      </c>
    </row>
    <row r="47" spans="1:23" ht="11.85" customHeight="1" x14ac:dyDescent="0.25">
      <c r="A47" s="492">
        <v>44910</v>
      </c>
      <c r="B47" s="252" t="s">
        <v>496</v>
      </c>
      <c r="C47" s="252" t="s">
        <v>497</v>
      </c>
      <c r="D47" s="252" t="s">
        <v>471</v>
      </c>
      <c r="E47" s="252" t="s">
        <v>482</v>
      </c>
      <c r="F47" s="252" t="s">
        <v>460</v>
      </c>
      <c r="G47" s="323">
        <v>367180.18060964032</v>
      </c>
      <c r="H47" s="253">
        <v>361077.96254181059</v>
      </c>
      <c r="I47" s="323">
        <v>0</v>
      </c>
      <c r="J47" s="323">
        <v>0</v>
      </c>
      <c r="K47" s="323">
        <v>0</v>
      </c>
      <c r="L47" s="323">
        <v>0</v>
      </c>
      <c r="M47" s="323">
        <v>361077.96254181059</v>
      </c>
      <c r="N47" s="253"/>
      <c r="O47" s="280"/>
      <c r="P47" s="279">
        <v>52</v>
      </c>
      <c r="Q47" s="312"/>
      <c r="R47" s="497">
        <v>44896</v>
      </c>
      <c r="S47" s="498">
        <f t="shared" si="0"/>
        <v>361077.96254181059</v>
      </c>
      <c r="T47" s="258">
        <v>0</v>
      </c>
      <c r="V47" s="497">
        <f t="shared" si="4"/>
        <v>45352</v>
      </c>
      <c r="W47" s="499">
        <f t="shared" si="3"/>
        <v>0</v>
      </c>
    </row>
    <row r="48" spans="1:23" ht="11.85" customHeight="1" x14ac:dyDescent="0.25">
      <c r="A48" s="492">
        <v>45031</v>
      </c>
      <c r="B48" s="252" t="s">
        <v>496</v>
      </c>
      <c r="C48" s="252" t="s">
        <v>497</v>
      </c>
      <c r="D48" s="252" t="s">
        <v>465</v>
      </c>
      <c r="E48" s="252" t="s">
        <v>466</v>
      </c>
      <c r="F48" s="252" t="s">
        <v>460</v>
      </c>
      <c r="G48" s="323">
        <v>628402.65195764159</v>
      </c>
      <c r="H48" s="253">
        <v>617959.14160727023</v>
      </c>
      <c r="I48" s="323">
        <v>0</v>
      </c>
      <c r="J48" s="323">
        <v>0</v>
      </c>
      <c r="K48" s="323">
        <v>0</v>
      </c>
      <c r="L48" s="323">
        <v>0</v>
      </c>
      <c r="M48" s="323">
        <v>617959.14160727023</v>
      </c>
      <c r="N48" s="253"/>
      <c r="O48" s="280"/>
      <c r="P48" s="279">
        <v>52</v>
      </c>
      <c r="Q48" s="312"/>
      <c r="R48" s="497">
        <v>45017</v>
      </c>
      <c r="S48" s="498">
        <f t="shared" si="0"/>
        <v>617959.14160727023</v>
      </c>
      <c r="T48" s="258">
        <v>0</v>
      </c>
      <c r="V48" s="497">
        <f t="shared" si="4"/>
        <v>45383</v>
      </c>
      <c r="W48" s="499">
        <f t="shared" si="3"/>
        <v>0</v>
      </c>
    </row>
    <row r="49" spans="1:23" ht="11.85" customHeight="1" x14ac:dyDescent="0.25">
      <c r="A49" s="492">
        <v>45143</v>
      </c>
      <c r="B49" s="252" t="s">
        <v>496</v>
      </c>
      <c r="C49" s="252" t="s">
        <v>497</v>
      </c>
      <c r="D49" s="252" t="s">
        <v>467</v>
      </c>
      <c r="E49" s="252" t="s">
        <v>466</v>
      </c>
      <c r="F49" s="252" t="s">
        <v>460</v>
      </c>
      <c r="G49" s="323">
        <v>1049.0862303132581</v>
      </c>
      <c r="H49" s="253">
        <v>1031.65132154803</v>
      </c>
      <c r="I49" s="323">
        <v>0</v>
      </c>
      <c r="J49" s="323">
        <v>0</v>
      </c>
      <c r="K49" s="323">
        <v>0</v>
      </c>
      <c r="L49" s="323">
        <v>0</v>
      </c>
      <c r="M49" s="323">
        <v>1031.65132154803</v>
      </c>
      <c r="N49" s="253"/>
      <c r="O49" s="280"/>
      <c r="P49" s="279">
        <v>52</v>
      </c>
      <c r="Q49" s="312"/>
      <c r="R49" s="497">
        <v>45139</v>
      </c>
      <c r="S49" s="498">
        <f t="shared" si="0"/>
        <v>1031.65132154803</v>
      </c>
      <c r="T49" s="258">
        <v>0</v>
      </c>
      <c r="V49" s="497">
        <f t="shared" si="4"/>
        <v>45413</v>
      </c>
      <c r="W49" s="499">
        <f t="shared" si="3"/>
        <v>0</v>
      </c>
    </row>
    <row r="50" spans="1:23" ht="11.85" customHeight="1" x14ac:dyDescent="0.25">
      <c r="A50" s="492">
        <v>44185</v>
      </c>
      <c r="B50" s="252" t="s">
        <v>498</v>
      </c>
      <c r="C50" s="252" t="s">
        <v>499</v>
      </c>
      <c r="D50" s="252" t="s">
        <v>458</v>
      </c>
      <c r="E50" s="252" t="s">
        <v>500</v>
      </c>
      <c r="F50" s="252" t="s">
        <v>460</v>
      </c>
      <c r="G50" s="323">
        <v>18951.80569578283</v>
      </c>
      <c r="H50" s="253">
        <v>18636.843022844459</v>
      </c>
      <c r="I50" s="323">
        <v>0</v>
      </c>
      <c r="J50" s="323">
        <v>0</v>
      </c>
      <c r="K50" s="323">
        <v>0</v>
      </c>
      <c r="L50" s="323">
        <v>0</v>
      </c>
      <c r="M50" s="323">
        <v>18636.843022844459</v>
      </c>
      <c r="N50" s="253"/>
      <c r="O50" s="280"/>
      <c r="P50" s="279">
        <v>72</v>
      </c>
      <c r="Q50" s="312"/>
      <c r="R50" s="497">
        <v>44166</v>
      </c>
      <c r="S50" s="498">
        <f t="shared" si="0"/>
        <v>18636.843022844459</v>
      </c>
      <c r="T50" s="258">
        <v>0</v>
      </c>
      <c r="V50" s="497">
        <f t="shared" si="4"/>
        <v>45444</v>
      </c>
      <c r="W50" s="499">
        <f t="shared" si="3"/>
        <v>0</v>
      </c>
    </row>
    <row r="51" spans="1:23" ht="11.85" customHeight="1" x14ac:dyDescent="0.25">
      <c r="A51" s="492">
        <v>44216</v>
      </c>
      <c r="B51" s="252" t="s">
        <v>498</v>
      </c>
      <c r="C51" s="252" t="s">
        <v>499</v>
      </c>
      <c r="D51" s="252" t="s">
        <v>458</v>
      </c>
      <c r="E51" s="252" t="s">
        <v>501</v>
      </c>
      <c r="F51" s="252" t="s">
        <v>460</v>
      </c>
      <c r="G51" s="323">
        <v>18951.80569578283</v>
      </c>
      <c r="H51" s="253">
        <v>18636.843022844459</v>
      </c>
      <c r="I51" s="323">
        <v>0</v>
      </c>
      <c r="J51" s="323">
        <v>0</v>
      </c>
      <c r="K51" s="323">
        <v>0</v>
      </c>
      <c r="L51" s="323">
        <v>0</v>
      </c>
      <c r="M51" s="323">
        <v>18636.843022844459</v>
      </c>
      <c r="N51" s="253"/>
      <c r="O51" s="280"/>
      <c r="P51" s="279">
        <v>72</v>
      </c>
      <c r="Q51" s="312"/>
      <c r="R51" s="497">
        <v>44197</v>
      </c>
      <c r="S51" s="498">
        <f t="shared" si="0"/>
        <v>18636.843022844459</v>
      </c>
      <c r="T51" s="258">
        <v>0</v>
      </c>
      <c r="V51" s="497">
        <f t="shared" si="4"/>
        <v>45474</v>
      </c>
      <c r="W51" s="499">
        <f t="shared" si="3"/>
        <v>0</v>
      </c>
    </row>
    <row r="52" spans="1:23" ht="11.85" customHeight="1" x14ac:dyDescent="0.25">
      <c r="A52" s="492">
        <v>44247</v>
      </c>
      <c r="B52" s="252" t="s">
        <v>498</v>
      </c>
      <c r="C52" s="252" t="s">
        <v>499</v>
      </c>
      <c r="D52" s="252" t="s">
        <v>458</v>
      </c>
      <c r="E52" s="252" t="s">
        <v>502</v>
      </c>
      <c r="F52" s="252" t="s">
        <v>460</v>
      </c>
      <c r="G52" s="323">
        <v>18951.80569578283</v>
      </c>
      <c r="H52" s="253">
        <v>18636.843022844459</v>
      </c>
      <c r="I52" s="323">
        <v>0</v>
      </c>
      <c r="J52" s="323">
        <v>0</v>
      </c>
      <c r="K52" s="323">
        <v>0</v>
      </c>
      <c r="L52" s="323">
        <v>0</v>
      </c>
      <c r="M52" s="323">
        <v>18636.843022844459</v>
      </c>
      <c r="N52" s="253"/>
      <c r="O52" s="280"/>
      <c r="P52" s="279">
        <v>72</v>
      </c>
      <c r="Q52" s="312"/>
      <c r="R52" s="497">
        <v>44228</v>
      </c>
      <c r="S52" s="498">
        <f t="shared" si="0"/>
        <v>18636.843022844459</v>
      </c>
      <c r="T52" s="258">
        <v>0</v>
      </c>
      <c r="V52" s="497">
        <f t="shared" si="4"/>
        <v>45505</v>
      </c>
      <c r="W52" s="499">
        <f t="shared" si="3"/>
        <v>0</v>
      </c>
    </row>
    <row r="53" spans="1:23" ht="11.85" customHeight="1" x14ac:dyDescent="0.25">
      <c r="A53" s="492">
        <v>44275</v>
      </c>
      <c r="B53" s="252" t="s">
        <v>498</v>
      </c>
      <c r="C53" s="252" t="s">
        <v>499</v>
      </c>
      <c r="D53" s="252" t="s">
        <v>458</v>
      </c>
      <c r="E53" s="252" t="s">
        <v>503</v>
      </c>
      <c r="F53" s="252" t="s">
        <v>460</v>
      </c>
      <c r="G53" s="323">
        <v>18951.80569578283</v>
      </c>
      <c r="H53" s="253">
        <v>18636.843022844459</v>
      </c>
      <c r="I53" s="323">
        <v>0</v>
      </c>
      <c r="J53" s="323">
        <v>0</v>
      </c>
      <c r="K53" s="323">
        <v>0</v>
      </c>
      <c r="L53" s="323">
        <v>0</v>
      </c>
      <c r="M53" s="323">
        <v>18636.843022844459</v>
      </c>
      <c r="N53" s="253"/>
      <c r="O53" s="280"/>
      <c r="P53" s="279">
        <v>72</v>
      </c>
      <c r="Q53" s="312"/>
      <c r="R53" s="497">
        <v>44256</v>
      </c>
      <c r="S53" s="498">
        <f t="shared" si="0"/>
        <v>18636.843022844459</v>
      </c>
      <c r="T53" s="258">
        <v>0</v>
      </c>
      <c r="V53" s="497">
        <f t="shared" si="4"/>
        <v>45536</v>
      </c>
      <c r="W53" s="499">
        <f t="shared" si="3"/>
        <v>0</v>
      </c>
    </row>
    <row r="54" spans="1:23" ht="11.85" customHeight="1" x14ac:dyDescent="0.25">
      <c r="A54" s="492">
        <v>44306</v>
      </c>
      <c r="B54" s="252" t="s">
        <v>498</v>
      </c>
      <c r="C54" s="252" t="s">
        <v>499</v>
      </c>
      <c r="D54" s="252" t="s">
        <v>458</v>
      </c>
      <c r="E54" s="252" t="s">
        <v>504</v>
      </c>
      <c r="F54" s="252" t="s">
        <v>460</v>
      </c>
      <c r="G54" s="323">
        <v>18951.80569578283</v>
      </c>
      <c r="H54" s="253">
        <v>18636.843022844459</v>
      </c>
      <c r="I54" s="323">
        <v>0</v>
      </c>
      <c r="J54" s="323">
        <v>0</v>
      </c>
      <c r="K54" s="323">
        <v>0</v>
      </c>
      <c r="L54" s="323">
        <v>0</v>
      </c>
      <c r="M54" s="323">
        <v>18636.843022844459</v>
      </c>
      <c r="N54" s="253"/>
      <c r="O54" s="280"/>
      <c r="P54" s="279">
        <v>72</v>
      </c>
      <c r="Q54" s="312"/>
      <c r="R54" s="497">
        <v>44287</v>
      </c>
      <c r="S54" s="498">
        <f t="shared" si="0"/>
        <v>18636.843022844459</v>
      </c>
      <c r="T54" s="258">
        <v>0</v>
      </c>
      <c r="V54" s="497">
        <f t="shared" si="4"/>
        <v>45566</v>
      </c>
      <c r="W54" s="499">
        <f t="shared" si="3"/>
        <v>0</v>
      </c>
    </row>
    <row r="55" spans="1:23" ht="11.85" customHeight="1" x14ac:dyDescent="0.25">
      <c r="A55" s="492">
        <v>44336</v>
      </c>
      <c r="B55" s="252" t="s">
        <v>498</v>
      </c>
      <c r="C55" s="252" t="s">
        <v>499</v>
      </c>
      <c r="D55" s="252" t="s">
        <v>458</v>
      </c>
      <c r="E55" s="252" t="s">
        <v>505</v>
      </c>
      <c r="F55" s="252" t="s">
        <v>460</v>
      </c>
      <c r="G55" s="323">
        <v>18951.80569578283</v>
      </c>
      <c r="H55" s="253">
        <v>18636.843022844459</v>
      </c>
      <c r="I55" s="323">
        <v>0</v>
      </c>
      <c r="J55" s="323">
        <v>0</v>
      </c>
      <c r="K55" s="323">
        <v>0</v>
      </c>
      <c r="L55" s="323">
        <v>0</v>
      </c>
      <c r="M55" s="323">
        <v>18636.843022844459</v>
      </c>
      <c r="N55" s="253"/>
      <c r="O55" s="280"/>
      <c r="P55" s="279">
        <v>72</v>
      </c>
      <c r="Q55" s="312"/>
      <c r="R55" s="497">
        <v>44317</v>
      </c>
      <c r="S55" s="498">
        <f t="shared" si="0"/>
        <v>18636.843022844459</v>
      </c>
      <c r="T55" s="258">
        <v>0</v>
      </c>
      <c r="V55" s="497">
        <f t="shared" si="4"/>
        <v>45597</v>
      </c>
      <c r="W55" s="499">
        <f t="shared" si="3"/>
        <v>0</v>
      </c>
    </row>
    <row r="56" spans="1:23" ht="11.85" customHeight="1" x14ac:dyDescent="0.25">
      <c r="A56" s="492">
        <v>44367</v>
      </c>
      <c r="B56" s="252" t="s">
        <v>498</v>
      </c>
      <c r="C56" s="252" t="s">
        <v>499</v>
      </c>
      <c r="D56" s="252" t="s">
        <v>458</v>
      </c>
      <c r="E56" s="252" t="s">
        <v>506</v>
      </c>
      <c r="F56" s="252" t="s">
        <v>460</v>
      </c>
      <c r="G56" s="323">
        <v>18951.80569578283</v>
      </c>
      <c r="H56" s="253">
        <v>18636.843022844459</v>
      </c>
      <c r="I56" s="323">
        <v>0</v>
      </c>
      <c r="J56" s="323">
        <v>0</v>
      </c>
      <c r="K56" s="323">
        <v>0</v>
      </c>
      <c r="L56" s="323">
        <v>0</v>
      </c>
      <c r="M56" s="323">
        <v>18636.843022844459</v>
      </c>
      <c r="N56" s="253"/>
      <c r="O56" s="280"/>
      <c r="P56" s="279">
        <v>72</v>
      </c>
      <c r="Q56" s="312"/>
      <c r="R56" s="497">
        <v>44348</v>
      </c>
      <c r="S56" s="498">
        <f t="shared" si="0"/>
        <v>18636.843022844459</v>
      </c>
      <c r="T56" s="258">
        <v>0</v>
      </c>
      <c r="V56" s="497">
        <f t="shared" si="4"/>
        <v>45627</v>
      </c>
      <c r="W56" s="499">
        <f t="shared" si="3"/>
        <v>0</v>
      </c>
    </row>
    <row r="57" spans="1:23" ht="11.85" customHeight="1" x14ac:dyDescent="0.25">
      <c r="A57" s="492">
        <v>44397</v>
      </c>
      <c r="B57" s="252" t="s">
        <v>498</v>
      </c>
      <c r="C57" s="252" t="s">
        <v>499</v>
      </c>
      <c r="D57" s="252" t="s">
        <v>458</v>
      </c>
      <c r="E57" s="252" t="s">
        <v>507</v>
      </c>
      <c r="F57" s="252" t="s">
        <v>460</v>
      </c>
      <c r="G57" s="323">
        <v>18951.80569578283</v>
      </c>
      <c r="H57" s="253">
        <v>18636.843022844459</v>
      </c>
      <c r="I57" s="323">
        <v>0</v>
      </c>
      <c r="J57" s="323">
        <v>0</v>
      </c>
      <c r="K57" s="323">
        <v>0</v>
      </c>
      <c r="L57" s="323">
        <v>0</v>
      </c>
      <c r="M57" s="323">
        <v>18636.843022844459</v>
      </c>
      <c r="N57" s="253"/>
      <c r="P57" s="279">
        <v>72</v>
      </c>
      <c r="Q57" s="312"/>
      <c r="R57" s="497">
        <v>44378</v>
      </c>
      <c r="S57" s="498">
        <f t="shared" si="0"/>
        <v>18636.843022844459</v>
      </c>
      <c r="T57" s="258">
        <v>0</v>
      </c>
      <c r="V57" s="497">
        <f t="shared" si="4"/>
        <v>45658</v>
      </c>
      <c r="W57" s="499">
        <f t="shared" si="3"/>
        <v>0</v>
      </c>
    </row>
    <row r="58" spans="1:23" ht="11.85" customHeight="1" x14ac:dyDescent="0.25">
      <c r="A58" s="492">
        <v>44428</v>
      </c>
      <c r="B58" s="252" t="s">
        <v>498</v>
      </c>
      <c r="C58" s="252" t="s">
        <v>499</v>
      </c>
      <c r="D58" s="252" t="s">
        <v>458</v>
      </c>
      <c r="E58" s="252" t="s">
        <v>508</v>
      </c>
      <c r="F58" s="252" t="s">
        <v>460</v>
      </c>
      <c r="G58" s="323">
        <v>18951.80569578283</v>
      </c>
      <c r="H58" s="253">
        <v>18636.843022844459</v>
      </c>
      <c r="I58" s="323">
        <v>0</v>
      </c>
      <c r="J58" s="323">
        <v>0</v>
      </c>
      <c r="K58" s="323">
        <v>0</v>
      </c>
      <c r="L58" s="323">
        <v>0</v>
      </c>
      <c r="M58" s="323">
        <v>18636.843022844459</v>
      </c>
      <c r="N58" s="253"/>
      <c r="P58" s="279">
        <v>72</v>
      </c>
      <c r="Q58" s="312"/>
      <c r="R58" s="497">
        <v>44409</v>
      </c>
      <c r="S58" s="498">
        <f t="shared" si="0"/>
        <v>18636.843022844459</v>
      </c>
      <c r="T58" s="258">
        <v>0</v>
      </c>
      <c r="V58" s="497">
        <f t="shared" si="4"/>
        <v>45689</v>
      </c>
      <c r="W58" s="499">
        <f t="shared" si="3"/>
        <v>0</v>
      </c>
    </row>
    <row r="59" spans="1:23" ht="11.85" customHeight="1" x14ac:dyDescent="0.25">
      <c r="A59" s="492">
        <v>44459</v>
      </c>
      <c r="B59" s="252" t="s">
        <v>498</v>
      </c>
      <c r="C59" s="252" t="s">
        <v>499</v>
      </c>
      <c r="D59" s="252" t="s">
        <v>458</v>
      </c>
      <c r="E59" s="252" t="s">
        <v>509</v>
      </c>
      <c r="F59" s="252" t="s">
        <v>460</v>
      </c>
      <c r="G59" s="323">
        <v>18951.80569578283</v>
      </c>
      <c r="H59" s="253">
        <v>18636.843022844459</v>
      </c>
      <c r="I59" s="323">
        <v>0</v>
      </c>
      <c r="J59" s="323">
        <v>0</v>
      </c>
      <c r="K59" s="323">
        <v>0</v>
      </c>
      <c r="L59" s="323">
        <v>0</v>
      </c>
      <c r="M59" s="323">
        <v>18636.843022844459</v>
      </c>
      <c r="N59" s="253"/>
      <c r="P59" s="279">
        <v>72</v>
      </c>
      <c r="Q59" s="312"/>
      <c r="R59" s="497">
        <v>44440</v>
      </c>
      <c r="S59" s="498">
        <f t="shared" si="0"/>
        <v>18636.843022844459</v>
      </c>
      <c r="T59" s="258">
        <v>0</v>
      </c>
      <c r="V59" s="497">
        <f t="shared" si="4"/>
        <v>45717</v>
      </c>
      <c r="W59" s="499">
        <f t="shared" si="3"/>
        <v>0</v>
      </c>
    </row>
    <row r="60" spans="1:23" ht="11.85" customHeight="1" x14ac:dyDescent="0.25">
      <c r="A60" s="492">
        <v>44489</v>
      </c>
      <c r="B60" s="252" t="s">
        <v>498</v>
      </c>
      <c r="C60" s="252" t="s">
        <v>499</v>
      </c>
      <c r="D60" s="252" t="s">
        <v>458</v>
      </c>
      <c r="E60" s="252" t="s">
        <v>510</v>
      </c>
      <c r="F60" s="252" t="s">
        <v>460</v>
      </c>
      <c r="G60" s="323">
        <v>18951.80569578283</v>
      </c>
      <c r="H60" s="253">
        <v>18636.843022844459</v>
      </c>
      <c r="I60" s="323">
        <v>0</v>
      </c>
      <c r="J60" s="323">
        <v>0</v>
      </c>
      <c r="K60" s="323">
        <v>0</v>
      </c>
      <c r="L60" s="323">
        <v>0</v>
      </c>
      <c r="M60" s="323">
        <v>18636.843022844459</v>
      </c>
      <c r="N60" s="253"/>
      <c r="P60" s="279">
        <v>72</v>
      </c>
      <c r="Q60" s="312"/>
      <c r="R60" s="497">
        <v>44470</v>
      </c>
      <c r="S60" s="498">
        <f t="shared" si="0"/>
        <v>18636.843022844459</v>
      </c>
      <c r="T60" s="258">
        <v>0</v>
      </c>
      <c r="V60" s="497">
        <f t="shared" si="4"/>
        <v>45748</v>
      </c>
      <c r="W60" s="499">
        <f t="shared" si="3"/>
        <v>0</v>
      </c>
    </row>
    <row r="61" spans="1:23" ht="11.85" customHeight="1" x14ac:dyDescent="0.25">
      <c r="A61" s="492">
        <v>44520</v>
      </c>
      <c r="B61" s="252" t="s">
        <v>498</v>
      </c>
      <c r="C61" s="252" t="s">
        <v>499</v>
      </c>
      <c r="D61" s="252" t="s">
        <v>458</v>
      </c>
      <c r="E61" s="252" t="s">
        <v>511</v>
      </c>
      <c r="F61" s="252" t="s">
        <v>460</v>
      </c>
      <c r="G61" s="323">
        <v>18951.80569578283</v>
      </c>
      <c r="H61" s="253">
        <v>18636.843022844459</v>
      </c>
      <c r="I61" s="323">
        <v>0</v>
      </c>
      <c r="J61" s="323">
        <v>0</v>
      </c>
      <c r="K61" s="323">
        <v>0</v>
      </c>
      <c r="L61" s="323">
        <v>0</v>
      </c>
      <c r="M61" s="323">
        <v>18636.843022844459</v>
      </c>
      <c r="N61" s="253"/>
      <c r="P61" s="279">
        <v>72</v>
      </c>
      <c r="Q61" s="312"/>
      <c r="R61" s="497">
        <v>44501</v>
      </c>
      <c r="S61" s="498">
        <f t="shared" si="0"/>
        <v>18636.843022844459</v>
      </c>
      <c r="T61" s="258">
        <v>0</v>
      </c>
      <c r="V61" s="497">
        <f t="shared" si="4"/>
        <v>45778</v>
      </c>
      <c r="W61" s="499">
        <f t="shared" si="3"/>
        <v>0</v>
      </c>
    </row>
    <row r="62" spans="1:23" ht="11.85" customHeight="1" x14ac:dyDescent="0.25">
      <c r="A62" s="492">
        <v>44550</v>
      </c>
      <c r="B62" s="252" t="s">
        <v>498</v>
      </c>
      <c r="C62" s="252" t="s">
        <v>499</v>
      </c>
      <c r="D62" s="252" t="s">
        <v>458</v>
      </c>
      <c r="E62" s="252" t="s">
        <v>512</v>
      </c>
      <c r="F62" s="252" t="s">
        <v>460</v>
      </c>
      <c r="G62" s="323">
        <v>18951.80569578283</v>
      </c>
      <c r="H62" s="253">
        <v>18636.843022844459</v>
      </c>
      <c r="I62" s="323">
        <v>0</v>
      </c>
      <c r="J62" s="323">
        <v>0</v>
      </c>
      <c r="K62" s="323">
        <v>0</v>
      </c>
      <c r="L62" s="323">
        <v>0</v>
      </c>
      <c r="M62" s="323">
        <v>18636.843022844459</v>
      </c>
      <c r="N62" s="253"/>
      <c r="P62" s="279">
        <v>72</v>
      </c>
      <c r="Q62" s="312"/>
      <c r="R62" s="497">
        <v>44531</v>
      </c>
      <c r="S62" s="498">
        <f t="shared" si="0"/>
        <v>18636.843022844459</v>
      </c>
      <c r="T62" s="258">
        <v>0</v>
      </c>
      <c r="V62" s="497">
        <f t="shared" si="4"/>
        <v>45809</v>
      </c>
      <c r="W62" s="499">
        <f t="shared" si="3"/>
        <v>0</v>
      </c>
    </row>
    <row r="63" spans="1:23" ht="11.85" customHeight="1" x14ac:dyDescent="0.25">
      <c r="A63" s="492">
        <v>44581</v>
      </c>
      <c r="B63" s="252" t="s">
        <v>498</v>
      </c>
      <c r="C63" s="252" t="s">
        <v>499</v>
      </c>
      <c r="D63" s="252" t="s">
        <v>458</v>
      </c>
      <c r="E63" s="252" t="s">
        <v>513</v>
      </c>
      <c r="F63" s="252" t="s">
        <v>460</v>
      </c>
      <c r="G63" s="323">
        <v>18951.80569578283</v>
      </c>
      <c r="H63" s="253">
        <v>18636.843022844459</v>
      </c>
      <c r="I63" s="323">
        <v>0</v>
      </c>
      <c r="J63" s="323">
        <v>0</v>
      </c>
      <c r="K63" s="323">
        <v>0</v>
      </c>
      <c r="L63" s="323">
        <v>0</v>
      </c>
      <c r="M63" s="323">
        <v>18636.843022844459</v>
      </c>
      <c r="N63" s="253"/>
      <c r="P63" s="279">
        <v>72</v>
      </c>
      <c r="Q63" s="312"/>
      <c r="R63" s="497">
        <v>44562</v>
      </c>
      <c r="S63" s="498">
        <f t="shared" si="0"/>
        <v>18636.843022844459</v>
      </c>
      <c r="T63" s="258">
        <v>0</v>
      </c>
      <c r="V63" s="497">
        <f t="shared" si="4"/>
        <v>45839</v>
      </c>
      <c r="W63" s="499">
        <f t="shared" si="3"/>
        <v>0</v>
      </c>
    </row>
    <row r="64" spans="1:23" ht="11.85" customHeight="1" x14ac:dyDescent="0.25">
      <c r="A64" s="492">
        <v>44612</v>
      </c>
      <c r="B64" s="252" t="s">
        <v>498</v>
      </c>
      <c r="C64" s="252" t="s">
        <v>499</v>
      </c>
      <c r="D64" s="252" t="s">
        <v>458</v>
      </c>
      <c r="E64" s="252" t="s">
        <v>514</v>
      </c>
      <c r="F64" s="252" t="s">
        <v>460</v>
      </c>
      <c r="G64" s="323">
        <v>18951.80569578283</v>
      </c>
      <c r="H64" s="253">
        <v>18636.843022844459</v>
      </c>
      <c r="I64" s="323">
        <v>0</v>
      </c>
      <c r="J64" s="323">
        <v>0</v>
      </c>
      <c r="K64" s="323">
        <v>0</v>
      </c>
      <c r="L64" s="323">
        <v>0</v>
      </c>
      <c r="M64" s="323">
        <v>18636.843022844459</v>
      </c>
      <c r="N64" s="253"/>
      <c r="P64" s="279">
        <v>72</v>
      </c>
      <c r="Q64" s="312"/>
      <c r="R64" s="497">
        <v>44593</v>
      </c>
      <c r="S64" s="498">
        <f t="shared" si="0"/>
        <v>18636.843022844459</v>
      </c>
      <c r="T64" s="258">
        <v>0</v>
      </c>
      <c r="V64" s="497">
        <f t="shared" si="4"/>
        <v>45870</v>
      </c>
      <c r="W64" s="499">
        <f t="shared" si="3"/>
        <v>0</v>
      </c>
    </row>
    <row r="65" spans="1:23" ht="11.85" customHeight="1" x14ac:dyDescent="0.25">
      <c r="A65" s="492">
        <v>44640</v>
      </c>
      <c r="B65" s="252" t="s">
        <v>498</v>
      </c>
      <c r="C65" s="252" t="s">
        <v>499</v>
      </c>
      <c r="D65" s="252" t="s">
        <v>458</v>
      </c>
      <c r="E65" s="252" t="s">
        <v>515</v>
      </c>
      <c r="F65" s="252" t="s">
        <v>460</v>
      </c>
      <c r="G65" s="323">
        <v>18951.80569578283</v>
      </c>
      <c r="H65" s="253">
        <v>18636.843022844459</v>
      </c>
      <c r="I65" s="323">
        <v>0</v>
      </c>
      <c r="J65" s="323">
        <v>0</v>
      </c>
      <c r="K65" s="323">
        <v>0</v>
      </c>
      <c r="L65" s="323">
        <v>0</v>
      </c>
      <c r="M65" s="323">
        <v>18636.843022844459</v>
      </c>
      <c r="N65" s="253"/>
      <c r="P65" s="279">
        <v>72</v>
      </c>
      <c r="Q65" s="312"/>
      <c r="R65" s="497">
        <v>44621</v>
      </c>
      <c r="S65" s="498">
        <f t="shared" si="0"/>
        <v>18636.843022844459</v>
      </c>
      <c r="T65" s="258">
        <v>0</v>
      </c>
      <c r="V65" s="497">
        <f t="shared" si="4"/>
        <v>45901</v>
      </c>
      <c r="W65" s="499">
        <f t="shared" si="3"/>
        <v>0</v>
      </c>
    </row>
    <row r="66" spans="1:23" ht="11.85" customHeight="1" x14ac:dyDescent="0.25">
      <c r="A66" s="492">
        <v>44671</v>
      </c>
      <c r="B66" s="252" t="s">
        <v>498</v>
      </c>
      <c r="C66" s="252" t="s">
        <v>499</v>
      </c>
      <c r="D66" s="252" t="s">
        <v>458</v>
      </c>
      <c r="E66" s="252" t="s">
        <v>516</v>
      </c>
      <c r="F66" s="252" t="s">
        <v>460</v>
      </c>
      <c r="G66" s="323">
        <v>18951.80569578283</v>
      </c>
      <c r="H66" s="253">
        <v>18636.843022844459</v>
      </c>
      <c r="I66" s="323">
        <v>0</v>
      </c>
      <c r="J66" s="323">
        <v>0</v>
      </c>
      <c r="K66" s="323">
        <v>0</v>
      </c>
      <c r="L66" s="323">
        <v>0</v>
      </c>
      <c r="M66" s="323">
        <v>18636.843022844459</v>
      </c>
      <c r="N66" s="253"/>
      <c r="P66" s="279">
        <v>72</v>
      </c>
      <c r="Q66" s="312"/>
      <c r="R66" s="497">
        <v>44652</v>
      </c>
      <c r="S66" s="498">
        <f t="shared" si="0"/>
        <v>18636.843022844459</v>
      </c>
      <c r="T66" s="258">
        <v>0</v>
      </c>
      <c r="V66" s="497">
        <f t="shared" si="4"/>
        <v>45931</v>
      </c>
      <c r="W66" s="499">
        <f t="shared" si="3"/>
        <v>0</v>
      </c>
    </row>
    <row r="67" spans="1:23" ht="11.85" customHeight="1" x14ac:dyDescent="0.25">
      <c r="A67" s="492">
        <v>44701</v>
      </c>
      <c r="B67" s="252" t="s">
        <v>498</v>
      </c>
      <c r="C67" s="252" t="s">
        <v>499</v>
      </c>
      <c r="D67" s="252" t="s">
        <v>458</v>
      </c>
      <c r="E67" s="252" t="s">
        <v>517</v>
      </c>
      <c r="F67" s="252" t="s">
        <v>460</v>
      </c>
      <c r="G67" s="323">
        <v>18951.80569578283</v>
      </c>
      <c r="H67" s="253">
        <v>18636.843022844459</v>
      </c>
      <c r="I67" s="323">
        <v>0</v>
      </c>
      <c r="J67" s="323">
        <v>0</v>
      </c>
      <c r="K67" s="323">
        <v>0</v>
      </c>
      <c r="L67" s="323">
        <v>0</v>
      </c>
      <c r="M67" s="323">
        <v>18636.843022844459</v>
      </c>
      <c r="N67" s="253"/>
      <c r="P67" s="279">
        <v>72</v>
      </c>
      <c r="Q67" s="312"/>
      <c r="R67" s="497">
        <v>44682</v>
      </c>
      <c r="S67" s="498">
        <f t="shared" si="0"/>
        <v>18636.843022844459</v>
      </c>
      <c r="T67" s="258">
        <v>0</v>
      </c>
      <c r="V67" s="497">
        <f t="shared" si="4"/>
        <v>45962</v>
      </c>
      <c r="W67" s="499">
        <f t="shared" si="3"/>
        <v>0</v>
      </c>
    </row>
    <row r="68" spans="1:23" ht="11.85" customHeight="1" x14ac:dyDescent="0.25">
      <c r="A68" s="492">
        <v>44732</v>
      </c>
      <c r="B68" s="252" t="s">
        <v>498</v>
      </c>
      <c r="C68" s="252" t="s">
        <v>499</v>
      </c>
      <c r="D68" s="252" t="s">
        <v>458</v>
      </c>
      <c r="E68" s="252" t="s">
        <v>518</v>
      </c>
      <c r="F68" s="252" t="s">
        <v>460</v>
      </c>
      <c r="G68" s="323">
        <v>18951.80569578283</v>
      </c>
      <c r="H68" s="253">
        <v>18636.843022844459</v>
      </c>
      <c r="I68" s="323">
        <v>0</v>
      </c>
      <c r="J68" s="323">
        <v>0</v>
      </c>
      <c r="K68" s="323">
        <v>0</v>
      </c>
      <c r="L68" s="323">
        <v>0</v>
      </c>
      <c r="M68" s="323">
        <v>18636.843022844459</v>
      </c>
      <c r="N68" s="253"/>
      <c r="P68" s="279">
        <v>72</v>
      </c>
      <c r="Q68" s="312"/>
      <c r="R68" s="497">
        <v>44713</v>
      </c>
      <c r="S68" s="498">
        <f t="shared" si="0"/>
        <v>18636.843022844459</v>
      </c>
      <c r="T68" s="258">
        <v>0</v>
      </c>
      <c r="V68" s="497">
        <f t="shared" si="4"/>
        <v>45992</v>
      </c>
      <c r="W68" s="499">
        <f t="shared" si="3"/>
        <v>0</v>
      </c>
    </row>
    <row r="69" spans="1:23" ht="11.85" customHeight="1" x14ac:dyDescent="0.25">
      <c r="A69" s="492">
        <v>44762</v>
      </c>
      <c r="B69" s="252" t="s">
        <v>498</v>
      </c>
      <c r="C69" s="252" t="s">
        <v>499</v>
      </c>
      <c r="D69" s="252" t="s">
        <v>458</v>
      </c>
      <c r="E69" s="252" t="s">
        <v>519</v>
      </c>
      <c r="F69" s="252" t="s">
        <v>460</v>
      </c>
      <c r="G69" s="323">
        <v>18951.80569578283</v>
      </c>
      <c r="H69" s="253">
        <v>18636.843022844459</v>
      </c>
      <c r="I69" s="323">
        <v>0</v>
      </c>
      <c r="J69" s="323">
        <v>0</v>
      </c>
      <c r="K69" s="323">
        <v>0</v>
      </c>
      <c r="L69" s="323">
        <v>0</v>
      </c>
      <c r="M69" s="323">
        <v>18636.843022844459</v>
      </c>
      <c r="N69" s="253"/>
      <c r="P69" s="279">
        <v>72</v>
      </c>
      <c r="Q69" s="312"/>
      <c r="R69" s="497">
        <v>44743</v>
      </c>
      <c r="S69" s="498">
        <f t="shared" si="0"/>
        <v>18636.843022844459</v>
      </c>
      <c r="T69" s="258">
        <v>0</v>
      </c>
      <c r="V69" s="497">
        <f t="shared" si="4"/>
        <v>46023</v>
      </c>
      <c r="W69" s="499">
        <f t="shared" si="3"/>
        <v>0</v>
      </c>
    </row>
    <row r="70" spans="1:23" ht="11.85" customHeight="1" x14ac:dyDescent="0.25">
      <c r="A70" s="492">
        <v>44793</v>
      </c>
      <c r="B70" s="252" t="s">
        <v>498</v>
      </c>
      <c r="C70" s="252" t="s">
        <v>499</v>
      </c>
      <c r="D70" s="252" t="s">
        <v>458</v>
      </c>
      <c r="E70" s="252" t="s">
        <v>520</v>
      </c>
      <c r="F70" s="252" t="s">
        <v>460</v>
      </c>
      <c r="G70" s="323">
        <v>18951.80569578283</v>
      </c>
      <c r="H70" s="253">
        <v>18636.843022844459</v>
      </c>
      <c r="I70" s="323">
        <v>0</v>
      </c>
      <c r="J70" s="323">
        <v>0</v>
      </c>
      <c r="K70" s="323">
        <v>0</v>
      </c>
      <c r="L70" s="323">
        <v>0</v>
      </c>
      <c r="M70" s="323">
        <v>18636.843022844459</v>
      </c>
      <c r="N70" s="253"/>
      <c r="P70" s="279">
        <v>72</v>
      </c>
      <c r="Q70" s="312"/>
      <c r="R70" s="497">
        <v>44774</v>
      </c>
      <c r="S70" s="498">
        <f t="shared" si="0"/>
        <v>18636.843022844459</v>
      </c>
      <c r="T70" s="258">
        <v>0</v>
      </c>
      <c r="V70" s="497">
        <f t="shared" si="4"/>
        <v>46054</v>
      </c>
      <c r="W70" s="499">
        <f t="shared" si="3"/>
        <v>0</v>
      </c>
    </row>
    <row r="71" spans="1:23" ht="11.85" customHeight="1" x14ac:dyDescent="0.25">
      <c r="A71" s="492">
        <v>44824</v>
      </c>
      <c r="B71" s="252" t="s">
        <v>498</v>
      </c>
      <c r="C71" s="252" t="s">
        <v>499</v>
      </c>
      <c r="D71" s="252" t="s">
        <v>458</v>
      </c>
      <c r="E71" s="252" t="s">
        <v>521</v>
      </c>
      <c r="F71" s="252" t="s">
        <v>460</v>
      </c>
      <c r="G71" s="323">
        <v>18951.80569578283</v>
      </c>
      <c r="H71" s="253">
        <v>18636.843022844459</v>
      </c>
      <c r="I71" s="323">
        <v>0</v>
      </c>
      <c r="J71" s="323">
        <v>0</v>
      </c>
      <c r="K71" s="323">
        <v>0</v>
      </c>
      <c r="L71" s="323">
        <v>0</v>
      </c>
      <c r="M71" s="323">
        <v>18636.843022844459</v>
      </c>
      <c r="N71" s="253"/>
      <c r="P71" s="279">
        <v>72</v>
      </c>
      <c r="Q71" s="312"/>
      <c r="R71" s="497">
        <v>44805</v>
      </c>
      <c r="S71" s="498">
        <f t="shared" ref="S71:S134" si="5">M71</f>
        <v>18636.843022844459</v>
      </c>
      <c r="T71" s="258">
        <v>0</v>
      </c>
      <c r="V71" s="497">
        <f t="shared" si="4"/>
        <v>46082</v>
      </c>
      <c r="W71" s="499">
        <f t="shared" ref="W71:W102" si="6">SUMIFS($S:$S, $R:$R,$V71,$R:$R, "&lt;"&amp;terminoProjeto)+IF(V71=EDATE(terminoProjeto, -1), SUMIF($R:$R, "&gt;="&amp;terminoProjeto, $S:$S), 0)</f>
        <v>0</v>
      </c>
    </row>
    <row r="72" spans="1:23" ht="11.85" customHeight="1" x14ac:dyDescent="0.25">
      <c r="A72" s="492">
        <v>44854</v>
      </c>
      <c r="B72" s="252" t="s">
        <v>498</v>
      </c>
      <c r="C72" s="252" t="s">
        <v>499</v>
      </c>
      <c r="D72" s="252" t="s">
        <v>458</v>
      </c>
      <c r="E72" s="252" t="s">
        <v>522</v>
      </c>
      <c r="F72" s="252" t="s">
        <v>460</v>
      </c>
      <c r="G72" s="323">
        <v>18951.80569578283</v>
      </c>
      <c r="H72" s="253">
        <v>18636.843022844459</v>
      </c>
      <c r="I72" s="323">
        <v>0</v>
      </c>
      <c r="J72" s="323">
        <v>0</v>
      </c>
      <c r="K72" s="323">
        <v>0</v>
      </c>
      <c r="L72" s="323">
        <v>0</v>
      </c>
      <c r="M72" s="323">
        <v>18636.843022844459</v>
      </c>
      <c r="N72" s="253"/>
      <c r="P72" s="279">
        <v>72</v>
      </c>
      <c r="Q72" s="312"/>
      <c r="R72" s="497">
        <v>44835</v>
      </c>
      <c r="S72" s="498">
        <f t="shared" si="5"/>
        <v>18636.843022844459</v>
      </c>
      <c r="T72" s="258">
        <v>0</v>
      </c>
      <c r="V72" s="497">
        <f t="shared" si="4"/>
        <v>46113</v>
      </c>
      <c r="W72" s="499">
        <f t="shared" si="6"/>
        <v>0</v>
      </c>
    </row>
    <row r="73" spans="1:23" ht="11.85" customHeight="1" x14ac:dyDescent="0.25">
      <c r="A73" s="492">
        <v>44885</v>
      </c>
      <c r="B73" s="252" t="s">
        <v>498</v>
      </c>
      <c r="C73" s="252" t="s">
        <v>499</v>
      </c>
      <c r="D73" s="252" t="s">
        <v>458</v>
      </c>
      <c r="E73" s="252" t="s">
        <v>523</v>
      </c>
      <c r="F73" s="252" t="s">
        <v>460</v>
      </c>
      <c r="G73" s="323">
        <v>18951.80569578283</v>
      </c>
      <c r="H73" s="253">
        <v>18636.843022844459</v>
      </c>
      <c r="I73" s="323">
        <v>0</v>
      </c>
      <c r="J73" s="323">
        <v>0</v>
      </c>
      <c r="K73" s="323">
        <v>0</v>
      </c>
      <c r="L73" s="323">
        <v>0</v>
      </c>
      <c r="M73" s="323">
        <v>18636.843022844459</v>
      </c>
      <c r="N73" s="253"/>
      <c r="P73" s="279">
        <v>72</v>
      </c>
      <c r="Q73" s="312"/>
      <c r="R73" s="497">
        <v>44866</v>
      </c>
      <c r="S73" s="498">
        <f t="shared" si="5"/>
        <v>18636.843022844459</v>
      </c>
      <c r="T73" s="258">
        <v>0</v>
      </c>
    </row>
    <row r="74" spans="1:23" ht="11.85" customHeight="1" x14ac:dyDescent="0.25">
      <c r="A74" s="492">
        <v>44915</v>
      </c>
      <c r="B74" s="252" t="s">
        <v>498</v>
      </c>
      <c r="C74" s="252" t="s">
        <v>499</v>
      </c>
      <c r="D74" s="252" t="s">
        <v>458</v>
      </c>
      <c r="E74" s="252" t="s">
        <v>524</v>
      </c>
      <c r="F74" s="252" t="s">
        <v>460</v>
      </c>
      <c r="G74" s="323">
        <v>18951.80569578283</v>
      </c>
      <c r="H74" s="253">
        <v>18636.843022844459</v>
      </c>
      <c r="I74" s="323">
        <v>0</v>
      </c>
      <c r="J74" s="323">
        <v>0</v>
      </c>
      <c r="K74" s="323">
        <v>0</v>
      </c>
      <c r="L74" s="323">
        <v>0</v>
      </c>
      <c r="M74" s="323">
        <v>18636.843022844459</v>
      </c>
      <c r="N74" s="253"/>
      <c r="P74" s="279">
        <v>72</v>
      </c>
      <c r="Q74" s="312"/>
      <c r="R74" s="497">
        <v>44896</v>
      </c>
      <c r="S74" s="498">
        <f t="shared" si="5"/>
        <v>18636.843022844459</v>
      </c>
      <c r="T74" s="258">
        <v>0</v>
      </c>
    </row>
    <row r="75" spans="1:23" ht="11.85" customHeight="1" x14ac:dyDescent="0.25">
      <c r="A75" s="492">
        <v>44946</v>
      </c>
      <c r="B75" s="252" t="s">
        <v>498</v>
      </c>
      <c r="C75" s="252" t="s">
        <v>499</v>
      </c>
      <c r="D75" s="252" t="s">
        <v>458</v>
      </c>
      <c r="E75" s="252" t="s">
        <v>525</v>
      </c>
      <c r="F75" s="252" t="s">
        <v>460</v>
      </c>
      <c r="G75" s="323">
        <v>18951.80569578283</v>
      </c>
      <c r="H75" s="253">
        <v>18636.843022844459</v>
      </c>
      <c r="I75" s="323">
        <v>0</v>
      </c>
      <c r="J75" s="323">
        <v>0</v>
      </c>
      <c r="K75" s="323">
        <v>0</v>
      </c>
      <c r="L75" s="323">
        <v>0</v>
      </c>
      <c r="M75" s="323">
        <v>18636.843022844459</v>
      </c>
      <c r="N75" s="253"/>
      <c r="P75" s="279">
        <v>72</v>
      </c>
      <c r="Q75" s="312"/>
      <c r="R75" s="497">
        <v>44927</v>
      </c>
      <c r="S75" s="498">
        <f t="shared" si="5"/>
        <v>18636.843022844459</v>
      </c>
      <c r="T75" s="258">
        <v>0</v>
      </c>
    </row>
    <row r="76" spans="1:23" ht="11.85" customHeight="1" x14ac:dyDescent="0.25">
      <c r="A76" s="492">
        <v>44977</v>
      </c>
      <c r="B76" s="252" t="s">
        <v>498</v>
      </c>
      <c r="C76" s="252" t="s">
        <v>499</v>
      </c>
      <c r="D76" s="252" t="s">
        <v>458</v>
      </c>
      <c r="E76" s="252" t="s">
        <v>526</v>
      </c>
      <c r="F76" s="252" t="s">
        <v>460</v>
      </c>
      <c r="G76" s="323">
        <v>18951.80569578283</v>
      </c>
      <c r="H76" s="253">
        <v>18636.843022844459</v>
      </c>
      <c r="I76" s="323">
        <v>0</v>
      </c>
      <c r="J76" s="323">
        <v>0</v>
      </c>
      <c r="K76" s="323">
        <v>0</v>
      </c>
      <c r="L76" s="323">
        <v>0</v>
      </c>
      <c r="M76" s="323">
        <v>18636.843022844459</v>
      </c>
      <c r="N76" s="253"/>
      <c r="P76" s="279">
        <v>72</v>
      </c>
      <c r="Q76" s="312"/>
      <c r="R76" s="497">
        <v>44958</v>
      </c>
      <c r="S76" s="498">
        <f t="shared" si="5"/>
        <v>18636.843022844459</v>
      </c>
      <c r="T76" s="258">
        <v>0</v>
      </c>
    </row>
    <row r="77" spans="1:23" ht="11.85" customHeight="1" x14ac:dyDescent="0.25">
      <c r="A77" s="492">
        <v>45005</v>
      </c>
      <c r="B77" s="252" t="s">
        <v>498</v>
      </c>
      <c r="C77" s="252" t="s">
        <v>499</v>
      </c>
      <c r="D77" s="252" t="s">
        <v>458</v>
      </c>
      <c r="E77" s="252" t="s">
        <v>527</v>
      </c>
      <c r="F77" s="252" t="s">
        <v>460</v>
      </c>
      <c r="G77" s="323">
        <v>18951.80569578283</v>
      </c>
      <c r="H77" s="253">
        <v>18636.843022844459</v>
      </c>
      <c r="I77" s="323">
        <v>0</v>
      </c>
      <c r="J77" s="323">
        <v>0</v>
      </c>
      <c r="K77" s="323">
        <v>0</v>
      </c>
      <c r="L77" s="323">
        <v>0</v>
      </c>
      <c r="M77" s="323">
        <v>18636.843022844459</v>
      </c>
      <c r="N77" s="253"/>
      <c r="P77" s="279">
        <v>72</v>
      </c>
      <c r="Q77" s="312"/>
      <c r="R77" s="497">
        <v>44986</v>
      </c>
      <c r="S77" s="498">
        <f t="shared" si="5"/>
        <v>18636.843022844459</v>
      </c>
      <c r="T77" s="258">
        <v>0</v>
      </c>
    </row>
    <row r="78" spans="1:23" ht="11.85" customHeight="1" x14ac:dyDescent="0.25">
      <c r="A78" s="492">
        <v>45021</v>
      </c>
      <c r="B78" s="252" t="s">
        <v>498</v>
      </c>
      <c r="C78" s="252" t="s">
        <v>499</v>
      </c>
      <c r="D78" s="252" t="s">
        <v>465</v>
      </c>
      <c r="E78" s="252" t="s">
        <v>466</v>
      </c>
      <c r="F78" s="252" t="s">
        <v>460</v>
      </c>
      <c r="G78" s="323">
        <v>2101929.2384172678</v>
      </c>
      <c r="H78" s="253">
        <v>2066996.986478524</v>
      </c>
      <c r="I78" s="323">
        <v>0</v>
      </c>
      <c r="J78" s="323">
        <v>0</v>
      </c>
      <c r="K78" s="323">
        <v>0</v>
      </c>
      <c r="L78" s="323">
        <v>0</v>
      </c>
      <c r="M78" s="323">
        <v>2066996.986478524</v>
      </c>
      <c r="N78" s="253"/>
      <c r="P78" s="279">
        <v>72</v>
      </c>
      <c r="Q78" s="312"/>
      <c r="R78" s="497">
        <v>45017</v>
      </c>
      <c r="S78" s="498">
        <f t="shared" si="5"/>
        <v>2066996.986478524</v>
      </c>
      <c r="T78" s="258">
        <v>0</v>
      </c>
    </row>
    <row r="79" spans="1:23" ht="11.85" customHeight="1" x14ac:dyDescent="0.25">
      <c r="A79" s="492">
        <v>45143</v>
      </c>
      <c r="B79" s="252" t="s">
        <v>498</v>
      </c>
      <c r="C79" s="252" t="s">
        <v>499</v>
      </c>
      <c r="D79" s="252" t="s">
        <v>467</v>
      </c>
      <c r="E79" s="252" t="s">
        <v>466</v>
      </c>
      <c r="F79" s="252" t="s">
        <v>460</v>
      </c>
      <c r="G79" s="323">
        <v>1049.0862303132581</v>
      </c>
      <c r="H79" s="253">
        <v>1031.65132154803</v>
      </c>
      <c r="I79" s="323">
        <v>0</v>
      </c>
      <c r="J79" s="323">
        <v>0</v>
      </c>
      <c r="K79" s="323">
        <v>0</v>
      </c>
      <c r="L79" s="323">
        <v>0</v>
      </c>
      <c r="M79" s="323">
        <v>1031.65132154803</v>
      </c>
      <c r="N79" s="253"/>
      <c r="P79" s="279">
        <v>72</v>
      </c>
      <c r="Q79" s="312"/>
      <c r="R79" s="497">
        <v>45139</v>
      </c>
      <c r="S79" s="498">
        <f t="shared" si="5"/>
        <v>1031.65132154803</v>
      </c>
      <c r="T79" s="258">
        <v>0</v>
      </c>
    </row>
    <row r="80" spans="1:23" ht="11.85" customHeight="1" x14ac:dyDescent="0.25">
      <c r="A80" s="492">
        <v>44525</v>
      </c>
      <c r="B80" s="252" t="s">
        <v>528</v>
      </c>
      <c r="C80" s="252" t="s">
        <v>529</v>
      </c>
      <c r="D80" s="252" t="s">
        <v>458</v>
      </c>
      <c r="E80" s="252" t="s">
        <v>472</v>
      </c>
      <c r="F80" s="252" t="s">
        <v>460</v>
      </c>
      <c r="G80" s="323">
        <v>259257.20537615771</v>
      </c>
      <c r="H80" s="253">
        <v>254948.57411987719</v>
      </c>
      <c r="I80" s="323">
        <v>0</v>
      </c>
      <c r="J80" s="323">
        <v>0</v>
      </c>
      <c r="K80" s="323">
        <v>0</v>
      </c>
      <c r="L80" s="323">
        <v>0</v>
      </c>
      <c r="M80" s="323">
        <v>254948.57411987719</v>
      </c>
      <c r="N80" s="253"/>
      <c r="P80" s="279">
        <v>82</v>
      </c>
      <c r="Q80" s="312"/>
      <c r="R80" s="497">
        <v>44501</v>
      </c>
      <c r="S80" s="498">
        <f t="shared" si="5"/>
        <v>254948.57411987719</v>
      </c>
      <c r="T80" s="258">
        <v>0</v>
      </c>
    </row>
    <row r="81" spans="1:20" ht="11.85" customHeight="1" x14ac:dyDescent="0.25">
      <c r="A81" s="492">
        <v>44555</v>
      </c>
      <c r="B81" s="252" t="s">
        <v>528</v>
      </c>
      <c r="C81" s="252" t="s">
        <v>529</v>
      </c>
      <c r="D81" s="252" t="s">
        <v>458</v>
      </c>
      <c r="E81" s="252" t="s">
        <v>482</v>
      </c>
      <c r="F81" s="252" t="s">
        <v>460</v>
      </c>
      <c r="G81" s="323">
        <v>259257.20537615771</v>
      </c>
      <c r="H81" s="253">
        <v>254948.57411987719</v>
      </c>
      <c r="I81" s="323">
        <v>0</v>
      </c>
      <c r="J81" s="323">
        <v>0</v>
      </c>
      <c r="K81" s="323">
        <v>0</v>
      </c>
      <c r="L81" s="323">
        <v>0</v>
      </c>
      <c r="M81" s="323">
        <v>254948.57411987719</v>
      </c>
      <c r="N81" s="253"/>
      <c r="P81" s="279">
        <v>82</v>
      </c>
      <c r="Q81" s="312"/>
      <c r="R81" s="497">
        <v>44531</v>
      </c>
      <c r="S81" s="498">
        <f t="shared" si="5"/>
        <v>254948.57411987719</v>
      </c>
      <c r="T81" s="258">
        <v>0</v>
      </c>
    </row>
    <row r="82" spans="1:20" ht="11.85" customHeight="1" x14ac:dyDescent="0.25">
      <c r="A82" s="492">
        <v>45021</v>
      </c>
      <c r="B82" s="252" t="s">
        <v>528</v>
      </c>
      <c r="C82" s="252" t="s">
        <v>529</v>
      </c>
      <c r="D82" s="252" t="s">
        <v>465</v>
      </c>
      <c r="E82" s="252" t="s">
        <v>466</v>
      </c>
      <c r="F82" s="252" t="s">
        <v>460</v>
      </c>
      <c r="G82" s="323">
        <v>1621913.076833243</v>
      </c>
      <c r="H82" s="253">
        <v>1594958.2796939521</v>
      </c>
      <c r="I82" s="323">
        <v>0</v>
      </c>
      <c r="J82" s="323">
        <v>0</v>
      </c>
      <c r="K82" s="323">
        <v>0</v>
      </c>
      <c r="L82" s="323">
        <v>0</v>
      </c>
      <c r="M82" s="323">
        <v>1594958.2796939521</v>
      </c>
      <c r="N82" s="253"/>
      <c r="P82" s="279">
        <v>82</v>
      </c>
      <c r="Q82" s="312"/>
      <c r="R82" s="497">
        <v>45017</v>
      </c>
      <c r="S82" s="498">
        <f t="shared" si="5"/>
        <v>1594958.2796939521</v>
      </c>
      <c r="T82" s="258">
        <v>0</v>
      </c>
    </row>
    <row r="83" spans="1:20" ht="11.85" customHeight="1" x14ac:dyDescent="0.25">
      <c r="A83" s="492">
        <v>45204</v>
      </c>
      <c r="B83" s="252" t="s">
        <v>528</v>
      </c>
      <c r="C83" s="252" t="s">
        <v>529</v>
      </c>
      <c r="D83" s="252" t="s">
        <v>467</v>
      </c>
      <c r="E83" s="252" t="s">
        <v>466</v>
      </c>
      <c r="F83" s="252" t="s">
        <v>460</v>
      </c>
      <c r="G83" s="323">
        <v>1037.028821504631</v>
      </c>
      <c r="H83" s="253">
        <v>1019.7942964795089</v>
      </c>
      <c r="I83" s="323">
        <v>0</v>
      </c>
      <c r="J83" s="323">
        <v>0</v>
      </c>
      <c r="K83" s="323">
        <v>0</v>
      </c>
      <c r="L83" s="323">
        <v>0</v>
      </c>
      <c r="M83" s="323">
        <v>1019.7942964795089</v>
      </c>
      <c r="N83" s="253"/>
      <c r="P83" s="279">
        <v>82</v>
      </c>
      <c r="Q83" s="312"/>
      <c r="R83" s="497">
        <v>45200</v>
      </c>
      <c r="S83" s="498">
        <f t="shared" si="5"/>
        <v>1019.7942964795089</v>
      </c>
      <c r="T83" s="258">
        <v>0</v>
      </c>
    </row>
    <row r="84" spans="1:20" ht="11.85" customHeight="1" x14ac:dyDescent="0.25">
      <c r="A84" s="492">
        <v>44170</v>
      </c>
      <c r="B84" s="252" t="s">
        <v>530</v>
      </c>
      <c r="C84" s="252" t="s">
        <v>531</v>
      </c>
      <c r="D84" s="252" t="s">
        <v>473</v>
      </c>
      <c r="E84" s="252" t="s">
        <v>532</v>
      </c>
      <c r="F84" s="252" t="s">
        <v>460</v>
      </c>
      <c r="G84" s="323">
        <v>47308.019000602617</v>
      </c>
      <c r="H84" s="253">
        <v>46521.800507492793</v>
      </c>
      <c r="I84" s="323">
        <v>0</v>
      </c>
      <c r="J84" s="323">
        <v>0</v>
      </c>
      <c r="K84" s="323">
        <v>0</v>
      </c>
      <c r="L84" s="323">
        <v>0</v>
      </c>
      <c r="M84" s="323">
        <v>46521.800507492793</v>
      </c>
      <c r="N84" s="253"/>
      <c r="P84" s="279">
        <v>92</v>
      </c>
      <c r="Q84" s="312"/>
      <c r="R84" s="497">
        <v>44166</v>
      </c>
      <c r="S84" s="498">
        <f t="shared" si="5"/>
        <v>46521.800507492793</v>
      </c>
      <c r="T84" s="258">
        <v>0</v>
      </c>
    </row>
    <row r="85" spans="1:20" ht="11.85" customHeight="1" x14ac:dyDescent="0.25">
      <c r="A85" s="492">
        <v>44201</v>
      </c>
      <c r="B85" s="252" t="s">
        <v>530</v>
      </c>
      <c r="C85" s="252" t="s">
        <v>531</v>
      </c>
      <c r="D85" s="252" t="s">
        <v>473</v>
      </c>
      <c r="E85" s="252" t="s">
        <v>533</v>
      </c>
      <c r="F85" s="252" t="s">
        <v>460</v>
      </c>
      <c r="G85" s="323">
        <v>47308.019000602617</v>
      </c>
      <c r="H85" s="253">
        <v>46521.800507492793</v>
      </c>
      <c r="I85" s="323">
        <v>0</v>
      </c>
      <c r="J85" s="323">
        <v>0</v>
      </c>
      <c r="K85" s="323">
        <v>0</v>
      </c>
      <c r="L85" s="323">
        <v>0</v>
      </c>
      <c r="M85" s="323">
        <v>46521.800507492793</v>
      </c>
      <c r="N85" s="253"/>
      <c r="P85" s="279">
        <v>92</v>
      </c>
      <c r="Q85" s="312"/>
      <c r="R85" s="497">
        <v>44197</v>
      </c>
      <c r="S85" s="498">
        <f t="shared" si="5"/>
        <v>46521.800507492793</v>
      </c>
      <c r="T85" s="258">
        <v>0</v>
      </c>
    </row>
    <row r="86" spans="1:20" ht="11.85" customHeight="1" x14ac:dyDescent="0.25">
      <c r="A86" s="492">
        <v>44201</v>
      </c>
      <c r="B86" s="252" t="s">
        <v>530</v>
      </c>
      <c r="C86" s="252" t="s">
        <v>531</v>
      </c>
      <c r="D86" s="252" t="s">
        <v>534</v>
      </c>
      <c r="E86" s="252" t="s">
        <v>459</v>
      </c>
      <c r="F86" s="252" t="s">
        <v>460</v>
      </c>
      <c r="G86" s="323">
        <v>176616.60426891639</v>
      </c>
      <c r="H86" s="253">
        <v>173681.3885613064</v>
      </c>
      <c r="I86" s="323">
        <v>0</v>
      </c>
      <c r="J86" s="323">
        <v>0</v>
      </c>
      <c r="K86" s="323">
        <v>0</v>
      </c>
      <c r="L86" s="323">
        <v>0</v>
      </c>
      <c r="M86" s="323">
        <v>173681.3885613064</v>
      </c>
      <c r="N86" s="253"/>
      <c r="P86" s="279">
        <v>92</v>
      </c>
      <c r="Q86" s="312"/>
      <c r="R86" s="497">
        <v>44197</v>
      </c>
      <c r="S86" s="498">
        <f t="shared" si="5"/>
        <v>173681.3885613064</v>
      </c>
      <c r="T86" s="258">
        <v>0</v>
      </c>
    </row>
    <row r="87" spans="1:20" ht="11.85" customHeight="1" x14ac:dyDescent="0.25">
      <c r="A87" s="492">
        <v>44232</v>
      </c>
      <c r="B87" s="252" t="s">
        <v>530</v>
      </c>
      <c r="C87" s="252" t="s">
        <v>531</v>
      </c>
      <c r="D87" s="252" t="s">
        <v>473</v>
      </c>
      <c r="E87" s="252" t="s">
        <v>535</v>
      </c>
      <c r="F87" s="252" t="s">
        <v>460</v>
      </c>
      <c r="G87" s="323">
        <v>47308.019000602617</v>
      </c>
      <c r="H87" s="253">
        <v>46521.800507492793</v>
      </c>
      <c r="I87" s="323">
        <v>0</v>
      </c>
      <c r="J87" s="323">
        <v>0</v>
      </c>
      <c r="K87" s="323">
        <v>0</v>
      </c>
      <c r="L87" s="323">
        <v>0</v>
      </c>
      <c r="M87" s="323">
        <v>46521.800507492793</v>
      </c>
      <c r="N87" s="253"/>
      <c r="P87" s="279">
        <v>92</v>
      </c>
      <c r="Q87" s="312"/>
      <c r="R87" s="497">
        <v>44228</v>
      </c>
      <c r="S87" s="498">
        <f t="shared" si="5"/>
        <v>46521.800507492793</v>
      </c>
      <c r="T87" s="258">
        <v>0</v>
      </c>
    </row>
    <row r="88" spans="1:20" ht="11.85" customHeight="1" x14ac:dyDescent="0.25">
      <c r="A88" s="492">
        <v>44260</v>
      </c>
      <c r="B88" s="252" t="s">
        <v>530</v>
      </c>
      <c r="C88" s="252" t="s">
        <v>531</v>
      </c>
      <c r="D88" s="252" t="s">
        <v>473</v>
      </c>
      <c r="E88" s="252" t="s">
        <v>536</v>
      </c>
      <c r="F88" s="252" t="s">
        <v>460</v>
      </c>
      <c r="G88" s="323">
        <v>47308.019000602617</v>
      </c>
      <c r="H88" s="253">
        <v>46521.800507492793</v>
      </c>
      <c r="I88" s="323">
        <v>0</v>
      </c>
      <c r="J88" s="323">
        <v>0</v>
      </c>
      <c r="K88" s="323">
        <v>0</v>
      </c>
      <c r="L88" s="323">
        <v>0</v>
      </c>
      <c r="M88" s="323">
        <v>46521.800507492793</v>
      </c>
      <c r="N88" s="253"/>
      <c r="P88" s="279">
        <v>92</v>
      </c>
      <c r="Q88" s="312"/>
      <c r="R88" s="497">
        <v>44256</v>
      </c>
      <c r="S88" s="498">
        <f t="shared" si="5"/>
        <v>46521.800507492793</v>
      </c>
      <c r="T88" s="258">
        <v>0</v>
      </c>
    </row>
    <row r="89" spans="1:20" ht="11.85" customHeight="1" x14ac:dyDescent="0.25">
      <c r="A89" s="492">
        <v>44291</v>
      </c>
      <c r="B89" s="252" t="s">
        <v>530</v>
      </c>
      <c r="C89" s="252" t="s">
        <v>531</v>
      </c>
      <c r="D89" s="252" t="s">
        <v>473</v>
      </c>
      <c r="E89" s="252" t="s">
        <v>537</v>
      </c>
      <c r="F89" s="252" t="s">
        <v>460</v>
      </c>
      <c r="G89" s="323">
        <v>47308.019000602617</v>
      </c>
      <c r="H89" s="253">
        <v>46521.800507492793</v>
      </c>
      <c r="I89" s="323">
        <v>0</v>
      </c>
      <c r="J89" s="323">
        <v>0</v>
      </c>
      <c r="K89" s="323">
        <v>0</v>
      </c>
      <c r="L89" s="323">
        <v>0</v>
      </c>
      <c r="M89" s="323">
        <v>46521.800507492793</v>
      </c>
      <c r="N89" s="253"/>
      <c r="P89" s="279">
        <v>92</v>
      </c>
      <c r="Q89" s="312"/>
      <c r="R89" s="497">
        <v>44287</v>
      </c>
      <c r="S89" s="498">
        <f t="shared" si="5"/>
        <v>46521.800507492793</v>
      </c>
      <c r="T89" s="258">
        <v>0</v>
      </c>
    </row>
    <row r="90" spans="1:20" ht="11.85" customHeight="1" x14ac:dyDescent="0.25">
      <c r="A90" s="492">
        <v>44321</v>
      </c>
      <c r="B90" s="252" t="s">
        <v>530</v>
      </c>
      <c r="C90" s="252" t="s">
        <v>531</v>
      </c>
      <c r="D90" s="252" t="s">
        <v>473</v>
      </c>
      <c r="E90" s="252" t="s">
        <v>538</v>
      </c>
      <c r="F90" s="252" t="s">
        <v>460</v>
      </c>
      <c r="G90" s="323">
        <v>47308.019000602617</v>
      </c>
      <c r="H90" s="253">
        <v>46521.800507492793</v>
      </c>
      <c r="I90" s="323">
        <v>0</v>
      </c>
      <c r="J90" s="323">
        <v>0</v>
      </c>
      <c r="K90" s="323">
        <v>0</v>
      </c>
      <c r="L90" s="323">
        <v>0</v>
      </c>
      <c r="M90" s="323">
        <v>46521.800507492793</v>
      </c>
      <c r="N90" s="253"/>
      <c r="P90" s="279">
        <v>92</v>
      </c>
      <c r="Q90" s="312"/>
      <c r="R90" s="497">
        <v>44317</v>
      </c>
      <c r="S90" s="498">
        <f t="shared" si="5"/>
        <v>46521.800507492793</v>
      </c>
      <c r="T90" s="258">
        <v>0</v>
      </c>
    </row>
    <row r="91" spans="1:20" ht="11.85" customHeight="1" x14ac:dyDescent="0.25">
      <c r="A91" s="492">
        <v>44352</v>
      </c>
      <c r="B91" s="252" t="s">
        <v>530</v>
      </c>
      <c r="C91" s="252" t="s">
        <v>531</v>
      </c>
      <c r="D91" s="252" t="s">
        <v>473</v>
      </c>
      <c r="E91" s="252" t="s">
        <v>539</v>
      </c>
      <c r="F91" s="252" t="s">
        <v>460</v>
      </c>
      <c r="G91" s="323">
        <v>47308.019000602617</v>
      </c>
      <c r="H91" s="253">
        <v>46521.800507492793</v>
      </c>
      <c r="I91" s="323">
        <v>0</v>
      </c>
      <c r="J91" s="323">
        <v>0</v>
      </c>
      <c r="K91" s="323">
        <v>0</v>
      </c>
      <c r="L91" s="323">
        <v>0</v>
      </c>
      <c r="M91" s="323">
        <v>46521.800507492793</v>
      </c>
      <c r="N91" s="253"/>
      <c r="P91" s="279">
        <v>92</v>
      </c>
      <c r="Q91" s="312"/>
      <c r="R91" s="497">
        <v>44348</v>
      </c>
      <c r="S91" s="498">
        <f t="shared" si="5"/>
        <v>46521.800507492793</v>
      </c>
      <c r="T91" s="258">
        <v>0</v>
      </c>
    </row>
    <row r="92" spans="1:20" ht="11.85" customHeight="1" x14ac:dyDescent="0.25">
      <c r="A92" s="492">
        <v>44382</v>
      </c>
      <c r="B92" s="252" t="s">
        <v>530</v>
      </c>
      <c r="C92" s="252" t="s">
        <v>531</v>
      </c>
      <c r="D92" s="252" t="s">
        <v>473</v>
      </c>
      <c r="E92" s="252" t="s">
        <v>540</v>
      </c>
      <c r="F92" s="252" t="s">
        <v>460</v>
      </c>
      <c r="G92" s="323">
        <v>47308.019000602617</v>
      </c>
      <c r="H92" s="253">
        <v>46521.800507492793</v>
      </c>
      <c r="I92" s="323">
        <v>0</v>
      </c>
      <c r="J92" s="323">
        <v>0</v>
      </c>
      <c r="K92" s="323">
        <v>0</v>
      </c>
      <c r="L92" s="323">
        <v>0</v>
      </c>
      <c r="M92" s="323">
        <v>46521.800507492793</v>
      </c>
      <c r="N92" s="253"/>
      <c r="P92" s="279">
        <v>92</v>
      </c>
      <c r="Q92" s="312"/>
      <c r="R92" s="497">
        <v>44378</v>
      </c>
      <c r="S92" s="498">
        <f t="shared" si="5"/>
        <v>46521.800507492793</v>
      </c>
      <c r="T92" s="258">
        <v>0</v>
      </c>
    </row>
    <row r="93" spans="1:20" ht="11.85" customHeight="1" x14ac:dyDescent="0.25">
      <c r="A93" s="492">
        <v>44382</v>
      </c>
      <c r="B93" s="252" t="s">
        <v>530</v>
      </c>
      <c r="C93" s="252" t="s">
        <v>531</v>
      </c>
      <c r="D93" s="252" t="s">
        <v>534</v>
      </c>
      <c r="E93" s="252" t="s">
        <v>461</v>
      </c>
      <c r="F93" s="252" t="s">
        <v>460</v>
      </c>
      <c r="G93" s="323">
        <v>176616.60426891639</v>
      </c>
      <c r="H93" s="253">
        <v>173681.3885613064</v>
      </c>
      <c r="I93" s="323">
        <v>0</v>
      </c>
      <c r="J93" s="323">
        <v>0</v>
      </c>
      <c r="K93" s="323">
        <v>0</v>
      </c>
      <c r="L93" s="323">
        <v>0</v>
      </c>
      <c r="M93" s="323">
        <v>173681.3885613064</v>
      </c>
      <c r="N93" s="253"/>
      <c r="P93" s="279">
        <v>92</v>
      </c>
      <c r="Q93" s="312"/>
      <c r="R93" s="497">
        <v>44378</v>
      </c>
      <c r="S93" s="498">
        <f t="shared" si="5"/>
        <v>173681.3885613064</v>
      </c>
      <c r="T93" s="258">
        <v>0</v>
      </c>
    </row>
    <row r="94" spans="1:20" ht="11.85" customHeight="1" x14ac:dyDescent="0.25">
      <c r="A94" s="492">
        <v>44413</v>
      </c>
      <c r="B94" s="252" t="s">
        <v>530</v>
      </c>
      <c r="C94" s="252" t="s">
        <v>531</v>
      </c>
      <c r="D94" s="252" t="s">
        <v>473</v>
      </c>
      <c r="E94" s="252" t="s">
        <v>541</v>
      </c>
      <c r="F94" s="252" t="s">
        <v>460</v>
      </c>
      <c r="G94" s="323">
        <v>47308.019000602617</v>
      </c>
      <c r="H94" s="253">
        <v>46521.800507492793</v>
      </c>
      <c r="I94" s="323">
        <v>0</v>
      </c>
      <c r="J94" s="323">
        <v>0</v>
      </c>
      <c r="K94" s="323">
        <v>0</v>
      </c>
      <c r="L94" s="323">
        <v>0</v>
      </c>
      <c r="M94" s="323">
        <v>46521.800507492793</v>
      </c>
      <c r="N94" s="253"/>
      <c r="P94" s="279">
        <v>92</v>
      </c>
      <c r="Q94" s="312"/>
      <c r="R94" s="497">
        <v>44409</v>
      </c>
      <c r="S94" s="498">
        <f t="shared" si="5"/>
        <v>46521.800507492793</v>
      </c>
      <c r="T94" s="258">
        <v>0</v>
      </c>
    </row>
    <row r="95" spans="1:20" ht="11.85" customHeight="1" x14ac:dyDescent="0.25">
      <c r="A95" s="492">
        <v>44444</v>
      </c>
      <c r="B95" s="252" t="s">
        <v>530</v>
      </c>
      <c r="C95" s="252" t="s">
        <v>531</v>
      </c>
      <c r="D95" s="252" t="s">
        <v>473</v>
      </c>
      <c r="E95" s="252" t="s">
        <v>542</v>
      </c>
      <c r="F95" s="252" t="s">
        <v>460</v>
      </c>
      <c r="G95" s="323">
        <v>47308.019000602617</v>
      </c>
      <c r="H95" s="253">
        <v>46521.800507492793</v>
      </c>
      <c r="I95" s="323">
        <v>0</v>
      </c>
      <c r="J95" s="323">
        <v>0</v>
      </c>
      <c r="K95" s="323">
        <v>0</v>
      </c>
      <c r="L95" s="323">
        <v>0</v>
      </c>
      <c r="M95" s="323">
        <v>46521.800507492793</v>
      </c>
      <c r="N95" s="253"/>
      <c r="P95" s="279">
        <v>92</v>
      </c>
      <c r="Q95" s="312"/>
      <c r="R95" s="497">
        <v>44440</v>
      </c>
      <c r="S95" s="498">
        <f t="shared" si="5"/>
        <v>46521.800507492793</v>
      </c>
      <c r="T95" s="258">
        <v>0</v>
      </c>
    </row>
    <row r="96" spans="1:20" ht="11.85" customHeight="1" x14ac:dyDescent="0.25">
      <c r="A96" s="492">
        <v>44474</v>
      </c>
      <c r="B96" s="252" t="s">
        <v>530</v>
      </c>
      <c r="C96" s="252" t="s">
        <v>531</v>
      </c>
      <c r="D96" s="252" t="s">
        <v>473</v>
      </c>
      <c r="E96" s="252" t="s">
        <v>543</v>
      </c>
      <c r="F96" s="252" t="s">
        <v>460</v>
      </c>
      <c r="G96" s="323">
        <v>47308.019000602617</v>
      </c>
      <c r="H96" s="253">
        <v>46521.800507492793</v>
      </c>
      <c r="I96" s="323">
        <v>0</v>
      </c>
      <c r="J96" s="323">
        <v>0</v>
      </c>
      <c r="K96" s="323">
        <v>0</v>
      </c>
      <c r="L96" s="323">
        <v>0</v>
      </c>
      <c r="M96" s="323">
        <v>46521.800507492793</v>
      </c>
      <c r="N96" s="253"/>
      <c r="P96" s="279">
        <v>92</v>
      </c>
      <c r="Q96" s="312"/>
      <c r="R96" s="497">
        <v>44470</v>
      </c>
      <c r="S96" s="498">
        <f t="shared" si="5"/>
        <v>46521.800507492793</v>
      </c>
      <c r="T96" s="258">
        <v>0</v>
      </c>
    </row>
    <row r="97" spans="1:20" ht="11.85" customHeight="1" x14ac:dyDescent="0.25">
      <c r="A97" s="492">
        <v>44505</v>
      </c>
      <c r="B97" s="252" t="s">
        <v>530</v>
      </c>
      <c r="C97" s="252" t="s">
        <v>531</v>
      </c>
      <c r="D97" s="252" t="s">
        <v>473</v>
      </c>
      <c r="E97" s="252" t="s">
        <v>544</v>
      </c>
      <c r="F97" s="252" t="s">
        <v>460</v>
      </c>
      <c r="G97" s="323">
        <v>47308.019000602617</v>
      </c>
      <c r="H97" s="253">
        <v>46521.800507492793</v>
      </c>
      <c r="I97" s="323">
        <v>0</v>
      </c>
      <c r="J97" s="323">
        <v>0</v>
      </c>
      <c r="K97" s="323">
        <v>0</v>
      </c>
      <c r="L97" s="323">
        <v>0</v>
      </c>
      <c r="M97" s="323">
        <v>46521.800507492793</v>
      </c>
      <c r="N97" s="253"/>
      <c r="P97" s="279">
        <v>92</v>
      </c>
      <c r="Q97" s="312"/>
      <c r="R97" s="497">
        <v>44501</v>
      </c>
      <c r="S97" s="498">
        <f t="shared" si="5"/>
        <v>46521.800507492793</v>
      </c>
      <c r="T97" s="258">
        <v>0</v>
      </c>
    </row>
    <row r="98" spans="1:20" ht="11.85" customHeight="1" x14ac:dyDescent="0.25">
      <c r="A98" s="492">
        <v>44535</v>
      </c>
      <c r="B98" s="252" t="s">
        <v>530</v>
      </c>
      <c r="C98" s="252" t="s">
        <v>531</v>
      </c>
      <c r="D98" s="252" t="s">
        <v>473</v>
      </c>
      <c r="E98" s="252" t="s">
        <v>545</v>
      </c>
      <c r="F98" s="252" t="s">
        <v>460</v>
      </c>
      <c r="G98" s="323">
        <v>47308.019000602617</v>
      </c>
      <c r="H98" s="253">
        <v>46521.800507492793</v>
      </c>
      <c r="I98" s="323">
        <v>0</v>
      </c>
      <c r="J98" s="323">
        <v>0</v>
      </c>
      <c r="K98" s="323">
        <v>0</v>
      </c>
      <c r="L98" s="323">
        <v>0</v>
      </c>
      <c r="M98" s="323">
        <v>46521.800507492793</v>
      </c>
      <c r="N98" s="253"/>
      <c r="P98" s="279">
        <v>92</v>
      </c>
      <c r="Q98" s="312"/>
      <c r="R98" s="497">
        <v>44531</v>
      </c>
      <c r="S98" s="498">
        <f t="shared" si="5"/>
        <v>46521.800507492793</v>
      </c>
      <c r="T98" s="258">
        <v>0</v>
      </c>
    </row>
    <row r="99" spans="1:20" ht="11.85" customHeight="1" x14ac:dyDescent="0.25">
      <c r="A99" s="492">
        <v>44566</v>
      </c>
      <c r="B99" s="252" t="s">
        <v>530</v>
      </c>
      <c r="C99" s="252" t="s">
        <v>531</v>
      </c>
      <c r="D99" s="252" t="s">
        <v>473</v>
      </c>
      <c r="E99" s="252" t="s">
        <v>546</v>
      </c>
      <c r="F99" s="252" t="s">
        <v>460</v>
      </c>
      <c r="G99" s="323">
        <v>47308.019000602617</v>
      </c>
      <c r="H99" s="253">
        <v>46521.800507492793</v>
      </c>
      <c r="I99" s="323">
        <v>0</v>
      </c>
      <c r="J99" s="323">
        <v>0</v>
      </c>
      <c r="K99" s="323">
        <v>0</v>
      </c>
      <c r="L99" s="323">
        <v>0</v>
      </c>
      <c r="M99" s="323">
        <v>46521.800507492793</v>
      </c>
      <c r="N99" s="253"/>
      <c r="P99" s="279">
        <v>92</v>
      </c>
      <c r="Q99" s="312"/>
      <c r="R99" s="497">
        <v>44562</v>
      </c>
      <c r="S99" s="498">
        <f t="shared" si="5"/>
        <v>46521.800507492793</v>
      </c>
      <c r="T99" s="258">
        <v>0</v>
      </c>
    </row>
    <row r="100" spans="1:20" ht="11.85" customHeight="1" x14ac:dyDescent="0.25">
      <c r="A100" s="492">
        <v>44566</v>
      </c>
      <c r="B100" s="252" t="s">
        <v>530</v>
      </c>
      <c r="C100" s="252" t="s">
        <v>531</v>
      </c>
      <c r="D100" s="252" t="s">
        <v>534</v>
      </c>
      <c r="E100" s="252" t="s">
        <v>462</v>
      </c>
      <c r="F100" s="252" t="s">
        <v>460</v>
      </c>
      <c r="G100" s="323">
        <v>176616.60426891639</v>
      </c>
      <c r="H100" s="253">
        <v>173681.3885613064</v>
      </c>
      <c r="I100" s="323">
        <v>0</v>
      </c>
      <c r="J100" s="323">
        <v>0</v>
      </c>
      <c r="K100" s="323">
        <v>0</v>
      </c>
      <c r="L100" s="323">
        <v>0</v>
      </c>
      <c r="M100" s="323">
        <v>173681.3885613064</v>
      </c>
      <c r="N100" s="253"/>
      <c r="P100" s="279">
        <v>92</v>
      </c>
      <c r="Q100" s="312"/>
      <c r="R100" s="497">
        <v>44562</v>
      </c>
      <c r="S100" s="498">
        <f t="shared" si="5"/>
        <v>173681.3885613064</v>
      </c>
      <c r="T100" s="258">
        <v>0</v>
      </c>
    </row>
    <row r="101" spans="1:20" ht="11.85" customHeight="1" x14ac:dyDescent="0.25">
      <c r="A101" s="492">
        <v>44597</v>
      </c>
      <c r="B101" s="252" t="s">
        <v>530</v>
      </c>
      <c r="C101" s="252" t="s">
        <v>531</v>
      </c>
      <c r="D101" s="252" t="s">
        <v>473</v>
      </c>
      <c r="E101" s="252" t="s">
        <v>547</v>
      </c>
      <c r="F101" s="252" t="s">
        <v>460</v>
      </c>
      <c r="G101" s="323">
        <v>47308.019000602617</v>
      </c>
      <c r="H101" s="253">
        <v>46521.800507492793</v>
      </c>
      <c r="I101" s="323">
        <v>0</v>
      </c>
      <c r="J101" s="323">
        <v>0</v>
      </c>
      <c r="K101" s="323">
        <v>0</v>
      </c>
      <c r="L101" s="323">
        <v>0</v>
      </c>
      <c r="M101" s="323">
        <v>46521.800507492793</v>
      </c>
      <c r="N101" s="253"/>
      <c r="P101" s="279">
        <v>92</v>
      </c>
      <c r="Q101" s="312"/>
      <c r="R101" s="497">
        <v>44593</v>
      </c>
      <c r="S101" s="498">
        <f t="shared" si="5"/>
        <v>46521.800507492793</v>
      </c>
      <c r="T101" s="258">
        <v>0</v>
      </c>
    </row>
    <row r="102" spans="1:20" ht="11.85" customHeight="1" x14ac:dyDescent="0.25">
      <c r="A102" s="492">
        <v>44625</v>
      </c>
      <c r="B102" s="252" t="s">
        <v>530</v>
      </c>
      <c r="C102" s="252" t="s">
        <v>531</v>
      </c>
      <c r="D102" s="252" t="s">
        <v>473</v>
      </c>
      <c r="E102" s="252" t="s">
        <v>548</v>
      </c>
      <c r="F102" s="252" t="s">
        <v>460</v>
      </c>
      <c r="G102" s="323">
        <v>47308.019000602617</v>
      </c>
      <c r="H102" s="253">
        <v>46521.800507492793</v>
      </c>
      <c r="I102" s="323">
        <v>0</v>
      </c>
      <c r="J102" s="323">
        <v>0</v>
      </c>
      <c r="K102" s="323">
        <v>0</v>
      </c>
      <c r="L102" s="323">
        <v>0</v>
      </c>
      <c r="M102" s="323">
        <v>46521.800507492793</v>
      </c>
      <c r="N102" s="253"/>
      <c r="P102" s="279">
        <v>92</v>
      </c>
      <c r="Q102" s="312"/>
      <c r="R102" s="497">
        <v>44621</v>
      </c>
      <c r="S102" s="498">
        <f t="shared" si="5"/>
        <v>46521.800507492793</v>
      </c>
      <c r="T102" s="258">
        <v>0</v>
      </c>
    </row>
    <row r="103" spans="1:20" ht="11.85" customHeight="1" x14ac:dyDescent="0.25">
      <c r="A103" s="492">
        <v>44656</v>
      </c>
      <c r="B103" s="252" t="s">
        <v>530</v>
      </c>
      <c r="C103" s="252" t="s">
        <v>531</v>
      </c>
      <c r="D103" s="252" t="s">
        <v>473</v>
      </c>
      <c r="E103" s="252" t="s">
        <v>549</v>
      </c>
      <c r="F103" s="252" t="s">
        <v>460</v>
      </c>
      <c r="G103" s="323">
        <v>47308.019000602617</v>
      </c>
      <c r="H103" s="253">
        <v>46521.800507492793</v>
      </c>
      <c r="I103" s="323">
        <v>0</v>
      </c>
      <c r="J103" s="323">
        <v>0</v>
      </c>
      <c r="K103" s="323">
        <v>0</v>
      </c>
      <c r="L103" s="323">
        <v>0</v>
      </c>
      <c r="M103" s="323">
        <v>46521.800507492793</v>
      </c>
      <c r="N103" s="253"/>
      <c r="P103" s="279">
        <v>92</v>
      </c>
      <c r="Q103" s="312"/>
      <c r="R103" s="497">
        <v>44652</v>
      </c>
      <c r="S103" s="498">
        <f t="shared" si="5"/>
        <v>46521.800507492793</v>
      </c>
      <c r="T103" s="258">
        <v>0</v>
      </c>
    </row>
    <row r="104" spans="1:20" ht="11.85" customHeight="1" x14ac:dyDescent="0.25">
      <c r="A104" s="492">
        <v>44686</v>
      </c>
      <c r="B104" s="252" t="s">
        <v>530</v>
      </c>
      <c r="C104" s="252" t="s">
        <v>531</v>
      </c>
      <c r="D104" s="252" t="s">
        <v>473</v>
      </c>
      <c r="E104" s="252" t="s">
        <v>550</v>
      </c>
      <c r="F104" s="252" t="s">
        <v>460</v>
      </c>
      <c r="G104" s="323">
        <v>47308.019000602617</v>
      </c>
      <c r="H104" s="253">
        <v>46521.800507492793</v>
      </c>
      <c r="I104" s="323">
        <v>0</v>
      </c>
      <c r="J104" s="323">
        <v>0</v>
      </c>
      <c r="K104" s="323">
        <v>0</v>
      </c>
      <c r="L104" s="323">
        <v>0</v>
      </c>
      <c r="M104" s="323">
        <v>46521.800507492793</v>
      </c>
      <c r="N104" s="253"/>
      <c r="P104" s="279">
        <v>92</v>
      </c>
      <c r="Q104" s="312"/>
      <c r="R104" s="497">
        <v>44682</v>
      </c>
      <c r="S104" s="498">
        <f t="shared" si="5"/>
        <v>46521.800507492793</v>
      </c>
      <c r="T104" s="258">
        <v>0</v>
      </c>
    </row>
    <row r="105" spans="1:20" ht="11.85" customHeight="1" x14ac:dyDescent="0.25">
      <c r="A105" s="492">
        <v>44717</v>
      </c>
      <c r="B105" s="252" t="s">
        <v>530</v>
      </c>
      <c r="C105" s="252" t="s">
        <v>531</v>
      </c>
      <c r="D105" s="252" t="s">
        <v>473</v>
      </c>
      <c r="E105" s="252" t="s">
        <v>551</v>
      </c>
      <c r="F105" s="252" t="s">
        <v>460</v>
      </c>
      <c r="G105" s="323">
        <v>47308.019000602617</v>
      </c>
      <c r="H105" s="253">
        <v>46521.800507492793</v>
      </c>
      <c r="I105" s="323">
        <v>0</v>
      </c>
      <c r="J105" s="323">
        <v>0</v>
      </c>
      <c r="K105" s="323">
        <v>0</v>
      </c>
      <c r="L105" s="323">
        <v>0</v>
      </c>
      <c r="M105" s="323">
        <v>46521.800507492793</v>
      </c>
      <c r="N105" s="253"/>
      <c r="P105" s="279">
        <v>92</v>
      </c>
      <c r="Q105" s="312"/>
      <c r="R105" s="497">
        <v>44713</v>
      </c>
      <c r="S105" s="498">
        <f t="shared" si="5"/>
        <v>46521.800507492793</v>
      </c>
      <c r="T105" s="258">
        <v>0</v>
      </c>
    </row>
    <row r="106" spans="1:20" ht="11.85" customHeight="1" x14ac:dyDescent="0.25">
      <c r="A106" s="492">
        <v>44747</v>
      </c>
      <c r="B106" s="252" t="s">
        <v>530</v>
      </c>
      <c r="C106" s="252" t="s">
        <v>531</v>
      </c>
      <c r="D106" s="252" t="s">
        <v>473</v>
      </c>
      <c r="E106" s="252" t="s">
        <v>552</v>
      </c>
      <c r="F106" s="252" t="s">
        <v>460</v>
      </c>
      <c r="G106" s="323">
        <v>47308.019000602617</v>
      </c>
      <c r="H106" s="253">
        <v>46521.800507492793</v>
      </c>
      <c r="I106" s="323">
        <v>0</v>
      </c>
      <c r="J106" s="323">
        <v>0</v>
      </c>
      <c r="K106" s="323">
        <v>0</v>
      </c>
      <c r="L106" s="323">
        <v>0</v>
      </c>
      <c r="M106" s="323">
        <v>46521.800507492793</v>
      </c>
      <c r="N106" s="253"/>
      <c r="P106" s="279">
        <v>92</v>
      </c>
      <c r="Q106" s="312"/>
      <c r="R106" s="497">
        <v>44743</v>
      </c>
      <c r="S106" s="498">
        <f t="shared" si="5"/>
        <v>46521.800507492793</v>
      </c>
      <c r="T106" s="258">
        <v>0</v>
      </c>
    </row>
    <row r="107" spans="1:20" ht="11.85" customHeight="1" x14ac:dyDescent="0.25">
      <c r="A107" s="492">
        <v>44747</v>
      </c>
      <c r="B107" s="252" t="s">
        <v>530</v>
      </c>
      <c r="C107" s="252" t="s">
        <v>531</v>
      </c>
      <c r="D107" s="252" t="s">
        <v>534</v>
      </c>
      <c r="E107" s="252" t="s">
        <v>463</v>
      </c>
      <c r="F107" s="252" t="s">
        <v>460</v>
      </c>
      <c r="G107" s="323">
        <v>176616.60426891639</v>
      </c>
      <c r="H107" s="253">
        <v>173681.3885613064</v>
      </c>
      <c r="I107" s="323">
        <v>0</v>
      </c>
      <c r="J107" s="323">
        <v>0</v>
      </c>
      <c r="K107" s="323">
        <v>0</v>
      </c>
      <c r="L107" s="323">
        <v>0</v>
      </c>
      <c r="M107" s="323">
        <v>173681.3885613064</v>
      </c>
      <c r="N107" s="253"/>
      <c r="P107" s="279">
        <v>92</v>
      </c>
      <c r="Q107" s="312"/>
      <c r="R107" s="497">
        <v>44743</v>
      </c>
      <c r="S107" s="498">
        <f t="shared" si="5"/>
        <v>173681.3885613064</v>
      </c>
      <c r="T107" s="258">
        <v>0</v>
      </c>
    </row>
    <row r="108" spans="1:20" ht="11.85" customHeight="1" x14ac:dyDescent="0.25">
      <c r="A108" s="492">
        <v>44778</v>
      </c>
      <c r="B108" s="252" t="s">
        <v>530</v>
      </c>
      <c r="C108" s="252" t="s">
        <v>531</v>
      </c>
      <c r="D108" s="252" t="s">
        <v>473</v>
      </c>
      <c r="E108" s="252" t="s">
        <v>553</v>
      </c>
      <c r="F108" s="252" t="s">
        <v>460</v>
      </c>
      <c r="G108" s="323">
        <v>47308.019000602617</v>
      </c>
      <c r="H108" s="253">
        <v>46521.800507492793</v>
      </c>
      <c r="I108" s="323">
        <v>0</v>
      </c>
      <c r="J108" s="323">
        <v>0</v>
      </c>
      <c r="K108" s="323">
        <v>0</v>
      </c>
      <c r="L108" s="323">
        <v>0</v>
      </c>
      <c r="M108" s="323">
        <v>46521.800507492793</v>
      </c>
      <c r="N108" s="253"/>
      <c r="P108" s="279">
        <v>92</v>
      </c>
      <c r="Q108" s="312"/>
      <c r="R108" s="497">
        <v>44774</v>
      </c>
      <c r="S108" s="498">
        <f t="shared" si="5"/>
        <v>46521.800507492793</v>
      </c>
      <c r="T108" s="258">
        <v>0</v>
      </c>
    </row>
    <row r="109" spans="1:20" ht="11.85" customHeight="1" x14ac:dyDescent="0.25">
      <c r="A109" s="492">
        <v>44809</v>
      </c>
      <c r="B109" s="252" t="s">
        <v>530</v>
      </c>
      <c r="C109" s="252" t="s">
        <v>531</v>
      </c>
      <c r="D109" s="252" t="s">
        <v>473</v>
      </c>
      <c r="E109" s="252" t="s">
        <v>554</v>
      </c>
      <c r="F109" s="252" t="s">
        <v>460</v>
      </c>
      <c r="G109" s="323">
        <v>47308.019000602617</v>
      </c>
      <c r="H109" s="253">
        <v>46521.800507492793</v>
      </c>
      <c r="I109" s="323">
        <v>0</v>
      </c>
      <c r="J109" s="323">
        <v>0</v>
      </c>
      <c r="K109" s="323">
        <v>0</v>
      </c>
      <c r="L109" s="323">
        <v>0</v>
      </c>
      <c r="M109" s="323">
        <v>46521.800507492793</v>
      </c>
      <c r="N109" s="253"/>
      <c r="P109" s="279">
        <v>92</v>
      </c>
      <c r="Q109" s="312"/>
      <c r="R109" s="497">
        <v>44805</v>
      </c>
      <c r="S109" s="498">
        <f t="shared" si="5"/>
        <v>46521.800507492793</v>
      </c>
      <c r="T109" s="258">
        <v>0</v>
      </c>
    </row>
    <row r="110" spans="1:20" ht="11.85" customHeight="1" x14ac:dyDescent="0.25">
      <c r="A110" s="492">
        <v>44839</v>
      </c>
      <c r="B110" s="252" t="s">
        <v>530</v>
      </c>
      <c r="C110" s="252" t="s">
        <v>531</v>
      </c>
      <c r="D110" s="252" t="s">
        <v>473</v>
      </c>
      <c r="E110" s="252" t="s">
        <v>555</v>
      </c>
      <c r="F110" s="252" t="s">
        <v>460</v>
      </c>
      <c r="G110" s="323">
        <v>47308.019000602617</v>
      </c>
      <c r="H110" s="253">
        <v>46521.800507492793</v>
      </c>
      <c r="I110" s="323">
        <v>0</v>
      </c>
      <c r="J110" s="323">
        <v>0</v>
      </c>
      <c r="K110" s="323">
        <v>0</v>
      </c>
      <c r="L110" s="323">
        <v>0</v>
      </c>
      <c r="M110" s="323">
        <v>46521.800507492793</v>
      </c>
      <c r="N110" s="253"/>
      <c r="P110" s="279">
        <v>92</v>
      </c>
      <c r="Q110" s="312"/>
      <c r="R110" s="497">
        <v>44835</v>
      </c>
      <c r="S110" s="498">
        <f t="shared" si="5"/>
        <v>46521.800507492793</v>
      </c>
      <c r="T110" s="258">
        <v>0</v>
      </c>
    </row>
    <row r="111" spans="1:20" ht="11.85" customHeight="1" x14ac:dyDescent="0.25">
      <c r="A111" s="492">
        <v>44870</v>
      </c>
      <c r="B111" s="252" t="s">
        <v>530</v>
      </c>
      <c r="C111" s="252" t="s">
        <v>531</v>
      </c>
      <c r="D111" s="252" t="s">
        <v>473</v>
      </c>
      <c r="E111" s="252" t="s">
        <v>556</v>
      </c>
      <c r="F111" s="252" t="s">
        <v>460</v>
      </c>
      <c r="G111" s="323">
        <v>47308.019000602617</v>
      </c>
      <c r="H111" s="253">
        <v>46521.800507492793</v>
      </c>
      <c r="I111" s="323">
        <v>0</v>
      </c>
      <c r="J111" s="323">
        <v>0</v>
      </c>
      <c r="K111" s="323">
        <v>0</v>
      </c>
      <c r="L111" s="323">
        <v>0</v>
      </c>
      <c r="M111" s="323">
        <v>46521.800507492793</v>
      </c>
      <c r="N111" s="253"/>
      <c r="P111" s="279">
        <v>92</v>
      </c>
      <c r="Q111" s="312"/>
      <c r="R111" s="497">
        <v>44866</v>
      </c>
      <c r="S111" s="498">
        <f t="shared" si="5"/>
        <v>46521.800507492793</v>
      </c>
      <c r="T111" s="258">
        <v>0</v>
      </c>
    </row>
    <row r="112" spans="1:20" ht="11.85" customHeight="1" x14ac:dyDescent="0.25">
      <c r="A112" s="492">
        <v>44900</v>
      </c>
      <c r="B112" s="252" t="s">
        <v>530</v>
      </c>
      <c r="C112" s="252" t="s">
        <v>531</v>
      </c>
      <c r="D112" s="252" t="s">
        <v>473</v>
      </c>
      <c r="E112" s="252" t="s">
        <v>557</v>
      </c>
      <c r="F112" s="252" t="s">
        <v>460</v>
      </c>
      <c r="G112" s="323">
        <v>47308.019000602617</v>
      </c>
      <c r="H112" s="253">
        <v>46521.800507492793</v>
      </c>
      <c r="I112" s="323">
        <v>0</v>
      </c>
      <c r="J112" s="323">
        <v>0</v>
      </c>
      <c r="K112" s="323">
        <v>0</v>
      </c>
      <c r="L112" s="323">
        <v>0</v>
      </c>
      <c r="M112" s="323">
        <v>46521.800507492793</v>
      </c>
      <c r="N112" s="253"/>
      <c r="P112" s="279">
        <v>92</v>
      </c>
      <c r="Q112" s="312"/>
      <c r="R112" s="497">
        <v>44896</v>
      </c>
      <c r="S112" s="498">
        <f t="shared" si="5"/>
        <v>46521.800507492793</v>
      </c>
      <c r="T112" s="258">
        <v>0</v>
      </c>
    </row>
    <row r="113" spans="1:20" ht="11.85" customHeight="1" x14ac:dyDescent="0.25">
      <c r="A113" s="492">
        <v>44931</v>
      </c>
      <c r="B113" s="252" t="s">
        <v>530</v>
      </c>
      <c r="C113" s="252" t="s">
        <v>531</v>
      </c>
      <c r="D113" s="252" t="s">
        <v>473</v>
      </c>
      <c r="E113" s="252" t="s">
        <v>558</v>
      </c>
      <c r="F113" s="252" t="s">
        <v>460</v>
      </c>
      <c r="G113" s="323">
        <v>47308.019000602617</v>
      </c>
      <c r="H113" s="253">
        <v>46521.800507492793</v>
      </c>
      <c r="I113" s="323">
        <v>0</v>
      </c>
      <c r="J113" s="323">
        <v>0</v>
      </c>
      <c r="K113" s="323">
        <v>0</v>
      </c>
      <c r="L113" s="323">
        <v>0</v>
      </c>
      <c r="M113" s="323">
        <v>46521.800507492793</v>
      </c>
      <c r="N113" s="253"/>
      <c r="P113" s="279">
        <v>92</v>
      </c>
      <c r="Q113" s="312"/>
      <c r="R113" s="497">
        <v>44927</v>
      </c>
      <c r="S113" s="498">
        <f t="shared" si="5"/>
        <v>46521.800507492793</v>
      </c>
      <c r="T113" s="258">
        <v>0</v>
      </c>
    </row>
    <row r="114" spans="1:20" ht="11.85" customHeight="1" x14ac:dyDescent="0.25">
      <c r="A114" s="492">
        <v>44931</v>
      </c>
      <c r="B114" s="252" t="s">
        <v>530</v>
      </c>
      <c r="C114" s="252" t="s">
        <v>531</v>
      </c>
      <c r="D114" s="252" t="s">
        <v>534</v>
      </c>
      <c r="E114" s="252" t="s">
        <v>464</v>
      </c>
      <c r="F114" s="252" t="s">
        <v>460</v>
      </c>
      <c r="G114" s="323">
        <v>176616.60426891639</v>
      </c>
      <c r="H114" s="253">
        <v>173681.3885613064</v>
      </c>
      <c r="I114" s="323">
        <v>0</v>
      </c>
      <c r="J114" s="323">
        <v>0</v>
      </c>
      <c r="K114" s="323">
        <v>0</v>
      </c>
      <c r="L114" s="323">
        <v>0</v>
      </c>
      <c r="M114" s="323">
        <v>173681.3885613064</v>
      </c>
      <c r="N114" s="253"/>
      <c r="P114" s="279">
        <v>92</v>
      </c>
      <c r="Q114" s="312"/>
      <c r="R114" s="497">
        <v>44927</v>
      </c>
      <c r="S114" s="498">
        <f t="shared" si="5"/>
        <v>173681.3885613064</v>
      </c>
      <c r="T114" s="258">
        <v>0</v>
      </c>
    </row>
    <row r="115" spans="1:20" ht="11.85" customHeight="1" x14ac:dyDescent="0.25">
      <c r="A115" s="492">
        <v>44962</v>
      </c>
      <c r="B115" s="252" t="s">
        <v>530</v>
      </c>
      <c r="C115" s="252" t="s">
        <v>531</v>
      </c>
      <c r="D115" s="252" t="s">
        <v>473</v>
      </c>
      <c r="E115" s="252" t="s">
        <v>559</v>
      </c>
      <c r="F115" s="252" t="s">
        <v>460</v>
      </c>
      <c r="G115" s="323">
        <v>47308.019000602617</v>
      </c>
      <c r="H115" s="253">
        <v>46521.800507492793</v>
      </c>
      <c r="I115" s="323">
        <v>0</v>
      </c>
      <c r="J115" s="323">
        <v>0</v>
      </c>
      <c r="K115" s="323">
        <v>0</v>
      </c>
      <c r="L115" s="323">
        <v>0</v>
      </c>
      <c r="M115" s="323">
        <v>46521.800507492793</v>
      </c>
      <c r="N115" s="253"/>
      <c r="P115" s="279">
        <v>92</v>
      </c>
      <c r="Q115" s="312"/>
      <c r="R115" s="497">
        <v>44958</v>
      </c>
      <c r="S115" s="498">
        <f t="shared" si="5"/>
        <v>46521.800507492793</v>
      </c>
      <c r="T115" s="258">
        <v>0</v>
      </c>
    </row>
    <row r="116" spans="1:20" ht="11.85" customHeight="1" x14ac:dyDescent="0.25">
      <c r="A116" s="492">
        <v>44990</v>
      </c>
      <c r="B116" s="252" t="s">
        <v>530</v>
      </c>
      <c r="C116" s="252" t="s">
        <v>531</v>
      </c>
      <c r="D116" s="252" t="s">
        <v>473</v>
      </c>
      <c r="E116" s="252" t="s">
        <v>560</v>
      </c>
      <c r="F116" s="252" t="s">
        <v>460</v>
      </c>
      <c r="G116" s="323">
        <v>47308.019000602617</v>
      </c>
      <c r="H116" s="253">
        <v>46521.800507492793</v>
      </c>
      <c r="I116" s="323">
        <v>0</v>
      </c>
      <c r="J116" s="323">
        <v>0</v>
      </c>
      <c r="K116" s="323">
        <v>0</v>
      </c>
      <c r="L116" s="323">
        <v>0</v>
      </c>
      <c r="M116" s="323">
        <v>46521.800507492793</v>
      </c>
      <c r="N116" s="253"/>
      <c r="P116" s="279">
        <v>92</v>
      </c>
      <c r="Q116" s="312"/>
      <c r="R116" s="497">
        <v>44986</v>
      </c>
      <c r="S116" s="498">
        <f t="shared" si="5"/>
        <v>46521.800507492793</v>
      </c>
      <c r="T116" s="258">
        <v>0</v>
      </c>
    </row>
    <row r="117" spans="1:20" ht="11.85" customHeight="1" x14ac:dyDescent="0.25">
      <c r="A117" s="492">
        <v>45021</v>
      </c>
      <c r="B117" s="252" t="s">
        <v>530</v>
      </c>
      <c r="C117" s="252" t="s">
        <v>531</v>
      </c>
      <c r="D117" s="252" t="s">
        <v>473</v>
      </c>
      <c r="E117" s="252" t="s">
        <v>561</v>
      </c>
      <c r="F117" s="252" t="s">
        <v>460</v>
      </c>
      <c r="G117" s="323">
        <v>47308.019000602617</v>
      </c>
      <c r="H117" s="253">
        <v>46521.800507492793</v>
      </c>
      <c r="I117" s="323">
        <v>0</v>
      </c>
      <c r="J117" s="323">
        <v>0</v>
      </c>
      <c r="K117" s="323">
        <v>0</v>
      </c>
      <c r="L117" s="323">
        <v>0</v>
      </c>
      <c r="M117" s="323">
        <v>46521.800507492793</v>
      </c>
      <c r="N117" s="253"/>
      <c r="P117" s="279">
        <v>92</v>
      </c>
      <c r="Q117" s="312"/>
      <c r="R117" s="497">
        <v>45017</v>
      </c>
      <c r="S117" s="498">
        <f t="shared" si="5"/>
        <v>46521.800507492793</v>
      </c>
      <c r="T117" s="258">
        <v>0</v>
      </c>
    </row>
    <row r="118" spans="1:20" ht="11.85" customHeight="1" x14ac:dyDescent="0.25">
      <c r="A118" s="492">
        <v>45021</v>
      </c>
      <c r="B118" s="252" t="s">
        <v>530</v>
      </c>
      <c r="C118" s="252" t="s">
        <v>531</v>
      </c>
      <c r="D118" s="252" t="s">
        <v>465</v>
      </c>
      <c r="E118" s="252" t="s">
        <v>466</v>
      </c>
      <c r="F118" s="252" t="s">
        <v>460</v>
      </c>
      <c r="G118" s="323">
        <v>519336.9196955043</v>
      </c>
      <c r="H118" s="253">
        <v>510705.98779336532</v>
      </c>
      <c r="I118" s="323">
        <v>0</v>
      </c>
      <c r="J118" s="323">
        <v>0</v>
      </c>
      <c r="K118" s="323">
        <v>0</v>
      </c>
      <c r="L118" s="323">
        <v>0</v>
      </c>
      <c r="M118" s="323">
        <v>510705.98779336532</v>
      </c>
      <c r="N118" s="253"/>
      <c r="P118" s="279">
        <v>92</v>
      </c>
      <c r="Q118" s="312"/>
      <c r="R118" s="497">
        <v>45017</v>
      </c>
      <c r="S118" s="498">
        <f t="shared" si="5"/>
        <v>510705.98779336532</v>
      </c>
      <c r="T118" s="258">
        <v>0</v>
      </c>
    </row>
    <row r="119" spans="1:20" ht="11.85" customHeight="1" x14ac:dyDescent="0.25">
      <c r="A119" s="492">
        <v>45112</v>
      </c>
      <c r="B119" s="252" t="s">
        <v>530</v>
      </c>
      <c r="C119" s="252" t="s">
        <v>531</v>
      </c>
      <c r="D119" s="252" t="s">
        <v>467</v>
      </c>
      <c r="E119" s="252" t="s">
        <v>466</v>
      </c>
      <c r="F119" s="252" t="s">
        <v>460</v>
      </c>
      <c r="G119" s="323">
        <v>1051.289311124503</v>
      </c>
      <c r="H119" s="253">
        <v>1033.817789055395</v>
      </c>
      <c r="I119" s="323">
        <v>0</v>
      </c>
      <c r="J119" s="323">
        <v>0</v>
      </c>
      <c r="K119" s="323">
        <v>0</v>
      </c>
      <c r="L119" s="323">
        <v>0</v>
      </c>
      <c r="M119" s="323">
        <v>1033.817789055395</v>
      </c>
      <c r="N119" s="253"/>
      <c r="P119" s="279">
        <v>92</v>
      </c>
      <c r="Q119" s="312"/>
      <c r="R119" s="497">
        <v>45108</v>
      </c>
      <c r="S119" s="498">
        <f t="shared" si="5"/>
        <v>1033.817789055395</v>
      </c>
      <c r="T119" s="258">
        <v>0</v>
      </c>
    </row>
    <row r="120" spans="1:20" ht="11.85" customHeight="1" x14ac:dyDescent="0.25">
      <c r="A120" s="492">
        <v>44190</v>
      </c>
      <c r="B120" s="252" t="s">
        <v>562</v>
      </c>
      <c r="C120" s="252" t="s">
        <v>563</v>
      </c>
      <c r="D120" s="252" t="s">
        <v>473</v>
      </c>
      <c r="E120" s="252" t="s">
        <v>564</v>
      </c>
      <c r="F120" s="252" t="s">
        <v>460</v>
      </c>
      <c r="G120" s="323">
        <v>8209.0997522012458</v>
      </c>
      <c r="H120" s="253">
        <v>8072.6715911133388</v>
      </c>
      <c r="I120" s="323">
        <v>0</v>
      </c>
      <c r="J120" s="323">
        <v>0</v>
      </c>
      <c r="K120" s="323">
        <v>0</v>
      </c>
      <c r="L120" s="323">
        <v>0</v>
      </c>
      <c r="M120" s="323">
        <v>8072.6715911133388</v>
      </c>
      <c r="N120" s="253"/>
      <c r="P120" s="279">
        <v>112</v>
      </c>
      <c r="Q120" s="312"/>
      <c r="R120" s="497">
        <v>44166</v>
      </c>
      <c r="S120" s="498">
        <f t="shared" si="5"/>
        <v>8072.6715911133388</v>
      </c>
      <c r="T120" s="258">
        <v>0</v>
      </c>
    </row>
    <row r="121" spans="1:20" ht="11.85" customHeight="1" x14ac:dyDescent="0.25">
      <c r="A121" s="492">
        <v>44221</v>
      </c>
      <c r="B121" s="252" t="s">
        <v>562</v>
      </c>
      <c r="C121" s="252" t="s">
        <v>563</v>
      </c>
      <c r="D121" s="252" t="s">
        <v>473</v>
      </c>
      <c r="E121" s="252" t="s">
        <v>565</v>
      </c>
      <c r="F121" s="252" t="s">
        <v>460</v>
      </c>
      <c r="G121" s="323">
        <v>8209.0997522012458</v>
      </c>
      <c r="H121" s="253">
        <v>8072.6715911133388</v>
      </c>
      <c r="I121" s="323">
        <v>0</v>
      </c>
      <c r="J121" s="323">
        <v>0</v>
      </c>
      <c r="K121" s="323">
        <v>0</v>
      </c>
      <c r="L121" s="323">
        <v>0</v>
      </c>
      <c r="M121" s="323">
        <v>8072.6715911133388</v>
      </c>
      <c r="N121" s="253"/>
      <c r="P121" s="279">
        <v>112</v>
      </c>
      <c r="Q121" s="312"/>
      <c r="R121" s="497">
        <v>44197</v>
      </c>
      <c r="S121" s="498">
        <f t="shared" si="5"/>
        <v>8072.6715911133388</v>
      </c>
      <c r="T121" s="258">
        <v>0</v>
      </c>
    </row>
    <row r="122" spans="1:20" ht="11.85" customHeight="1" x14ac:dyDescent="0.25">
      <c r="A122" s="492">
        <v>44252</v>
      </c>
      <c r="B122" s="252" t="s">
        <v>562</v>
      </c>
      <c r="C122" s="252" t="s">
        <v>563</v>
      </c>
      <c r="D122" s="252" t="s">
        <v>470</v>
      </c>
      <c r="E122" s="252" t="s">
        <v>466</v>
      </c>
      <c r="F122" s="252" t="s">
        <v>460</v>
      </c>
      <c r="G122" s="323">
        <v>8544.8073459014868</v>
      </c>
      <c r="H122" s="253">
        <v>8402.8000140087079</v>
      </c>
      <c r="I122" s="323">
        <v>0</v>
      </c>
      <c r="J122" s="323">
        <v>0</v>
      </c>
      <c r="K122" s="323">
        <v>0</v>
      </c>
      <c r="L122" s="323">
        <v>0</v>
      </c>
      <c r="M122" s="323">
        <v>8402.8000140087079</v>
      </c>
      <c r="N122" s="253"/>
      <c r="P122" s="279">
        <v>112</v>
      </c>
      <c r="Q122" s="312"/>
      <c r="R122" s="497">
        <v>44228</v>
      </c>
      <c r="S122" s="498">
        <f t="shared" si="5"/>
        <v>8402.8000140087079</v>
      </c>
      <c r="T122" s="258">
        <v>0</v>
      </c>
    </row>
    <row r="123" spans="1:20" ht="11.85" customHeight="1" x14ac:dyDescent="0.25">
      <c r="A123" s="492">
        <v>44280</v>
      </c>
      <c r="B123" s="252" t="s">
        <v>562</v>
      </c>
      <c r="C123" s="252" t="s">
        <v>563</v>
      </c>
      <c r="D123" s="252" t="s">
        <v>566</v>
      </c>
      <c r="E123" s="252" t="s">
        <v>567</v>
      </c>
      <c r="F123" s="252" t="s">
        <v>460</v>
      </c>
      <c r="G123" s="323">
        <v>16418.199504402492</v>
      </c>
      <c r="H123" s="253">
        <v>16145.343182226679</v>
      </c>
      <c r="I123" s="323">
        <v>0</v>
      </c>
      <c r="J123" s="323">
        <v>0</v>
      </c>
      <c r="K123" s="323">
        <v>0</v>
      </c>
      <c r="L123" s="323">
        <v>0</v>
      </c>
      <c r="M123" s="323">
        <v>16145.343182226679</v>
      </c>
      <c r="N123" s="253"/>
      <c r="P123" s="279">
        <v>112</v>
      </c>
      <c r="Q123" s="312"/>
      <c r="R123" s="497">
        <v>44256</v>
      </c>
      <c r="S123" s="498">
        <f t="shared" si="5"/>
        <v>16145.343182226679</v>
      </c>
      <c r="T123" s="258">
        <v>0</v>
      </c>
    </row>
    <row r="124" spans="1:20" ht="11.85" customHeight="1" x14ac:dyDescent="0.25">
      <c r="A124" s="492">
        <v>44311</v>
      </c>
      <c r="B124" s="252" t="s">
        <v>562</v>
      </c>
      <c r="C124" s="252" t="s">
        <v>563</v>
      </c>
      <c r="D124" s="252" t="s">
        <v>566</v>
      </c>
      <c r="E124" s="252" t="s">
        <v>568</v>
      </c>
      <c r="F124" s="252" t="s">
        <v>460</v>
      </c>
      <c r="G124" s="323">
        <v>16418.199504402492</v>
      </c>
      <c r="H124" s="253">
        <v>16145.343182226679</v>
      </c>
      <c r="I124" s="323">
        <v>0</v>
      </c>
      <c r="J124" s="323">
        <v>0</v>
      </c>
      <c r="K124" s="323">
        <v>0</v>
      </c>
      <c r="L124" s="323">
        <v>0</v>
      </c>
      <c r="M124" s="323">
        <v>16145.343182226679</v>
      </c>
      <c r="N124" s="253"/>
      <c r="P124" s="279">
        <v>112</v>
      </c>
      <c r="Q124" s="312"/>
      <c r="R124" s="497">
        <v>44287</v>
      </c>
      <c r="S124" s="498">
        <f t="shared" si="5"/>
        <v>16145.343182226679</v>
      </c>
      <c r="T124" s="258">
        <v>0</v>
      </c>
    </row>
    <row r="125" spans="1:20" ht="11.85" customHeight="1" x14ac:dyDescent="0.25">
      <c r="A125" s="492">
        <v>44341</v>
      </c>
      <c r="B125" s="252" t="s">
        <v>562</v>
      </c>
      <c r="C125" s="252" t="s">
        <v>563</v>
      </c>
      <c r="D125" s="252" t="s">
        <v>566</v>
      </c>
      <c r="E125" s="252" t="s">
        <v>569</v>
      </c>
      <c r="F125" s="252" t="s">
        <v>460</v>
      </c>
      <c r="G125" s="323">
        <v>16418.199504402492</v>
      </c>
      <c r="H125" s="253">
        <v>16145.343182226679</v>
      </c>
      <c r="I125" s="323">
        <v>0</v>
      </c>
      <c r="J125" s="323">
        <v>0</v>
      </c>
      <c r="K125" s="323">
        <v>0</v>
      </c>
      <c r="L125" s="323">
        <v>0</v>
      </c>
      <c r="M125" s="323">
        <v>16145.343182226679</v>
      </c>
      <c r="N125" s="253"/>
      <c r="P125" s="279">
        <v>112</v>
      </c>
      <c r="Q125" s="312"/>
      <c r="R125" s="497">
        <v>44317</v>
      </c>
      <c r="S125" s="498">
        <f t="shared" si="5"/>
        <v>16145.343182226679</v>
      </c>
      <c r="T125" s="258">
        <v>0</v>
      </c>
    </row>
    <row r="126" spans="1:20" ht="11.85" customHeight="1" x14ac:dyDescent="0.25">
      <c r="A126" s="492">
        <v>44372</v>
      </c>
      <c r="B126" s="252" t="s">
        <v>562</v>
      </c>
      <c r="C126" s="252" t="s">
        <v>563</v>
      </c>
      <c r="D126" s="252" t="s">
        <v>566</v>
      </c>
      <c r="E126" s="252" t="s">
        <v>570</v>
      </c>
      <c r="F126" s="252" t="s">
        <v>460</v>
      </c>
      <c r="G126" s="323">
        <v>16418.199504402492</v>
      </c>
      <c r="H126" s="253">
        <v>16145.343182226679</v>
      </c>
      <c r="I126" s="323">
        <v>0</v>
      </c>
      <c r="J126" s="323">
        <v>0</v>
      </c>
      <c r="K126" s="323">
        <v>0</v>
      </c>
      <c r="L126" s="323">
        <v>0</v>
      </c>
      <c r="M126" s="323">
        <v>16145.343182226679</v>
      </c>
      <c r="N126" s="253"/>
      <c r="P126" s="279">
        <v>112</v>
      </c>
      <c r="Q126" s="312"/>
      <c r="R126" s="497">
        <v>44348</v>
      </c>
      <c r="S126" s="498">
        <f t="shared" si="5"/>
        <v>16145.343182226679</v>
      </c>
      <c r="T126" s="258">
        <v>0</v>
      </c>
    </row>
    <row r="127" spans="1:20" ht="11.85" customHeight="1" x14ac:dyDescent="0.25">
      <c r="A127" s="492">
        <v>44402</v>
      </c>
      <c r="B127" s="252" t="s">
        <v>562</v>
      </c>
      <c r="C127" s="252" t="s">
        <v>563</v>
      </c>
      <c r="D127" s="252" t="s">
        <v>566</v>
      </c>
      <c r="E127" s="252" t="s">
        <v>571</v>
      </c>
      <c r="F127" s="252" t="s">
        <v>460</v>
      </c>
      <c r="G127" s="323">
        <v>16418.199504402492</v>
      </c>
      <c r="H127" s="253">
        <v>16145.343182226679</v>
      </c>
      <c r="I127" s="323">
        <v>0</v>
      </c>
      <c r="J127" s="323">
        <v>0</v>
      </c>
      <c r="K127" s="323">
        <v>0</v>
      </c>
      <c r="L127" s="323">
        <v>0</v>
      </c>
      <c r="M127" s="323">
        <v>16145.343182226679</v>
      </c>
      <c r="N127" s="253"/>
      <c r="P127" s="279">
        <v>112</v>
      </c>
      <c r="Q127" s="312"/>
      <c r="R127" s="497">
        <v>44378</v>
      </c>
      <c r="S127" s="498">
        <f t="shared" si="5"/>
        <v>16145.343182226679</v>
      </c>
      <c r="T127" s="258">
        <v>0</v>
      </c>
    </row>
    <row r="128" spans="1:20" ht="11.85" customHeight="1" x14ac:dyDescent="0.25">
      <c r="A128" s="492">
        <v>44433</v>
      </c>
      <c r="B128" s="252" t="s">
        <v>562</v>
      </c>
      <c r="C128" s="252" t="s">
        <v>563</v>
      </c>
      <c r="D128" s="252" t="s">
        <v>566</v>
      </c>
      <c r="E128" s="252" t="s">
        <v>572</v>
      </c>
      <c r="F128" s="252" t="s">
        <v>460</v>
      </c>
      <c r="G128" s="323">
        <v>16418.199504402492</v>
      </c>
      <c r="H128" s="253">
        <v>16145.343182226679</v>
      </c>
      <c r="I128" s="323">
        <v>0</v>
      </c>
      <c r="J128" s="323">
        <v>0</v>
      </c>
      <c r="K128" s="323">
        <v>0</v>
      </c>
      <c r="L128" s="323">
        <v>0</v>
      </c>
      <c r="M128" s="323">
        <v>16145.343182226679</v>
      </c>
      <c r="N128" s="253"/>
      <c r="P128" s="279">
        <v>112</v>
      </c>
      <c r="Q128" s="312"/>
      <c r="R128" s="497">
        <v>44409</v>
      </c>
      <c r="S128" s="498">
        <f t="shared" si="5"/>
        <v>16145.343182226679</v>
      </c>
      <c r="T128" s="258">
        <v>0</v>
      </c>
    </row>
    <row r="129" spans="1:20" ht="11.85" customHeight="1" x14ac:dyDescent="0.25">
      <c r="A129" s="492">
        <v>44433</v>
      </c>
      <c r="B129" s="252" t="s">
        <v>562</v>
      </c>
      <c r="C129" s="252" t="s">
        <v>563</v>
      </c>
      <c r="D129" s="252" t="s">
        <v>471</v>
      </c>
      <c r="E129" s="252" t="s">
        <v>472</v>
      </c>
      <c r="F129" s="252" t="s">
        <v>460</v>
      </c>
      <c r="G129" s="323">
        <v>169951.96931074781</v>
      </c>
      <c r="H129" s="253">
        <v>167127.5140907809</v>
      </c>
      <c r="I129" s="323">
        <v>0</v>
      </c>
      <c r="J129" s="323">
        <v>0</v>
      </c>
      <c r="K129" s="323">
        <v>0</v>
      </c>
      <c r="L129" s="323">
        <v>0</v>
      </c>
      <c r="M129" s="323">
        <v>167127.5140907809</v>
      </c>
      <c r="N129" s="253"/>
      <c r="P129" s="279">
        <v>112</v>
      </c>
      <c r="Q129" s="312"/>
      <c r="R129" s="497">
        <v>44409</v>
      </c>
      <c r="S129" s="498">
        <f t="shared" si="5"/>
        <v>167127.5140907809</v>
      </c>
      <c r="T129" s="258">
        <v>0</v>
      </c>
    </row>
    <row r="130" spans="1:20" ht="11.85" customHeight="1" x14ac:dyDescent="0.25">
      <c r="A130" s="492">
        <v>44464</v>
      </c>
      <c r="B130" s="252" t="s">
        <v>562</v>
      </c>
      <c r="C130" s="252" t="s">
        <v>563</v>
      </c>
      <c r="D130" s="252" t="s">
        <v>566</v>
      </c>
      <c r="E130" s="252" t="s">
        <v>573</v>
      </c>
      <c r="F130" s="252" t="s">
        <v>460</v>
      </c>
      <c r="G130" s="323">
        <v>16418.199504402492</v>
      </c>
      <c r="H130" s="253">
        <v>16145.343182226679</v>
      </c>
      <c r="I130" s="323">
        <v>0</v>
      </c>
      <c r="J130" s="323">
        <v>0</v>
      </c>
      <c r="K130" s="323">
        <v>0</v>
      </c>
      <c r="L130" s="323">
        <v>0</v>
      </c>
      <c r="M130" s="323">
        <v>16145.343182226679</v>
      </c>
      <c r="N130" s="253"/>
      <c r="P130" s="279">
        <v>112</v>
      </c>
      <c r="Q130" s="312"/>
      <c r="R130" s="497">
        <v>44440</v>
      </c>
      <c r="S130" s="498">
        <f t="shared" si="5"/>
        <v>16145.343182226679</v>
      </c>
      <c r="T130" s="258">
        <v>0</v>
      </c>
    </row>
    <row r="131" spans="1:20" ht="11.85" customHeight="1" x14ac:dyDescent="0.25">
      <c r="A131" s="492">
        <v>44494</v>
      </c>
      <c r="B131" s="252" t="s">
        <v>562</v>
      </c>
      <c r="C131" s="252" t="s">
        <v>563</v>
      </c>
      <c r="D131" s="252" t="s">
        <v>566</v>
      </c>
      <c r="E131" s="252" t="s">
        <v>574</v>
      </c>
      <c r="F131" s="252" t="s">
        <v>460</v>
      </c>
      <c r="G131" s="323">
        <v>16418.199504402492</v>
      </c>
      <c r="H131" s="253">
        <v>16145.343182226679</v>
      </c>
      <c r="I131" s="323">
        <v>0</v>
      </c>
      <c r="J131" s="323">
        <v>0</v>
      </c>
      <c r="K131" s="323">
        <v>0</v>
      </c>
      <c r="L131" s="323">
        <v>0</v>
      </c>
      <c r="M131" s="323">
        <v>16145.343182226679</v>
      </c>
      <c r="N131" s="253"/>
      <c r="P131" s="279">
        <v>112</v>
      </c>
      <c r="Q131" s="312"/>
      <c r="R131" s="497">
        <v>44470</v>
      </c>
      <c r="S131" s="498">
        <f t="shared" si="5"/>
        <v>16145.343182226679</v>
      </c>
      <c r="T131" s="258">
        <v>0</v>
      </c>
    </row>
    <row r="132" spans="1:20" ht="11.85" customHeight="1" x14ac:dyDescent="0.25">
      <c r="A132" s="492">
        <v>44525</v>
      </c>
      <c r="B132" s="252" t="s">
        <v>562</v>
      </c>
      <c r="C132" s="252" t="s">
        <v>563</v>
      </c>
      <c r="D132" s="252" t="s">
        <v>566</v>
      </c>
      <c r="E132" s="252" t="s">
        <v>575</v>
      </c>
      <c r="F132" s="252" t="s">
        <v>460</v>
      </c>
      <c r="G132" s="323">
        <v>16418.199504402492</v>
      </c>
      <c r="H132" s="253">
        <v>16145.343182226679</v>
      </c>
      <c r="I132" s="323">
        <v>0</v>
      </c>
      <c r="J132" s="323">
        <v>0</v>
      </c>
      <c r="K132" s="323">
        <v>0</v>
      </c>
      <c r="L132" s="323">
        <v>0</v>
      </c>
      <c r="M132" s="323">
        <v>16145.343182226679</v>
      </c>
      <c r="N132" s="253"/>
      <c r="P132" s="279">
        <v>112</v>
      </c>
      <c r="Q132" s="312"/>
      <c r="R132" s="497">
        <v>44501</v>
      </c>
      <c r="S132" s="498">
        <f t="shared" si="5"/>
        <v>16145.343182226679</v>
      </c>
      <c r="T132" s="258">
        <v>0</v>
      </c>
    </row>
    <row r="133" spans="1:20" ht="11.85" customHeight="1" x14ac:dyDescent="0.25">
      <c r="A133" s="492">
        <v>44555</v>
      </c>
      <c r="B133" s="252" t="s">
        <v>562</v>
      </c>
      <c r="C133" s="252" t="s">
        <v>563</v>
      </c>
      <c r="D133" s="252" t="s">
        <v>566</v>
      </c>
      <c r="E133" s="252" t="s">
        <v>576</v>
      </c>
      <c r="F133" s="252" t="s">
        <v>460</v>
      </c>
      <c r="G133" s="323">
        <v>16418.199504402492</v>
      </c>
      <c r="H133" s="253">
        <v>16145.343182226679</v>
      </c>
      <c r="I133" s="323">
        <v>0</v>
      </c>
      <c r="J133" s="323">
        <v>0</v>
      </c>
      <c r="K133" s="323">
        <v>0</v>
      </c>
      <c r="L133" s="323">
        <v>0</v>
      </c>
      <c r="M133" s="323">
        <v>16145.343182226679</v>
      </c>
      <c r="N133" s="253"/>
      <c r="P133" s="279">
        <v>112</v>
      </c>
      <c r="Q133" s="312"/>
      <c r="R133" s="497">
        <v>44531</v>
      </c>
      <c r="S133" s="498">
        <f t="shared" si="5"/>
        <v>16145.343182226679</v>
      </c>
      <c r="T133" s="258">
        <v>0</v>
      </c>
    </row>
    <row r="134" spans="1:20" ht="11.85" customHeight="1" x14ac:dyDescent="0.25">
      <c r="A134" s="492">
        <v>44586</v>
      </c>
      <c r="B134" s="252" t="s">
        <v>562</v>
      </c>
      <c r="C134" s="252" t="s">
        <v>563</v>
      </c>
      <c r="D134" s="252" t="s">
        <v>566</v>
      </c>
      <c r="E134" s="252" t="s">
        <v>577</v>
      </c>
      <c r="F134" s="252" t="s">
        <v>460</v>
      </c>
      <c r="G134" s="323">
        <v>16418.199504402492</v>
      </c>
      <c r="H134" s="253">
        <v>16145.343182226679</v>
      </c>
      <c r="I134" s="323">
        <v>0</v>
      </c>
      <c r="J134" s="323">
        <v>0</v>
      </c>
      <c r="K134" s="323">
        <v>0</v>
      </c>
      <c r="L134" s="323">
        <v>0</v>
      </c>
      <c r="M134" s="323">
        <v>16145.343182226679</v>
      </c>
      <c r="N134" s="253"/>
      <c r="P134" s="279">
        <v>112</v>
      </c>
      <c r="Q134" s="312"/>
      <c r="R134" s="497">
        <v>44562</v>
      </c>
      <c r="S134" s="498">
        <f t="shared" si="5"/>
        <v>16145.343182226679</v>
      </c>
      <c r="T134" s="258">
        <v>0</v>
      </c>
    </row>
    <row r="135" spans="1:20" ht="11.85" customHeight="1" x14ac:dyDescent="0.25">
      <c r="A135" s="492">
        <v>44617</v>
      </c>
      <c r="B135" s="252" t="s">
        <v>562</v>
      </c>
      <c r="C135" s="252" t="s">
        <v>563</v>
      </c>
      <c r="D135" s="252" t="s">
        <v>566</v>
      </c>
      <c r="E135" s="252" t="s">
        <v>578</v>
      </c>
      <c r="F135" s="252" t="s">
        <v>460</v>
      </c>
      <c r="G135" s="323">
        <v>16418.199504402492</v>
      </c>
      <c r="H135" s="253">
        <v>16145.343182226679</v>
      </c>
      <c r="I135" s="323">
        <v>0</v>
      </c>
      <c r="J135" s="323">
        <v>0</v>
      </c>
      <c r="K135" s="323">
        <v>0</v>
      </c>
      <c r="L135" s="323">
        <v>0</v>
      </c>
      <c r="M135" s="323">
        <v>16145.343182226679</v>
      </c>
      <c r="N135" s="253"/>
      <c r="P135" s="279">
        <v>112</v>
      </c>
      <c r="Q135" s="312"/>
      <c r="R135" s="497">
        <v>44593</v>
      </c>
      <c r="S135" s="498">
        <f t="shared" ref="S135:S198" si="7">M135</f>
        <v>16145.343182226679</v>
      </c>
      <c r="T135" s="258">
        <v>0</v>
      </c>
    </row>
    <row r="136" spans="1:20" ht="11.85" customHeight="1" x14ac:dyDescent="0.25">
      <c r="A136" s="492">
        <v>44645</v>
      </c>
      <c r="B136" s="252" t="s">
        <v>562</v>
      </c>
      <c r="C136" s="252" t="s">
        <v>563</v>
      </c>
      <c r="D136" s="252" t="s">
        <v>566</v>
      </c>
      <c r="E136" s="252" t="s">
        <v>579</v>
      </c>
      <c r="F136" s="252" t="s">
        <v>460</v>
      </c>
      <c r="G136" s="323">
        <v>16418.199504402492</v>
      </c>
      <c r="H136" s="253">
        <v>16145.343182226679</v>
      </c>
      <c r="I136" s="323">
        <v>0</v>
      </c>
      <c r="J136" s="323">
        <v>0</v>
      </c>
      <c r="K136" s="323">
        <v>0</v>
      </c>
      <c r="L136" s="323">
        <v>0</v>
      </c>
      <c r="M136" s="323">
        <v>16145.343182226679</v>
      </c>
      <c r="N136" s="253"/>
      <c r="P136" s="279">
        <v>112</v>
      </c>
      <c r="Q136" s="312"/>
      <c r="R136" s="497">
        <v>44621</v>
      </c>
      <c r="S136" s="498">
        <f t="shared" si="7"/>
        <v>16145.343182226679</v>
      </c>
      <c r="T136" s="258">
        <v>0</v>
      </c>
    </row>
    <row r="137" spans="1:20" ht="11.85" customHeight="1" x14ac:dyDescent="0.25">
      <c r="A137" s="492">
        <v>44676</v>
      </c>
      <c r="B137" s="252" t="s">
        <v>562</v>
      </c>
      <c r="C137" s="252" t="s">
        <v>563</v>
      </c>
      <c r="D137" s="252" t="s">
        <v>566</v>
      </c>
      <c r="E137" s="252" t="s">
        <v>580</v>
      </c>
      <c r="F137" s="252" t="s">
        <v>460</v>
      </c>
      <c r="G137" s="323">
        <v>16418.199504402492</v>
      </c>
      <c r="H137" s="253">
        <v>16145.343182226679</v>
      </c>
      <c r="I137" s="323">
        <v>0</v>
      </c>
      <c r="J137" s="323">
        <v>0</v>
      </c>
      <c r="K137" s="323">
        <v>0</v>
      </c>
      <c r="L137" s="323">
        <v>0</v>
      </c>
      <c r="M137" s="323">
        <v>16145.343182226679</v>
      </c>
      <c r="N137" s="253"/>
      <c r="P137" s="279">
        <v>112</v>
      </c>
      <c r="Q137" s="312"/>
      <c r="R137" s="497">
        <v>44652</v>
      </c>
      <c r="S137" s="498">
        <f t="shared" si="7"/>
        <v>16145.343182226679</v>
      </c>
      <c r="T137" s="258">
        <v>0</v>
      </c>
    </row>
    <row r="138" spans="1:20" ht="11.85" customHeight="1" x14ac:dyDescent="0.25">
      <c r="A138" s="492">
        <v>44706</v>
      </c>
      <c r="B138" s="252" t="s">
        <v>562</v>
      </c>
      <c r="C138" s="252" t="s">
        <v>563</v>
      </c>
      <c r="D138" s="252" t="s">
        <v>566</v>
      </c>
      <c r="E138" s="252" t="s">
        <v>581</v>
      </c>
      <c r="F138" s="252" t="s">
        <v>460</v>
      </c>
      <c r="G138" s="323">
        <v>16418.199504402492</v>
      </c>
      <c r="H138" s="253">
        <v>16145.343182226679</v>
      </c>
      <c r="I138" s="323">
        <v>0</v>
      </c>
      <c r="J138" s="323">
        <v>0</v>
      </c>
      <c r="K138" s="323">
        <v>0</v>
      </c>
      <c r="L138" s="323">
        <v>0</v>
      </c>
      <c r="M138" s="323">
        <v>16145.343182226679</v>
      </c>
      <c r="N138" s="253"/>
      <c r="P138" s="279">
        <v>112</v>
      </c>
      <c r="Q138" s="312"/>
      <c r="R138" s="497">
        <v>44682</v>
      </c>
      <c r="S138" s="498">
        <f t="shared" si="7"/>
        <v>16145.343182226679</v>
      </c>
      <c r="T138" s="258">
        <v>0</v>
      </c>
    </row>
    <row r="139" spans="1:20" ht="11.85" customHeight="1" x14ac:dyDescent="0.25">
      <c r="A139" s="492">
        <v>44737</v>
      </c>
      <c r="B139" s="252" t="s">
        <v>562</v>
      </c>
      <c r="C139" s="252" t="s">
        <v>563</v>
      </c>
      <c r="D139" s="252" t="s">
        <v>566</v>
      </c>
      <c r="E139" s="252" t="s">
        <v>582</v>
      </c>
      <c r="F139" s="252" t="s">
        <v>460</v>
      </c>
      <c r="G139" s="323">
        <v>16418.199504402492</v>
      </c>
      <c r="H139" s="253">
        <v>16145.343182226679</v>
      </c>
      <c r="I139" s="323">
        <v>0</v>
      </c>
      <c r="J139" s="323">
        <v>0</v>
      </c>
      <c r="K139" s="323">
        <v>0</v>
      </c>
      <c r="L139" s="323">
        <v>0</v>
      </c>
      <c r="M139" s="323">
        <v>16145.343182226679</v>
      </c>
      <c r="N139" s="253"/>
      <c r="P139" s="279">
        <v>112</v>
      </c>
      <c r="Q139" s="312"/>
      <c r="R139" s="497">
        <v>44713</v>
      </c>
      <c r="S139" s="498">
        <f t="shared" si="7"/>
        <v>16145.343182226679</v>
      </c>
      <c r="T139" s="258">
        <v>0</v>
      </c>
    </row>
    <row r="140" spans="1:20" ht="11.85" customHeight="1" x14ac:dyDescent="0.25">
      <c r="A140" s="492">
        <v>44767</v>
      </c>
      <c r="B140" s="252" t="s">
        <v>562</v>
      </c>
      <c r="C140" s="252" t="s">
        <v>563</v>
      </c>
      <c r="D140" s="252" t="s">
        <v>566</v>
      </c>
      <c r="E140" s="252" t="s">
        <v>583</v>
      </c>
      <c r="F140" s="252" t="s">
        <v>460</v>
      </c>
      <c r="G140" s="323">
        <v>16418.199504402492</v>
      </c>
      <c r="H140" s="253">
        <v>16145.343182226679</v>
      </c>
      <c r="I140" s="323">
        <v>0</v>
      </c>
      <c r="J140" s="323">
        <v>0</v>
      </c>
      <c r="K140" s="323">
        <v>0</v>
      </c>
      <c r="L140" s="323">
        <v>0</v>
      </c>
      <c r="M140" s="323">
        <v>16145.343182226679</v>
      </c>
      <c r="N140" s="253"/>
      <c r="P140" s="279">
        <v>112</v>
      </c>
      <c r="Q140" s="312"/>
      <c r="R140" s="497">
        <v>44743</v>
      </c>
      <c r="S140" s="498">
        <f t="shared" si="7"/>
        <v>16145.343182226679</v>
      </c>
      <c r="T140" s="258">
        <v>0</v>
      </c>
    </row>
    <row r="141" spans="1:20" ht="11.85" customHeight="1" x14ac:dyDescent="0.25">
      <c r="A141" s="492">
        <v>44798</v>
      </c>
      <c r="B141" s="252" t="s">
        <v>562</v>
      </c>
      <c r="C141" s="252" t="s">
        <v>563</v>
      </c>
      <c r="D141" s="252" t="s">
        <v>566</v>
      </c>
      <c r="E141" s="252" t="s">
        <v>584</v>
      </c>
      <c r="F141" s="252" t="s">
        <v>460</v>
      </c>
      <c r="G141" s="323">
        <v>16418.199504402492</v>
      </c>
      <c r="H141" s="253">
        <v>16145.343182226679</v>
      </c>
      <c r="I141" s="323">
        <v>0</v>
      </c>
      <c r="J141" s="323">
        <v>0</v>
      </c>
      <c r="K141" s="323">
        <v>0</v>
      </c>
      <c r="L141" s="323">
        <v>0</v>
      </c>
      <c r="M141" s="323">
        <v>16145.343182226679</v>
      </c>
      <c r="N141" s="253"/>
      <c r="P141" s="279">
        <v>112</v>
      </c>
      <c r="Q141" s="312"/>
      <c r="R141" s="497">
        <v>44774</v>
      </c>
      <c r="S141" s="498">
        <f t="shared" si="7"/>
        <v>16145.343182226679</v>
      </c>
      <c r="T141" s="258">
        <v>0</v>
      </c>
    </row>
    <row r="142" spans="1:20" ht="11.85" customHeight="1" x14ac:dyDescent="0.25">
      <c r="A142" s="492">
        <v>44798</v>
      </c>
      <c r="B142" s="252" t="s">
        <v>562</v>
      </c>
      <c r="C142" s="252" t="s">
        <v>563</v>
      </c>
      <c r="D142" s="252" t="s">
        <v>471</v>
      </c>
      <c r="E142" s="252" t="s">
        <v>482</v>
      </c>
      <c r="F142" s="252" t="s">
        <v>460</v>
      </c>
      <c r="G142" s="323">
        <v>169951.96931074781</v>
      </c>
      <c r="H142" s="253">
        <v>167127.5140907809</v>
      </c>
      <c r="I142" s="323">
        <v>0</v>
      </c>
      <c r="J142" s="323">
        <v>0</v>
      </c>
      <c r="K142" s="323">
        <v>0</v>
      </c>
      <c r="L142" s="323">
        <v>0</v>
      </c>
      <c r="M142" s="323">
        <v>167127.5140907809</v>
      </c>
      <c r="N142" s="253"/>
      <c r="P142" s="279">
        <v>112</v>
      </c>
      <c r="Q142" s="312"/>
      <c r="R142" s="497">
        <v>44774</v>
      </c>
      <c r="S142" s="498">
        <f t="shared" si="7"/>
        <v>167127.5140907809</v>
      </c>
      <c r="T142" s="258">
        <v>0</v>
      </c>
    </row>
    <row r="143" spans="1:20" ht="11.85" customHeight="1" x14ac:dyDescent="0.25">
      <c r="A143" s="492">
        <v>44829</v>
      </c>
      <c r="B143" s="252" t="s">
        <v>562</v>
      </c>
      <c r="C143" s="252" t="s">
        <v>563</v>
      </c>
      <c r="D143" s="252" t="s">
        <v>566</v>
      </c>
      <c r="E143" s="252" t="s">
        <v>585</v>
      </c>
      <c r="F143" s="252" t="s">
        <v>460</v>
      </c>
      <c r="G143" s="323">
        <v>16418.199504402492</v>
      </c>
      <c r="H143" s="253">
        <v>16145.343182226679</v>
      </c>
      <c r="I143" s="323">
        <v>0</v>
      </c>
      <c r="J143" s="323">
        <v>0</v>
      </c>
      <c r="K143" s="323">
        <v>0</v>
      </c>
      <c r="L143" s="323">
        <v>0</v>
      </c>
      <c r="M143" s="323">
        <v>16145.343182226679</v>
      </c>
      <c r="N143" s="253"/>
      <c r="P143" s="279">
        <v>112</v>
      </c>
      <c r="Q143" s="312"/>
      <c r="R143" s="497">
        <v>44805</v>
      </c>
      <c r="S143" s="498">
        <f t="shared" si="7"/>
        <v>16145.343182226679</v>
      </c>
      <c r="T143" s="258">
        <v>0</v>
      </c>
    </row>
    <row r="144" spans="1:20" ht="11.85" customHeight="1" x14ac:dyDescent="0.25">
      <c r="A144" s="492">
        <v>44859</v>
      </c>
      <c r="B144" s="252" t="s">
        <v>562</v>
      </c>
      <c r="C144" s="252" t="s">
        <v>563</v>
      </c>
      <c r="D144" s="252" t="s">
        <v>566</v>
      </c>
      <c r="E144" s="252" t="s">
        <v>586</v>
      </c>
      <c r="F144" s="252" t="s">
        <v>460</v>
      </c>
      <c r="G144" s="323">
        <v>16418.199504402492</v>
      </c>
      <c r="H144" s="253">
        <v>16145.343182226679</v>
      </c>
      <c r="I144" s="323">
        <v>0</v>
      </c>
      <c r="J144" s="323">
        <v>0</v>
      </c>
      <c r="K144" s="323">
        <v>0</v>
      </c>
      <c r="L144" s="323">
        <v>0</v>
      </c>
      <c r="M144" s="323">
        <v>16145.343182226679</v>
      </c>
      <c r="N144" s="253"/>
      <c r="P144" s="279">
        <v>112</v>
      </c>
      <c r="Q144" s="312"/>
      <c r="R144" s="497">
        <v>44835</v>
      </c>
      <c r="S144" s="498">
        <f t="shared" si="7"/>
        <v>16145.343182226679</v>
      </c>
      <c r="T144" s="258">
        <v>0</v>
      </c>
    </row>
    <row r="145" spans="1:20" ht="11.85" customHeight="1" x14ac:dyDescent="0.25">
      <c r="A145" s="492">
        <v>44890</v>
      </c>
      <c r="B145" s="252" t="s">
        <v>562</v>
      </c>
      <c r="C145" s="252" t="s">
        <v>563</v>
      </c>
      <c r="D145" s="252" t="s">
        <v>566</v>
      </c>
      <c r="E145" s="252" t="s">
        <v>587</v>
      </c>
      <c r="F145" s="252" t="s">
        <v>460</v>
      </c>
      <c r="G145" s="323">
        <v>16418.199504402492</v>
      </c>
      <c r="H145" s="253">
        <v>16145.343182226679</v>
      </c>
      <c r="I145" s="323">
        <v>0</v>
      </c>
      <c r="J145" s="323">
        <v>0</v>
      </c>
      <c r="K145" s="323">
        <v>0</v>
      </c>
      <c r="L145" s="323">
        <v>0</v>
      </c>
      <c r="M145" s="323">
        <v>16145.343182226679</v>
      </c>
      <c r="N145" s="253"/>
      <c r="P145" s="279">
        <v>112</v>
      </c>
      <c r="Q145" s="312"/>
      <c r="R145" s="497">
        <v>44866</v>
      </c>
      <c r="S145" s="498">
        <f t="shared" si="7"/>
        <v>16145.343182226679</v>
      </c>
      <c r="T145" s="258">
        <v>0</v>
      </c>
    </row>
    <row r="146" spans="1:20" ht="11.85" customHeight="1" x14ac:dyDescent="0.25">
      <c r="A146" s="492">
        <v>44920</v>
      </c>
      <c r="B146" s="252" t="s">
        <v>562</v>
      </c>
      <c r="C146" s="252" t="s">
        <v>563</v>
      </c>
      <c r="D146" s="252" t="s">
        <v>566</v>
      </c>
      <c r="E146" s="252" t="s">
        <v>588</v>
      </c>
      <c r="F146" s="252" t="s">
        <v>460</v>
      </c>
      <c r="G146" s="323">
        <v>16418.199504402492</v>
      </c>
      <c r="H146" s="253">
        <v>16145.343182226679</v>
      </c>
      <c r="I146" s="323">
        <v>0</v>
      </c>
      <c r="J146" s="323">
        <v>0</v>
      </c>
      <c r="K146" s="323">
        <v>0</v>
      </c>
      <c r="L146" s="323">
        <v>0</v>
      </c>
      <c r="M146" s="323">
        <v>16145.343182226679</v>
      </c>
      <c r="N146" s="253"/>
      <c r="P146" s="279">
        <v>112</v>
      </c>
      <c r="Q146" s="312"/>
      <c r="R146" s="497">
        <v>44896</v>
      </c>
      <c r="S146" s="498">
        <f t="shared" si="7"/>
        <v>16145.343182226679</v>
      </c>
      <c r="T146" s="258">
        <v>0</v>
      </c>
    </row>
    <row r="147" spans="1:20" ht="11.85" customHeight="1" x14ac:dyDescent="0.25">
      <c r="A147" s="492">
        <v>44951</v>
      </c>
      <c r="B147" s="252" t="s">
        <v>562</v>
      </c>
      <c r="C147" s="252" t="s">
        <v>563</v>
      </c>
      <c r="D147" s="252" t="s">
        <v>566</v>
      </c>
      <c r="E147" s="252" t="s">
        <v>589</v>
      </c>
      <c r="F147" s="252" t="s">
        <v>460</v>
      </c>
      <c r="G147" s="323">
        <v>16418.199504402492</v>
      </c>
      <c r="H147" s="253">
        <v>16145.343182226679</v>
      </c>
      <c r="I147" s="323">
        <v>0</v>
      </c>
      <c r="J147" s="323">
        <v>0</v>
      </c>
      <c r="K147" s="323">
        <v>0</v>
      </c>
      <c r="L147" s="323">
        <v>0</v>
      </c>
      <c r="M147" s="323">
        <v>16145.343182226679</v>
      </c>
      <c r="N147" s="253"/>
      <c r="P147" s="279">
        <v>112</v>
      </c>
      <c r="Q147" s="312"/>
      <c r="R147" s="497">
        <v>44927</v>
      </c>
      <c r="S147" s="498">
        <f t="shared" si="7"/>
        <v>16145.343182226679</v>
      </c>
      <c r="T147" s="258">
        <v>0</v>
      </c>
    </row>
    <row r="148" spans="1:20" ht="11.85" customHeight="1" x14ac:dyDescent="0.25">
      <c r="A148" s="492">
        <v>44982</v>
      </c>
      <c r="B148" s="252" t="s">
        <v>562</v>
      </c>
      <c r="C148" s="252" t="s">
        <v>563</v>
      </c>
      <c r="D148" s="252" t="s">
        <v>566</v>
      </c>
      <c r="E148" s="252" t="s">
        <v>590</v>
      </c>
      <c r="F148" s="252" t="s">
        <v>460</v>
      </c>
      <c r="G148" s="323">
        <v>16418.199504402492</v>
      </c>
      <c r="H148" s="253">
        <v>16145.343182226679</v>
      </c>
      <c r="I148" s="323">
        <v>0</v>
      </c>
      <c r="J148" s="323">
        <v>0</v>
      </c>
      <c r="K148" s="323">
        <v>0</v>
      </c>
      <c r="L148" s="323">
        <v>0</v>
      </c>
      <c r="M148" s="323">
        <v>16145.343182226679</v>
      </c>
      <c r="N148" s="253"/>
      <c r="P148" s="279">
        <v>112</v>
      </c>
      <c r="Q148" s="312"/>
      <c r="R148" s="497">
        <v>44958</v>
      </c>
      <c r="S148" s="498">
        <f t="shared" si="7"/>
        <v>16145.343182226679</v>
      </c>
      <c r="T148" s="258">
        <v>0</v>
      </c>
    </row>
    <row r="149" spans="1:20" ht="11.85" customHeight="1" x14ac:dyDescent="0.25">
      <c r="A149" s="492">
        <v>45010</v>
      </c>
      <c r="B149" s="252" t="s">
        <v>562</v>
      </c>
      <c r="C149" s="252" t="s">
        <v>563</v>
      </c>
      <c r="D149" s="252" t="s">
        <v>566</v>
      </c>
      <c r="E149" s="252" t="s">
        <v>591</v>
      </c>
      <c r="F149" s="252" t="s">
        <v>460</v>
      </c>
      <c r="G149" s="323">
        <v>16418.199504402492</v>
      </c>
      <c r="H149" s="253">
        <v>16145.343182226679</v>
      </c>
      <c r="I149" s="323">
        <v>0</v>
      </c>
      <c r="J149" s="323">
        <v>0</v>
      </c>
      <c r="K149" s="323">
        <v>0</v>
      </c>
      <c r="L149" s="323">
        <v>0</v>
      </c>
      <c r="M149" s="323">
        <v>16145.343182226679</v>
      </c>
      <c r="N149" s="253"/>
      <c r="P149" s="279">
        <v>112</v>
      </c>
      <c r="Q149" s="312"/>
      <c r="R149" s="497">
        <v>44986</v>
      </c>
      <c r="S149" s="498">
        <f t="shared" si="7"/>
        <v>16145.343182226679</v>
      </c>
      <c r="T149" s="258">
        <v>0</v>
      </c>
    </row>
    <row r="150" spans="1:20" ht="11.85" customHeight="1" x14ac:dyDescent="0.25">
      <c r="A150" s="492">
        <v>45021</v>
      </c>
      <c r="B150" s="252" t="s">
        <v>562</v>
      </c>
      <c r="C150" s="252" t="s">
        <v>563</v>
      </c>
      <c r="D150" s="252" t="s">
        <v>465</v>
      </c>
      <c r="E150" s="252" t="s">
        <v>466</v>
      </c>
      <c r="F150" s="252" t="s">
        <v>460</v>
      </c>
      <c r="G150" s="323">
        <v>2230357.3256459869</v>
      </c>
      <c r="H150" s="253">
        <v>2193290.7096111132</v>
      </c>
      <c r="I150" s="323">
        <v>0</v>
      </c>
      <c r="J150" s="323">
        <v>0</v>
      </c>
      <c r="K150" s="323">
        <v>0</v>
      </c>
      <c r="L150" s="323">
        <v>0</v>
      </c>
      <c r="M150" s="323">
        <v>2193290.7096111132</v>
      </c>
      <c r="N150" s="253"/>
      <c r="P150" s="279">
        <v>112</v>
      </c>
      <c r="Q150" s="312"/>
      <c r="R150" s="497">
        <v>45017</v>
      </c>
      <c r="S150" s="498">
        <f t="shared" si="7"/>
        <v>2193290.7096111132</v>
      </c>
      <c r="T150" s="258">
        <v>0</v>
      </c>
    </row>
    <row r="151" spans="1:20" ht="11.85" customHeight="1" x14ac:dyDescent="0.25">
      <c r="A151" s="492">
        <v>45143</v>
      </c>
      <c r="B151" s="252" t="s">
        <v>562</v>
      </c>
      <c r="C151" s="252" t="s">
        <v>563</v>
      </c>
      <c r="D151" s="252" t="s">
        <v>467</v>
      </c>
      <c r="E151" s="252" t="s">
        <v>466</v>
      </c>
      <c r="F151" s="252" t="s">
        <v>460</v>
      </c>
      <c r="G151" s="323">
        <v>1049.0862303132581</v>
      </c>
      <c r="H151" s="253">
        <v>1031.65132154803</v>
      </c>
      <c r="I151" s="323">
        <v>0</v>
      </c>
      <c r="J151" s="323">
        <v>0</v>
      </c>
      <c r="K151" s="323">
        <v>0</v>
      </c>
      <c r="L151" s="323">
        <v>0</v>
      </c>
      <c r="M151" s="323">
        <v>1031.65132154803</v>
      </c>
      <c r="N151" s="253"/>
      <c r="P151" s="279">
        <v>112</v>
      </c>
      <c r="Q151" s="312"/>
      <c r="R151" s="497">
        <v>45139</v>
      </c>
      <c r="S151" s="498">
        <f t="shared" si="7"/>
        <v>1031.65132154803</v>
      </c>
      <c r="T151" s="258">
        <v>0</v>
      </c>
    </row>
    <row r="152" spans="1:20" ht="11.85" customHeight="1" x14ac:dyDescent="0.25">
      <c r="A152" s="492">
        <v>44180</v>
      </c>
      <c r="B152" s="252" t="s">
        <v>592</v>
      </c>
      <c r="C152" s="252" t="s">
        <v>593</v>
      </c>
      <c r="D152" s="252" t="s">
        <v>458</v>
      </c>
      <c r="E152" s="252" t="s">
        <v>500</v>
      </c>
      <c r="F152" s="252" t="s">
        <v>460</v>
      </c>
      <c r="G152" s="323">
        <v>4720.8880364096613</v>
      </c>
      <c r="H152" s="253">
        <v>4642.4309469661366</v>
      </c>
      <c r="I152" s="323">
        <v>0</v>
      </c>
      <c r="J152" s="323">
        <v>0</v>
      </c>
      <c r="K152" s="323">
        <v>0</v>
      </c>
      <c r="L152" s="323">
        <v>0</v>
      </c>
      <c r="M152" s="323">
        <v>4642.4309469661366</v>
      </c>
      <c r="N152" s="253"/>
      <c r="P152" s="279">
        <v>122</v>
      </c>
      <c r="Q152" s="312"/>
      <c r="R152" s="497">
        <v>44166</v>
      </c>
      <c r="S152" s="498">
        <f t="shared" si="7"/>
        <v>4642.4309469661366</v>
      </c>
      <c r="T152" s="258">
        <v>0</v>
      </c>
    </row>
    <row r="153" spans="1:20" ht="11.85" customHeight="1" x14ac:dyDescent="0.25">
      <c r="A153" s="492">
        <v>44211</v>
      </c>
      <c r="B153" s="252" t="s">
        <v>592</v>
      </c>
      <c r="C153" s="252" t="s">
        <v>593</v>
      </c>
      <c r="D153" s="252" t="s">
        <v>458</v>
      </c>
      <c r="E153" s="252" t="s">
        <v>501</v>
      </c>
      <c r="F153" s="252" t="s">
        <v>460</v>
      </c>
      <c r="G153" s="323">
        <v>4720.8880364096613</v>
      </c>
      <c r="H153" s="253">
        <v>4642.4309469661366</v>
      </c>
      <c r="I153" s="323">
        <v>0</v>
      </c>
      <c r="J153" s="323">
        <v>0</v>
      </c>
      <c r="K153" s="323">
        <v>0</v>
      </c>
      <c r="L153" s="323">
        <v>0</v>
      </c>
      <c r="M153" s="323">
        <v>4642.4309469661366</v>
      </c>
      <c r="N153" s="253"/>
      <c r="P153" s="279">
        <v>122</v>
      </c>
      <c r="Q153" s="312"/>
      <c r="R153" s="497">
        <v>44197</v>
      </c>
      <c r="S153" s="498">
        <f t="shared" si="7"/>
        <v>4642.4309469661366</v>
      </c>
      <c r="T153" s="258">
        <v>0</v>
      </c>
    </row>
    <row r="154" spans="1:20" ht="11.85" customHeight="1" x14ac:dyDescent="0.25">
      <c r="A154" s="492">
        <v>44242</v>
      </c>
      <c r="B154" s="252" t="s">
        <v>592</v>
      </c>
      <c r="C154" s="252" t="s">
        <v>593</v>
      </c>
      <c r="D154" s="252" t="s">
        <v>458</v>
      </c>
      <c r="E154" s="252" t="s">
        <v>502</v>
      </c>
      <c r="F154" s="252" t="s">
        <v>460</v>
      </c>
      <c r="G154" s="323">
        <v>4720.8880364096613</v>
      </c>
      <c r="H154" s="253">
        <v>4642.4309469661366</v>
      </c>
      <c r="I154" s="323">
        <v>0</v>
      </c>
      <c r="J154" s="323">
        <v>0</v>
      </c>
      <c r="K154" s="323">
        <v>0</v>
      </c>
      <c r="L154" s="323">
        <v>0</v>
      </c>
      <c r="M154" s="323">
        <v>4642.4309469661366</v>
      </c>
      <c r="N154" s="253"/>
      <c r="P154" s="279">
        <v>122</v>
      </c>
      <c r="Q154" s="312"/>
      <c r="R154" s="497">
        <v>44228</v>
      </c>
      <c r="S154" s="498">
        <f t="shared" si="7"/>
        <v>4642.4309469661366</v>
      </c>
      <c r="T154" s="258">
        <v>0</v>
      </c>
    </row>
    <row r="155" spans="1:20" ht="11.85" customHeight="1" x14ac:dyDescent="0.25">
      <c r="A155" s="492">
        <v>44270</v>
      </c>
      <c r="B155" s="252" t="s">
        <v>592</v>
      </c>
      <c r="C155" s="252" t="s">
        <v>593</v>
      </c>
      <c r="D155" s="252" t="s">
        <v>458</v>
      </c>
      <c r="E155" s="252" t="s">
        <v>503</v>
      </c>
      <c r="F155" s="252" t="s">
        <v>460</v>
      </c>
      <c r="G155" s="323">
        <v>4720.8880364096613</v>
      </c>
      <c r="H155" s="253">
        <v>4642.4309469661366</v>
      </c>
      <c r="I155" s="323">
        <v>0</v>
      </c>
      <c r="J155" s="323">
        <v>0</v>
      </c>
      <c r="K155" s="323">
        <v>0</v>
      </c>
      <c r="L155" s="323">
        <v>0</v>
      </c>
      <c r="M155" s="323">
        <v>4642.4309469661366</v>
      </c>
      <c r="N155" s="253"/>
      <c r="P155" s="279">
        <v>122</v>
      </c>
      <c r="Q155" s="312"/>
      <c r="R155" s="497">
        <v>44256</v>
      </c>
      <c r="S155" s="498">
        <f t="shared" si="7"/>
        <v>4642.4309469661366</v>
      </c>
      <c r="T155" s="258">
        <v>0</v>
      </c>
    </row>
    <row r="156" spans="1:20" ht="11.85" customHeight="1" x14ac:dyDescent="0.25">
      <c r="A156" s="492">
        <v>44301</v>
      </c>
      <c r="B156" s="252" t="s">
        <v>592</v>
      </c>
      <c r="C156" s="252" t="s">
        <v>593</v>
      </c>
      <c r="D156" s="252" t="s">
        <v>458</v>
      </c>
      <c r="E156" s="252" t="s">
        <v>504</v>
      </c>
      <c r="F156" s="252" t="s">
        <v>460</v>
      </c>
      <c r="G156" s="323">
        <v>4720.8880364096613</v>
      </c>
      <c r="H156" s="253">
        <v>4642.4309469661366</v>
      </c>
      <c r="I156" s="323">
        <v>0</v>
      </c>
      <c r="J156" s="323">
        <v>0</v>
      </c>
      <c r="K156" s="323">
        <v>0</v>
      </c>
      <c r="L156" s="323">
        <v>0</v>
      </c>
      <c r="M156" s="323">
        <v>4642.4309469661366</v>
      </c>
      <c r="N156" s="253"/>
      <c r="P156" s="279">
        <v>122</v>
      </c>
      <c r="Q156" s="312"/>
      <c r="R156" s="497">
        <v>44287</v>
      </c>
      <c r="S156" s="498">
        <f t="shared" si="7"/>
        <v>4642.4309469661366</v>
      </c>
      <c r="T156" s="258">
        <v>0</v>
      </c>
    </row>
    <row r="157" spans="1:20" ht="11.85" customHeight="1" x14ac:dyDescent="0.25">
      <c r="A157" s="492">
        <v>44331</v>
      </c>
      <c r="B157" s="252" t="s">
        <v>592</v>
      </c>
      <c r="C157" s="252" t="s">
        <v>593</v>
      </c>
      <c r="D157" s="252" t="s">
        <v>458</v>
      </c>
      <c r="E157" s="252" t="s">
        <v>505</v>
      </c>
      <c r="F157" s="252" t="s">
        <v>460</v>
      </c>
      <c r="G157" s="323">
        <v>4720.8880364096613</v>
      </c>
      <c r="H157" s="253">
        <v>4642.4309469661366</v>
      </c>
      <c r="I157" s="323">
        <v>0</v>
      </c>
      <c r="J157" s="323">
        <v>0</v>
      </c>
      <c r="K157" s="323">
        <v>0</v>
      </c>
      <c r="L157" s="323">
        <v>0</v>
      </c>
      <c r="M157" s="323">
        <v>4642.4309469661366</v>
      </c>
      <c r="N157" s="253"/>
      <c r="P157" s="279">
        <v>122</v>
      </c>
      <c r="Q157" s="312"/>
      <c r="R157" s="497">
        <v>44317</v>
      </c>
      <c r="S157" s="498">
        <f t="shared" si="7"/>
        <v>4642.4309469661366</v>
      </c>
      <c r="T157" s="258">
        <v>0</v>
      </c>
    </row>
    <row r="158" spans="1:20" ht="11.85" customHeight="1" x14ac:dyDescent="0.25">
      <c r="A158" s="492">
        <v>44362</v>
      </c>
      <c r="B158" s="252" t="s">
        <v>592</v>
      </c>
      <c r="C158" s="252" t="s">
        <v>593</v>
      </c>
      <c r="D158" s="252" t="s">
        <v>458</v>
      </c>
      <c r="E158" s="252" t="s">
        <v>506</v>
      </c>
      <c r="F158" s="252" t="s">
        <v>460</v>
      </c>
      <c r="G158" s="323">
        <v>4720.8880364096613</v>
      </c>
      <c r="H158" s="253">
        <v>4642.4309469661366</v>
      </c>
      <c r="I158" s="323">
        <v>0</v>
      </c>
      <c r="J158" s="323">
        <v>0</v>
      </c>
      <c r="K158" s="323">
        <v>0</v>
      </c>
      <c r="L158" s="323">
        <v>0</v>
      </c>
      <c r="M158" s="323">
        <v>4642.4309469661366</v>
      </c>
      <c r="N158" s="253"/>
      <c r="P158" s="279">
        <v>122</v>
      </c>
      <c r="Q158" s="312"/>
      <c r="R158" s="497">
        <v>44348</v>
      </c>
      <c r="S158" s="498">
        <f t="shared" si="7"/>
        <v>4642.4309469661366</v>
      </c>
      <c r="T158" s="258">
        <v>0</v>
      </c>
    </row>
    <row r="159" spans="1:20" ht="11.85" customHeight="1" x14ac:dyDescent="0.25">
      <c r="A159" s="492">
        <v>44392</v>
      </c>
      <c r="B159" s="252" t="s">
        <v>592</v>
      </c>
      <c r="C159" s="252" t="s">
        <v>593</v>
      </c>
      <c r="D159" s="252" t="s">
        <v>458</v>
      </c>
      <c r="E159" s="252" t="s">
        <v>507</v>
      </c>
      <c r="F159" s="252" t="s">
        <v>460</v>
      </c>
      <c r="G159" s="323">
        <v>4720.8880364096613</v>
      </c>
      <c r="H159" s="253">
        <v>4642.4309469661366</v>
      </c>
      <c r="I159" s="323">
        <v>0</v>
      </c>
      <c r="J159" s="323">
        <v>0</v>
      </c>
      <c r="K159" s="323">
        <v>0</v>
      </c>
      <c r="L159" s="323">
        <v>0</v>
      </c>
      <c r="M159" s="323">
        <v>4642.4309469661366</v>
      </c>
      <c r="N159" s="253"/>
      <c r="P159" s="279">
        <v>122</v>
      </c>
      <c r="Q159" s="312"/>
      <c r="R159" s="497">
        <v>44378</v>
      </c>
      <c r="S159" s="498">
        <f t="shared" si="7"/>
        <v>4642.4309469661366</v>
      </c>
      <c r="T159" s="258">
        <v>0</v>
      </c>
    </row>
    <row r="160" spans="1:20" ht="11.85" customHeight="1" x14ac:dyDescent="0.25">
      <c r="A160" s="492">
        <v>44392</v>
      </c>
      <c r="B160" s="252" t="s">
        <v>592</v>
      </c>
      <c r="C160" s="252" t="s">
        <v>593</v>
      </c>
      <c r="D160" s="252" t="s">
        <v>471</v>
      </c>
      <c r="E160" s="252" t="s">
        <v>472</v>
      </c>
      <c r="F160" s="252" t="s">
        <v>460</v>
      </c>
      <c r="G160" s="323">
        <v>125890.347637591</v>
      </c>
      <c r="H160" s="253">
        <v>123798.1585857637</v>
      </c>
      <c r="I160" s="323">
        <v>0</v>
      </c>
      <c r="J160" s="323">
        <v>0</v>
      </c>
      <c r="K160" s="323">
        <v>0</v>
      </c>
      <c r="L160" s="323">
        <v>0</v>
      </c>
      <c r="M160" s="323">
        <v>123798.1585857637</v>
      </c>
      <c r="N160" s="253"/>
      <c r="P160" s="279">
        <v>122</v>
      </c>
      <c r="Q160" s="312"/>
      <c r="R160" s="497">
        <v>44378</v>
      </c>
      <c r="S160" s="498">
        <f t="shared" si="7"/>
        <v>123798.1585857637</v>
      </c>
      <c r="T160" s="258">
        <v>0</v>
      </c>
    </row>
    <row r="161" spans="1:20" ht="11.85" customHeight="1" x14ac:dyDescent="0.25">
      <c r="A161" s="492">
        <v>44423</v>
      </c>
      <c r="B161" s="252" t="s">
        <v>592</v>
      </c>
      <c r="C161" s="252" t="s">
        <v>593</v>
      </c>
      <c r="D161" s="252" t="s">
        <v>458</v>
      </c>
      <c r="E161" s="252" t="s">
        <v>508</v>
      </c>
      <c r="F161" s="252" t="s">
        <v>460</v>
      </c>
      <c r="G161" s="323">
        <v>4720.8880364096613</v>
      </c>
      <c r="H161" s="253">
        <v>4642.4309469661366</v>
      </c>
      <c r="I161" s="323">
        <v>0</v>
      </c>
      <c r="J161" s="323">
        <v>0</v>
      </c>
      <c r="K161" s="323">
        <v>0</v>
      </c>
      <c r="L161" s="323">
        <v>0</v>
      </c>
      <c r="M161" s="323">
        <v>4642.4309469661366</v>
      </c>
      <c r="N161" s="253"/>
      <c r="P161" s="279">
        <v>122</v>
      </c>
      <c r="Q161" s="312"/>
      <c r="R161" s="497">
        <v>44409</v>
      </c>
      <c r="S161" s="498">
        <f t="shared" si="7"/>
        <v>4642.4309469661366</v>
      </c>
      <c r="T161" s="258">
        <v>0</v>
      </c>
    </row>
    <row r="162" spans="1:20" ht="11.85" customHeight="1" x14ac:dyDescent="0.25">
      <c r="A162" s="492">
        <v>44454</v>
      </c>
      <c r="B162" s="252" t="s">
        <v>592</v>
      </c>
      <c r="C162" s="252" t="s">
        <v>593</v>
      </c>
      <c r="D162" s="252" t="s">
        <v>458</v>
      </c>
      <c r="E162" s="252" t="s">
        <v>509</v>
      </c>
      <c r="F162" s="252" t="s">
        <v>460</v>
      </c>
      <c r="G162" s="323">
        <v>4720.8880364096613</v>
      </c>
      <c r="H162" s="253">
        <v>4642.4309469661366</v>
      </c>
      <c r="I162" s="323">
        <v>0</v>
      </c>
      <c r="J162" s="323">
        <v>0</v>
      </c>
      <c r="K162" s="323">
        <v>0</v>
      </c>
      <c r="L162" s="323">
        <v>0</v>
      </c>
      <c r="M162" s="323">
        <v>4642.4309469661366</v>
      </c>
      <c r="N162" s="253"/>
      <c r="P162" s="279">
        <v>122</v>
      </c>
      <c r="Q162" s="312"/>
      <c r="R162" s="497">
        <v>44440</v>
      </c>
      <c r="S162" s="498">
        <f t="shared" si="7"/>
        <v>4642.4309469661366</v>
      </c>
      <c r="T162" s="258">
        <v>0</v>
      </c>
    </row>
    <row r="163" spans="1:20" ht="11.85" customHeight="1" x14ac:dyDescent="0.25">
      <c r="A163" s="492">
        <v>44484</v>
      </c>
      <c r="B163" s="252" t="s">
        <v>592</v>
      </c>
      <c r="C163" s="252" t="s">
        <v>593</v>
      </c>
      <c r="D163" s="252" t="s">
        <v>458</v>
      </c>
      <c r="E163" s="252" t="s">
        <v>510</v>
      </c>
      <c r="F163" s="252" t="s">
        <v>460</v>
      </c>
      <c r="G163" s="323">
        <v>4720.8880364096613</v>
      </c>
      <c r="H163" s="253">
        <v>4642.4309469661366</v>
      </c>
      <c r="I163" s="323">
        <v>0</v>
      </c>
      <c r="J163" s="323">
        <v>0</v>
      </c>
      <c r="K163" s="323">
        <v>0</v>
      </c>
      <c r="L163" s="323">
        <v>0</v>
      </c>
      <c r="M163" s="323">
        <v>4642.4309469661366</v>
      </c>
      <c r="N163" s="253"/>
      <c r="P163" s="279">
        <v>122</v>
      </c>
      <c r="Q163" s="312"/>
      <c r="R163" s="497">
        <v>44470</v>
      </c>
      <c r="S163" s="498">
        <f t="shared" si="7"/>
        <v>4642.4309469661366</v>
      </c>
      <c r="T163" s="258">
        <v>0</v>
      </c>
    </row>
    <row r="164" spans="1:20" ht="11.85" customHeight="1" x14ac:dyDescent="0.25">
      <c r="A164" s="492">
        <v>44515</v>
      </c>
      <c r="B164" s="252" t="s">
        <v>592</v>
      </c>
      <c r="C164" s="252" t="s">
        <v>593</v>
      </c>
      <c r="D164" s="252" t="s">
        <v>458</v>
      </c>
      <c r="E164" s="252" t="s">
        <v>511</v>
      </c>
      <c r="F164" s="252" t="s">
        <v>460</v>
      </c>
      <c r="G164" s="323">
        <v>4720.8880364096613</v>
      </c>
      <c r="H164" s="253">
        <v>4642.4309469661366</v>
      </c>
      <c r="I164" s="323">
        <v>0</v>
      </c>
      <c r="J164" s="323">
        <v>0</v>
      </c>
      <c r="K164" s="323">
        <v>0</v>
      </c>
      <c r="L164" s="323">
        <v>0</v>
      </c>
      <c r="M164" s="323">
        <v>4642.4309469661366</v>
      </c>
      <c r="N164" s="253"/>
      <c r="P164" s="279">
        <v>122</v>
      </c>
      <c r="Q164" s="312"/>
      <c r="R164" s="497">
        <v>44501</v>
      </c>
      <c r="S164" s="498">
        <f t="shared" si="7"/>
        <v>4642.4309469661366</v>
      </c>
      <c r="T164" s="258">
        <v>0</v>
      </c>
    </row>
    <row r="165" spans="1:20" ht="11.85" customHeight="1" x14ac:dyDescent="0.25">
      <c r="A165" s="492">
        <v>44545</v>
      </c>
      <c r="B165" s="252" t="s">
        <v>592</v>
      </c>
      <c r="C165" s="252" t="s">
        <v>593</v>
      </c>
      <c r="D165" s="252" t="s">
        <v>458</v>
      </c>
      <c r="E165" s="252" t="s">
        <v>512</v>
      </c>
      <c r="F165" s="252" t="s">
        <v>460</v>
      </c>
      <c r="G165" s="323">
        <v>4720.8880364096613</v>
      </c>
      <c r="H165" s="253">
        <v>4642.4309469661366</v>
      </c>
      <c r="I165" s="323">
        <v>0</v>
      </c>
      <c r="J165" s="323">
        <v>0</v>
      </c>
      <c r="K165" s="323">
        <v>0</v>
      </c>
      <c r="L165" s="323">
        <v>0</v>
      </c>
      <c r="M165" s="323">
        <v>4642.4309469661366</v>
      </c>
      <c r="N165" s="253"/>
      <c r="P165" s="279">
        <v>122</v>
      </c>
      <c r="Q165" s="312"/>
      <c r="R165" s="497">
        <v>44531</v>
      </c>
      <c r="S165" s="498">
        <f t="shared" si="7"/>
        <v>4642.4309469661366</v>
      </c>
      <c r="T165" s="258">
        <v>0</v>
      </c>
    </row>
    <row r="166" spans="1:20" ht="11.85" customHeight="1" x14ac:dyDescent="0.25">
      <c r="A166" s="492">
        <v>44576</v>
      </c>
      <c r="B166" s="252" t="s">
        <v>592</v>
      </c>
      <c r="C166" s="252" t="s">
        <v>593</v>
      </c>
      <c r="D166" s="252" t="s">
        <v>458</v>
      </c>
      <c r="E166" s="252" t="s">
        <v>513</v>
      </c>
      <c r="F166" s="252" t="s">
        <v>460</v>
      </c>
      <c r="G166" s="323">
        <v>4720.8880364096613</v>
      </c>
      <c r="H166" s="253">
        <v>4642.4309469661366</v>
      </c>
      <c r="I166" s="323">
        <v>0</v>
      </c>
      <c r="J166" s="323">
        <v>0</v>
      </c>
      <c r="K166" s="323">
        <v>0</v>
      </c>
      <c r="L166" s="323">
        <v>0</v>
      </c>
      <c r="M166" s="323">
        <v>4642.4309469661366</v>
      </c>
      <c r="N166" s="253"/>
      <c r="P166" s="279">
        <v>122</v>
      </c>
      <c r="Q166" s="312"/>
      <c r="R166" s="497">
        <v>44562</v>
      </c>
      <c r="S166" s="498">
        <f t="shared" si="7"/>
        <v>4642.4309469661366</v>
      </c>
      <c r="T166" s="258">
        <v>0</v>
      </c>
    </row>
    <row r="167" spans="1:20" ht="11.85" customHeight="1" x14ac:dyDescent="0.25">
      <c r="A167" s="492">
        <v>44607</v>
      </c>
      <c r="B167" s="252" t="s">
        <v>592</v>
      </c>
      <c r="C167" s="252" t="s">
        <v>593</v>
      </c>
      <c r="D167" s="252" t="s">
        <v>458</v>
      </c>
      <c r="E167" s="252" t="s">
        <v>514</v>
      </c>
      <c r="F167" s="252" t="s">
        <v>460</v>
      </c>
      <c r="G167" s="323">
        <v>4720.8880364096613</v>
      </c>
      <c r="H167" s="253">
        <v>4642.4309469661366</v>
      </c>
      <c r="I167" s="323">
        <v>0</v>
      </c>
      <c r="J167" s="323">
        <v>0</v>
      </c>
      <c r="K167" s="323">
        <v>0</v>
      </c>
      <c r="L167" s="323">
        <v>0</v>
      </c>
      <c r="M167" s="323">
        <v>4642.4309469661366</v>
      </c>
      <c r="N167" s="253"/>
      <c r="P167" s="279">
        <v>122</v>
      </c>
      <c r="Q167" s="312"/>
      <c r="R167" s="497">
        <v>44593</v>
      </c>
      <c r="S167" s="498">
        <f t="shared" si="7"/>
        <v>4642.4309469661366</v>
      </c>
      <c r="T167" s="258">
        <v>0</v>
      </c>
    </row>
    <row r="168" spans="1:20" ht="11.85" customHeight="1" x14ac:dyDescent="0.25">
      <c r="A168" s="492">
        <v>44635</v>
      </c>
      <c r="B168" s="252" t="s">
        <v>592</v>
      </c>
      <c r="C168" s="252" t="s">
        <v>593</v>
      </c>
      <c r="D168" s="252" t="s">
        <v>458</v>
      </c>
      <c r="E168" s="252" t="s">
        <v>515</v>
      </c>
      <c r="F168" s="252" t="s">
        <v>460</v>
      </c>
      <c r="G168" s="323">
        <v>4720.8880364096613</v>
      </c>
      <c r="H168" s="253">
        <v>4642.4309469661366</v>
      </c>
      <c r="I168" s="323">
        <v>0</v>
      </c>
      <c r="J168" s="323">
        <v>0</v>
      </c>
      <c r="K168" s="323">
        <v>0</v>
      </c>
      <c r="L168" s="323">
        <v>0</v>
      </c>
      <c r="M168" s="323">
        <v>4642.4309469661366</v>
      </c>
      <c r="N168" s="253"/>
      <c r="P168" s="279">
        <v>122</v>
      </c>
      <c r="Q168" s="312"/>
      <c r="R168" s="497">
        <v>44621</v>
      </c>
      <c r="S168" s="498">
        <f t="shared" si="7"/>
        <v>4642.4309469661366</v>
      </c>
      <c r="T168" s="258">
        <v>0</v>
      </c>
    </row>
    <row r="169" spans="1:20" ht="11.85" customHeight="1" x14ac:dyDescent="0.25">
      <c r="A169" s="492">
        <v>44666</v>
      </c>
      <c r="B169" s="252" t="s">
        <v>592</v>
      </c>
      <c r="C169" s="252" t="s">
        <v>593</v>
      </c>
      <c r="D169" s="252" t="s">
        <v>458</v>
      </c>
      <c r="E169" s="252" t="s">
        <v>516</v>
      </c>
      <c r="F169" s="252" t="s">
        <v>460</v>
      </c>
      <c r="G169" s="323">
        <v>4720.8880364096613</v>
      </c>
      <c r="H169" s="253">
        <v>4642.4309469661366</v>
      </c>
      <c r="I169" s="323">
        <v>0</v>
      </c>
      <c r="J169" s="323">
        <v>0</v>
      </c>
      <c r="K169" s="323">
        <v>0</v>
      </c>
      <c r="L169" s="323">
        <v>0</v>
      </c>
      <c r="M169" s="323">
        <v>4642.4309469661366</v>
      </c>
      <c r="N169" s="253"/>
      <c r="P169" s="279">
        <v>122</v>
      </c>
      <c r="Q169" s="312"/>
      <c r="R169" s="497">
        <v>44652</v>
      </c>
      <c r="S169" s="498">
        <f t="shared" si="7"/>
        <v>4642.4309469661366</v>
      </c>
      <c r="T169" s="258">
        <v>0</v>
      </c>
    </row>
    <row r="170" spans="1:20" ht="11.85" customHeight="1" x14ac:dyDescent="0.25">
      <c r="A170" s="492">
        <v>44696</v>
      </c>
      <c r="B170" s="252" t="s">
        <v>592</v>
      </c>
      <c r="C170" s="252" t="s">
        <v>593</v>
      </c>
      <c r="D170" s="252" t="s">
        <v>458</v>
      </c>
      <c r="E170" s="252" t="s">
        <v>517</v>
      </c>
      <c r="F170" s="252" t="s">
        <v>460</v>
      </c>
      <c r="G170" s="323">
        <v>4720.8880364096613</v>
      </c>
      <c r="H170" s="253">
        <v>4642.4309469661366</v>
      </c>
      <c r="I170" s="323">
        <v>0</v>
      </c>
      <c r="J170" s="323">
        <v>0</v>
      </c>
      <c r="K170" s="323">
        <v>0</v>
      </c>
      <c r="L170" s="323">
        <v>0</v>
      </c>
      <c r="M170" s="323">
        <v>4642.4309469661366</v>
      </c>
      <c r="N170" s="253"/>
      <c r="P170" s="279">
        <v>122</v>
      </c>
      <c r="Q170" s="312"/>
      <c r="R170" s="497">
        <v>44682</v>
      </c>
      <c r="S170" s="498">
        <f t="shared" si="7"/>
        <v>4642.4309469661366</v>
      </c>
      <c r="T170" s="258">
        <v>0</v>
      </c>
    </row>
    <row r="171" spans="1:20" ht="11.85" customHeight="1" x14ac:dyDescent="0.25">
      <c r="A171" s="492">
        <v>44727</v>
      </c>
      <c r="B171" s="252" t="s">
        <v>592</v>
      </c>
      <c r="C171" s="252" t="s">
        <v>593</v>
      </c>
      <c r="D171" s="252" t="s">
        <v>458</v>
      </c>
      <c r="E171" s="252" t="s">
        <v>518</v>
      </c>
      <c r="F171" s="252" t="s">
        <v>460</v>
      </c>
      <c r="G171" s="323">
        <v>4720.8880364096613</v>
      </c>
      <c r="H171" s="253">
        <v>4642.4309469661366</v>
      </c>
      <c r="I171" s="323">
        <v>0</v>
      </c>
      <c r="J171" s="323">
        <v>0</v>
      </c>
      <c r="K171" s="323">
        <v>0</v>
      </c>
      <c r="L171" s="323">
        <v>0</v>
      </c>
      <c r="M171" s="323">
        <v>4642.4309469661366</v>
      </c>
      <c r="N171" s="253"/>
      <c r="P171" s="279">
        <v>122</v>
      </c>
      <c r="Q171" s="312"/>
      <c r="R171" s="497">
        <v>44713</v>
      </c>
      <c r="S171" s="498">
        <f t="shared" si="7"/>
        <v>4642.4309469661366</v>
      </c>
      <c r="T171" s="258">
        <v>0</v>
      </c>
    </row>
    <row r="172" spans="1:20" ht="11.85" customHeight="1" x14ac:dyDescent="0.25">
      <c r="A172" s="492">
        <v>44757</v>
      </c>
      <c r="B172" s="252" t="s">
        <v>592</v>
      </c>
      <c r="C172" s="252" t="s">
        <v>593</v>
      </c>
      <c r="D172" s="252" t="s">
        <v>458</v>
      </c>
      <c r="E172" s="252" t="s">
        <v>519</v>
      </c>
      <c r="F172" s="252" t="s">
        <v>460</v>
      </c>
      <c r="G172" s="323">
        <v>4720.8880364096613</v>
      </c>
      <c r="H172" s="253">
        <v>4642.4309469661366</v>
      </c>
      <c r="I172" s="323">
        <v>0</v>
      </c>
      <c r="J172" s="323">
        <v>0</v>
      </c>
      <c r="K172" s="323">
        <v>0</v>
      </c>
      <c r="L172" s="323">
        <v>0</v>
      </c>
      <c r="M172" s="323">
        <v>4642.4309469661366</v>
      </c>
      <c r="N172" s="253"/>
      <c r="P172" s="279">
        <v>122</v>
      </c>
      <c r="Q172" s="312"/>
      <c r="R172" s="497">
        <v>44743</v>
      </c>
      <c r="S172" s="498">
        <f t="shared" si="7"/>
        <v>4642.4309469661366</v>
      </c>
      <c r="T172" s="258">
        <v>0</v>
      </c>
    </row>
    <row r="173" spans="1:20" ht="11.85" customHeight="1" x14ac:dyDescent="0.25">
      <c r="A173" s="492">
        <v>44757</v>
      </c>
      <c r="B173" s="252" t="s">
        <v>592</v>
      </c>
      <c r="C173" s="252" t="s">
        <v>593</v>
      </c>
      <c r="D173" s="252" t="s">
        <v>471</v>
      </c>
      <c r="E173" s="252" t="s">
        <v>482</v>
      </c>
      <c r="F173" s="252" t="s">
        <v>460</v>
      </c>
      <c r="G173" s="323">
        <v>125890.347637591</v>
      </c>
      <c r="H173" s="253">
        <v>123798.1585857637</v>
      </c>
      <c r="I173" s="323">
        <v>0</v>
      </c>
      <c r="J173" s="323">
        <v>0</v>
      </c>
      <c r="K173" s="323">
        <v>0</v>
      </c>
      <c r="L173" s="323">
        <v>0</v>
      </c>
      <c r="M173" s="323">
        <v>123798.1585857637</v>
      </c>
      <c r="N173" s="253"/>
      <c r="P173" s="279">
        <v>122</v>
      </c>
      <c r="Q173" s="312"/>
      <c r="R173" s="497">
        <v>44743</v>
      </c>
      <c r="S173" s="498">
        <f t="shared" si="7"/>
        <v>123798.1585857637</v>
      </c>
      <c r="T173" s="258">
        <v>0</v>
      </c>
    </row>
    <row r="174" spans="1:20" ht="11.85" customHeight="1" x14ac:dyDescent="0.25">
      <c r="A174" s="492">
        <v>44788</v>
      </c>
      <c r="B174" s="252" t="s">
        <v>592</v>
      </c>
      <c r="C174" s="252" t="s">
        <v>593</v>
      </c>
      <c r="D174" s="252" t="s">
        <v>458</v>
      </c>
      <c r="E174" s="252" t="s">
        <v>520</v>
      </c>
      <c r="F174" s="252" t="s">
        <v>460</v>
      </c>
      <c r="G174" s="323">
        <v>4720.8880364096613</v>
      </c>
      <c r="H174" s="253">
        <v>4642.4309469661366</v>
      </c>
      <c r="I174" s="323">
        <v>0</v>
      </c>
      <c r="J174" s="323">
        <v>0</v>
      </c>
      <c r="K174" s="323">
        <v>0</v>
      </c>
      <c r="L174" s="323">
        <v>0</v>
      </c>
      <c r="M174" s="323">
        <v>4642.4309469661366</v>
      </c>
      <c r="N174" s="253"/>
      <c r="P174" s="279">
        <v>122</v>
      </c>
      <c r="Q174" s="312"/>
      <c r="R174" s="497">
        <v>44774</v>
      </c>
      <c r="S174" s="498">
        <f t="shared" si="7"/>
        <v>4642.4309469661366</v>
      </c>
      <c r="T174" s="258">
        <v>0</v>
      </c>
    </row>
    <row r="175" spans="1:20" ht="11.85" customHeight="1" x14ac:dyDescent="0.25">
      <c r="A175" s="492">
        <v>44819</v>
      </c>
      <c r="B175" s="252" t="s">
        <v>592</v>
      </c>
      <c r="C175" s="252" t="s">
        <v>593</v>
      </c>
      <c r="D175" s="252" t="s">
        <v>458</v>
      </c>
      <c r="E175" s="252" t="s">
        <v>521</v>
      </c>
      <c r="F175" s="252" t="s">
        <v>460</v>
      </c>
      <c r="G175" s="323">
        <v>4720.8880364096613</v>
      </c>
      <c r="H175" s="253">
        <v>4642.4309469661366</v>
      </c>
      <c r="I175" s="323">
        <v>0</v>
      </c>
      <c r="J175" s="323">
        <v>0</v>
      </c>
      <c r="K175" s="323">
        <v>0</v>
      </c>
      <c r="L175" s="323">
        <v>0</v>
      </c>
      <c r="M175" s="323">
        <v>4642.4309469661366</v>
      </c>
      <c r="N175" s="253"/>
      <c r="P175" s="279">
        <v>122</v>
      </c>
      <c r="Q175" s="312"/>
      <c r="R175" s="497">
        <v>44805</v>
      </c>
      <c r="S175" s="498">
        <f t="shared" si="7"/>
        <v>4642.4309469661366</v>
      </c>
      <c r="T175" s="258">
        <v>0</v>
      </c>
    </row>
    <row r="176" spans="1:20" ht="11.85" customHeight="1" x14ac:dyDescent="0.25">
      <c r="A176" s="492">
        <v>44849</v>
      </c>
      <c r="B176" s="252" t="s">
        <v>592</v>
      </c>
      <c r="C176" s="252" t="s">
        <v>593</v>
      </c>
      <c r="D176" s="252" t="s">
        <v>458</v>
      </c>
      <c r="E176" s="252" t="s">
        <v>522</v>
      </c>
      <c r="F176" s="252" t="s">
        <v>460</v>
      </c>
      <c r="G176" s="323">
        <v>4720.8880364096613</v>
      </c>
      <c r="H176" s="253">
        <v>4642.4309469661366</v>
      </c>
      <c r="I176" s="323">
        <v>0</v>
      </c>
      <c r="J176" s="323">
        <v>0</v>
      </c>
      <c r="K176" s="323">
        <v>0</v>
      </c>
      <c r="L176" s="323">
        <v>0</v>
      </c>
      <c r="M176" s="323">
        <v>4642.4309469661366</v>
      </c>
      <c r="N176" s="253"/>
      <c r="P176" s="279">
        <v>122</v>
      </c>
      <c r="Q176" s="312"/>
      <c r="R176" s="497">
        <v>44835</v>
      </c>
      <c r="S176" s="498">
        <f t="shared" si="7"/>
        <v>4642.4309469661366</v>
      </c>
      <c r="T176" s="258">
        <v>0</v>
      </c>
    </row>
    <row r="177" spans="1:20" ht="11.85" customHeight="1" x14ac:dyDescent="0.25">
      <c r="A177" s="492">
        <v>44880</v>
      </c>
      <c r="B177" s="252" t="s">
        <v>592</v>
      </c>
      <c r="C177" s="252" t="s">
        <v>593</v>
      </c>
      <c r="D177" s="252" t="s">
        <v>458</v>
      </c>
      <c r="E177" s="252" t="s">
        <v>523</v>
      </c>
      <c r="F177" s="252" t="s">
        <v>460</v>
      </c>
      <c r="G177" s="323">
        <v>4720.8880364096613</v>
      </c>
      <c r="H177" s="253">
        <v>4642.4309469661366</v>
      </c>
      <c r="I177" s="323">
        <v>0</v>
      </c>
      <c r="J177" s="323">
        <v>0</v>
      </c>
      <c r="K177" s="323">
        <v>0</v>
      </c>
      <c r="L177" s="323">
        <v>0</v>
      </c>
      <c r="M177" s="323">
        <v>4642.4309469661366</v>
      </c>
      <c r="N177" s="253"/>
      <c r="P177" s="279">
        <v>122</v>
      </c>
      <c r="Q177" s="312"/>
      <c r="R177" s="497">
        <v>44866</v>
      </c>
      <c r="S177" s="498">
        <f t="shared" si="7"/>
        <v>4642.4309469661366</v>
      </c>
      <c r="T177" s="258">
        <v>0</v>
      </c>
    </row>
    <row r="178" spans="1:20" ht="11.85" customHeight="1" x14ac:dyDescent="0.25">
      <c r="A178" s="492">
        <v>44910</v>
      </c>
      <c r="B178" s="252" t="s">
        <v>592</v>
      </c>
      <c r="C178" s="252" t="s">
        <v>593</v>
      </c>
      <c r="D178" s="252" t="s">
        <v>458</v>
      </c>
      <c r="E178" s="252" t="s">
        <v>524</v>
      </c>
      <c r="F178" s="252" t="s">
        <v>460</v>
      </c>
      <c r="G178" s="323">
        <v>4720.8880364096613</v>
      </c>
      <c r="H178" s="253">
        <v>4642.4309469661366</v>
      </c>
      <c r="I178" s="323">
        <v>0</v>
      </c>
      <c r="J178" s="323">
        <v>0</v>
      </c>
      <c r="K178" s="323">
        <v>0</v>
      </c>
      <c r="L178" s="323">
        <v>0</v>
      </c>
      <c r="M178" s="323">
        <v>4642.4309469661366</v>
      </c>
      <c r="N178" s="253"/>
      <c r="P178" s="279">
        <v>122</v>
      </c>
      <c r="Q178" s="312"/>
      <c r="R178" s="497">
        <v>44896</v>
      </c>
      <c r="S178" s="498">
        <f t="shared" si="7"/>
        <v>4642.4309469661366</v>
      </c>
      <c r="T178" s="258">
        <v>0</v>
      </c>
    </row>
    <row r="179" spans="1:20" ht="11.85" customHeight="1" x14ac:dyDescent="0.25">
      <c r="A179" s="492">
        <v>44941</v>
      </c>
      <c r="B179" s="252" t="s">
        <v>592</v>
      </c>
      <c r="C179" s="252" t="s">
        <v>593</v>
      </c>
      <c r="D179" s="252" t="s">
        <v>458</v>
      </c>
      <c r="E179" s="252" t="s">
        <v>525</v>
      </c>
      <c r="F179" s="252" t="s">
        <v>460</v>
      </c>
      <c r="G179" s="323">
        <v>4720.8880364096613</v>
      </c>
      <c r="H179" s="253">
        <v>4642.4309469661366</v>
      </c>
      <c r="I179" s="323">
        <v>0</v>
      </c>
      <c r="J179" s="323">
        <v>0</v>
      </c>
      <c r="K179" s="323">
        <v>0</v>
      </c>
      <c r="L179" s="323">
        <v>0</v>
      </c>
      <c r="M179" s="323">
        <v>4642.4309469661366</v>
      </c>
      <c r="N179" s="253"/>
      <c r="P179" s="279">
        <v>122</v>
      </c>
      <c r="Q179" s="312"/>
      <c r="R179" s="497">
        <v>44927</v>
      </c>
      <c r="S179" s="498">
        <f t="shared" si="7"/>
        <v>4642.4309469661366</v>
      </c>
      <c r="T179" s="258">
        <v>0</v>
      </c>
    </row>
    <row r="180" spans="1:20" ht="11.85" customHeight="1" x14ac:dyDescent="0.25">
      <c r="A180" s="492">
        <v>44972</v>
      </c>
      <c r="B180" s="252" t="s">
        <v>592</v>
      </c>
      <c r="C180" s="252" t="s">
        <v>593</v>
      </c>
      <c r="D180" s="252" t="s">
        <v>458</v>
      </c>
      <c r="E180" s="252" t="s">
        <v>526</v>
      </c>
      <c r="F180" s="252" t="s">
        <v>460</v>
      </c>
      <c r="G180" s="323">
        <v>4720.8880364096613</v>
      </c>
      <c r="H180" s="253">
        <v>4642.4309469661366</v>
      </c>
      <c r="I180" s="323">
        <v>0</v>
      </c>
      <c r="J180" s="323">
        <v>0</v>
      </c>
      <c r="K180" s="323">
        <v>0</v>
      </c>
      <c r="L180" s="323">
        <v>0</v>
      </c>
      <c r="M180" s="323">
        <v>4642.4309469661366</v>
      </c>
      <c r="N180" s="253"/>
      <c r="P180" s="279">
        <v>122</v>
      </c>
      <c r="Q180" s="312"/>
      <c r="R180" s="497">
        <v>44958</v>
      </c>
      <c r="S180" s="498">
        <f t="shared" si="7"/>
        <v>4642.4309469661366</v>
      </c>
      <c r="T180" s="258">
        <v>0</v>
      </c>
    </row>
    <row r="181" spans="1:20" ht="11.85" customHeight="1" x14ac:dyDescent="0.25">
      <c r="A181" s="492">
        <v>45000</v>
      </c>
      <c r="B181" s="252" t="s">
        <v>592</v>
      </c>
      <c r="C181" s="252" t="s">
        <v>593</v>
      </c>
      <c r="D181" s="252" t="s">
        <v>458</v>
      </c>
      <c r="E181" s="252" t="s">
        <v>527</v>
      </c>
      <c r="F181" s="252" t="s">
        <v>460</v>
      </c>
      <c r="G181" s="323">
        <v>4720.8880364096613</v>
      </c>
      <c r="H181" s="253">
        <v>4642.4309469661366</v>
      </c>
      <c r="I181" s="323">
        <v>0</v>
      </c>
      <c r="J181" s="323">
        <v>0</v>
      </c>
      <c r="K181" s="323">
        <v>0</v>
      </c>
      <c r="L181" s="323">
        <v>0</v>
      </c>
      <c r="M181" s="323">
        <v>4642.4309469661366</v>
      </c>
      <c r="N181" s="253"/>
      <c r="P181" s="279">
        <v>122</v>
      </c>
      <c r="Q181" s="312"/>
      <c r="R181" s="497">
        <v>44986</v>
      </c>
      <c r="S181" s="498">
        <f t="shared" si="7"/>
        <v>4642.4309469661366</v>
      </c>
      <c r="T181" s="258">
        <v>0</v>
      </c>
    </row>
    <row r="182" spans="1:20" ht="11.85" customHeight="1" x14ac:dyDescent="0.25">
      <c r="A182" s="492">
        <v>45021</v>
      </c>
      <c r="B182" s="252" t="s">
        <v>592</v>
      </c>
      <c r="C182" s="252" t="s">
        <v>593</v>
      </c>
      <c r="D182" s="252" t="s">
        <v>465</v>
      </c>
      <c r="E182" s="252" t="s">
        <v>466</v>
      </c>
      <c r="F182" s="252" t="s">
        <v>460</v>
      </c>
      <c r="G182" s="323">
        <v>2339462.2935985662</v>
      </c>
      <c r="H182" s="253">
        <v>2300582.4470521081</v>
      </c>
      <c r="I182" s="323">
        <v>0</v>
      </c>
      <c r="J182" s="323">
        <v>0</v>
      </c>
      <c r="K182" s="323">
        <v>0</v>
      </c>
      <c r="L182" s="323">
        <v>0</v>
      </c>
      <c r="M182" s="323">
        <v>2300582.4470521081</v>
      </c>
      <c r="N182" s="253"/>
      <c r="P182" s="279">
        <v>122</v>
      </c>
      <c r="Q182" s="312"/>
      <c r="R182" s="497">
        <v>45017</v>
      </c>
      <c r="S182" s="498">
        <f t="shared" si="7"/>
        <v>2300582.4470521081</v>
      </c>
      <c r="T182" s="258">
        <v>0</v>
      </c>
    </row>
    <row r="183" spans="1:20" ht="11.85" customHeight="1" x14ac:dyDescent="0.25">
      <c r="A183" s="492">
        <v>45143</v>
      </c>
      <c r="B183" s="252" t="s">
        <v>592</v>
      </c>
      <c r="C183" s="252" t="s">
        <v>593</v>
      </c>
      <c r="D183" s="252" t="s">
        <v>467</v>
      </c>
      <c r="E183" s="252" t="s">
        <v>466</v>
      </c>
      <c r="F183" s="252" t="s">
        <v>460</v>
      </c>
      <c r="G183" s="323">
        <v>1049.0862303132581</v>
      </c>
      <c r="H183" s="253">
        <v>1031.65132154803</v>
      </c>
      <c r="I183" s="323">
        <v>0</v>
      </c>
      <c r="J183" s="323">
        <v>0</v>
      </c>
      <c r="K183" s="323">
        <v>0</v>
      </c>
      <c r="L183" s="323">
        <v>0</v>
      </c>
      <c r="M183" s="323">
        <v>1031.65132154803</v>
      </c>
      <c r="N183" s="253"/>
      <c r="P183" s="279">
        <v>122</v>
      </c>
      <c r="Q183" s="312"/>
      <c r="R183" s="497">
        <v>45139</v>
      </c>
      <c r="S183" s="498">
        <f t="shared" si="7"/>
        <v>1031.65132154803</v>
      </c>
      <c r="T183" s="258">
        <v>0</v>
      </c>
    </row>
    <row r="184" spans="1:20" ht="11.85" customHeight="1" x14ac:dyDescent="0.25">
      <c r="A184" s="492">
        <v>45021</v>
      </c>
      <c r="B184" s="252" t="s">
        <v>594</v>
      </c>
      <c r="C184" s="252" t="s">
        <v>595</v>
      </c>
      <c r="D184" s="252" t="s">
        <v>465</v>
      </c>
      <c r="E184" s="252" t="s">
        <v>466</v>
      </c>
      <c r="F184" s="252" t="s">
        <v>460</v>
      </c>
      <c r="G184" s="323">
        <v>683338.0522309267</v>
      </c>
      <c r="H184" s="253">
        <v>671981.56288600678</v>
      </c>
      <c r="I184" s="323">
        <v>0</v>
      </c>
      <c r="J184" s="323">
        <v>0</v>
      </c>
      <c r="K184" s="323">
        <v>0</v>
      </c>
      <c r="L184" s="323">
        <v>0</v>
      </c>
      <c r="M184" s="323">
        <v>671981.56288600678</v>
      </c>
      <c r="N184" s="253"/>
      <c r="P184" s="279">
        <v>132</v>
      </c>
      <c r="Q184" s="312"/>
      <c r="R184" s="497">
        <v>45017</v>
      </c>
      <c r="S184" s="498">
        <f t="shared" si="7"/>
        <v>671981.56288600678</v>
      </c>
      <c r="T184" s="258">
        <v>0</v>
      </c>
    </row>
    <row r="185" spans="1:20" ht="11.85" customHeight="1" x14ac:dyDescent="0.25">
      <c r="A185" s="492">
        <v>45112</v>
      </c>
      <c r="B185" s="252" t="s">
        <v>594</v>
      </c>
      <c r="C185" s="252" t="s">
        <v>595</v>
      </c>
      <c r="D185" s="252" t="s">
        <v>467</v>
      </c>
      <c r="E185" s="252" t="s">
        <v>466</v>
      </c>
      <c r="F185" s="252" t="s">
        <v>460</v>
      </c>
      <c r="G185" s="323">
        <v>1051.289311124503</v>
      </c>
      <c r="H185" s="253">
        <v>1033.817789055395</v>
      </c>
      <c r="I185" s="323">
        <v>0</v>
      </c>
      <c r="J185" s="323">
        <v>0</v>
      </c>
      <c r="K185" s="323">
        <v>0</v>
      </c>
      <c r="L185" s="323">
        <v>0</v>
      </c>
      <c r="M185" s="323">
        <v>1033.817789055395</v>
      </c>
      <c r="N185" s="253"/>
      <c r="P185" s="279">
        <v>132</v>
      </c>
      <c r="Q185" s="312"/>
      <c r="R185" s="497">
        <v>45108</v>
      </c>
      <c r="S185" s="498">
        <f t="shared" si="7"/>
        <v>1033.817789055395</v>
      </c>
      <c r="T185" s="258">
        <v>0</v>
      </c>
    </row>
    <row r="186" spans="1:20" ht="11.85" customHeight="1" x14ac:dyDescent="0.25">
      <c r="A186" s="492">
        <v>44170</v>
      </c>
      <c r="B186" s="252" t="s">
        <v>596</v>
      </c>
      <c r="C186" s="252" t="s">
        <v>597</v>
      </c>
      <c r="D186" s="252" t="s">
        <v>473</v>
      </c>
      <c r="E186" s="252" t="s">
        <v>532</v>
      </c>
      <c r="F186" s="252" t="s">
        <v>460</v>
      </c>
      <c r="G186" s="323">
        <v>20914.797282908381</v>
      </c>
      <c r="H186" s="253">
        <v>20567.211382022189</v>
      </c>
      <c r="I186" s="323">
        <v>0</v>
      </c>
      <c r="J186" s="323">
        <v>0</v>
      </c>
      <c r="K186" s="323">
        <v>0</v>
      </c>
      <c r="L186" s="323">
        <v>0</v>
      </c>
      <c r="M186" s="323">
        <v>20567.211382022189</v>
      </c>
      <c r="N186" s="253"/>
      <c r="P186" s="279">
        <v>141</v>
      </c>
      <c r="Q186" s="312"/>
      <c r="R186" s="497">
        <v>44166</v>
      </c>
      <c r="S186" s="498">
        <f t="shared" si="7"/>
        <v>20567.211382022189</v>
      </c>
      <c r="T186" s="258">
        <v>0</v>
      </c>
    </row>
    <row r="187" spans="1:20" ht="11.85" customHeight="1" x14ac:dyDescent="0.25">
      <c r="A187" s="492">
        <v>44201</v>
      </c>
      <c r="B187" s="252" t="s">
        <v>596</v>
      </c>
      <c r="C187" s="252" t="s">
        <v>597</v>
      </c>
      <c r="D187" s="252" t="s">
        <v>473</v>
      </c>
      <c r="E187" s="252" t="s">
        <v>533</v>
      </c>
      <c r="F187" s="252" t="s">
        <v>460</v>
      </c>
      <c r="G187" s="323">
        <v>20914.797282908381</v>
      </c>
      <c r="H187" s="253">
        <v>20567.211382022189</v>
      </c>
      <c r="I187" s="323">
        <v>0</v>
      </c>
      <c r="J187" s="323">
        <v>0</v>
      </c>
      <c r="K187" s="323">
        <v>0</v>
      </c>
      <c r="L187" s="323">
        <v>0</v>
      </c>
      <c r="M187" s="323">
        <v>20567.211382022189</v>
      </c>
      <c r="N187" s="253"/>
      <c r="P187" s="279">
        <v>141</v>
      </c>
      <c r="Q187" s="312"/>
      <c r="R187" s="497">
        <v>44197</v>
      </c>
      <c r="S187" s="498">
        <f t="shared" si="7"/>
        <v>20567.211382022189</v>
      </c>
      <c r="T187" s="258">
        <v>0</v>
      </c>
    </row>
    <row r="188" spans="1:20" ht="11.85" customHeight="1" x14ac:dyDescent="0.25">
      <c r="A188" s="492">
        <v>44232</v>
      </c>
      <c r="B188" s="252" t="s">
        <v>596</v>
      </c>
      <c r="C188" s="252" t="s">
        <v>597</v>
      </c>
      <c r="D188" s="252" t="s">
        <v>473</v>
      </c>
      <c r="E188" s="252" t="s">
        <v>535</v>
      </c>
      <c r="F188" s="252" t="s">
        <v>460</v>
      </c>
      <c r="G188" s="323">
        <v>20914.797282908381</v>
      </c>
      <c r="H188" s="253">
        <v>20567.211382022189</v>
      </c>
      <c r="I188" s="323">
        <v>0</v>
      </c>
      <c r="J188" s="323">
        <v>0</v>
      </c>
      <c r="K188" s="323">
        <v>0</v>
      </c>
      <c r="L188" s="323">
        <v>0</v>
      </c>
      <c r="M188" s="323">
        <v>20567.211382022189</v>
      </c>
      <c r="N188" s="253"/>
      <c r="P188" s="279">
        <v>141</v>
      </c>
      <c r="Q188" s="312"/>
      <c r="R188" s="497">
        <v>44228</v>
      </c>
      <c r="S188" s="498">
        <f t="shared" si="7"/>
        <v>20567.211382022189</v>
      </c>
      <c r="T188" s="258">
        <v>0</v>
      </c>
    </row>
    <row r="189" spans="1:20" ht="11.85" customHeight="1" x14ac:dyDescent="0.25">
      <c r="A189" s="492">
        <v>44260</v>
      </c>
      <c r="B189" s="252" t="s">
        <v>596</v>
      </c>
      <c r="C189" s="252" t="s">
        <v>597</v>
      </c>
      <c r="D189" s="252" t="s">
        <v>473</v>
      </c>
      <c r="E189" s="252" t="s">
        <v>536</v>
      </c>
      <c r="F189" s="252" t="s">
        <v>460</v>
      </c>
      <c r="G189" s="323">
        <v>20914.797282908381</v>
      </c>
      <c r="H189" s="253">
        <v>20567.211382022189</v>
      </c>
      <c r="I189" s="323">
        <v>0</v>
      </c>
      <c r="J189" s="323">
        <v>0</v>
      </c>
      <c r="K189" s="323">
        <v>0</v>
      </c>
      <c r="L189" s="323">
        <v>0</v>
      </c>
      <c r="M189" s="323">
        <v>20567.211382022189</v>
      </c>
      <c r="N189" s="253"/>
      <c r="P189" s="279">
        <v>141</v>
      </c>
      <c r="Q189" s="312"/>
      <c r="R189" s="497">
        <v>44256</v>
      </c>
      <c r="S189" s="498">
        <f t="shared" si="7"/>
        <v>20567.211382022189</v>
      </c>
      <c r="T189" s="258">
        <v>0</v>
      </c>
    </row>
    <row r="190" spans="1:20" ht="11.85" customHeight="1" x14ac:dyDescent="0.25">
      <c r="A190" s="492">
        <v>44291</v>
      </c>
      <c r="B190" s="252" t="s">
        <v>596</v>
      </c>
      <c r="C190" s="252" t="s">
        <v>597</v>
      </c>
      <c r="D190" s="252" t="s">
        <v>473</v>
      </c>
      <c r="E190" s="252" t="s">
        <v>537</v>
      </c>
      <c r="F190" s="252" t="s">
        <v>460</v>
      </c>
      <c r="G190" s="323">
        <v>20914.797282908381</v>
      </c>
      <c r="H190" s="253">
        <v>20567.211382022189</v>
      </c>
      <c r="I190" s="323">
        <v>0</v>
      </c>
      <c r="J190" s="323">
        <v>0</v>
      </c>
      <c r="K190" s="323">
        <v>0</v>
      </c>
      <c r="L190" s="323">
        <v>0</v>
      </c>
      <c r="M190" s="323">
        <v>20567.211382022189</v>
      </c>
      <c r="N190" s="253"/>
      <c r="P190" s="279">
        <v>141</v>
      </c>
      <c r="Q190" s="312"/>
      <c r="R190" s="497">
        <v>44287</v>
      </c>
      <c r="S190" s="498">
        <f t="shared" si="7"/>
        <v>20567.211382022189</v>
      </c>
      <c r="T190" s="258">
        <v>0</v>
      </c>
    </row>
    <row r="191" spans="1:20" ht="11.85" customHeight="1" x14ac:dyDescent="0.25">
      <c r="A191" s="492">
        <v>44321</v>
      </c>
      <c r="B191" s="252" t="s">
        <v>596</v>
      </c>
      <c r="C191" s="252" t="s">
        <v>597</v>
      </c>
      <c r="D191" s="252" t="s">
        <v>473</v>
      </c>
      <c r="E191" s="252" t="s">
        <v>538</v>
      </c>
      <c r="F191" s="252" t="s">
        <v>460</v>
      </c>
      <c r="G191" s="323">
        <v>20914.797282908381</v>
      </c>
      <c r="H191" s="253">
        <v>20567.211382022189</v>
      </c>
      <c r="I191" s="323">
        <v>0</v>
      </c>
      <c r="J191" s="323">
        <v>0</v>
      </c>
      <c r="K191" s="323">
        <v>0</v>
      </c>
      <c r="L191" s="323">
        <v>0</v>
      </c>
      <c r="M191" s="323">
        <v>20567.211382022189</v>
      </c>
      <c r="N191" s="253"/>
      <c r="P191" s="279">
        <v>141</v>
      </c>
      <c r="Q191" s="312"/>
      <c r="R191" s="497">
        <v>44317</v>
      </c>
      <c r="S191" s="498">
        <f t="shared" si="7"/>
        <v>20567.211382022189</v>
      </c>
      <c r="T191" s="258">
        <v>0</v>
      </c>
    </row>
    <row r="192" spans="1:20" ht="11.85" customHeight="1" x14ac:dyDescent="0.25">
      <c r="A192" s="492">
        <v>44352</v>
      </c>
      <c r="B192" s="252" t="s">
        <v>596</v>
      </c>
      <c r="C192" s="252" t="s">
        <v>597</v>
      </c>
      <c r="D192" s="252" t="s">
        <v>473</v>
      </c>
      <c r="E192" s="252" t="s">
        <v>539</v>
      </c>
      <c r="F192" s="252" t="s">
        <v>460</v>
      </c>
      <c r="G192" s="323">
        <v>20914.797282908381</v>
      </c>
      <c r="H192" s="253">
        <v>20567.211382022189</v>
      </c>
      <c r="I192" s="323">
        <v>0</v>
      </c>
      <c r="J192" s="323">
        <v>0</v>
      </c>
      <c r="K192" s="323">
        <v>0</v>
      </c>
      <c r="L192" s="323">
        <v>0</v>
      </c>
      <c r="M192" s="323">
        <v>20567.211382022189</v>
      </c>
      <c r="N192" s="253"/>
      <c r="P192" s="279">
        <v>141</v>
      </c>
      <c r="Q192" s="312"/>
      <c r="R192" s="497">
        <v>44348</v>
      </c>
      <c r="S192" s="498">
        <f t="shared" si="7"/>
        <v>20567.211382022189</v>
      </c>
      <c r="T192" s="258">
        <v>0</v>
      </c>
    </row>
    <row r="193" spans="1:20" ht="11.85" customHeight="1" x14ac:dyDescent="0.25">
      <c r="A193" s="492">
        <v>44382</v>
      </c>
      <c r="B193" s="252" t="s">
        <v>596</v>
      </c>
      <c r="C193" s="252" t="s">
        <v>597</v>
      </c>
      <c r="D193" s="252" t="s">
        <v>473</v>
      </c>
      <c r="E193" s="252" t="s">
        <v>540</v>
      </c>
      <c r="F193" s="252" t="s">
        <v>460</v>
      </c>
      <c r="G193" s="323">
        <v>20914.797282908381</v>
      </c>
      <c r="H193" s="253">
        <v>20567.211382022189</v>
      </c>
      <c r="I193" s="323">
        <v>0</v>
      </c>
      <c r="J193" s="323">
        <v>0</v>
      </c>
      <c r="K193" s="323">
        <v>0</v>
      </c>
      <c r="L193" s="323">
        <v>0</v>
      </c>
      <c r="M193" s="323">
        <v>20567.211382022189</v>
      </c>
      <c r="N193" s="253"/>
      <c r="P193" s="279">
        <v>141</v>
      </c>
      <c r="Q193" s="312"/>
      <c r="R193" s="497">
        <v>44378</v>
      </c>
      <c r="S193" s="498">
        <f t="shared" si="7"/>
        <v>20567.211382022189</v>
      </c>
      <c r="T193" s="258">
        <v>0</v>
      </c>
    </row>
    <row r="194" spans="1:20" ht="11.85" customHeight="1" x14ac:dyDescent="0.25">
      <c r="A194" s="492">
        <v>44413</v>
      </c>
      <c r="B194" s="252" t="s">
        <v>596</v>
      </c>
      <c r="C194" s="252" t="s">
        <v>597</v>
      </c>
      <c r="D194" s="252" t="s">
        <v>473</v>
      </c>
      <c r="E194" s="252" t="s">
        <v>541</v>
      </c>
      <c r="F194" s="252" t="s">
        <v>460</v>
      </c>
      <c r="G194" s="323">
        <v>20914.797282908381</v>
      </c>
      <c r="H194" s="253">
        <v>20567.211382022189</v>
      </c>
      <c r="I194" s="323">
        <v>0</v>
      </c>
      <c r="J194" s="323">
        <v>0</v>
      </c>
      <c r="K194" s="323">
        <v>0</v>
      </c>
      <c r="L194" s="323">
        <v>0</v>
      </c>
      <c r="M194" s="323">
        <v>20567.211382022189</v>
      </c>
      <c r="N194" s="253"/>
      <c r="P194" s="279">
        <v>141</v>
      </c>
      <c r="Q194" s="312"/>
      <c r="R194" s="497">
        <v>44409</v>
      </c>
      <c r="S194" s="498">
        <f t="shared" si="7"/>
        <v>20567.211382022189</v>
      </c>
      <c r="T194" s="258">
        <v>0</v>
      </c>
    </row>
    <row r="195" spans="1:20" ht="11.85" customHeight="1" x14ac:dyDescent="0.25">
      <c r="A195" s="492">
        <v>44444</v>
      </c>
      <c r="B195" s="252" t="s">
        <v>596</v>
      </c>
      <c r="C195" s="252" t="s">
        <v>597</v>
      </c>
      <c r="D195" s="252" t="s">
        <v>473</v>
      </c>
      <c r="E195" s="252" t="s">
        <v>542</v>
      </c>
      <c r="F195" s="252" t="s">
        <v>460</v>
      </c>
      <c r="G195" s="323">
        <v>20914.797282908381</v>
      </c>
      <c r="H195" s="253">
        <v>20567.211382022189</v>
      </c>
      <c r="I195" s="323">
        <v>0</v>
      </c>
      <c r="J195" s="323">
        <v>0</v>
      </c>
      <c r="K195" s="323">
        <v>0</v>
      </c>
      <c r="L195" s="323">
        <v>0</v>
      </c>
      <c r="M195" s="323">
        <v>20567.211382022189</v>
      </c>
      <c r="N195" s="253"/>
      <c r="P195" s="279">
        <v>141</v>
      </c>
      <c r="Q195" s="312"/>
      <c r="R195" s="497">
        <v>44440</v>
      </c>
      <c r="S195" s="498">
        <f t="shared" si="7"/>
        <v>20567.211382022189</v>
      </c>
      <c r="T195" s="258">
        <v>0</v>
      </c>
    </row>
    <row r="196" spans="1:20" ht="11.85" customHeight="1" x14ac:dyDescent="0.25">
      <c r="A196" s="492">
        <v>44474</v>
      </c>
      <c r="B196" s="252" t="s">
        <v>596</v>
      </c>
      <c r="C196" s="252" t="s">
        <v>597</v>
      </c>
      <c r="D196" s="252" t="s">
        <v>473</v>
      </c>
      <c r="E196" s="252" t="s">
        <v>543</v>
      </c>
      <c r="F196" s="252" t="s">
        <v>460</v>
      </c>
      <c r="G196" s="323">
        <v>20914.797282908381</v>
      </c>
      <c r="H196" s="253">
        <v>20567.211382022189</v>
      </c>
      <c r="I196" s="323">
        <v>0</v>
      </c>
      <c r="J196" s="323">
        <v>0</v>
      </c>
      <c r="K196" s="323">
        <v>0</v>
      </c>
      <c r="L196" s="323">
        <v>0</v>
      </c>
      <c r="M196" s="323">
        <v>20567.211382022189</v>
      </c>
      <c r="N196" s="253"/>
      <c r="P196" s="279">
        <v>141</v>
      </c>
      <c r="Q196" s="312"/>
      <c r="R196" s="497">
        <v>44470</v>
      </c>
      <c r="S196" s="498">
        <f t="shared" si="7"/>
        <v>20567.211382022189</v>
      </c>
      <c r="T196" s="258">
        <v>0</v>
      </c>
    </row>
    <row r="197" spans="1:20" ht="11.85" customHeight="1" x14ac:dyDescent="0.25">
      <c r="A197" s="492">
        <v>44474</v>
      </c>
      <c r="B197" s="252" t="s">
        <v>596</v>
      </c>
      <c r="C197" s="252" t="s">
        <v>597</v>
      </c>
      <c r="D197" s="252" t="s">
        <v>471</v>
      </c>
      <c r="E197" s="252" t="s">
        <v>472</v>
      </c>
      <c r="F197" s="252" t="s">
        <v>460</v>
      </c>
      <c r="G197" s="323">
        <v>183004.47622544839</v>
      </c>
      <c r="H197" s="253">
        <v>179963.09959269411</v>
      </c>
      <c r="I197" s="323">
        <v>0</v>
      </c>
      <c r="J197" s="323">
        <v>0</v>
      </c>
      <c r="K197" s="323">
        <v>0</v>
      </c>
      <c r="L197" s="323">
        <v>0</v>
      </c>
      <c r="M197" s="323">
        <v>179963.09959269411</v>
      </c>
      <c r="N197" s="253"/>
      <c r="P197" s="279">
        <v>141</v>
      </c>
      <c r="Q197" s="312"/>
      <c r="R197" s="497">
        <v>44470</v>
      </c>
      <c r="S197" s="498">
        <f t="shared" si="7"/>
        <v>179963.09959269411</v>
      </c>
      <c r="T197" s="258">
        <v>0</v>
      </c>
    </row>
    <row r="198" spans="1:20" ht="11.85" customHeight="1" x14ac:dyDescent="0.25">
      <c r="A198" s="492">
        <v>44505</v>
      </c>
      <c r="B198" s="252" t="s">
        <v>596</v>
      </c>
      <c r="C198" s="252" t="s">
        <v>597</v>
      </c>
      <c r="D198" s="252" t="s">
        <v>473</v>
      </c>
      <c r="E198" s="252" t="s">
        <v>544</v>
      </c>
      <c r="F198" s="252" t="s">
        <v>460</v>
      </c>
      <c r="G198" s="323">
        <v>20914.797282908381</v>
      </c>
      <c r="H198" s="253">
        <v>20567.211382022189</v>
      </c>
      <c r="I198" s="323">
        <v>0</v>
      </c>
      <c r="J198" s="323">
        <v>0</v>
      </c>
      <c r="K198" s="323">
        <v>0</v>
      </c>
      <c r="L198" s="323">
        <v>0</v>
      </c>
      <c r="M198" s="323">
        <v>20567.211382022189</v>
      </c>
      <c r="N198" s="253"/>
      <c r="P198" s="279">
        <v>141</v>
      </c>
      <c r="Q198" s="312"/>
      <c r="R198" s="497">
        <v>44501</v>
      </c>
      <c r="S198" s="498">
        <f t="shared" si="7"/>
        <v>20567.211382022189</v>
      </c>
      <c r="T198" s="258">
        <v>0</v>
      </c>
    </row>
    <row r="199" spans="1:20" ht="11.85" customHeight="1" x14ac:dyDescent="0.25">
      <c r="A199" s="492">
        <v>44535</v>
      </c>
      <c r="B199" s="252" t="s">
        <v>596</v>
      </c>
      <c r="C199" s="252" t="s">
        <v>597</v>
      </c>
      <c r="D199" s="252" t="s">
        <v>473</v>
      </c>
      <c r="E199" s="252" t="s">
        <v>545</v>
      </c>
      <c r="F199" s="252" t="s">
        <v>460</v>
      </c>
      <c r="G199" s="323">
        <v>20914.797282908381</v>
      </c>
      <c r="H199" s="253">
        <v>20567.211382022189</v>
      </c>
      <c r="I199" s="323">
        <v>0</v>
      </c>
      <c r="J199" s="323">
        <v>0</v>
      </c>
      <c r="K199" s="323">
        <v>0</v>
      </c>
      <c r="L199" s="323">
        <v>0</v>
      </c>
      <c r="M199" s="323">
        <v>20567.211382022189</v>
      </c>
      <c r="N199" s="253"/>
      <c r="P199" s="279">
        <v>141</v>
      </c>
      <c r="Q199" s="312"/>
      <c r="R199" s="497">
        <v>44531</v>
      </c>
      <c r="S199" s="498">
        <f t="shared" ref="S199:S262" si="8">M199</f>
        <v>20567.211382022189</v>
      </c>
      <c r="T199" s="258">
        <v>0</v>
      </c>
    </row>
    <row r="200" spans="1:20" ht="11.85" customHeight="1" x14ac:dyDescent="0.25">
      <c r="A200" s="492">
        <v>44566</v>
      </c>
      <c r="B200" s="252" t="s">
        <v>596</v>
      </c>
      <c r="C200" s="252" t="s">
        <v>597</v>
      </c>
      <c r="D200" s="252" t="s">
        <v>473</v>
      </c>
      <c r="E200" s="252" t="s">
        <v>546</v>
      </c>
      <c r="F200" s="252" t="s">
        <v>460</v>
      </c>
      <c r="G200" s="323">
        <v>20914.797282908381</v>
      </c>
      <c r="H200" s="253">
        <v>20567.211382022189</v>
      </c>
      <c r="I200" s="323">
        <v>0</v>
      </c>
      <c r="J200" s="323">
        <v>0</v>
      </c>
      <c r="K200" s="323">
        <v>0</v>
      </c>
      <c r="L200" s="323">
        <v>0</v>
      </c>
      <c r="M200" s="323">
        <v>20567.211382022189</v>
      </c>
      <c r="N200" s="253"/>
      <c r="P200" s="279">
        <v>141</v>
      </c>
      <c r="Q200" s="312"/>
      <c r="R200" s="497">
        <v>44562</v>
      </c>
      <c r="S200" s="498">
        <f t="shared" si="8"/>
        <v>20567.211382022189</v>
      </c>
      <c r="T200" s="258">
        <v>0</v>
      </c>
    </row>
    <row r="201" spans="1:20" ht="11.85" customHeight="1" x14ac:dyDescent="0.25">
      <c r="A201" s="492">
        <v>44597</v>
      </c>
      <c r="B201" s="252" t="s">
        <v>596</v>
      </c>
      <c r="C201" s="252" t="s">
        <v>597</v>
      </c>
      <c r="D201" s="252" t="s">
        <v>473</v>
      </c>
      <c r="E201" s="252" t="s">
        <v>547</v>
      </c>
      <c r="F201" s="252" t="s">
        <v>460</v>
      </c>
      <c r="G201" s="323">
        <v>20914.797282908381</v>
      </c>
      <c r="H201" s="253">
        <v>20567.211382022189</v>
      </c>
      <c r="I201" s="323">
        <v>0</v>
      </c>
      <c r="J201" s="323">
        <v>0</v>
      </c>
      <c r="K201" s="323">
        <v>0</v>
      </c>
      <c r="L201" s="323">
        <v>0</v>
      </c>
      <c r="M201" s="323">
        <v>20567.211382022189</v>
      </c>
      <c r="N201" s="253"/>
      <c r="P201" s="279">
        <v>141</v>
      </c>
      <c r="Q201" s="312"/>
      <c r="R201" s="497">
        <v>44593</v>
      </c>
      <c r="S201" s="498">
        <f t="shared" si="8"/>
        <v>20567.211382022189</v>
      </c>
      <c r="T201" s="258">
        <v>0</v>
      </c>
    </row>
    <row r="202" spans="1:20" ht="11.85" customHeight="1" x14ac:dyDescent="0.25">
      <c r="A202" s="492">
        <v>44625</v>
      </c>
      <c r="B202" s="252" t="s">
        <v>596</v>
      </c>
      <c r="C202" s="252" t="s">
        <v>597</v>
      </c>
      <c r="D202" s="252" t="s">
        <v>473</v>
      </c>
      <c r="E202" s="252" t="s">
        <v>548</v>
      </c>
      <c r="F202" s="252" t="s">
        <v>460</v>
      </c>
      <c r="G202" s="323">
        <v>20914.797282908381</v>
      </c>
      <c r="H202" s="253">
        <v>20567.211382022189</v>
      </c>
      <c r="I202" s="323">
        <v>0</v>
      </c>
      <c r="J202" s="323">
        <v>0</v>
      </c>
      <c r="K202" s="323">
        <v>0</v>
      </c>
      <c r="L202" s="323">
        <v>0</v>
      </c>
      <c r="M202" s="323">
        <v>20567.211382022189</v>
      </c>
      <c r="N202" s="253"/>
      <c r="P202" s="279">
        <v>141</v>
      </c>
      <c r="Q202" s="312"/>
      <c r="R202" s="497">
        <v>44621</v>
      </c>
      <c r="S202" s="498">
        <f t="shared" si="8"/>
        <v>20567.211382022189</v>
      </c>
      <c r="T202" s="258">
        <v>0</v>
      </c>
    </row>
    <row r="203" spans="1:20" ht="11.85" customHeight="1" x14ac:dyDescent="0.25">
      <c r="A203" s="492">
        <v>44656</v>
      </c>
      <c r="B203" s="252" t="s">
        <v>596</v>
      </c>
      <c r="C203" s="252" t="s">
        <v>597</v>
      </c>
      <c r="D203" s="252" t="s">
        <v>473</v>
      </c>
      <c r="E203" s="252" t="s">
        <v>549</v>
      </c>
      <c r="F203" s="252" t="s">
        <v>460</v>
      </c>
      <c r="G203" s="323">
        <v>20914.797282908381</v>
      </c>
      <c r="H203" s="253">
        <v>20567.211382022189</v>
      </c>
      <c r="I203" s="323">
        <v>0</v>
      </c>
      <c r="J203" s="323">
        <v>0</v>
      </c>
      <c r="K203" s="323">
        <v>0</v>
      </c>
      <c r="L203" s="323">
        <v>0</v>
      </c>
      <c r="M203" s="323">
        <v>20567.211382022189</v>
      </c>
      <c r="N203" s="253"/>
      <c r="P203" s="279">
        <v>141</v>
      </c>
      <c r="Q203" s="312"/>
      <c r="R203" s="497">
        <v>44652</v>
      </c>
      <c r="S203" s="498">
        <f t="shared" si="8"/>
        <v>20567.211382022189</v>
      </c>
      <c r="T203" s="258">
        <v>0</v>
      </c>
    </row>
    <row r="204" spans="1:20" ht="11.85" customHeight="1" x14ac:dyDescent="0.25">
      <c r="A204" s="492">
        <v>44686</v>
      </c>
      <c r="B204" s="252" t="s">
        <v>596</v>
      </c>
      <c r="C204" s="252" t="s">
        <v>597</v>
      </c>
      <c r="D204" s="252" t="s">
        <v>473</v>
      </c>
      <c r="E204" s="252" t="s">
        <v>550</v>
      </c>
      <c r="F204" s="252" t="s">
        <v>460</v>
      </c>
      <c r="G204" s="323">
        <v>20914.797282908381</v>
      </c>
      <c r="H204" s="253">
        <v>20567.211382022189</v>
      </c>
      <c r="I204" s="323">
        <v>0</v>
      </c>
      <c r="J204" s="323">
        <v>0</v>
      </c>
      <c r="K204" s="323">
        <v>0</v>
      </c>
      <c r="L204" s="323">
        <v>0</v>
      </c>
      <c r="M204" s="323">
        <v>20567.211382022189</v>
      </c>
      <c r="N204" s="253"/>
      <c r="P204" s="279">
        <v>141</v>
      </c>
      <c r="Q204" s="312"/>
      <c r="R204" s="497">
        <v>44682</v>
      </c>
      <c r="S204" s="498">
        <f t="shared" si="8"/>
        <v>20567.211382022189</v>
      </c>
      <c r="T204" s="258">
        <v>0</v>
      </c>
    </row>
    <row r="205" spans="1:20" ht="11.85" customHeight="1" x14ac:dyDescent="0.25">
      <c r="A205" s="492">
        <v>44717</v>
      </c>
      <c r="B205" s="252" t="s">
        <v>596</v>
      </c>
      <c r="C205" s="252" t="s">
        <v>597</v>
      </c>
      <c r="D205" s="252" t="s">
        <v>473</v>
      </c>
      <c r="E205" s="252" t="s">
        <v>551</v>
      </c>
      <c r="F205" s="252" t="s">
        <v>460</v>
      </c>
      <c r="G205" s="323">
        <v>20914.797282908381</v>
      </c>
      <c r="H205" s="253">
        <v>20567.211382022189</v>
      </c>
      <c r="I205" s="323">
        <v>0</v>
      </c>
      <c r="J205" s="323">
        <v>0</v>
      </c>
      <c r="K205" s="323">
        <v>0</v>
      </c>
      <c r="L205" s="323">
        <v>0</v>
      </c>
      <c r="M205" s="323">
        <v>20567.211382022189</v>
      </c>
      <c r="N205" s="253"/>
      <c r="P205" s="279">
        <v>141</v>
      </c>
      <c r="Q205" s="312"/>
      <c r="R205" s="497">
        <v>44713</v>
      </c>
      <c r="S205" s="498">
        <f t="shared" si="8"/>
        <v>20567.211382022189</v>
      </c>
      <c r="T205" s="258">
        <v>0</v>
      </c>
    </row>
    <row r="206" spans="1:20" ht="11.85" customHeight="1" x14ac:dyDescent="0.25">
      <c r="A206" s="492">
        <v>44747</v>
      </c>
      <c r="B206" s="252" t="s">
        <v>596</v>
      </c>
      <c r="C206" s="252" t="s">
        <v>597</v>
      </c>
      <c r="D206" s="252" t="s">
        <v>473</v>
      </c>
      <c r="E206" s="252" t="s">
        <v>552</v>
      </c>
      <c r="F206" s="252" t="s">
        <v>460</v>
      </c>
      <c r="G206" s="323">
        <v>20914.797282908381</v>
      </c>
      <c r="H206" s="253">
        <v>20567.211382022189</v>
      </c>
      <c r="I206" s="323">
        <v>0</v>
      </c>
      <c r="J206" s="323">
        <v>0</v>
      </c>
      <c r="K206" s="323">
        <v>0</v>
      </c>
      <c r="L206" s="323">
        <v>0</v>
      </c>
      <c r="M206" s="323">
        <v>20567.211382022189</v>
      </c>
      <c r="N206" s="253"/>
      <c r="P206" s="279">
        <v>141</v>
      </c>
      <c r="Q206" s="312"/>
      <c r="R206" s="497">
        <v>44743</v>
      </c>
      <c r="S206" s="498">
        <f t="shared" si="8"/>
        <v>20567.211382022189</v>
      </c>
      <c r="T206" s="258">
        <v>0</v>
      </c>
    </row>
    <row r="207" spans="1:20" ht="11.85" customHeight="1" x14ac:dyDescent="0.25">
      <c r="A207" s="492">
        <v>44778</v>
      </c>
      <c r="B207" s="252" t="s">
        <v>596</v>
      </c>
      <c r="C207" s="252" t="s">
        <v>597</v>
      </c>
      <c r="D207" s="252" t="s">
        <v>473</v>
      </c>
      <c r="E207" s="252" t="s">
        <v>553</v>
      </c>
      <c r="F207" s="252" t="s">
        <v>460</v>
      </c>
      <c r="G207" s="323">
        <v>20914.797282908381</v>
      </c>
      <c r="H207" s="253">
        <v>20567.211382022189</v>
      </c>
      <c r="I207" s="323">
        <v>0</v>
      </c>
      <c r="J207" s="323">
        <v>0</v>
      </c>
      <c r="K207" s="323">
        <v>0</v>
      </c>
      <c r="L207" s="323">
        <v>0</v>
      </c>
      <c r="M207" s="323">
        <v>20567.211382022189</v>
      </c>
      <c r="N207" s="253"/>
      <c r="P207" s="279">
        <v>141</v>
      </c>
      <c r="Q207" s="312"/>
      <c r="R207" s="497">
        <v>44774</v>
      </c>
      <c r="S207" s="498">
        <f t="shared" si="8"/>
        <v>20567.211382022189</v>
      </c>
      <c r="T207" s="258">
        <v>0</v>
      </c>
    </row>
    <row r="208" spans="1:20" ht="11.85" customHeight="1" x14ac:dyDescent="0.25">
      <c r="A208" s="492">
        <v>44809</v>
      </c>
      <c r="B208" s="252" t="s">
        <v>596</v>
      </c>
      <c r="C208" s="252" t="s">
        <v>597</v>
      </c>
      <c r="D208" s="252" t="s">
        <v>473</v>
      </c>
      <c r="E208" s="252" t="s">
        <v>554</v>
      </c>
      <c r="F208" s="252" t="s">
        <v>460</v>
      </c>
      <c r="G208" s="323">
        <v>20914.797282908381</v>
      </c>
      <c r="H208" s="253">
        <v>20567.211382022189</v>
      </c>
      <c r="I208" s="323">
        <v>0</v>
      </c>
      <c r="J208" s="323">
        <v>0</v>
      </c>
      <c r="K208" s="323">
        <v>0</v>
      </c>
      <c r="L208" s="323">
        <v>0</v>
      </c>
      <c r="M208" s="323">
        <v>20567.211382022189</v>
      </c>
      <c r="N208" s="253"/>
      <c r="P208" s="279">
        <v>141</v>
      </c>
      <c r="Q208" s="312"/>
      <c r="R208" s="497">
        <v>44805</v>
      </c>
      <c r="S208" s="498">
        <f t="shared" si="8"/>
        <v>20567.211382022189</v>
      </c>
      <c r="T208" s="258">
        <v>0</v>
      </c>
    </row>
    <row r="209" spans="1:20" ht="11.85" customHeight="1" x14ac:dyDescent="0.25">
      <c r="A209" s="492">
        <v>44839</v>
      </c>
      <c r="B209" s="252" t="s">
        <v>596</v>
      </c>
      <c r="C209" s="252" t="s">
        <v>597</v>
      </c>
      <c r="D209" s="252" t="s">
        <v>473</v>
      </c>
      <c r="E209" s="252" t="s">
        <v>555</v>
      </c>
      <c r="F209" s="252" t="s">
        <v>460</v>
      </c>
      <c r="G209" s="323">
        <v>20914.797282908381</v>
      </c>
      <c r="H209" s="253">
        <v>20567.211382022189</v>
      </c>
      <c r="I209" s="323">
        <v>0</v>
      </c>
      <c r="J209" s="323">
        <v>0</v>
      </c>
      <c r="K209" s="323">
        <v>0</v>
      </c>
      <c r="L209" s="323">
        <v>0</v>
      </c>
      <c r="M209" s="323">
        <v>20567.211382022189</v>
      </c>
      <c r="N209" s="253"/>
      <c r="P209" s="279">
        <v>141</v>
      </c>
      <c r="Q209" s="312"/>
      <c r="R209" s="497">
        <v>44835</v>
      </c>
      <c r="S209" s="498">
        <f t="shared" si="8"/>
        <v>20567.211382022189</v>
      </c>
      <c r="T209" s="258">
        <v>0</v>
      </c>
    </row>
    <row r="210" spans="1:20" ht="11.85" customHeight="1" x14ac:dyDescent="0.25">
      <c r="A210" s="492">
        <v>44839</v>
      </c>
      <c r="B210" s="252" t="s">
        <v>596</v>
      </c>
      <c r="C210" s="252" t="s">
        <v>597</v>
      </c>
      <c r="D210" s="252" t="s">
        <v>471</v>
      </c>
      <c r="E210" s="252" t="s">
        <v>482</v>
      </c>
      <c r="F210" s="252" t="s">
        <v>460</v>
      </c>
      <c r="G210" s="323">
        <v>183004.47622544839</v>
      </c>
      <c r="H210" s="253">
        <v>179963.09959269411</v>
      </c>
      <c r="I210" s="323">
        <v>0</v>
      </c>
      <c r="J210" s="323">
        <v>0</v>
      </c>
      <c r="K210" s="323">
        <v>0</v>
      </c>
      <c r="L210" s="323">
        <v>0</v>
      </c>
      <c r="M210" s="323">
        <v>179963.09959269411</v>
      </c>
      <c r="N210" s="253"/>
      <c r="P210" s="279">
        <v>141</v>
      </c>
      <c r="Q210" s="312"/>
      <c r="R210" s="497">
        <v>44835</v>
      </c>
      <c r="S210" s="498">
        <f t="shared" si="8"/>
        <v>179963.09959269411</v>
      </c>
      <c r="T210" s="258">
        <v>0</v>
      </c>
    </row>
    <row r="211" spans="1:20" ht="11.85" customHeight="1" x14ac:dyDescent="0.25">
      <c r="A211" s="492">
        <v>44870</v>
      </c>
      <c r="B211" s="252" t="s">
        <v>596</v>
      </c>
      <c r="C211" s="252" t="s">
        <v>597</v>
      </c>
      <c r="D211" s="252" t="s">
        <v>473</v>
      </c>
      <c r="E211" s="252" t="s">
        <v>556</v>
      </c>
      <c r="F211" s="252" t="s">
        <v>460</v>
      </c>
      <c r="G211" s="323">
        <v>20914.797282908381</v>
      </c>
      <c r="H211" s="253">
        <v>20567.211382022189</v>
      </c>
      <c r="I211" s="323">
        <v>0</v>
      </c>
      <c r="J211" s="323">
        <v>0</v>
      </c>
      <c r="K211" s="323">
        <v>0</v>
      </c>
      <c r="L211" s="323">
        <v>0</v>
      </c>
      <c r="M211" s="323">
        <v>20567.211382022189</v>
      </c>
      <c r="N211" s="253"/>
      <c r="P211" s="279">
        <v>141</v>
      </c>
      <c r="Q211" s="312"/>
      <c r="R211" s="497">
        <v>44866</v>
      </c>
      <c r="S211" s="498">
        <f t="shared" si="8"/>
        <v>20567.211382022189</v>
      </c>
      <c r="T211" s="258">
        <v>0</v>
      </c>
    </row>
    <row r="212" spans="1:20" ht="11.85" customHeight="1" x14ac:dyDescent="0.25">
      <c r="A212" s="492">
        <v>44900</v>
      </c>
      <c r="B212" s="252" t="s">
        <v>596</v>
      </c>
      <c r="C212" s="252" t="s">
        <v>597</v>
      </c>
      <c r="D212" s="252" t="s">
        <v>473</v>
      </c>
      <c r="E212" s="252" t="s">
        <v>557</v>
      </c>
      <c r="F212" s="252" t="s">
        <v>460</v>
      </c>
      <c r="G212" s="323">
        <v>20914.797282908381</v>
      </c>
      <c r="H212" s="253">
        <v>20567.211382022189</v>
      </c>
      <c r="I212" s="323">
        <v>0</v>
      </c>
      <c r="J212" s="323">
        <v>0</v>
      </c>
      <c r="K212" s="323">
        <v>0</v>
      </c>
      <c r="L212" s="323">
        <v>0</v>
      </c>
      <c r="M212" s="323">
        <v>20567.211382022189</v>
      </c>
      <c r="N212" s="253"/>
      <c r="P212" s="279">
        <v>141</v>
      </c>
      <c r="Q212" s="312"/>
      <c r="R212" s="497">
        <v>44896</v>
      </c>
      <c r="S212" s="498">
        <f t="shared" si="8"/>
        <v>20567.211382022189</v>
      </c>
      <c r="T212" s="258">
        <v>0</v>
      </c>
    </row>
    <row r="213" spans="1:20" ht="11.85" customHeight="1" x14ac:dyDescent="0.25">
      <c r="A213" s="492">
        <v>44931</v>
      </c>
      <c r="B213" s="252" t="s">
        <v>596</v>
      </c>
      <c r="C213" s="252" t="s">
        <v>597</v>
      </c>
      <c r="D213" s="252" t="s">
        <v>473</v>
      </c>
      <c r="E213" s="252" t="s">
        <v>558</v>
      </c>
      <c r="F213" s="252" t="s">
        <v>460</v>
      </c>
      <c r="G213" s="323">
        <v>20914.797282908381</v>
      </c>
      <c r="H213" s="253">
        <v>20567.211382022189</v>
      </c>
      <c r="I213" s="323">
        <v>0</v>
      </c>
      <c r="J213" s="323">
        <v>0</v>
      </c>
      <c r="K213" s="323">
        <v>0</v>
      </c>
      <c r="L213" s="323">
        <v>0</v>
      </c>
      <c r="M213" s="323">
        <v>20567.211382022189</v>
      </c>
      <c r="N213" s="253"/>
      <c r="P213" s="279">
        <v>141</v>
      </c>
      <c r="Q213" s="312"/>
      <c r="R213" s="497">
        <v>44927</v>
      </c>
      <c r="S213" s="498">
        <f t="shared" si="8"/>
        <v>20567.211382022189</v>
      </c>
      <c r="T213" s="258">
        <v>0</v>
      </c>
    </row>
    <row r="214" spans="1:20" ht="11.85" customHeight="1" x14ac:dyDescent="0.25">
      <c r="A214" s="492">
        <v>44962</v>
      </c>
      <c r="B214" s="252" t="s">
        <v>596</v>
      </c>
      <c r="C214" s="252" t="s">
        <v>597</v>
      </c>
      <c r="D214" s="252" t="s">
        <v>473</v>
      </c>
      <c r="E214" s="252" t="s">
        <v>559</v>
      </c>
      <c r="F214" s="252" t="s">
        <v>460</v>
      </c>
      <c r="G214" s="323">
        <v>20914.797282908381</v>
      </c>
      <c r="H214" s="253">
        <v>20567.211382022189</v>
      </c>
      <c r="I214" s="323">
        <v>0</v>
      </c>
      <c r="J214" s="323">
        <v>0</v>
      </c>
      <c r="K214" s="323">
        <v>0</v>
      </c>
      <c r="L214" s="323">
        <v>0</v>
      </c>
      <c r="M214" s="323">
        <v>20567.211382022189</v>
      </c>
      <c r="N214" s="253"/>
      <c r="P214" s="279">
        <v>141</v>
      </c>
      <c r="Q214" s="312"/>
      <c r="R214" s="497">
        <v>44958</v>
      </c>
      <c r="S214" s="498">
        <f t="shared" si="8"/>
        <v>20567.211382022189</v>
      </c>
      <c r="T214" s="258">
        <v>0</v>
      </c>
    </row>
    <row r="215" spans="1:20" ht="11.85" customHeight="1" x14ac:dyDescent="0.25">
      <c r="A215" s="492">
        <v>44990</v>
      </c>
      <c r="B215" s="252" t="s">
        <v>596</v>
      </c>
      <c r="C215" s="252" t="s">
        <v>597</v>
      </c>
      <c r="D215" s="252" t="s">
        <v>473</v>
      </c>
      <c r="E215" s="252" t="s">
        <v>560</v>
      </c>
      <c r="F215" s="252" t="s">
        <v>460</v>
      </c>
      <c r="G215" s="323">
        <v>20914.797282908381</v>
      </c>
      <c r="H215" s="253">
        <v>20567.211382022189</v>
      </c>
      <c r="I215" s="323">
        <v>0</v>
      </c>
      <c r="J215" s="323">
        <v>0</v>
      </c>
      <c r="K215" s="323">
        <v>0</v>
      </c>
      <c r="L215" s="323">
        <v>0</v>
      </c>
      <c r="M215" s="323">
        <v>20567.211382022189</v>
      </c>
      <c r="N215" s="253"/>
      <c r="P215" s="279">
        <v>141</v>
      </c>
      <c r="Q215" s="312"/>
      <c r="R215" s="497">
        <v>44986</v>
      </c>
      <c r="S215" s="498">
        <f t="shared" si="8"/>
        <v>20567.211382022189</v>
      </c>
      <c r="T215" s="258">
        <v>0</v>
      </c>
    </row>
    <row r="216" spans="1:20" ht="11.85" customHeight="1" x14ac:dyDescent="0.25">
      <c r="A216" s="492">
        <v>45021</v>
      </c>
      <c r="B216" s="252" t="s">
        <v>596</v>
      </c>
      <c r="C216" s="252" t="s">
        <v>597</v>
      </c>
      <c r="D216" s="252" t="s">
        <v>473</v>
      </c>
      <c r="E216" s="252" t="s">
        <v>561</v>
      </c>
      <c r="F216" s="252" t="s">
        <v>460</v>
      </c>
      <c r="G216" s="323">
        <v>20914.797282908381</v>
      </c>
      <c r="H216" s="253">
        <v>20567.211382022189</v>
      </c>
      <c r="I216" s="323">
        <v>0</v>
      </c>
      <c r="J216" s="323">
        <v>0</v>
      </c>
      <c r="K216" s="323">
        <v>0</v>
      </c>
      <c r="L216" s="323">
        <v>0</v>
      </c>
      <c r="M216" s="323">
        <v>20567.211382022189</v>
      </c>
      <c r="N216" s="253"/>
      <c r="P216" s="279">
        <v>141</v>
      </c>
      <c r="Q216" s="312"/>
      <c r="R216" s="497">
        <v>45017</v>
      </c>
      <c r="S216" s="498">
        <f t="shared" si="8"/>
        <v>20567.211382022189</v>
      </c>
      <c r="T216" s="258">
        <v>0</v>
      </c>
    </row>
    <row r="217" spans="1:20" ht="11.85" customHeight="1" x14ac:dyDescent="0.25">
      <c r="A217" s="492">
        <v>45021</v>
      </c>
      <c r="B217" s="252" t="s">
        <v>596</v>
      </c>
      <c r="C217" s="252" t="s">
        <v>597</v>
      </c>
      <c r="D217" s="252" t="s">
        <v>465</v>
      </c>
      <c r="E217" s="252" t="s">
        <v>466</v>
      </c>
      <c r="F217" s="252" t="s">
        <v>460</v>
      </c>
      <c r="G217" s="323">
        <v>1153451.070152397</v>
      </c>
      <c r="H217" s="253">
        <v>1134281.707718523</v>
      </c>
      <c r="I217" s="323">
        <v>0</v>
      </c>
      <c r="J217" s="323">
        <v>0</v>
      </c>
      <c r="K217" s="323">
        <v>0</v>
      </c>
      <c r="L217" s="323">
        <v>0</v>
      </c>
      <c r="M217" s="323">
        <v>1134281.707718523</v>
      </c>
      <c r="N217" s="253"/>
      <c r="P217" s="279">
        <v>141</v>
      </c>
      <c r="Q217" s="312"/>
      <c r="R217" s="497">
        <v>45017</v>
      </c>
      <c r="S217" s="498">
        <f t="shared" si="8"/>
        <v>1134281.707718523</v>
      </c>
      <c r="T217" s="258">
        <v>0</v>
      </c>
    </row>
    <row r="218" spans="1:20" ht="11.85" customHeight="1" x14ac:dyDescent="0.25">
      <c r="A218" s="492">
        <v>45174</v>
      </c>
      <c r="B218" s="252" t="s">
        <v>596</v>
      </c>
      <c r="C218" s="252" t="s">
        <v>597</v>
      </c>
      <c r="D218" s="252" t="s">
        <v>467</v>
      </c>
      <c r="E218" s="252" t="s">
        <v>466</v>
      </c>
      <c r="F218" s="252" t="s">
        <v>460</v>
      </c>
      <c r="G218" s="323">
        <v>1045.739864145419</v>
      </c>
      <c r="H218" s="253">
        <v>1028.3605691011089</v>
      </c>
      <c r="I218" s="323">
        <v>0</v>
      </c>
      <c r="J218" s="323">
        <v>0</v>
      </c>
      <c r="K218" s="323">
        <v>0</v>
      </c>
      <c r="L218" s="323">
        <v>0</v>
      </c>
      <c r="M218" s="323">
        <v>1028.3605691011089</v>
      </c>
      <c r="N218" s="253"/>
      <c r="P218" s="279">
        <v>141</v>
      </c>
      <c r="Q218" s="312"/>
      <c r="R218" s="497">
        <v>45170</v>
      </c>
      <c r="S218" s="498">
        <f t="shared" si="8"/>
        <v>1028.3605691011089</v>
      </c>
      <c r="T218" s="258">
        <v>0</v>
      </c>
    </row>
    <row r="219" spans="1:20" ht="11.85" customHeight="1" x14ac:dyDescent="0.25">
      <c r="A219" s="492">
        <v>44184</v>
      </c>
      <c r="B219" s="252" t="s">
        <v>598</v>
      </c>
      <c r="C219" s="252" t="s">
        <v>599</v>
      </c>
      <c r="D219" s="252" t="s">
        <v>600</v>
      </c>
      <c r="E219" s="252" t="s">
        <v>601</v>
      </c>
      <c r="F219" s="252" t="s">
        <v>602</v>
      </c>
      <c r="G219" s="323">
        <v>87660.149560585225</v>
      </c>
      <c r="H219" s="253">
        <v>86206.9</v>
      </c>
      <c r="I219" s="323">
        <v>0</v>
      </c>
      <c r="J219" s="323">
        <v>0</v>
      </c>
      <c r="K219" s="323">
        <v>0</v>
      </c>
      <c r="L219" s="323">
        <v>0</v>
      </c>
      <c r="M219" s="323">
        <v>86206.9</v>
      </c>
      <c r="N219" s="253"/>
      <c r="P219" s="279">
        <v>171</v>
      </c>
      <c r="Q219" s="312"/>
      <c r="R219" s="497">
        <v>44166</v>
      </c>
      <c r="S219" s="498">
        <f t="shared" si="8"/>
        <v>86206.9</v>
      </c>
      <c r="T219" s="258">
        <v>0</v>
      </c>
    </row>
    <row r="220" spans="1:20" ht="11.85" customHeight="1" x14ac:dyDescent="0.25">
      <c r="A220" s="492">
        <v>44215</v>
      </c>
      <c r="B220" s="252" t="s">
        <v>598</v>
      </c>
      <c r="C220" s="252" t="s">
        <v>599</v>
      </c>
      <c r="D220" s="252" t="s">
        <v>600</v>
      </c>
      <c r="E220" s="252" t="s">
        <v>564</v>
      </c>
      <c r="F220" s="252" t="s">
        <v>602</v>
      </c>
      <c r="G220" s="323">
        <v>87660.149560585225</v>
      </c>
      <c r="H220" s="253">
        <v>86206.9</v>
      </c>
      <c r="I220" s="323">
        <v>0</v>
      </c>
      <c r="J220" s="323">
        <v>0</v>
      </c>
      <c r="K220" s="323">
        <v>0</v>
      </c>
      <c r="L220" s="323">
        <v>0</v>
      </c>
      <c r="M220" s="323">
        <v>86206.9</v>
      </c>
      <c r="N220" s="253"/>
      <c r="P220" s="279">
        <v>171</v>
      </c>
      <c r="Q220" s="312"/>
      <c r="R220" s="497">
        <v>44197</v>
      </c>
      <c r="S220" s="498">
        <f t="shared" si="8"/>
        <v>86206.9</v>
      </c>
      <c r="T220" s="258">
        <v>0</v>
      </c>
    </row>
    <row r="221" spans="1:20" ht="11.85" customHeight="1" x14ac:dyDescent="0.25">
      <c r="A221" s="492">
        <v>44246</v>
      </c>
      <c r="B221" s="252" t="s">
        <v>598</v>
      </c>
      <c r="C221" s="252" t="s">
        <v>599</v>
      </c>
      <c r="D221" s="252" t="s">
        <v>600</v>
      </c>
      <c r="E221" s="252" t="s">
        <v>565</v>
      </c>
      <c r="F221" s="252" t="s">
        <v>602</v>
      </c>
      <c r="G221" s="323">
        <v>87660.149560585225</v>
      </c>
      <c r="H221" s="253">
        <v>86206.9</v>
      </c>
      <c r="I221" s="323">
        <v>0</v>
      </c>
      <c r="J221" s="323">
        <v>0</v>
      </c>
      <c r="K221" s="323">
        <v>0</v>
      </c>
      <c r="L221" s="323">
        <v>0</v>
      </c>
      <c r="M221" s="323">
        <v>86206.9</v>
      </c>
      <c r="N221" s="253"/>
      <c r="P221" s="279">
        <v>171</v>
      </c>
      <c r="Q221" s="312"/>
      <c r="R221" s="497">
        <v>44228</v>
      </c>
      <c r="S221" s="498">
        <f t="shared" si="8"/>
        <v>86206.9</v>
      </c>
      <c r="T221" s="258">
        <v>0</v>
      </c>
    </row>
    <row r="222" spans="1:20" ht="11.85" customHeight="1" x14ac:dyDescent="0.25">
      <c r="A222" s="492">
        <v>44260</v>
      </c>
      <c r="B222" s="252" t="s">
        <v>598</v>
      </c>
      <c r="C222" s="252" t="s">
        <v>599</v>
      </c>
      <c r="D222" s="252" t="s">
        <v>600</v>
      </c>
      <c r="E222" s="252" t="s">
        <v>603</v>
      </c>
      <c r="F222" s="252" t="s">
        <v>602</v>
      </c>
      <c r="G222" s="323">
        <v>87660.149560585225</v>
      </c>
      <c r="H222" s="253">
        <v>86206.9</v>
      </c>
      <c r="I222" s="323">
        <v>0</v>
      </c>
      <c r="J222" s="323">
        <v>0</v>
      </c>
      <c r="K222" s="323">
        <v>0</v>
      </c>
      <c r="L222" s="323">
        <v>0</v>
      </c>
      <c r="M222" s="323">
        <v>86206.9</v>
      </c>
      <c r="N222" s="253"/>
      <c r="P222" s="279">
        <v>171</v>
      </c>
      <c r="Q222" s="312"/>
      <c r="R222" s="497">
        <v>44256</v>
      </c>
      <c r="S222" s="498">
        <f t="shared" si="8"/>
        <v>86206.9</v>
      </c>
      <c r="T222" s="258">
        <v>0</v>
      </c>
    </row>
    <row r="223" spans="1:20" ht="11.85" customHeight="1" x14ac:dyDescent="0.25">
      <c r="A223" s="492">
        <v>44291</v>
      </c>
      <c r="B223" s="252" t="s">
        <v>598</v>
      </c>
      <c r="C223" s="252" t="s">
        <v>599</v>
      </c>
      <c r="D223" s="252" t="s">
        <v>600</v>
      </c>
      <c r="E223" s="252" t="s">
        <v>604</v>
      </c>
      <c r="F223" s="252" t="s">
        <v>602</v>
      </c>
      <c r="G223" s="323">
        <v>87660.149560585225</v>
      </c>
      <c r="H223" s="253">
        <v>86206.9</v>
      </c>
      <c r="I223" s="323">
        <v>0</v>
      </c>
      <c r="J223" s="323">
        <v>0</v>
      </c>
      <c r="K223" s="323">
        <v>0</v>
      </c>
      <c r="L223" s="323">
        <v>0</v>
      </c>
      <c r="M223" s="323">
        <v>86206.9</v>
      </c>
      <c r="N223" s="253"/>
      <c r="P223" s="279">
        <v>171</v>
      </c>
      <c r="Q223" s="312"/>
      <c r="R223" s="497">
        <v>44287</v>
      </c>
      <c r="S223" s="498">
        <f t="shared" si="8"/>
        <v>86206.9</v>
      </c>
      <c r="T223" s="258">
        <v>0</v>
      </c>
    </row>
    <row r="224" spans="1:20" ht="11.85" customHeight="1" x14ac:dyDescent="0.25">
      <c r="A224" s="492">
        <v>44321</v>
      </c>
      <c r="B224" s="252" t="s">
        <v>598</v>
      </c>
      <c r="C224" s="252" t="s">
        <v>599</v>
      </c>
      <c r="D224" s="252" t="s">
        <v>600</v>
      </c>
      <c r="E224" s="252" t="s">
        <v>605</v>
      </c>
      <c r="F224" s="252" t="s">
        <v>602</v>
      </c>
      <c r="G224" s="323">
        <v>87660.149560585225</v>
      </c>
      <c r="H224" s="253">
        <v>86206.9</v>
      </c>
      <c r="I224" s="323">
        <v>0</v>
      </c>
      <c r="J224" s="323">
        <v>0</v>
      </c>
      <c r="K224" s="323">
        <v>0</v>
      </c>
      <c r="L224" s="323">
        <v>0</v>
      </c>
      <c r="M224" s="323">
        <v>86206.9</v>
      </c>
      <c r="N224" s="253"/>
      <c r="P224" s="279">
        <v>171</v>
      </c>
      <c r="Q224" s="312"/>
      <c r="R224" s="497">
        <v>44317</v>
      </c>
      <c r="S224" s="498">
        <f t="shared" si="8"/>
        <v>86206.9</v>
      </c>
      <c r="T224" s="258">
        <v>0</v>
      </c>
    </row>
    <row r="225" spans="1:20" ht="11.85" customHeight="1" x14ac:dyDescent="0.25">
      <c r="A225" s="492">
        <v>44352</v>
      </c>
      <c r="B225" s="252" t="s">
        <v>598</v>
      </c>
      <c r="C225" s="252" t="s">
        <v>599</v>
      </c>
      <c r="D225" s="252" t="s">
        <v>600</v>
      </c>
      <c r="E225" s="252" t="s">
        <v>606</v>
      </c>
      <c r="F225" s="252" t="s">
        <v>602</v>
      </c>
      <c r="G225" s="323">
        <v>87660.149560585225</v>
      </c>
      <c r="H225" s="253">
        <v>86206.9</v>
      </c>
      <c r="I225" s="323">
        <v>0</v>
      </c>
      <c r="J225" s="323">
        <v>0</v>
      </c>
      <c r="K225" s="323">
        <v>0</v>
      </c>
      <c r="L225" s="323">
        <v>0</v>
      </c>
      <c r="M225" s="323">
        <v>86206.9</v>
      </c>
      <c r="N225" s="253"/>
      <c r="P225" s="279">
        <v>171</v>
      </c>
      <c r="Q225" s="312"/>
      <c r="R225" s="497">
        <v>44348</v>
      </c>
      <c r="S225" s="498">
        <f t="shared" si="8"/>
        <v>86206.9</v>
      </c>
      <c r="T225" s="258">
        <v>0</v>
      </c>
    </row>
    <row r="226" spans="1:20" ht="11.85" customHeight="1" x14ac:dyDescent="0.25">
      <c r="A226" s="492">
        <v>44382</v>
      </c>
      <c r="B226" s="252" t="s">
        <v>598</v>
      </c>
      <c r="C226" s="252" t="s">
        <v>599</v>
      </c>
      <c r="D226" s="252" t="s">
        <v>600</v>
      </c>
      <c r="E226" s="252" t="s">
        <v>607</v>
      </c>
      <c r="F226" s="252" t="s">
        <v>602</v>
      </c>
      <c r="G226" s="323">
        <v>87660.149560585225</v>
      </c>
      <c r="H226" s="253">
        <v>86206.9</v>
      </c>
      <c r="I226" s="323">
        <v>0</v>
      </c>
      <c r="J226" s="323">
        <v>0</v>
      </c>
      <c r="K226" s="323">
        <v>0</v>
      </c>
      <c r="L226" s="323">
        <v>0</v>
      </c>
      <c r="M226" s="323">
        <v>86206.9</v>
      </c>
      <c r="N226" s="253"/>
      <c r="P226" s="279">
        <v>171</v>
      </c>
      <c r="Q226" s="312"/>
      <c r="R226" s="497">
        <v>44378</v>
      </c>
      <c r="S226" s="498">
        <f t="shared" si="8"/>
        <v>86206.9</v>
      </c>
      <c r="T226" s="258">
        <v>0</v>
      </c>
    </row>
    <row r="227" spans="1:20" ht="11.85" customHeight="1" x14ac:dyDescent="0.25">
      <c r="A227" s="492">
        <v>44413</v>
      </c>
      <c r="B227" s="252" t="s">
        <v>598</v>
      </c>
      <c r="C227" s="252" t="s">
        <v>599</v>
      </c>
      <c r="D227" s="252" t="s">
        <v>600</v>
      </c>
      <c r="E227" s="252" t="s">
        <v>608</v>
      </c>
      <c r="F227" s="252" t="s">
        <v>602</v>
      </c>
      <c r="G227" s="323">
        <v>87660.149560585225</v>
      </c>
      <c r="H227" s="253">
        <v>86206.9</v>
      </c>
      <c r="I227" s="323">
        <v>0</v>
      </c>
      <c r="J227" s="323">
        <v>0</v>
      </c>
      <c r="K227" s="323">
        <v>0</v>
      </c>
      <c r="L227" s="323">
        <v>0</v>
      </c>
      <c r="M227" s="323">
        <v>86206.9</v>
      </c>
      <c r="N227" s="253"/>
      <c r="P227" s="279">
        <v>171</v>
      </c>
      <c r="Q227" s="312"/>
      <c r="R227" s="497">
        <v>44409</v>
      </c>
      <c r="S227" s="498">
        <f t="shared" si="8"/>
        <v>86206.9</v>
      </c>
      <c r="T227" s="258">
        <v>0</v>
      </c>
    </row>
    <row r="228" spans="1:20" ht="11.85" customHeight="1" x14ac:dyDescent="0.25">
      <c r="A228" s="492">
        <v>44444</v>
      </c>
      <c r="B228" s="252" t="s">
        <v>598</v>
      </c>
      <c r="C228" s="252" t="s">
        <v>599</v>
      </c>
      <c r="D228" s="252" t="s">
        <v>600</v>
      </c>
      <c r="E228" s="252" t="s">
        <v>609</v>
      </c>
      <c r="F228" s="252" t="s">
        <v>602</v>
      </c>
      <c r="G228" s="323">
        <v>87660.149560585225</v>
      </c>
      <c r="H228" s="253">
        <v>86206.9</v>
      </c>
      <c r="I228" s="323">
        <v>0</v>
      </c>
      <c r="J228" s="323">
        <v>0</v>
      </c>
      <c r="K228" s="323">
        <v>0</v>
      </c>
      <c r="L228" s="323">
        <v>0</v>
      </c>
      <c r="M228" s="323">
        <v>86206.9</v>
      </c>
      <c r="N228" s="253"/>
      <c r="P228" s="279">
        <v>171</v>
      </c>
      <c r="Q228" s="312"/>
      <c r="R228" s="497">
        <v>44440</v>
      </c>
      <c r="S228" s="498">
        <f t="shared" si="8"/>
        <v>86206.9</v>
      </c>
      <c r="T228" s="258">
        <v>0</v>
      </c>
    </row>
    <row r="229" spans="1:20" ht="11.85" customHeight="1" x14ac:dyDescent="0.25">
      <c r="A229" s="492">
        <v>44474</v>
      </c>
      <c r="B229" s="252" t="s">
        <v>598</v>
      </c>
      <c r="C229" s="252" t="s">
        <v>599</v>
      </c>
      <c r="D229" s="252" t="s">
        <v>600</v>
      </c>
      <c r="E229" s="252" t="s">
        <v>610</v>
      </c>
      <c r="F229" s="252" t="s">
        <v>602</v>
      </c>
      <c r="G229" s="323">
        <v>87660.149560585225</v>
      </c>
      <c r="H229" s="253">
        <v>86206.9</v>
      </c>
      <c r="I229" s="323">
        <v>0</v>
      </c>
      <c r="J229" s="323">
        <v>0</v>
      </c>
      <c r="K229" s="323">
        <v>0</v>
      </c>
      <c r="L229" s="323">
        <v>0</v>
      </c>
      <c r="M229" s="323">
        <v>86206.9</v>
      </c>
      <c r="N229" s="253"/>
      <c r="P229" s="279">
        <v>171</v>
      </c>
      <c r="Q229" s="312"/>
      <c r="R229" s="497">
        <v>44470</v>
      </c>
      <c r="S229" s="498">
        <f t="shared" si="8"/>
        <v>86206.9</v>
      </c>
      <c r="T229" s="258">
        <v>0</v>
      </c>
    </row>
    <row r="230" spans="1:20" ht="11.85" customHeight="1" x14ac:dyDescent="0.25">
      <c r="A230" s="492">
        <v>44505</v>
      </c>
      <c r="B230" s="252" t="s">
        <v>598</v>
      </c>
      <c r="C230" s="252" t="s">
        <v>599</v>
      </c>
      <c r="D230" s="252" t="s">
        <v>600</v>
      </c>
      <c r="E230" s="252" t="s">
        <v>611</v>
      </c>
      <c r="F230" s="252" t="s">
        <v>602</v>
      </c>
      <c r="G230" s="323">
        <v>87660.149560585225</v>
      </c>
      <c r="H230" s="253">
        <v>86206.9</v>
      </c>
      <c r="I230" s="323">
        <v>0</v>
      </c>
      <c r="J230" s="323">
        <v>0</v>
      </c>
      <c r="K230" s="323">
        <v>0</v>
      </c>
      <c r="L230" s="323">
        <v>0</v>
      </c>
      <c r="M230" s="323">
        <v>86206.9</v>
      </c>
      <c r="N230" s="253"/>
      <c r="P230" s="279">
        <v>171</v>
      </c>
      <c r="Q230" s="312"/>
      <c r="R230" s="497">
        <v>44501</v>
      </c>
      <c r="S230" s="498">
        <f t="shared" si="8"/>
        <v>86206.9</v>
      </c>
      <c r="T230" s="258">
        <v>0</v>
      </c>
    </row>
    <row r="231" spans="1:20" ht="11.85" customHeight="1" x14ac:dyDescent="0.25">
      <c r="A231" s="492">
        <v>44535</v>
      </c>
      <c r="B231" s="252" t="s">
        <v>598</v>
      </c>
      <c r="C231" s="252" t="s">
        <v>599</v>
      </c>
      <c r="D231" s="252" t="s">
        <v>600</v>
      </c>
      <c r="E231" s="252" t="s">
        <v>612</v>
      </c>
      <c r="F231" s="252" t="s">
        <v>602</v>
      </c>
      <c r="G231" s="323">
        <v>87660.149560585225</v>
      </c>
      <c r="H231" s="253">
        <v>86206.9</v>
      </c>
      <c r="I231" s="323">
        <v>0</v>
      </c>
      <c r="J231" s="323">
        <v>0</v>
      </c>
      <c r="K231" s="323">
        <v>0</v>
      </c>
      <c r="L231" s="323">
        <v>0</v>
      </c>
      <c r="M231" s="323">
        <v>86206.9</v>
      </c>
      <c r="N231" s="253"/>
      <c r="P231" s="279">
        <v>171</v>
      </c>
      <c r="Q231" s="312"/>
      <c r="R231" s="497">
        <v>44531</v>
      </c>
      <c r="S231" s="498">
        <f t="shared" si="8"/>
        <v>86206.9</v>
      </c>
      <c r="T231" s="258">
        <v>0</v>
      </c>
    </row>
    <row r="232" spans="1:20" ht="11.85" customHeight="1" x14ac:dyDescent="0.25">
      <c r="A232" s="492">
        <v>44566</v>
      </c>
      <c r="B232" s="252" t="s">
        <v>598</v>
      </c>
      <c r="C232" s="252" t="s">
        <v>599</v>
      </c>
      <c r="D232" s="252" t="s">
        <v>600</v>
      </c>
      <c r="E232" s="252" t="s">
        <v>613</v>
      </c>
      <c r="F232" s="252" t="s">
        <v>602</v>
      </c>
      <c r="G232" s="323">
        <v>87660.149560585225</v>
      </c>
      <c r="H232" s="253">
        <v>86206.9</v>
      </c>
      <c r="I232" s="323">
        <v>0</v>
      </c>
      <c r="J232" s="323">
        <v>0</v>
      </c>
      <c r="K232" s="323">
        <v>0</v>
      </c>
      <c r="L232" s="323">
        <v>0</v>
      </c>
      <c r="M232" s="323">
        <v>86206.9</v>
      </c>
      <c r="N232" s="253"/>
      <c r="P232" s="279">
        <v>171</v>
      </c>
      <c r="Q232" s="312"/>
      <c r="R232" s="497">
        <v>44562</v>
      </c>
      <c r="S232" s="498">
        <f t="shared" si="8"/>
        <v>86206.9</v>
      </c>
      <c r="T232" s="258">
        <v>0</v>
      </c>
    </row>
    <row r="233" spans="1:20" ht="11.85" customHeight="1" x14ac:dyDescent="0.25">
      <c r="A233" s="492">
        <v>44597</v>
      </c>
      <c r="B233" s="252" t="s">
        <v>598</v>
      </c>
      <c r="C233" s="252" t="s">
        <v>599</v>
      </c>
      <c r="D233" s="252" t="s">
        <v>600</v>
      </c>
      <c r="E233" s="252" t="s">
        <v>614</v>
      </c>
      <c r="F233" s="252" t="s">
        <v>602</v>
      </c>
      <c r="G233" s="323">
        <v>87660.149560585225</v>
      </c>
      <c r="H233" s="253">
        <v>86206.9</v>
      </c>
      <c r="I233" s="323">
        <v>0</v>
      </c>
      <c r="J233" s="323">
        <v>0</v>
      </c>
      <c r="K233" s="323">
        <v>0</v>
      </c>
      <c r="L233" s="323">
        <v>0</v>
      </c>
      <c r="M233" s="323">
        <v>86206.9</v>
      </c>
      <c r="N233" s="253"/>
      <c r="P233" s="279">
        <v>171</v>
      </c>
      <c r="Q233" s="312"/>
      <c r="R233" s="497">
        <v>44593</v>
      </c>
      <c r="S233" s="498">
        <f t="shared" si="8"/>
        <v>86206.9</v>
      </c>
      <c r="T233" s="258">
        <v>0</v>
      </c>
    </row>
    <row r="234" spans="1:20" ht="11.85" customHeight="1" x14ac:dyDescent="0.25">
      <c r="A234" s="492">
        <v>44625</v>
      </c>
      <c r="B234" s="252" t="s">
        <v>598</v>
      </c>
      <c r="C234" s="252" t="s">
        <v>599</v>
      </c>
      <c r="D234" s="252" t="s">
        <v>600</v>
      </c>
      <c r="E234" s="252" t="s">
        <v>615</v>
      </c>
      <c r="F234" s="252" t="s">
        <v>602</v>
      </c>
      <c r="G234" s="323">
        <v>87660.149560585225</v>
      </c>
      <c r="H234" s="253">
        <v>86206.9</v>
      </c>
      <c r="I234" s="323">
        <v>0</v>
      </c>
      <c r="J234" s="323">
        <v>0</v>
      </c>
      <c r="K234" s="323">
        <v>0</v>
      </c>
      <c r="L234" s="323">
        <v>0</v>
      </c>
      <c r="M234" s="323">
        <v>86206.9</v>
      </c>
      <c r="N234" s="253"/>
      <c r="P234" s="279">
        <v>171</v>
      </c>
      <c r="Q234" s="312"/>
      <c r="R234" s="497">
        <v>44621</v>
      </c>
      <c r="S234" s="498">
        <f t="shared" si="8"/>
        <v>86206.9</v>
      </c>
      <c r="T234" s="258">
        <v>0</v>
      </c>
    </row>
    <row r="235" spans="1:20" ht="11.85" customHeight="1" x14ac:dyDescent="0.25">
      <c r="A235" s="492">
        <v>44656</v>
      </c>
      <c r="B235" s="252" t="s">
        <v>598</v>
      </c>
      <c r="C235" s="252" t="s">
        <v>599</v>
      </c>
      <c r="D235" s="252" t="s">
        <v>600</v>
      </c>
      <c r="E235" s="252" t="s">
        <v>616</v>
      </c>
      <c r="F235" s="252" t="s">
        <v>602</v>
      </c>
      <c r="G235" s="323">
        <v>87660.149560585225</v>
      </c>
      <c r="H235" s="253">
        <v>86206.9</v>
      </c>
      <c r="I235" s="323">
        <v>0</v>
      </c>
      <c r="J235" s="323">
        <v>0</v>
      </c>
      <c r="K235" s="323">
        <v>0</v>
      </c>
      <c r="L235" s="323">
        <v>0</v>
      </c>
      <c r="M235" s="323">
        <v>86206.9</v>
      </c>
      <c r="N235" s="253"/>
      <c r="P235" s="279">
        <v>171</v>
      </c>
      <c r="Q235" s="312"/>
      <c r="R235" s="497">
        <v>44652</v>
      </c>
      <c r="S235" s="498">
        <f t="shared" si="8"/>
        <v>86206.9</v>
      </c>
      <c r="T235" s="258">
        <v>0</v>
      </c>
    </row>
    <row r="236" spans="1:20" ht="11.85" customHeight="1" x14ac:dyDescent="0.25">
      <c r="A236" s="492">
        <v>44686</v>
      </c>
      <c r="B236" s="252" t="s">
        <v>598</v>
      </c>
      <c r="C236" s="252" t="s">
        <v>599</v>
      </c>
      <c r="D236" s="252" t="s">
        <v>600</v>
      </c>
      <c r="E236" s="252" t="s">
        <v>617</v>
      </c>
      <c r="F236" s="252" t="s">
        <v>602</v>
      </c>
      <c r="G236" s="323">
        <v>87660.149560585225</v>
      </c>
      <c r="H236" s="253">
        <v>86206.9</v>
      </c>
      <c r="I236" s="323">
        <v>0</v>
      </c>
      <c r="J236" s="323">
        <v>0</v>
      </c>
      <c r="K236" s="323">
        <v>0</v>
      </c>
      <c r="L236" s="323">
        <v>0</v>
      </c>
      <c r="M236" s="323">
        <v>86206.9</v>
      </c>
      <c r="N236" s="253"/>
      <c r="P236" s="279">
        <v>171</v>
      </c>
      <c r="Q236" s="312"/>
      <c r="R236" s="497">
        <v>44682</v>
      </c>
      <c r="S236" s="498">
        <f t="shared" si="8"/>
        <v>86206.9</v>
      </c>
      <c r="T236" s="258">
        <v>0</v>
      </c>
    </row>
    <row r="237" spans="1:20" ht="11.85" customHeight="1" x14ac:dyDescent="0.25">
      <c r="A237" s="492">
        <v>44717</v>
      </c>
      <c r="B237" s="252" t="s">
        <v>598</v>
      </c>
      <c r="C237" s="252" t="s">
        <v>599</v>
      </c>
      <c r="D237" s="252" t="s">
        <v>600</v>
      </c>
      <c r="E237" s="252" t="s">
        <v>618</v>
      </c>
      <c r="F237" s="252" t="s">
        <v>602</v>
      </c>
      <c r="G237" s="323">
        <v>87660.149560585225</v>
      </c>
      <c r="H237" s="253">
        <v>86206.9</v>
      </c>
      <c r="I237" s="323">
        <v>0</v>
      </c>
      <c r="J237" s="323">
        <v>0</v>
      </c>
      <c r="K237" s="323">
        <v>0</v>
      </c>
      <c r="L237" s="323">
        <v>0</v>
      </c>
      <c r="M237" s="323">
        <v>86206.9</v>
      </c>
      <c r="N237" s="253"/>
      <c r="P237" s="279">
        <v>171</v>
      </c>
      <c r="Q237" s="312"/>
      <c r="R237" s="497">
        <v>44713</v>
      </c>
      <c r="S237" s="498">
        <f t="shared" si="8"/>
        <v>86206.9</v>
      </c>
      <c r="T237" s="258">
        <v>0</v>
      </c>
    </row>
    <row r="238" spans="1:20" ht="11.85" customHeight="1" x14ac:dyDescent="0.25">
      <c r="A238" s="492">
        <v>44747</v>
      </c>
      <c r="B238" s="252" t="s">
        <v>598</v>
      </c>
      <c r="C238" s="252" t="s">
        <v>599</v>
      </c>
      <c r="D238" s="252" t="s">
        <v>600</v>
      </c>
      <c r="E238" s="252" t="s">
        <v>619</v>
      </c>
      <c r="F238" s="252" t="s">
        <v>602</v>
      </c>
      <c r="G238" s="323">
        <v>87660.149560585225</v>
      </c>
      <c r="H238" s="253">
        <v>86206.9</v>
      </c>
      <c r="I238" s="323">
        <v>0</v>
      </c>
      <c r="J238" s="323">
        <v>0</v>
      </c>
      <c r="K238" s="323">
        <v>0</v>
      </c>
      <c r="L238" s="323">
        <v>0</v>
      </c>
      <c r="M238" s="323">
        <v>86206.9</v>
      </c>
      <c r="N238" s="253"/>
      <c r="P238" s="279">
        <v>171</v>
      </c>
      <c r="Q238" s="312"/>
      <c r="R238" s="497">
        <v>44743</v>
      </c>
      <c r="S238" s="498">
        <f t="shared" si="8"/>
        <v>86206.9</v>
      </c>
      <c r="T238" s="258">
        <v>0</v>
      </c>
    </row>
    <row r="239" spans="1:20" ht="11.85" customHeight="1" x14ac:dyDescent="0.25">
      <c r="A239" s="492">
        <v>44778</v>
      </c>
      <c r="B239" s="252" t="s">
        <v>598</v>
      </c>
      <c r="C239" s="252" t="s">
        <v>599</v>
      </c>
      <c r="D239" s="252" t="s">
        <v>600</v>
      </c>
      <c r="E239" s="252" t="s">
        <v>620</v>
      </c>
      <c r="F239" s="252" t="s">
        <v>602</v>
      </c>
      <c r="G239" s="323">
        <v>87660.149560585225</v>
      </c>
      <c r="H239" s="253">
        <v>86206.9</v>
      </c>
      <c r="I239" s="323">
        <v>0</v>
      </c>
      <c r="J239" s="323">
        <v>0</v>
      </c>
      <c r="K239" s="323">
        <v>0</v>
      </c>
      <c r="L239" s="323">
        <v>0</v>
      </c>
      <c r="M239" s="323">
        <v>86206.9</v>
      </c>
      <c r="N239" s="253"/>
      <c r="P239" s="279">
        <v>171</v>
      </c>
      <c r="Q239" s="312"/>
      <c r="R239" s="497">
        <v>44774</v>
      </c>
      <c r="S239" s="498">
        <f t="shared" si="8"/>
        <v>86206.9</v>
      </c>
      <c r="T239" s="258">
        <v>0</v>
      </c>
    </row>
    <row r="240" spans="1:20" ht="11.85" customHeight="1" x14ac:dyDescent="0.25">
      <c r="A240" s="492">
        <v>44809</v>
      </c>
      <c r="B240" s="252" t="s">
        <v>598</v>
      </c>
      <c r="C240" s="252" t="s">
        <v>599</v>
      </c>
      <c r="D240" s="252" t="s">
        <v>600</v>
      </c>
      <c r="E240" s="252" t="s">
        <v>621</v>
      </c>
      <c r="F240" s="252" t="s">
        <v>602</v>
      </c>
      <c r="G240" s="323">
        <v>87660.149560585225</v>
      </c>
      <c r="H240" s="253">
        <v>86206.9</v>
      </c>
      <c r="I240" s="323">
        <v>0</v>
      </c>
      <c r="J240" s="323">
        <v>0</v>
      </c>
      <c r="K240" s="323">
        <v>0</v>
      </c>
      <c r="L240" s="323">
        <v>0</v>
      </c>
      <c r="M240" s="323">
        <v>86206.9</v>
      </c>
      <c r="N240" s="253"/>
      <c r="P240" s="279">
        <v>171</v>
      </c>
      <c r="Q240" s="312"/>
      <c r="R240" s="497">
        <v>44805</v>
      </c>
      <c r="S240" s="498">
        <f t="shared" si="8"/>
        <v>86206.9</v>
      </c>
      <c r="T240" s="258">
        <v>0</v>
      </c>
    </row>
    <row r="241" spans="1:20" ht="11.85" customHeight="1" x14ac:dyDescent="0.25">
      <c r="A241" s="492">
        <v>44839</v>
      </c>
      <c r="B241" s="252" t="s">
        <v>598</v>
      </c>
      <c r="C241" s="252" t="s">
        <v>599</v>
      </c>
      <c r="D241" s="252" t="s">
        <v>600</v>
      </c>
      <c r="E241" s="252" t="s">
        <v>622</v>
      </c>
      <c r="F241" s="252" t="s">
        <v>602</v>
      </c>
      <c r="G241" s="323">
        <v>87660.149560585225</v>
      </c>
      <c r="H241" s="253">
        <v>86206.9</v>
      </c>
      <c r="I241" s="323">
        <v>0</v>
      </c>
      <c r="J241" s="323">
        <v>0</v>
      </c>
      <c r="K241" s="323">
        <v>0</v>
      </c>
      <c r="L241" s="323">
        <v>0</v>
      </c>
      <c r="M241" s="323">
        <v>86206.9</v>
      </c>
      <c r="N241" s="253"/>
      <c r="P241" s="279">
        <v>171</v>
      </c>
      <c r="Q241" s="312"/>
      <c r="R241" s="497">
        <v>44835</v>
      </c>
      <c r="S241" s="498">
        <f t="shared" si="8"/>
        <v>86206.9</v>
      </c>
      <c r="T241" s="258">
        <v>0</v>
      </c>
    </row>
    <row r="242" spans="1:20" ht="11.85" customHeight="1" x14ac:dyDescent="0.25">
      <c r="A242" s="492">
        <v>44870</v>
      </c>
      <c r="B242" s="252" t="s">
        <v>598</v>
      </c>
      <c r="C242" s="252" t="s">
        <v>599</v>
      </c>
      <c r="D242" s="252" t="s">
        <v>600</v>
      </c>
      <c r="E242" s="252" t="s">
        <v>623</v>
      </c>
      <c r="F242" s="252" t="s">
        <v>602</v>
      </c>
      <c r="G242" s="323">
        <v>87660.149560585225</v>
      </c>
      <c r="H242" s="253">
        <v>86206.9</v>
      </c>
      <c r="I242" s="323">
        <v>0</v>
      </c>
      <c r="J242" s="323">
        <v>0</v>
      </c>
      <c r="K242" s="323">
        <v>0</v>
      </c>
      <c r="L242" s="323">
        <v>0</v>
      </c>
      <c r="M242" s="323">
        <v>86206.9</v>
      </c>
      <c r="N242" s="253"/>
      <c r="P242" s="279">
        <v>171</v>
      </c>
      <c r="Q242" s="312"/>
      <c r="R242" s="497">
        <v>44866</v>
      </c>
      <c r="S242" s="498">
        <f t="shared" si="8"/>
        <v>86206.9</v>
      </c>
      <c r="T242" s="258">
        <v>0</v>
      </c>
    </row>
    <row r="243" spans="1:20" ht="11.85" customHeight="1" x14ac:dyDescent="0.25">
      <c r="A243" s="492">
        <v>44900</v>
      </c>
      <c r="B243" s="252" t="s">
        <v>598</v>
      </c>
      <c r="C243" s="252" t="s">
        <v>599</v>
      </c>
      <c r="D243" s="252" t="s">
        <v>600</v>
      </c>
      <c r="E243" s="252" t="s">
        <v>624</v>
      </c>
      <c r="F243" s="252" t="s">
        <v>602</v>
      </c>
      <c r="G243" s="323">
        <v>87660.149560585225</v>
      </c>
      <c r="H243" s="253">
        <v>86206.9</v>
      </c>
      <c r="I243" s="323">
        <v>0</v>
      </c>
      <c r="J243" s="323">
        <v>0</v>
      </c>
      <c r="K243" s="323">
        <v>0</v>
      </c>
      <c r="L243" s="323">
        <v>0</v>
      </c>
      <c r="M243" s="323">
        <v>86206.9</v>
      </c>
      <c r="N243" s="253"/>
      <c r="P243" s="279">
        <v>171</v>
      </c>
      <c r="Q243" s="312"/>
      <c r="R243" s="497">
        <v>44896</v>
      </c>
      <c r="S243" s="498">
        <f t="shared" si="8"/>
        <v>86206.9</v>
      </c>
      <c r="T243" s="258">
        <v>0</v>
      </c>
    </row>
    <row r="244" spans="1:20" ht="11.85" customHeight="1" x14ac:dyDescent="0.25">
      <c r="A244" s="492">
        <v>44931</v>
      </c>
      <c r="B244" s="252" t="s">
        <v>598</v>
      </c>
      <c r="C244" s="252" t="s">
        <v>599</v>
      </c>
      <c r="D244" s="252" t="s">
        <v>600</v>
      </c>
      <c r="E244" s="252" t="s">
        <v>625</v>
      </c>
      <c r="F244" s="252" t="s">
        <v>602</v>
      </c>
      <c r="G244" s="323">
        <v>87660.149560585225</v>
      </c>
      <c r="H244" s="253">
        <v>86206.9</v>
      </c>
      <c r="I244" s="323">
        <v>0</v>
      </c>
      <c r="J244" s="323">
        <v>0</v>
      </c>
      <c r="K244" s="323">
        <v>0</v>
      </c>
      <c r="L244" s="323">
        <v>0</v>
      </c>
      <c r="M244" s="323">
        <v>86206.9</v>
      </c>
      <c r="N244" s="253"/>
      <c r="P244" s="279">
        <v>171</v>
      </c>
      <c r="Q244" s="312"/>
      <c r="R244" s="497">
        <v>44927</v>
      </c>
      <c r="S244" s="498">
        <f t="shared" si="8"/>
        <v>86206.9</v>
      </c>
      <c r="T244" s="258">
        <v>0</v>
      </c>
    </row>
    <row r="245" spans="1:20" ht="11.85" customHeight="1" x14ac:dyDescent="0.25">
      <c r="A245" s="492">
        <v>44962</v>
      </c>
      <c r="B245" s="252" t="s">
        <v>598</v>
      </c>
      <c r="C245" s="252" t="s">
        <v>599</v>
      </c>
      <c r="D245" s="252" t="s">
        <v>600</v>
      </c>
      <c r="E245" s="252" t="s">
        <v>626</v>
      </c>
      <c r="F245" s="252" t="s">
        <v>602</v>
      </c>
      <c r="G245" s="323">
        <v>87660.149560585225</v>
      </c>
      <c r="H245" s="253">
        <v>86206.9</v>
      </c>
      <c r="I245" s="323">
        <v>0</v>
      </c>
      <c r="J245" s="323">
        <v>0</v>
      </c>
      <c r="K245" s="323">
        <v>0</v>
      </c>
      <c r="L245" s="323">
        <v>0</v>
      </c>
      <c r="M245" s="323">
        <v>86206.9</v>
      </c>
      <c r="N245" s="253"/>
      <c r="P245" s="279">
        <v>171</v>
      </c>
      <c r="Q245" s="312"/>
      <c r="R245" s="497">
        <v>44958</v>
      </c>
      <c r="S245" s="498">
        <f t="shared" si="8"/>
        <v>86206.9</v>
      </c>
      <c r="T245" s="258">
        <v>0</v>
      </c>
    </row>
    <row r="246" spans="1:20" ht="11.85" customHeight="1" x14ac:dyDescent="0.25">
      <c r="A246" s="492">
        <v>44990</v>
      </c>
      <c r="B246" s="252" t="s">
        <v>598</v>
      </c>
      <c r="C246" s="252" t="s">
        <v>599</v>
      </c>
      <c r="D246" s="252" t="s">
        <v>600</v>
      </c>
      <c r="E246" s="252" t="s">
        <v>627</v>
      </c>
      <c r="F246" s="252" t="s">
        <v>602</v>
      </c>
      <c r="G246" s="323">
        <v>87660.149560585225</v>
      </c>
      <c r="H246" s="253">
        <v>86206.9</v>
      </c>
      <c r="I246" s="323">
        <v>0</v>
      </c>
      <c r="J246" s="323">
        <v>0</v>
      </c>
      <c r="K246" s="323">
        <v>0</v>
      </c>
      <c r="L246" s="323">
        <v>0</v>
      </c>
      <c r="M246" s="323">
        <v>86206.9</v>
      </c>
      <c r="N246" s="253"/>
      <c r="P246" s="279">
        <v>171</v>
      </c>
      <c r="Q246" s="312"/>
      <c r="R246" s="497">
        <v>44986</v>
      </c>
      <c r="S246" s="498">
        <f t="shared" si="8"/>
        <v>86206.9</v>
      </c>
      <c r="T246" s="258">
        <v>0</v>
      </c>
    </row>
    <row r="247" spans="1:20" ht="11.85" customHeight="1" x14ac:dyDescent="0.25">
      <c r="A247" s="492">
        <v>45021</v>
      </c>
      <c r="B247" s="252" t="s">
        <v>598</v>
      </c>
      <c r="C247" s="252" t="s">
        <v>599</v>
      </c>
      <c r="D247" s="252" t="s">
        <v>600</v>
      </c>
      <c r="E247" s="252" t="s">
        <v>628</v>
      </c>
      <c r="F247" s="252" t="s">
        <v>602</v>
      </c>
      <c r="G247" s="323">
        <v>87660.149560585225</v>
      </c>
      <c r="H247" s="253">
        <v>86206.9</v>
      </c>
      <c r="I247" s="323">
        <v>0</v>
      </c>
      <c r="J247" s="323">
        <v>0</v>
      </c>
      <c r="K247" s="323">
        <v>0</v>
      </c>
      <c r="L247" s="323">
        <v>0</v>
      </c>
      <c r="M247" s="323">
        <v>86206.9</v>
      </c>
      <c r="N247" s="253"/>
      <c r="P247" s="279">
        <v>171</v>
      </c>
      <c r="Q247" s="312"/>
      <c r="R247" s="497">
        <v>45017</v>
      </c>
      <c r="S247" s="498">
        <f t="shared" si="8"/>
        <v>86206.9</v>
      </c>
      <c r="T247" s="258">
        <v>0</v>
      </c>
    </row>
    <row r="248" spans="1:20" ht="11.85" customHeight="1" x14ac:dyDescent="0.25">
      <c r="A248" s="492">
        <v>45265</v>
      </c>
      <c r="B248" s="252" t="s">
        <v>598</v>
      </c>
      <c r="C248" s="252" t="s">
        <v>599</v>
      </c>
      <c r="D248" s="252" t="s">
        <v>467</v>
      </c>
      <c r="E248" s="252" t="s">
        <v>466</v>
      </c>
      <c r="F248" s="252" t="s">
        <v>602</v>
      </c>
      <c r="G248" s="323">
        <v>1016.857694228481</v>
      </c>
      <c r="H248" s="253">
        <v>1000</v>
      </c>
      <c r="I248" s="323">
        <v>0</v>
      </c>
      <c r="J248" s="323">
        <v>0</v>
      </c>
      <c r="K248" s="323">
        <v>0</v>
      </c>
      <c r="L248" s="323">
        <v>0</v>
      </c>
      <c r="M248" s="323">
        <v>1000</v>
      </c>
      <c r="N248" s="253"/>
      <c r="P248" s="279">
        <v>171</v>
      </c>
      <c r="Q248" s="312"/>
      <c r="R248" s="497">
        <v>45261</v>
      </c>
      <c r="S248" s="498">
        <f t="shared" si="8"/>
        <v>1000</v>
      </c>
      <c r="T248" s="258">
        <v>0</v>
      </c>
    </row>
    <row r="249" spans="1:20" ht="11.85" customHeight="1" x14ac:dyDescent="0.25">
      <c r="A249" s="492">
        <v>44187</v>
      </c>
      <c r="B249" s="252" t="s">
        <v>629</v>
      </c>
      <c r="C249" s="252" t="s">
        <v>630</v>
      </c>
      <c r="D249" s="252" t="s">
        <v>458</v>
      </c>
      <c r="E249" s="252" t="s">
        <v>631</v>
      </c>
      <c r="F249" s="252" t="s">
        <v>460</v>
      </c>
      <c r="G249" s="323">
        <v>33727.831630755187</v>
      </c>
      <c r="H249" s="253">
        <v>33167.30414470136</v>
      </c>
      <c r="I249" s="323">
        <v>0</v>
      </c>
      <c r="J249" s="323">
        <v>0</v>
      </c>
      <c r="K249" s="323">
        <v>0</v>
      </c>
      <c r="L249" s="323">
        <v>0</v>
      </c>
      <c r="M249" s="323">
        <v>33167.30414470136</v>
      </c>
      <c r="N249" s="253"/>
      <c r="P249" s="279">
        <v>172</v>
      </c>
      <c r="Q249" s="312"/>
      <c r="R249" s="497">
        <v>44166</v>
      </c>
      <c r="S249" s="498">
        <f t="shared" si="8"/>
        <v>33167.30414470136</v>
      </c>
      <c r="T249" s="258">
        <v>0</v>
      </c>
    </row>
    <row r="250" spans="1:20" ht="11.85" customHeight="1" x14ac:dyDescent="0.25">
      <c r="A250" s="492">
        <v>44218</v>
      </c>
      <c r="B250" s="252" t="s">
        <v>629</v>
      </c>
      <c r="C250" s="252" t="s">
        <v>630</v>
      </c>
      <c r="D250" s="252" t="s">
        <v>458</v>
      </c>
      <c r="E250" s="252" t="s">
        <v>632</v>
      </c>
      <c r="F250" s="252" t="s">
        <v>460</v>
      </c>
      <c r="G250" s="323">
        <v>33727.831630755187</v>
      </c>
      <c r="H250" s="253">
        <v>33167.30414470136</v>
      </c>
      <c r="I250" s="323">
        <v>0</v>
      </c>
      <c r="J250" s="323">
        <v>0</v>
      </c>
      <c r="K250" s="323">
        <v>0</v>
      </c>
      <c r="L250" s="323">
        <v>0</v>
      </c>
      <c r="M250" s="323">
        <v>33167.30414470136</v>
      </c>
      <c r="N250" s="253"/>
      <c r="P250" s="279">
        <v>172</v>
      </c>
      <c r="Q250" s="312"/>
      <c r="R250" s="497">
        <v>44197</v>
      </c>
      <c r="S250" s="498">
        <f t="shared" si="8"/>
        <v>33167.30414470136</v>
      </c>
      <c r="T250" s="258">
        <v>0</v>
      </c>
    </row>
    <row r="251" spans="1:20" ht="11.85" customHeight="1" x14ac:dyDescent="0.25">
      <c r="A251" s="492">
        <v>44249</v>
      </c>
      <c r="B251" s="252" t="s">
        <v>629</v>
      </c>
      <c r="C251" s="252" t="s">
        <v>630</v>
      </c>
      <c r="D251" s="252" t="s">
        <v>458</v>
      </c>
      <c r="E251" s="252" t="s">
        <v>633</v>
      </c>
      <c r="F251" s="252" t="s">
        <v>460</v>
      </c>
      <c r="G251" s="323">
        <v>33727.831630755187</v>
      </c>
      <c r="H251" s="253">
        <v>33167.30414470136</v>
      </c>
      <c r="I251" s="323">
        <v>0</v>
      </c>
      <c r="J251" s="323">
        <v>0</v>
      </c>
      <c r="K251" s="323">
        <v>0</v>
      </c>
      <c r="L251" s="323">
        <v>0</v>
      </c>
      <c r="M251" s="323">
        <v>33167.30414470136</v>
      </c>
      <c r="N251" s="253"/>
      <c r="P251" s="279">
        <v>172</v>
      </c>
      <c r="Q251" s="312"/>
      <c r="R251" s="497">
        <v>44228</v>
      </c>
      <c r="S251" s="498">
        <f t="shared" si="8"/>
        <v>33167.30414470136</v>
      </c>
      <c r="T251" s="258">
        <v>0</v>
      </c>
    </row>
    <row r="252" spans="1:20" ht="11.85" customHeight="1" x14ac:dyDescent="0.25">
      <c r="A252" s="492">
        <v>44277</v>
      </c>
      <c r="B252" s="252" t="s">
        <v>629</v>
      </c>
      <c r="C252" s="252" t="s">
        <v>630</v>
      </c>
      <c r="D252" s="252" t="s">
        <v>458</v>
      </c>
      <c r="E252" s="252" t="s">
        <v>634</v>
      </c>
      <c r="F252" s="252" t="s">
        <v>460</v>
      </c>
      <c r="G252" s="323">
        <v>33727.831630755187</v>
      </c>
      <c r="H252" s="253">
        <v>33167.30414470136</v>
      </c>
      <c r="I252" s="323">
        <v>0</v>
      </c>
      <c r="J252" s="323">
        <v>0</v>
      </c>
      <c r="K252" s="323">
        <v>0</v>
      </c>
      <c r="L252" s="323">
        <v>0</v>
      </c>
      <c r="M252" s="323">
        <v>33167.30414470136</v>
      </c>
      <c r="N252" s="253"/>
      <c r="P252" s="279">
        <v>172</v>
      </c>
      <c r="Q252" s="312"/>
      <c r="R252" s="497">
        <v>44256</v>
      </c>
      <c r="S252" s="498">
        <f t="shared" si="8"/>
        <v>33167.30414470136</v>
      </c>
      <c r="T252" s="258">
        <v>0</v>
      </c>
    </row>
    <row r="253" spans="1:20" ht="11.85" customHeight="1" x14ac:dyDescent="0.25">
      <c r="A253" s="492">
        <v>44308</v>
      </c>
      <c r="B253" s="252" t="s">
        <v>629</v>
      </c>
      <c r="C253" s="252" t="s">
        <v>630</v>
      </c>
      <c r="D253" s="252" t="s">
        <v>458</v>
      </c>
      <c r="E253" s="252" t="s">
        <v>635</v>
      </c>
      <c r="F253" s="252" t="s">
        <v>460</v>
      </c>
      <c r="G253" s="323">
        <v>33727.831630755187</v>
      </c>
      <c r="H253" s="253">
        <v>33167.30414470136</v>
      </c>
      <c r="I253" s="323">
        <v>0</v>
      </c>
      <c r="J253" s="323">
        <v>0</v>
      </c>
      <c r="K253" s="323">
        <v>0</v>
      </c>
      <c r="L253" s="323">
        <v>0</v>
      </c>
      <c r="M253" s="323">
        <v>33167.30414470136</v>
      </c>
      <c r="N253" s="253"/>
      <c r="P253" s="279">
        <v>172</v>
      </c>
      <c r="Q253" s="312"/>
      <c r="R253" s="497">
        <v>44287</v>
      </c>
      <c r="S253" s="498">
        <f t="shared" si="8"/>
        <v>33167.30414470136</v>
      </c>
      <c r="T253" s="258">
        <v>0</v>
      </c>
    </row>
    <row r="254" spans="1:20" ht="11.85" customHeight="1" x14ac:dyDescent="0.25">
      <c r="A254" s="492">
        <v>44338</v>
      </c>
      <c r="B254" s="252" t="s">
        <v>629</v>
      </c>
      <c r="C254" s="252" t="s">
        <v>630</v>
      </c>
      <c r="D254" s="252" t="s">
        <v>458</v>
      </c>
      <c r="E254" s="252" t="s">
        <v>636</v>
      </c>
      <c r="F254" s="252" t="s">
        <v>460</v>
      </c>
      <c r="G254" s="323">
        <v>33727.831630755187</v>
      </c>
      <c r="H254" s="253">
        <v>33167.30414470136</v>
      </c>
      <c r="I254" s="323">
        <v>0</v>
      </c>
      <c r="J254" s="323">
        <v>0</v>
      </c>
      <c r="K254" s="323">
        <v>0</v>
      </c>
      <c r="L254" s="323">
        <v>0</v>
      </c>
      <c r="M254" s="323">
        <v>33167.30414470136</v>
      </c>
      <c r="N254" s="253"/>
      <c r="P254" s="279">
        <v>172</v>
      </c>
      <c r="Q254" s="312"/>
      <c r="R254" s="497">
        <v>44317</v>
      </c>
      <c r="S254" s="498">
        <f t="shared" si="8"/>
        <v>33167.30414470136</v>
      </c>
      <c r="T254" s="258">
        <v>0</v>
      </c>
    </row>
    <row r="255" spans="1:20" ht="11.85" customHeight="1" x14ac:dyDescent="0.25">
      <c r="A255" s="492">
        <v>44369</v>
      </c>
      <c r="B255" s="252" t="s">
        <v>629</v>
      </c>
      <c r="C255" s="252" t="s">
        <v>630</v>
      </c>
      <c r="D255" s="252" t="s">
        <v>458</v>
      </c>
      <c r="E255" s="252" t="s">
        <v>637</v>
      </c>
      <c r="F255" s="252" t="s">
        <v>460</v>
      </c>
      <c r="G255" s="323">
        <v>33727.831630755187</v>
      </c>
      <c r="H255" s="253">
        <v>33167.30414470136</v>
      </c>
      <c r="I255" s="323">
        <v>0</v>
      </c>
      <c r="J255" s="323">
        <v>0</v>
      </c>
      <c r="K255" s="323">
        <v>0</v>
      </c>
      <c r="L255" s="323">
        <v>0</v>
      </c>
      <c r="M255" s="323">
        <v>33167.30414470136</v>
      </c>
      <c r="N255" s="253"/>
      <c r="P255" s="279">
        <v>172</v>
      </c>
      <c r="Q255" s="312"/>
      <c r="R255" s="497">
        <v>44348</v>
      </c>
      <c r="S255" s="498">
        <f t="shared" si="8"/>
        <v>33167.30414470136</v>
      </c>
      <c r="T255" s="258">
        <v>0</v>
      </c>
    </row>
    <row r="256" spans="1:20" ht="11.85" customHeight="1" x14ac:dyDescent="0.25">
      <c r="A256" s="492">
        <v>44399</v>
      </c>
      <c r="B256" s="252" t="s">
        <v>629</v>
      </c>
      <c r="C256" s="252" t="s">
        <v>630</v>
      </c>
      <c r="D256" s="252" t="s">
        <v>458</v>
      </c>
      <c r="E256" s="252" t="s">
        <v>638</v>
      </c>
      <c r="F256" s="252" t="s">
        <v>460</v>
      </c>
      <c r="G256" s="323">
        <v>33727.831630755187</v>
      </c>
      <c r="H256" s="253">
        <v>33167.30414470136</v>
      </c>
      <c r="I256" s="323">
        <v>0</v>
      </c>
      <c r="J256" s="323">
        <v>0</v>
      </c>
      <c r="K256" s="323">
        <v>0</v>
      </c>
      <c r="L256" s="323">
        <v>0</v>
      </c>
      <c r="M256" s="323">
        <v>33167.30414470136</v>
      </c>
      <c r="N256" s="253"/>
      <c r="P256" s="279">
        <v>172</v>
      </c>
      <c r="Q256" s="312"/>
      <c r="R256" s="497">
        <v>44378</v>
      </c>
      <c r="S256" s="498">
        <f t="shared" si="8"/>
        <v>33167.30414470136</v>
      </c>
      <c r="T256" s="258">
        <v>0</v>
      </c>
    </row>
    <row r="257" spans="1:20" ht="11.85" customHeight="1" x14ac:dyDescent="0.25">
      <c r="A257" s="492">
        <v>44430</v>
      </c>
      <c r="B257" s="252" t="s">
        <v>629</v>
      </c>
      <c r="C257" s="252" t="s">
        <v>630</v>
      </c>
      <c r="D257" s="252" t="s">
        <v>458</v>
      </c>
      <c r="E257" s="252" t="s">
        <v>639</v>
      </c>
      <c r="F257" s="252" t="s">
        <v>460</v>
      </c>
      <c r="G257" s="323">
        <v>33727.831630755187</v>
      </c>
      <c r="H257" s="253">
        <v>33167.30414470136</v>
      </c>
      <c r="I257" s="323">
        <v>0</v>
      </c>
      <c r="J257" s="323">
        <v>0</v>
      </c>
      <c r="K257" s="323">
        <v>0</v>
      </c>
      <c r="L257" s="323">
        <v>0</v>
      </c>
      <c r="M257" s="323">
        <v>33167.30414470136</v>
      </c>
      <c r="N257" s="253"/>
      <c r="P257" s="279">
        <v>172</v>
      </c>
      <c r="Q257" s="312"/>
      <c r="R257" s="497">
        <v>44409</v>
      </c>
      <c r="S257" s="498">
        <f t="shared" si="8"/>
        <v>33167.30414470136</v>
      </c>
      <c r="T257" s="258">
        <v>0</v>
      </c>
    </row>
    <row r="258" spans="1:20" ht="11.85" customHeight="1" x14ac:dyDescent="0.25">
      <c r="A258" s="492">
        <v>44461</v>
      </c>
      <c r="B258" s="252" t="s">
        <v>629</v>
      </c>
      <c r="C258" s="252" t="s">
        <v>630</v>
      </c>
      <c r="D258" s="252" t="s">
        <v>458</v>
      </c>
      <c r="E258" s="252" t="s">
        <v>640</v>
      </c>
      <c r="F258" s="252" t="s">
        <v>460</v>
      </c>
      <c r="G258" s="323">
        <v>33727.831630755187</v>
      </c>
      <c r="H258" s="253">
        <v>33167.30414470136</v>
      </c>
      <c r="I258" s="323">
        <v>0</v>
      </c>
      <c r="J258" s="323">
        <v>0</v>
      </c>
      <c r="K258" s="323">
        <v>0</v>
      </c>
      <c r="L258" s="323">
        <v>0</v>
      </c>
      <c r="M258" s="323">
        <v>33167.30414470136</v>
      </c>
      <c r="N258" s="253"/>
      <c r="P258" s="279">
        <v>172</v>
      </c>
      <c r="Q258" s="312"/>
      <c r="R258" s="497">
        <v>44440</v>
      </c>
      <c r="S258" s="498">
        <f t="shared" si="8"/>
        <v>33167.30414470136</v>
      </c>
      <c r="T258" s="258">
        <v>0</v>
      </c>
    </row>
    <row r="259" spans="1:20" ht="11.85" customHeight="1" x14ac:dyDescent="0.25">
      <c r="A259" s="492">
        <v>44491</v>
      </c>
      <c r="B259" s="252" t="s">
        <v>629</v>
      </c>
      <c r="C259" s="252" t="s">
        <v>630</v>
      </c>
      <c r="D259" s="252" t="s">
        <v>458</v>
      </c>
      <c r="E259" s="252" t="s">
        <v>641</v>
      </c>
      <c r="F259" s="252" t="s">
        <v>460</v>
      </c>
      <c r="G259" s="323">
        <v>33727.831630755187</v>
      </c>
      <c r="H259" s="253">
        <v>33167.30414470136</v>
      </c>
      <c r="I259" s="323">
        <v>0</v>
      </c>
      <c r="J259" s="323">
        <v>0</v>
      </c>
      <c r="K259" s="323">
        <v>0</v>
      </c>
      <c r="L259" s="323">
        <v>0</v>
      </c>
      <c r="M259" s="323">
        <v>33167.30414470136</v>
      </c>
      <c r="N259" s="253"/>
      <c r="P259" s="279">
        <v>172</v>
      </c>
      <c r="Q259" s="312"/>
      <c r="R259" s="497">
        <v>44470</v>
      </c>
      <c r="S259" s="498">
        <f t="shared" si="8"/>
        <v>33167.30414470136</v>
      </c>
      <c r="T259" s="258">
        <v>0</v>
      </c>
    </row>
    <row r="260" spans="1:20" ht="11.85" customHeight="1" x14ac:dyDescent="0.25">
      <c r="A260" s="492">
        <v>44522</v>
      </c>
      <c r="B260" s="252" t="s">
        <v>629</v>
      </c>
      <c r="C260" s="252" t="s">
        <v>630</v>
      </c>
      <c r="D260" s="252" t="s">
        <v>458</v>
      </c>
      <c r="E260" s="252" t="s">
        <v>642</v>
      </c>
      <c r="F260" s="252" t="s">
        <v>460</v>
      </c>
      <c r="G260" s="323">
        <v>33727.831630755187</v>
      </c>
      <c r="H260" s="253">
        <v>33167.30414470136</v>
      </c>
      <c r="I260" s="323">
        <v>0</v>
      </c>
      <c r="J260" s="323">
        <v>0</v>
      </c>
      <c r="K260" s="323">
        <v>0</v>
      </c>
      <c r="L260" s="323">
        <v>0</v>
      </c>
      <c r="M260" s="323">
        <v>33167.30414470136</v>
      </c>
      <c r="N260" s="253"/>
      <c r="P260" s="279">
        <v>172</v>
      </c>
      <c r="Q260" s="312"/>
      <c r="R260" s="497">
        <v>44501</v>
      </c>
      <c r="S260" s="498">
        <f t="shared" si="8"/>
        <v>33167.30414470136</v>
      </c>
      <c r="T260" s="258">
        <v>0</v>
      </c>
    </row>
    <row r="261" spans="1:20" ht="11.85" customHeight="1" x14ac:dyDescent="0.25">
      <c r="A261" s="492">
        <v>44552</v>
      </c>
      <c r="B261" s="252" t="s">
        <v>629</v>
      </c>
      <c r="C261" s="252" t="s">
        <v>630</v>
      </c>
      <c r="D261" s="252" t="s">
        <v>458</v>
      </c>
      <c r="E261" s="252" t="s">
        <v>643</v>
      </c>
      <c r="F261" s="252" t="s">
        <v>460</v>
      </c>
      <c r="G261" s="323">
        <v>33727.831630755187</v>
      </c>
      <c r="H261" s="253">
        <v>33167.30414470136</v>
      </c>
      <c r="I261" s="323">
        <v>0</v>
      </c>
      <c r="J261" s="323">
        <v>0</v>
      </c>
      <c r="K261" s="323">
        <v>0</v>
      </c>
      <c r="L261" s="323">
        <v>0</v>
      </c>
      <c r="M261" s="323">
        <v>33167.30414470136</v>
      </c>
      <c r="N261" s="253"/>
      <c r="P261" s="279">
        <v>172</v>
      </c>
      <c r="Q261" s="312"/>
      <c r="R261" s="497">
        <v>44531</v>
      </c>
      <c r="S261" s="498">
        <f t="shared" si="8"/>
        <v>33167.30414470136</v>
      </c>
      <c r="T261" s="258">
        <v>0</v>
      </c>
    </row>
    <row r="262" spans="1:20" ht="11.85" customHeight="1" x14ac:dyDescent="0.25">
      <c r="A262" s="492">
        <v>44583</v>
      </c>
      <c r="B262" s="252" t="s">
        <v>629</v>
      </c>
      <c r="C262" s="252" t="s">
        <v>630</v>
      </c>
      <c r="D262" s="252" t="s">
        <v>458</v>
      </c>
      <c r="E262" s="252" t="s">
        <v>644</v>
      </c>
      <c r="F262" s="252" t="s">
        <v>460</v>
      </c>
      <c r="G262" s="323">
        <v>33727.831630755187</v>
      </c>
      <c r="H262" s="253">
        <v>33167.30414470136</v>
      </c>
      <c r="I262" s="323">
        <v>0</v>
      </c>
      <c r="J262" s="323">
        <v>0</v>
      </c>
      <c r="K262" s="323">
        <v>0</v>
      </c>
      <c r="L262" s="323">
        <v>0</v>
      </c>
      <c r="M262" s="323">
        <v>33167.30414470136</v>
      </c>
      <c r="N262" s="253"/>
      <c r="P262" s="279">
        <v>172</v>
      </c>
      <c r="Q262" s="312"/>
      <c r="R262" s="497">
        <v>44562</v>
      </c>
      <c r="S262" s="498">
        <f t="shared" si="8"/>
        <v>33167.30414470136</v>
      </c>
      <c r="T262" s="258">
        <v>0</v>
      </c>
    </row>
    <row r="263" spans="1:20" ht="11.85" customHeight="1" x14ac:dyDescent="0.25">
      <c r="A263" s="492">
        <v>44614</v>
      </c>
      <c r="B263" s="252" t="s">
        <v>629</v>
      </c>
      <c r="C263" s="252" t="s">
        <v>630</v>
      </c>
      <c r="D263" s="252" t="s">
        <v>458</v>
      </c>
      <c r="E263" s="252" t="s">
        <v>645</v>
      </c>
      <c r="F263" s="252" t="s">
        <v>460</v>
      </c>
      <c r="G263" s="323">
        <v>33727.831630755187</v>
      </c>
      <c r="H263" s="253">
        <v>33167.30414470136</v>
      </c>
      <c r="I263" s="323">
        <v>0</v>
      </c>
      <c r="J263" s="323">
        <v>0</v>
      </c>
      <c r="K263" s="323">
        <v>0</v>
      </c>
      <c r="L263" s="323">
        <v>0</v>
      </c>
      <c r="M263" s="323">
        <v>33167.30414470136</v>
      </c>
      <c r="N263" s="253"/>
      <c r="P263" s="279">
        <v>172</v>
      </c>
      <c r="Q263" s="312"/>
      <c r="R263" s="497">
        <v>44593</v>
      </c>
      <c r="S263" s="498">
        <f t="shared" ref="S263:S326" si="9">M263</f>
        <v>33167.30414470136</v>
      </c>
      <c r="T263" s="258">
        <v>0</v>
      </c>
    </row>
    <row r="264" spans="1:20" ht="11.85" customHeight="1" x14ac:dyDescent="0.25">
      <c r="A264" s="492">
        <v>44642</v>
      </c>
      <c r="B264" s="252" t="s">
        <v>629</v>
      </c>
      <c r="C264" s="252" t="s">
        <v>630</v>
      </c>
      <c r="D264" s="252" t="s">
        <v>458</v>
      </c>
      <c r="E264" s="252" t="s">
        <v>646</v>
      </c>
      <c r="F264" s="252" t="s">
        <v>460</v>
      </c>
      <c r="G264" s="323">
        <v>33727.831630755187</v>
      </c>
      <c r="H264" s="253">
        <v>33167.30414470136</v>
      </c>
      <c r="I264" s="323">
        <v>0</v>
      </c>
      <c r="J264" s="323">
        <v>0</v>
      </c>
      <c r="K264" s="323">
        <v>0</v>
      </c>
      <c r="L264" s="323">
        <v>0</v>
      </c>
      <c r="M264" s="323">
        <v>33167.30414470136</v>
      </c>
      <c r="N264" s="253"/>
      <c r="P264" s="279">
        <v>172</v>
      </c>
      <c r="Q264" s="312"/>
      <c r="R264" s="497">
        <v>44621</v>
      </c>
      <c r="S264" s="498">
        <f t="shared" si="9"/>
        <v>33167.30414470136</v>
      </c>
      <c r="T264" s="258">
        <v>0</v>
      </c>
    </row>
    <row r="265" spans="1:20" ht="11.85" customHeight="1" x14ac:dyDescent="0.25">
      <c r="A265" s="492">
        <v>44673</v>
      </c>
      <c r="B265" s="252" t="s">
        <v>629</v>
      </c>
      <c r="C265" s="252" t="s">
        <v>630</v>
      </c>
      <c r="D265" s="252" t="s">
        <v>458</v>
      </c>
      <c r="E265" s="252" t="s">
        <v>647</v>
      </c>
      <c r="F265" s="252" t="s">
        <v>460</v>
      </c>
      <c r="G265" s="323">
        <v>33727.831630755187</v>
      </c>
      <c r="H265" s="253">
        <v>33167.30414470136</v>
      </c>
      <c r="I265" s="323">
        <v>0</v>
      </c>
      <c r="J265" s="323">
        <v>0</v>
      </c>
      <c r="K265" s="323">
        <v>0</v>
      </c>
      <c r="L265" s="323">
        <v>0</v>
      </c>
      <c r="M265" s="323">
        <v>33167.30414470136</v>
      </c>
      <c r="N265" s="253"/>
      <c r="P265" s="279">
        <v>172</v>
      </c>
      <c r="Q265" s="312"/>
      <c r="R265" s="497">
        <v>44652</v>
      </c>
      <c r="S265" s="498">
        <f t="shared" si="9"/>
        <v>33167.30414470136</v>
      </c>
      <c r="T265" s="258">
        <v>0</v>
      </c>
    </row>
    <row r="266" spans="1:20" ht="11.85" customHeight="1" x14ac:dyDescent="0.25">
      <c r="A266" s="492">
        <v>44703</v>
      </c>
      <c r="B266" s="252" t="s">
        <v>629</v>
      </c>
      <c r="C266" s="252" t="s">
        <v>630</v>
      </c>
      <c r="D266" s="252" t="s">
        <v>458</v>
      </c>
      <c r="E266" s="252" t="s">
        <v>648</v>
      </c>
      <c r="F266" s="252" t="s">
        <v>460</v>
      </c>
      <c r="G266" s="323">
        <v>33727.831630755187</v>
      </c>
      <c r="H266" s="253">
        <v>33167.30414470136</v>
      </c>
      <c r="I266" s="323">
        <v>0</v>
      </c>
      <c r="J266" s="323">
        <v>0</v>
      </c>
      <c r="K266" s="323">
        <v>0</v>
      </c>
      <c r="L266" s="323">
        <v>0</v>
      </c>
      <c r="M266" s="323">
        <v>33167.30414470136</v>
      </c>
      <c r="N266" s="253"/>
      <c r="P266" s="279">
        <v>172</v>
      </c>
      <c r="Q266" s="312"/>
      <c r="R266" s="497">
        <v>44682</v>
      </c>
      <c r="S266" s="498">
        <f t="shared" si="9"/>
        <v>33167.30414470136</v>
      </c>
      <c r="T266" s="258">
        <v>0</v>
      </c>
    </row>
    <row r="267" spans="1:20" ht="11.85" customHeight="1" x14ac:dyDescent="0.25">
      <c r="A267" s="492">
        <v>44734</v>
      </c>
      <c r="B267" s="252" t="s">
        <v>629</v>
      </c>
      <c r="C267" s="252" t="s">
        <v>630</v>
      </c>
      <c r="D267" s="252" t="s">
        <v>458</v>
      </c>
      <c r="E267" s="252" t="s">
        <v>649</v>
      </c>
      <c r="F267" s="252" t="s">
        <v>460</v>
      </c>
      <c r="G267" s="323">
        <v>33727.831630755187</v>
      </c>
      <c r="H267" s="253">
        <v>33167.30414470136</v>
      </c>
      <c r="I267" s="323">
        <v>0</v>
      </c>
      <c r="J267" s="323">
        <v>0</v>
      </c>
      <c r="K267" s="323">
        <v>0</v>
      </c>
      <c r="L267" s="323">
        <v>0</v>
      </c>
      <c r="M267" s="323">
        <v>33167.30414470136</v>
      </c>
      <c r="N267" s="253"/>
      <c r="P267" s="279">
        <v>172</v>
      </c>
      <c r="Q267" s="312"/>
      <c r="R267" s="497">
        <v>44713</v>
      </c>
      <c r="S267" s="498">
        <f t="shared" si="9"/>
        <v>33167.30414470136</v>
      </c>
      <c r="T267" s="258">
        <v>0</v>
      </c>
    </row>
    <row r="268" spans="1:20" ht="11.85" customHeight="1" x14ac:dyDescent="0.25">
      <c r="A268" s="492">
        <v>44764</v>
      </c>
      <c r="B268" s="252" t="s">
        <v>629</v>
      </c>
      <c r="C268" s="252" t="s">
        <v>630</v>
      </c>
      <c r="D268" s="252" t="s">
        <v>458</v>
      </c>
      <c r="E268" s="252" t="s">
        <v>650</v>
      </c>
      <c r="F268" s="252" t="s">
        <v>460</v>
      </c>
      <c r="G268" s="323">
        <v>33727.831630755187</v>
      </c>
      <c r="H268" s="253">
        <v>33167.30414470136</v>
      </c>
      <c r="I268" s="323">
        <v>0</v>
      </c>
      <c r="J268" s="323">
        <v>0</v>
      </c>
      <c r="K268" s="323">
        <v>0</v>
      </c>
      <c r="L268" s="323">
        <v>0</v>
      </c>
      <c r="M268" s="323">
        <v>33167.30414470136</v>
      </c>
      <c r="N268" s="253"/>
      <c r="P268" s="279">
        <v>172</v>
      </c>
      <c r="Q268" s="312"/>
      <c r="R268" s="497">
        <v>44743</v>
      </c>
      <c r="S268" s="498">
        <f t="shared" si="9"/>
        <v>33167.30414470136</v>
      </c>
      <c r="T268" s="258">
        <v>0</v>
      </c>
    </row>
    <row r="269" spans="1:20" ht="11.85" customHeight="1" x14ac:dyDescent="0.25">
      <c r="A269" s="492">
        <v>44795</v>
      </c>
      <c r="B269" s="252" t="s">
        <v>629</v>
      </c>
      <c r="C269" s="252" t="s">
        <v>630</v>
      </c>
      <c r="D269" s="252" t="s">
        <v>458</v>
      </c>
      <c r="E269" s="252" t="s">
        <v>651</v>
      </c>
      <c r="F269" s="252" t="s">
        <v>460</v>
      </c>
      <c r="G269" s="323">
        <v>33727.831630755187</v>
      </c>
      <c r="H269" s="253">
        <v>33167.30414470136</v>
      </c>
      <c r="I269" s="323">
        <v>0</v>
      </c>
      <c r="J269" s="323">
        <v>0</v>
      </c>
      <c r="K269" s="323">
        <v>0</v>
      </c>
      <c r="L269" s="323">
        <v>0</v>
      </c>
      <c r="M269" s="323">
        <v>33167.30414470136</v>
      </c>
      <c r="N269" s="253"/>
      <c r="P269" s="279">
        <v>172</v>
      </c>
      <c r="Q269" s="312"/>
      <c r="R269" s="497">
        <v>44774</v>
      </c>
      <c r="S269" s="498">
        <f t="shared" si="9"/>
        <v>33167.30414470136</v>
      </c>
      <c r="T269" s="258">
        <v>0</v>
      </c>
    </row>
    <row r="270" spans="1:20" ht="11.85" customHeight="1" x14ac:dyDescent="0.25">
      <c r="A270" s="492">
        <v>44826</v>
      </c>
      <c r="B270" s="252" t="s">
        <v>629</v>
      </c>
      <c r="C270" s="252" t="s">
        <v>630</v>
      </c>
      <c r="D270" s="252" t="s">
        <v>458</v>
      </c>
      <c r="E270" s="252" t="s">
        <v>652</v>
      </c>
      <c r="F270" s="252" t="s">
        <v>460</v>
      </c>
      <c r="G270" s="323">
        <v>33727.831630755187</v>
      </c>
      <c r="H270" s="253">
        <v>33167.30414470136</v>
      </c>
      <c r="I270" s="323">
        <v>0</v>
      </c>
      <c r="J270" s="323">
        <v>0</v>
      </c>
      <c r="K270" s="323">
        <v>0</v>
      </c>
      <c r="L270" s="323">
        <v>0</v>
      </c>
      <c r="M270" s="323">
        <v>33167.30414470136</v>
      </c>
      <c r="N270" s="253"/>
      <c r="P270" s="279">
        <v>172</v>
      </c>
      <c r="Q270" s="312"/>
      <c r="R270" s="497">
        <v>44805</v>
      </c>
      <c r="S270" s="498">
        <f t="shared" si="9"/>
        <v>33167.30414470136</v>
      </c>
      <c r="T270" s="258">
        <v>0</v>
      </c>
    </row>
    <row r="271" spans="1:20" ht="11.85" customHeight="1" x14ac:dyDescent="0.25">
      <c r="A271" s="492">
        <v>44856</v>
      </c>
      <c r="B271" s="252" t="s">
        <v>629</v>
      </c>
      <c r="C271" s="252" t="s">
        <v>630</v>
      </c>
      <c r="D271" s="252" t="s">
        <v>458</v>
      </c>
      <c r="E271" s="252" t="s">
        <v>653</v>
      </c>
      <c r="F271" s="252" t="s">
        <v>460</v>
      </c>
      <c r="G271" s="323">
        <v>33727.831630755187</v>
      </c>
      <c r="H271" s="253">
        <v>33167.30414470136</v>
      </c>
      <c r="I271" s="323">
        <v>0</v>
      </c>
      <c r="J271" s="323">
        <v>0</v>
      </c>
      <c r="K271" s="323">
        <v>0</v>
      </c>
      <c r="L271" s="323">
        <v>0</v>
      </c>
      <c r="M271" s="323">
        <v>33167.30414470136</v>
      </c>
      <c r="N271" s="253"/>
      <c r="P271" s="279">
        <v>172</v>
      </c>
      <c r="Q271" s="312"/>
      <c r="R271" s="497">
        <v>44835</v>
      </c>
      <c r="S271" s="498">
        <f t="shared" si="9"/>
        <v>33167.30414470136</v>
      </c>
      <c r="T271" s="258">
        <v>0</v>
      </c>
    </row>
    <row r="272" spans="1:20" ht="11.85" customHeight="1" x14ac:dyDescent="0.25">
      <c r="A272" s="492">
        <v>44887</v>
      </c>
      <c r="B272" s="252" t="s">
        <v>629</v>
      </c>
      <c r="C272" s="252" t="s">
        <v>630</v>
      </c>
      <c r="D272" s="252" t="s">
        <v>458</v>
      </c>
      <c r="E272" s="252" t="s">
        <v>654</v>
      </c>
      <c r="F272" s="252" t="s">
        <v>460</v>
      </c>
      <c r="G272" s="323">
        <v>33727.831630755187</v>
      </c>
      <c r="H272" s="253">
        <v>33167.30414470136</v>
      </c>
      <c r="I272" s="323">
        <v>0</v>
      </c>
      <c r="J272" s="323">
        <v>0</v>
      </c>
      <c r="K272" s="323">
        <v>0</v>
      </c>
      <c r="L272" s="323">
        <v>0</v>
      </c>
      <c r="M272" s="323">
        <v>33167.30414470136</v>
      </c>
      <c r="N272" s="253"/>
      <c r="P272" s="279">
        <v>172</v>
      </c>
      <c r="Q272" s="312"/>
      <c r="R272" s="497">
        <v>44866</v>
      </c>
      <c r="S272" s="498">
        <f t="shared" si="9"/>
        <v>33167.30414470136</v>
      </c>
      <c r="T272" s="258">
        <v>0</v>
      </c>
    </row>
    <row r="273" spans="1:20" ht="11.85" customHeight="1" x14ac:dyDescent="0.25">
      <c r="A273" s="492">
        <v>44917</v>
      </c>
      <c r="B273" s="252" t="s">
        <v>629</v>
      </c>
      <c r="C273" s="252" t="s">
        <v>630</v>
      </c>
      <c r="D273" s="252" t="s">
        <v>458</v>
      </c>
      <c r="E273" s="252" t="s">
        <v>655</v>
      </c>
      <c r="F273" s="252" t="s">
        <v>460</v>
      </c>
      <c r="G273" s="323">
        <v>33727.831630755187</v>
      </c>
      <c r="H273" s="253">
        <v>33167.30414470136</v>
      </c>
      <c r="I273" s="323">
        <v>0</v>
      </c>
      <c r="J273" s="323">
        <v>0</v>
      </c>
      <c r="K273" s="323">
        <v>0</v>
      </c>
      <c r="L273" s="323">
        <v>0</v>
      </c>
      <c r="M273" s="323">
        <v>33167.30414470136</v>
      </c>
      <c r="N273" s="253"/>
      <c r="P273" s="279">
        <v>172</v>
      </c>
      <c r="Q273" s="312"/>
      <c r="R273" s="497">
        <v>44896</v>
      </c>
      <c r="S273" s="498">
        <f t="shared" si="9"/>
        <v>33167.30414470136</v>
      </c>
      <c r="T273" s="258">
        <v>0</v>
      </c>
    </row>
    <row r="274" spans="1:20" ht="11.85" customHeight="1" x14ac:dyDescent="0.25">
      <c r="A274" s="492">
        <v>44948</v>
      </c>
      <c r="B274" s="252" t="s">
        <v>629</v>
      </c>
      <c r="C274" s="252" t="s">
        <v>630</v>
      </c>
      <c r="D274" s="252" t="s">
        <v>458</v>
      </c>
      <c r="E274" s="252" t="s">
        <v>656</v>
      </c>
      <c r="F274" s="252" t="s">
        <v>460</v>
      </c>
      <c r="G274" s="323">
        <v>33727.831630755187</v>
      </c>
      <c r="H274" s="253">
        <v>33167.30414470136</v>
      </c>
      <c r="I274" s="323">
        <v>0</v>
      </c>
      <c r="J274" s="323">
        <v>0</v>
      </c>
      <c r="K274" s="323">
        <v>0</v>
      </c>
      <c r="L274" s="323">
        <v>0</v>
      </c>
      <c r="M274" s="323">
        <v>33167.30414470136</v>
      </c>
      <c r="N274" s="253"/>
      <c r="P274" s="279">
        <v>172</v>
      </c>
      <c r="Q274" s="312"/>
      <c r="R274" s="497">
        <v>44927</v>
      </c>
      <c r="S274" s="498">
        <f t="shared" si="9"/>
        <v>33167.30414470136</v>
      </c>
      <c r="T274" s="258">
        <v>0</v>
      </c>
    </row>
    <row r="275" spans="1:20" ht="11.85" customHeight="1" x14ac:dyDescent="0.25">
      <c r="A275" s="492">
        <v>44979</v>
      </c>
      <c r="B275" s="252" t="s">
        <v>629</v>
      </c>
      <c r="C275" s="252" t="s">
        <v>630</v>
      </c>
      <c r="D275" s="252" t="s">
        <v>458</v>
      </c>
      <c r="E275" s="252" t="s">
        <v>657</v>
      </c>
      <c r="F275" s="252" t="s">
        <v>460</v>
      </c>
      <c r="G275" s="323">
        <v>33727.831630755187</v>
      </c>
      <c r="H275" s="253">
        <v>33167.30414470136</v>
      </c>
      <c r="I275" s="323">
        <v>0</v>
      </c>
      <c r="J275" s="323">
        <v>0</v>
      </c>
      <c r="K275" s="323">
        <v>0</v>
      </c>
      <c r="L275" s="323">
        <v>0</v>
      </c>
      <c r="M275" s="323">
        <v>33167.30414470136</v>
      </c>
      <c r="N275" s="253"/>
      <c r="P275" s="279">
        <v>172</v>
      </c>
      <c r="Q275" s="312"/>
      <c r="R275" s="497">
        <v>44958</v>
      </c>
      <c r="S275" s="498">
        <f t="shared" si="9"/>
        <v>33167.30414470136</v>
      </c>
      <c r="T275" s="258">
        <v>0</v>
      </c>
    </row>
    <row r="276" spans="1:20" ht="11.85" customHeight="1" x14ac:dyDescent="0.25">
      <c r="A276" s="492">
        <v>45007</v>
      </c>
      <c r="B276" s="252" t="s">
        <v>629</v>
      </c>
      <c r="C276" s="252" t="s">
        <v>630</v>
      </c>
      <c r="D276" s="252" t="s">
        <v>458</v>
      </c>
      <c r="E276" s="252" t="s">
        <v>658</v>
      </c>
      <c r="F276" s="252" t="s">
        <v>460</v>
      </c>
      <c r="G276" s="323">
        <v>33727.831630755187</v>
      </c>
      <c r="H276" s="253">
        <v>33167.30414470136</v>
      </c>
      <c r="I276" s="323">
        <v>0</v>
      </c>
      <c r="J276" s="323">
        <v>0</v>
      </c>
      <c r="K276" s="323">
        <v>0</v>
      </c>
      <c r="L276" s="323">
        <v>0</v>
      </c>
      <c r="M276" s="323">
        <v>33167.30414470136</v>
      </c>
      <c r="N276" s="253"/>
      <c r="P276" s="279">
        <v>172</v>
      </c>
      <c r="Q276" s="312"/>
      <c r="R276" s="497">
        <v>44986</v>
      </c>
      <c r="S276" s="498">
        <f t="shared" si="9"/>
        <v>33167.30414470136</v>
      </c>
      <c r="T276" s="258">
        <v>0</v>
      </c>
    </row>
    <row r="277" spans="1:20" ht="11.85" customHeight="1" x14ac:dyDescent="0.25">
      <c r="A277" s="492">
        <v>45021</v>
      </c>
      <c r="B277" s="252" t="s">
        <v>629</v>
      </c>
      <c r="C277" s="252" t="s">
        <v>630</v>
      </c>
      <c r="D277" s="252" t="s">
        <v>465</v>
      </c>
      <c r="E277" s="252" t="s">
        <v>466</v>
      </c>
      <c r="F277" s="252" t="s">
        <v>460</v>
      </c>
      <c r="G277" s="323">
        <v>2140699.4239596911</v>
      </c>
      <c r="H277" s="253">
        <v>2105122.844959728</v>
      </c>
      <c r="I277" s="323">
        <v>0</v>
      </c>
      <c r="J277" s="323">
        <v>0</v>
      </c>
      <c r="K277" s="323">
        <v>0</v>
      </c>
      <c r="L277" s="323">
        <v>0</v>
      </c>
      <c r="M277" s="323">
        <v>2105122.844959728</v>
      </c>
      <c r="N277" s="253"/>
      <c r="P277" s="279">
        <v>172</v>
      </c>
      <c r="Q277" s="312"/>
      <c r="R277" s="497">
        <v>45017</v>
      </c>
      <c r="S277" s="498">
        <f t="shared" si="9"/>
        <v>2105122.844959728</v>
      </c>
      <c r="T277" s="258">
        <v>0</v>
      </c>
    </row>
    <row r="278" spans="1:20" ht="11.85" customHeight="1" x14ac:dyDescent="0.25">
      <c r="A278" s="492">
        <v>45038</v>
      </c>
      <c r="B278" s="252" t="s">
        <v>629</v>
      </c>
      <c r="C278" s="252" t="s">
        <v>630</v>
      </c>
      <c r="D278" s="252" t="s">
        <v>458</v>
      </c>
      <c r="E278" s="252" t="s">
        <v>659</v>
      </c>
      <c r="F278" s="252" t="s">
        <v>460</v>
      </c>
      <c r="G278" s="323">
        <v>33727.831630755187</v>
      </c>
      <c r="H278" s="253">
        <v>33167.30414470136</v>
      </c>
      <c r="I278" s="323">
        <v>0</v>
      </c>
      <c r="J278" s="323">
        <v>0</v>
      </c>
      <c r="K278" s="323">
        <v>0</v>
      </c>
      <c r="L278" s="323">
        <v>0</v>
      </c>
      <c r="M278" s="323">
        <v>33167.30414470136</v>
      </c>
      <c r="N278" s="253"/>
      <c r="P278" s="279">
        <v>172</v>
      </c>
      <c r="Q278" s="312"/>
      <c r="R278" s="497">
        <v>45017</v>
      </c>
      <c r="S278" s="498">
        <f t="shared" si="9"/>
        <v>33167.30414470136</v>
      </c>
      <c r="T278" s="258">
        <v>0</v>
      </c>
    </row>
    <row r="279" spans="1:20" ht="11.85" customHeight="1" x14ac:dyDescent="0.25">
      <c r="A279" s="492">
        <v>44256</v>
      </c>
      <c r="B279" s="252" t="s">
        <v>660</v>
      </c>
      <c r="C279" s="252" t="s">
        <v>661</v>
      </c>
      <c r="D279" s="252" t="s">
        <v>467</v>
      </c>
      <c r="E279" s="252" t="s">
        <v>466</v>
      </c>
      <c r="F279" s="252" t="s">
        <v>460</v>
      </c>
      <c r="G279" s="323">
        <v>155554.32322569471</v>
      </c>
      <c r="H279" s="253">
        <v>152969.14447192641</v>
      </c>
      <c r="I279" s="323">
        <v>0</v>
      </c>
      <c r="J279" s="323">
        <v>0</v>
      </c>
      <c r="K279" s="323">
        <v>0</v>
      </c>
      <c r="L279" s="323">
        <v>0</v>
      </c>
      <c r="M279" s="323">
        <v>152969.14447192641</v>
      </c>
      <c r="N279" s="253"/>
      <c r="P279" s="279">
        <v>181</v>
      </c>
      <c r="Q279" s="312"/>
      <c r="R279" s="497">
        <v>44256</v>
      </c>
      <c r="S279" s="498">
        <f t="shared" si="9"/>
        <v>152969.14447192641</v>
      </c>
      <c r="T279" s="258">
        <v>0</v>
      </c>
    </row>
    <row r="280" spans="1:20" ht="11.85" customHeight="1" x14ac:dyDescent="0.25">
      <c r="A280" s="492">
        <v>44470</v>
      </c>
      <c r="B280" s="252" t="s">
        <v>660</v>
      </c>
      <c r="C280" s="252" t="s">
        <v>661</v>
      </c>
      <c r="D280" s="252" t="s">
        <v>467</v>
      </c>
      <c r="E280" s="252" t="s">
        <v>466</v>
      </c>
      <c r="F280" s="252" t="s">
        <v>460</v>
      </c>
      <c r="G280" s="323">
        <v>414811.52860185242</v>
      </c>
      <c r="H280" s="253">
        <v>407917.71859180351</v>
      </c>
      <c r="I280" s="323">
        <v>0</v>
      </c>
      <c r="J280" s="323">
        <v>0</v>
      </c>
      <c r="K280" s="323">
        <v>0</v>
      </c>
      <c r="L280" s="323">
        <v>0</v>
      </c>
      <c r="M280" s="323">
        <v>407917.71859180351</v>
      </c>
      <c r="N280" s="253"/>
      <c r="P280" s="279">
        <v>181</v>
      </c>
      <c r="Q280" s="312"/>
      <c r="R280" s="497">
        <v>44470</v>
      </c>
      <c r="S280" s="498">
        <f t="shared" si="9"/>
        <v>407917.71859180351</v>
      </c>
      <c r="T280" s="258">
        <v>0</v>
      </c>
    </row>
    <row r="281" spans="1:20" ht="11.85" customHeight="1" x14ac:dyDescent="0.25">
      <c r="A281" s="492">
        <v>44621</v>
      </c>
      <c r="B281" s="252" t="s">
        <v>660</v>
      </c>
      <c r="C281" s="252" t="s">
        <v>661</v>
      </c>
      <c r="D281" s="252" t="s">
        <v>467</v>
      </c>
      <c r="E281" s="252" t="s">
        <v>466</v>
      </c>
      <c r="F281" s="252" t="s">
        <v>460</v>
      </c>
      <c r="G281" s="323">
        <v>622217.2929027786</v>
      </c>
      <c r="H281" s="253">
        <v>611876.57788770541</v>
      </c>
      <c r="I281" s="323">
        <v>0</v>
      </c>
      <c r="J281" s="323">
        <v>0</v>
      </c>
      <c r="K281" s="323">
        <v>0</v>
      </c>
      <c r="L281" s="323">
        <v>0</v>
      </c>
      <c r="M281" s="323">
        <v>611876.57788770541</v>
      </c>
      <c r="N281" s="253"/>
      <c r="P281" s="279">
        <v>181</v>
      </c>
      <c r="Q281" s="312"/>
      <c r="R281" s="497">
        <v>44621</v>
      </c>
      <c r="S281" s="498">
        <f t="shared" si="9"/>
        <v>611876.57788770541</v>
      </c>
      <c r="T281" s="258">
        <v>0</v>
      </c>
    </row>
    <row r="282" spans="1:20" ht="11.85" customHeight="1" x14ac:dyDescent="0.25">
      <c r="A282" s="492">
        <v>44835</v>
      </c>
      <c r="B282" s="252" t="s">
        <v>660</v>
      </c>
      <c r="C282" s="252" t="s">
        <v>661</v>
      </c>
      <c r="D282" s="252" t="s">
        <v>467</v>
      </c>
      <c r="E282" s="252" t="s">
        <v>466</v>
      </c>
      <c r="F282" s="252" t="s">
        <v>460</v>
      </c>
      <c r="G282" s="323">
        <v>518514.41075231542</v>
      </c>
      <c r="H282" s="253">
        <v>509897.14823975437</v>
      </c>
      <c r="I282" s="323">
        <v>0</v>
      </c>
      <c r="J282" s="323">
        <v>0</v>
      </c>
      <c r="K282" s="323">
        <v>0</v>
      </c>
      <c r="L282" s="323">
        <v>0</v>
      </c>
      <c r="M282" s="323">
        <v>509897.14823975437</v>
      </c>
      <c r="N282" s="253"/>
      <c r="P282" s="279">
        <v>181</v>
      </c>
      <c r="Q282" s="312"/>
      <c r="R282" s="497">
        <v>44835</v>
      </c>
      <c r="S282" s="498">
        <f t="shared" si="9"/>
        <v>509897.14823975437</v>
      </c>
      <c r="T282" s="258">
        <v>0</v>
      </c>
    </row>
    <row r="283" spans="1:20" ht="11.85" customHeight="1" x14ac:dyDescent="0.25">
      <c r="A283" s="492">
        <v>45021</v>
      </c>
      <c r="B283" s="252" t="s">
        <v>660</v>
      </c>
      <c r="C283" s="252" t="s">
        <v>661</v>
      </c>
      <c r="D283" s="252" t="s">
        <v>467</v>
      </c>
      <c r="E283" s="252" t="s">
        <v>466</v>
      </c>
      <c r="F283" s="252" t="s">
        <v>460</v>
      </c>
      <c r="G283" s="323">
        <v>724883.1462317371</v>
      </c>
      <c r="H283" s="253">
        <v>712836.21323917666</v>
      </c>
      <c r="I283" s="323">
        <v>0</v>
      </c>
      <c r="J283" s="323">
        <v>0</v>
      </c>
      <c r="K283" s="323">
        <v>0</v>
      </c>
      <c r="L283" s="323">
        <v>0</v>
      </c>
      <c r="M283" s="323">
        <v>712836.21323917666</v>
      </c>
      <c r="N283" s="253"/>
      <c r="P283" s="279">
        <v>181</v>
      </c>
      <c r="Q283" s="312"/>
      <c r="R283" s="497">
        <v>45017</v>
      </c>
      <c r="S283" s="498">
        <f t="shared" si="9"/>
        <v>712836.21323917666</v>
      </c>
      <c r="T283" s="258">
        <v>0</v>
      </c>
    </row>
    <row r="284" spans="1:20" ht="11.85" customHeight="1" x14ac:dyDescent="0.25">
      <c r="A284" s="492">
        <v>45204</v>
      </c>
      <c r="B284" s="252" t="s">
        <v>660</v>
      </c>
      <c r="C284" s="252" t="s">
        <v>661</v>
      </c>
      <c r="D284" s="252" t="s">
        <v>467</v>
      </c>
      <c r="E284" s="252" t="s">
        <v>466</v>
      </c>
      <c r="F284" s="252" t="s">
        <v>460</v>
      </c>
      <c r="G284" s="323">
        <v>1037.028821504631</v>
      </c>
      <c r="H284" s="253">
        <v>1019.7942964795089</v>
      </c>
      <c r="I284" s="323">
        <v>0</v>
      </c>
      <c r="J284" s="323">
        <v>0</v>
      </c>
      <c r="K284" s="323">
        <v>0</v>
      </c>
      <c r="L284" s="323">
        <v>0</v>
      </c>
      <c r="M284" s="323">
        <v>1019.7942964795089</v>
      </c>
      <c r="N284" s="253"/>
      <c r="P284" s="279">
        <v>181</v>
      </c>
      <c r="Q284" s="312"/>
      <c r="R284" s="497">
        <v>45200</v>
      </c>
      <c r="S284" s="498">
        <f t="shared" si="9"/>
        <v>1019.7942964795089</v>
      </c>
      <c r="T284" s="258">
        <v>0</v>
      </c>
    </row>
    <row r="285" spans="1:20" ht="11.85" customHeight="1" x14ac:dyDescent="0.25">
      <c r="A285" s="492">
        <v>44193</v>
      </c>
      <c r="B285" s="252" t="s">
        <v>662</v>
      </c>
      <c r="C285" s="252" t="s">
        <v>663</v>
      </c>
      <c r="D285" s="252" t="s">
        <v>470</v>
      </c>
      <c r="E285" s="252" t="s">
        <v>466</v>
      </c>
      <c r="F285" s="252" t="s">
        <v>460</v>
      </c>
      <c r="G285" s="323">
        <v>681906.0497036177</v>
      </c>
      <c r="H285" s="253">
        <v>670573.35900621978</v>
      </c>
      <c r="I285" s="323">
        <v>0</v>
      </c>
      <c r="J285" s="323">
        <v>0</v>
      </c>
      <c r="K285" s="323">
        <v>0</v>
      </c>
      <c r="L285" s="323">
        <v>0</v>
      </c>
      <c r="M285" s="323">
        <v>670573.35900621978</v>
      </c>
      <c r="N285" s="253"/>
      <c r="P285" s="279">
        <v>191</v>
      </c>
      <c r="Q285" s="312"/>
      <c r="R285" s="497">
        <v>44166</v>
      </c>
      <c r="S285" s="498">
        <f t="shared" si="9"/>
        <v>670573.35900621978</v>
      </c>
      <c r="T285" s="258">
        <v>0</v>
      </c>
    </row>
    <row r="286" spans="1:20" ht="11.85" customHeight="1" x14ac:dyDescent="0.25">
      <c r="A286" s="492">
        <v>44372</v>
      </c>
      <c r="B286" s="252" t="s">
        <v>662</v>
      </c>
      <c r="C286" s="252" t="s">
        <v>663</v>
      </c>
      <c r="D286" s="252" t="s">
        <v>470</v>
      </c>
      <c r="E286" s="252" t="s">
        <v>466</v>
      </c>
      <c r="F286" s="252" t="s">
        <v>460</v>
      </c>
      <c r="G286" s="323">
        <v>681906.0497036177</v>
      </c>
      <c r="H286" s="253">
        <v>670573.35900621978</v>
      </c>
      <c r="I286" s="323">
        <v>0</v>
      </c>
      <c r="J286" s="323">
        <v>0</v>
      </c>
      <c r="K286" s="323">
        <v>0</v>
      </c>
      <c r="L286" s="323">
        <v>0</v>
      </c>
      <c r="M286" s="323">
        <v>670573.35900621978</v>
      </c>
      <c r="N286" s="253"/>
      <c r="P286" s="279">
        <v>191</v>
      </c>
      <c r="Q286" s="312"/>
      <c r="R286" s="497">
        <v>44348</v>
      </c>
      <c r="S286" s="498">
        <f t="shared" si="9"/>
        <v>670573.35900621978</v>
      </c>
      <c r="T286" s="258">
        <v>0</v>
      </c>
    </row>
    <row r="287" spans="1:20" ht="11.85" customHeight="1" x14ac:dyDescent="0.25">
      <c r="A287" s="492">
        <v>44557</v>
      </c>
      <c r="B287" s="252" t="s">
        <v>662</v>
      </c>
      <c r="C287" s="252" t="s">
        <v>663</v>
      </c>
      <c r="D287" s="252" t="s">
        <v>470</v>
      </c>
      <c r="E287" s="252" t="s">
        <v>466</v>
      </c>
      <c r="F287" s="252" t="s">
        <v>460</v>
      </c>
      <c r="G287" s="323">
        <v>713378.63661301555</v>
      </c>
      <c r="H287" s="253">
        <v>701522.89865266066</v>
      </c>
      <c r="I287" s="323">
        <v>0</v>
      </c>
      <c r="J287" s="323">
        <v>0</v>
      </c>
      <c r="K287" s="323">
        <v>0</v>
      </c>
      <c r="L287" s="323">
        <v>0</v>
      </c>
      <c r="M287" s="323">
        <v>701522.89865266066</v>
      </c>
      <c r="N287" s="253"/>
      <c r="P287" s="279">
        <v>191</v>
      </c>
      <c r="Q287" s="312"/>
      <c r="R287" s="497">
        <v>44531</v>
      </c>
      <c r="S287" s="498">
        <f t="shared" si="9"/>
        <v>701522.89865266066</v>
      </c>
      <c r="T287" s="258">
        <v>0</v>
      </c>
    </row>
    <row r="288" spans="1:20" ht="11.85" customHeight="1" x14ac:dyDescent="0.25">
      <c r="A288" s="492">
        <v>44739</v>
      </c>
      <c r="B288" s="252" t="s">
        <v>662</v>
      </c>
      <c r="C288" s="252" t="s">
        <v>663</v>
      </c>
      <c r="D288" s="252" t="s">
        <v>470</v>
      </c>
      <c r="E288" s="252" t="s">
        <v>466</v>
      </c>
      <c r="F288" s="252" t="s">
        <v>460</v>
      </c>
      <c r="G288" s="323">
        <v>345149.36977306189</v>
      </c>
      <c r="H288" s="253">
        <v>339413.28478930198</v>
      </c>
      <c r="I288" s="323">
        <v>0</v>
      </c>
      <c r="J288" s="323">
        <v>0</v>
      </c>
      <c r="K288" s="323">
        <v>0</v>
      </c>
      <c r="L288" s="323">
        <v>0</v>
      </c>
      <c r="M288" s="323">
        <v>339413.28478930198</v>
      </c>
      <c r="N288" s="253"/>
      <c r="P288" s="279">
        <v>191</v>
      </c>
      <c r="Q288" s="312"/>
      <c r="R288" s="497">
        <v>44713</v>
      </c>
      <c r="S288" s="498">
        <f t="shared" si="9"/>
        <v>339413.28478930198</v>
      </c>
      <c r="T288" s="258">
        <v>0</v>
      </c>
    </row>
    <row r="289" spans="1:20" ht="11.85" customHeight="1" x14ac:dyDescent="0.25">
      <c r="A289" s="492">
        <v>45143</v>
      </c>
      <c r="B289" s="252" t="s">
        <v>662</v>
      </c>
      <c r="C289" s="252" t="s">
        <v>663</v>
      </c>
      <c r="D289" s="252" t="s">
        <v>467</v>
      </c>
      <c r="E289" s="252" t="s">
        <v>466</v>
      </c>
      <c r="F289" s="252" t="s">
        <v>460</v>
      </c>
      <c r="G289" s="323">
        <v>1049.0862303132581</v>
      </c>
      <c r="H289" s="253">
        <v>1031.65132154803</v>
      </c>
      <c r="I289" s="323">
        <v>0</v>
      </c>
      <c r="J289" s="323">
        <v>0</v>
      </c>
      <c r="K289" s="323">
        <v>0</v>
      </c>
      <c r="L289" s="323">
        <v>0</v>
      </c>
      <c r="M289" s="323">
        <v>1031.65132154803</v>
      </c>
      <c r="N289" s="253"/>
      <c r="P289" s="279">
        <v>191</v>
      </c>
      <c r="Q289" s="312"/>
      <c r="R289" s="497">
        <v>45139</v>
      </c>
      <c r="S289" s="498">
        <f t="shared" si="9"/>
        <v>1031.65132154803</v>
      </c>
      <c r="T289" s="258">
        <v>0</v>
      </c>
    </row>
    <row r="290" spans="1:20" ht="11.85" customHeight="1" x14ac:dyDescent="0.25">
      <c r="A290" s="492">
        <v>44170</v>
      </c>
      <c r="B290" s="252" t="s">
        <v>664</v>
      </c>
      <c r="C290" s="252" t="s">
        <v>665</v>
      </c>
      <c r="D290" s="252" t="s">
        <v>473</v>
      </c>
      <c r="E290" s="252" t="s">
        <v>666</v>
      </c>
      <c r="F290" s="252" t="s">
        <v>460</v>
      </c>
      <c r="G290" s="323">
        <v>18147.103779196499</v>
      </c>
      <c r="H290" s="253">
        <v>17845.514558404859</v>
      </c>
      <c r="I290" s="323">
        <v>0</v>
      </c>
      <c r="J290" s="323">
        <v>0</v>
      </c>
      <c r="K290" s="323">
        <v>0</v>
      </c>
      <c r="L290" s="323">
        <v>0</v>
      </c>
      <c r="M290" s="323">
        <v>17845.514558404859</v>
      </c>
      <c r="N290" s="253"/>
      <c r="P290" s="279">
        <v>192</v>
      </c>
      <c r="Q290" s="312"/>
      <c r="R290" s="497">
        <v>44166</v>
      </c>
      <c r="S290" s="498">
        <f t="shared" si="9"/>
        <v>17845.514558404859</v>
      </c>
      <c r="T290" s="258">
        <v>0</v>
      </c>
    </row>
    <row r="291" spans="1:20" ht="11.85" customHeight="1" x14ac:dyDescent="0.25">
      <c r="A291" s="492">
        <v>44201</v>
      </c>
      <c r="B291" s="252" t="s">
        <v>664</v>
      </c>
      <c r="C291" s="252" t="s">
        <v>665</v>
      </c>
      <c r="D291" s="252" t="s">
        <v>473</v>
      </c>
      <c r="E291" s="252" t="s">
        <v>667</v>
      </c>
      <c r="F291" s="252" t="s">
        <v>460</v>
      </c>
      <c r="G291" s="323">
        <v>18147.103779196499</v>
      </c>
      <c r="H291" s="253">
        <v>17845.514558404859</v>
      </c>
      <c r="I291" s="323">
        <v>0</v>
      </c>
      <c r="J291" s="323">
        <v>0</v>
      </c>
      <c r="K291" s="323">
        <v>0</v>
      </c>
      <c r="L291" s="323">
        <v>0</v>
      </c>
      <c r="M291" s="323">
        <v>17845.514558404859</v>
      </c>
      <c r="N291" s="253"/>
      <c r="P291" s="279">
        <v>192</v>
      </c>
      <c r="Q291" s="312"/>
      <c r="R291" s="497">
        <v>44197</v>
      </c>
      <c r="S291" s="498">
        <f t="shared" si="9"/>
        <v>17845.514558404859</v>
      </c>
      <c r="T291" s="258">
        <v>0</v>
      </c>
    </row>
    <row r="292" spans="1:20" ht="11.85" customHeight="1" x14ac:dyDescent="0.25">
      <c r="A292" s="492">
        <v>44232</v>
      </c>
      <c r="B292" s="252" t="s">
        <v>664</v>
      </c>
      <c r="C292" s="252" t="s">
        <v>665</v>
      </c>
      <c r="D292" s="252" t="s">
        <v>473</v>
      </c>
      <c r="E292" s="252" t="s">
        <v>668</v>
      </c>
      <c r="F292" s="252" t="s">
        <v>460</v>
      </c>
      <c r="G292" s="323">
        <v>18147.103779196499</v>
      </c>
      <c r="H292" s="253">
        <v>17845.514558404859</v>
      </c>
      <c r="I292" s="323">
        <v>0</v>
      </c>
      <c r="J292" s="323">
        <v>0</v>
      </c>
      <c r="K292" s="323">
        <v>0</v>
      </c>
      <c r="L292" s="323">
        <v>0</v>
      </c>
      <c r="M292" s="323">
        <v>17845.514558404859</v>
      </c>
      <c r="N292" s="253"/>
      <c r="P292" s="279">
        <v>192</v>
      </c>
      <c r="Q292" s="312"/>
      <c r="R292" s="497">
        <v>44228</v>
      </c>
      <c r="S292" s="498">
        <f t="shared" si="9"/>
        <v>17845.514558404859</v>
      </c>
      <c r="T292" s="258">
        <v>0</v>
      </c>
    </row>
    <row r="293" spans="1:20" ht="11.85" customHeight="1" x14ac:dyDescent="0.25">
      <c r="A293" s="492">
        <v>44260</v>
      </c>
      <c r="B293" s="252" t="s">
        <v>664</v>
      </c>
      <c r="C293" s="252" t="s">
        <v>665</v>
      </c>
      <c r="D293" s="252" t="s">
        <v>473</v>
      </c>
      <c r="E293" s="252" t="s">
        <v>669</v>
      </c>
      <c r="F293" s="252" t="s">
        <v>460</v>
      </c>
      <c r="G293" s="323">
        <v>18147.103779196499</v>
      </c>
      <c r="H293" s="253">
        <v>17845.514558404859</v>
      </c>
      <c r="I293" s="323">
        <v>0</v>
      </c>
      <c r="J293" s="323">
        <v>0</v>
      </c>
      <c r="K293" s="323">
        <v>0</v>
      </c>
      <c r="L293" s="323">
        <v>0</v>
      </c>
      <c r="M293" s="323">
        <v>17845.514558404859</v>
      </c>
      <c r="N293" s="253"/>
      <c r="P293" s="279">
        <v>192</v>
      </c>
      <c r="Q293" s="312"/>
      <c r="R293" s="497">
        <v>44256</v>
      </c>
      <c r="S293" s="498">
        <f t="shared" si="9"/>
        <v>17845.514558404859</v>
      </c>
      <c r="T293" s="258">
        <v>0</v>
      </c>
    </row>
    <row r="294" spans="1:20" ht="11.85" customHeight="1" x14ac:dyDescent="0.25">
      <c r="A294" s="492">
        <v>44291</v>
      </c>
      <c r="B294" s="252" t="s">
        <v>664</v>
      </c>
      <c r="C294" s="252" t="s">
        <v>665</v>
      </c>
      <c r="D294" s="252" t="s">
        <v>473</v>
      </c>
      <c r="E294" s="252" t="s">
        <v>670</v>
      </c>
      <c r="F294" s="252" t="s">
        <v>460</v>
      </c>
      <c r="G294" s="323">
        <v>18147.103779196499</v>
      </c>
      <c r="H294" s="253">
        <v>17845.514558404859</v>
      </c>
      <c r="I294" s="323">
        <v>0</v>
      </c>
      <c r="J294" s="323">
        <v>0</v>
      </c>
      <c r="K294" s="323">
        <v>0</v>
      </c>
      <c r="L294" s="323">
        <v>0</v>
      </c>
      <c r="M294" s="323">
        <v>17845.514558404859</v>
      </c>
      <c r="N294" s="253"/>
      <c r="P294" s="279">
        <v>192</v>
      </c>
      <c r="Q294" s="312"/>
      <c r="R294" s="497">
        <v>44287</v>
      </c>
      <c r="S294" s="498">
        <f t="shared" si="9"/>
        <v>17845.514558404859</v>
      </c>
      <c r="T294" s="258">
        <v>0</v>
      </c>
    </row>
    <row r="295" spans="1:20" ht="11.85" customHeight="1" x14ac:dyDescent="0.25">
      <c r="A295" s="492">
        <v>44321</v>
      </c>
      <c r="B295" s="252" t="s">
        <v>664</v>
      </c>
      <c r="C295" s="252" t="s">
        <v>665</v>
      </c>
      <c r="D295" s="252" t="s">
        <v>473</v>
      </c>
      <c r="E295" s="252" t="s">
        <v>671</v>
      </c>
      <c r="F295" s="252" t="s">
        <v>460</v>
      </c>
      <c r="G295" s="323">
        <v>18147.103779196499</v>
      </c>
      <c r="H295" s="253">
        <v>17845.514558404859</v>
      </c>
      <c r="I295" s="323">
        <v>0</v>
      </c>
      <c r="J295" s="323">
        <v>0</v>
      </c>
      <c r="K295" s="323">
        <v>0</v>
      </c>
      <c r="L295" s="323">
        <v>0</v>
      </c>
      <c r="M295" s="323">
        <v>17845.514558404859</v>
      </c>
      <c r="N295" s="253"/>
      <c r="P295" s="279">
        <v>192</v>
      </c>
      <c r="Q295" s="312"/>
      <c r="R295" s="497">
        <v>44317</v>
      </c>
      <c r="S295" s="498">
        <f t="shared" si="9"/>
        <v>17845.514558404859</v>
      </c>
      <c r="T295" s="258">
        <v>0</v>
      </c>
    </row>
    <row r="296" spans="1:20" ht="11.85" customHeight="1" x14ac:dyDescent="0.25">
      <c r="A296" s="492">
        <v>44352</v>
      </c>
      <c r="B296" s="252" t="s">
        <v>664</v>
      </c>
      <c r="C296" s="252" t="s">
        <v>665</v>
      </c>
      <c r="D296" s="252" t="s">
        <v>473</v>
      </c>
      <c r="E296" s="252" t="s">
        <v>672</v>
      </c>
      <c r="F296" s="252" t="s">
        <v>460</v>
      </c>
      <c r="G296" s="323">
        <v>18147.103779196499</v>
      </c>
      <c r="H296" s="253">
        <v>17845.514558404859</v>
      </c>
      <c r="I296" s="323">
        <v>0</v>
      </c>
      <c r="J296" s="323">
        <v>0</v>
      </c>
      <c r="K296" s="323">
        <v>0</v>
      </c>
      <c r="L296" s="323">
        <v>0</v>
      </c>
      <c r="M296" s="323">
        <v>17845.514558404859</v>
      </c>
      <c r="N296" s="253"/>
      <c r="P296" s="279">
        <v>192</v>
      </c>
      <c r="Q296" s="312"/>
      <c r="R296" s="497">
        <v>44348</v>
      </c>
      <c r="S296" s="498">
        <f t="shared" si="9"/>
        <v>17845.514558404859</v>
      </c>
      <c r="T296" s="258">
        <v>0</v>
      </c>
    </row>
    <row r="297" spans="1:20" ht="11.85" customHeight="1" x14ac:dyDescent="0.25">
      <c r="A297" s="492">
        <v>44382</v>
      </c>
      <c r="B297" s="252" t="s">
        <v>664</v>
      </c>
      <c r="C297" s="252" t="s">
        <v>665</v>
      </c>
      <c r="D297" s="252" t="s">
        <v>473</v>
      </c>
      <c r="E297" s="252" t="s">
        <v>673</v>
      </c>
      <c r="F297" s="252" t="s">
        <v>460</v>
      </c>
      <c r="G297" s="323">
        <v>18147.103779196499</v>
      </c>
      <c r="H297" s="253">
        <v>17845.514558404859</v>
      </c>
      <c r="I297" s="323">
        <v>0</v>
      </c>
      <c r="J297" s="323">
        <v>0</v>
      </c>
      <c r="K297" s="323">
        <v>0</v>
      </c>
      <c r="L297" s="323">
        <v>0</v>
      </c>
      <c r="M297" s="323">
        <v>17845.514558404859</v>
      </c>
      <c r="N297" s="253"/>
      <c r="P297" s="279">
        <v>192</v>
      </c>
      <c r="Q297" s="312"/>
      <c r="R297" s="497">
        <v>44378</v>
      </c>
      <c r="S297" s="498">
        <f t="shared" si="9"/>
        <v>17845.514558404859</v>
      </c>
      <c r="T297" s="258">
        <v>0</v>
      </c>
    </row>
    <row r="298" spans="1:20" ht="11.85" customHeight="1" x14ac:dyDescent="0.25">
      <c r="A298" s="492">
        <v>44413</v>
      </c>
      <c r="B298" s="252" t="s">
        <v>664</v>
      </c>
      <c r="C298" s="252" t="s">
        <v>665</v>
      </c>
      <c r="D298" s="252" t="s">
        <v>473</v>
      </c>
      <c r="E298" s="252" t="s">
        <v>674</v>
      </c>
      <c r="F298" s="252" t="s">
        <v>460</v>
      </c>
      <c r="G298" s="323">
        <v>18147.103779196499</v>
      </c>
      <c r="H298" s="253">
        <v>17845.514558404859</v>
      </c>
      <c r="I298" s="323">
        <v>0</v>
      </c>
      <c r="J298" s="323">
        <v>0</v>
      </c>
      <c r="K298" s="323">
        <v>0</v>
      </c>
      <c r="L298" s="323">
        <v>0</v>
      </c>
      <c r="M298" s="323">
        <v>17845.514558404859</v>
      </c>
      <c r="N298" s="253"/>
      <c r="P298" s="279">
        <v>192</v>
      </c>
      <c r="Q298" s="312"/>
      <c r="R298" s="497">
        <v>44409</v>
      </c>
      <c r="S298" s="498">
        <f t="shared" si="9"/>
        <v>17845.514558404859</v>
      </c>
      <c r="T298" s="258">
        <v>0</v>
      </c>
    </row>
    <row r="299" spans="1:20" ht="11.85" customHeight="1" x14ac:dyDescent="0.25">
      <c r="A299" s="492">
        <v>44413</v>
      </c>
      <c r="B299" s="252" t="s">
        <v>664</v>
      </c>
      <c r="C299" s="252" t="s">
        <v>665</v>
      </c>
      <c r="D299" s="252" t="s">
        <v>471</v>
      </c>
      <c r="E299" s="252" t="s">
        <v>472</v>
      </c>
      <c r="F299" s="252" t="s">
        <v>460</v>
      </c>
      <c r="G299" s="323">
        <v>187520.08289792351</v>
      </c>
      <c r="H299" s="253">
        <v>184403.66077502811</v>
      </c>
      <c r="I299" s="323">
        <v>0</v>
      </c>
      <c r="J299" s="323">
        <v>0</v>
      </c>
      <c r="K299" s="323">
        <v>0</v>
      </c>
      <c r="L299" s="323">
        <v>0</v>
      </c>
      <c r="M299" s="323">
        <v>184403.66077502811</v>
      </c>
      <c r="N299" s="253"/>
      <c r="P299" s="279">
        <v>192</v>
      </c>
      <c r="Q299" s="312"/>
      <c r="R299" s="497">
        <v>44409</v>
      </c>
      <c r="S299" s="498">
        <f t="shared" si="9"/>
        <v>184403.66077502811</v>
      </c>
      <c r="T299" s="258">
        <v>0</v>
      </c>
    </row>
    <row r="300" spans="1:20" ht="11.85" customHeight="1" x14ac:dyDescent="0.25">
      <c r="A300" s="492">
        <v>44444</v>
      </c>
      <c r="B300" s="252" t="s">
        <v>664</v>
      </c>
      <c r="C300" s="252" t="s">
        <v>665</v>
      </c>
      <c r="D300" s="252" t="s">
        <v>473</v>
      </c>
      <c r="E300" s="252" t="s">
        <v>675</v>
      </c>
      <c r="F300" s="252" t="s">
        <v>460</v>
      </c>
      <c r="G300" s="323">
        <v>18147.103779196499</v>
      </c>
      <c r="H300" s="253">
        <v>17845.514558404859</v>
      </c>
      <c r="I300" s="323">
        <v>0</v>
      </c>
      <c r="J300" s="323">
        <v>0</v>
      </c>
      <c r="K300" s="323">
        <v>0</v>
      </c>
      <c r="L300" s="323">
        <v>0</v>
      </c>
      <c r="M300" s="323">
        <v>17845.514558404859</v>
      </c>
      <c r="N300" s="253"/>
      <c r="P300" s="279">
        <v>192</v>
      </c>
      <c r="Q300" s="312"/>
      <c r="R300" s="497">
        <v>44440</v>
      </c>
      <c r="S300" s="498">
        <f t="shared" si="9"/>
        <v>17845.514558404859</v>
      </c>
      <c r="T300" s="258">
        <v>0</v>
      </c>
    </row>
    <row r="301" spans="1:20" ht="11.85" customHeight="1" x14ac:dyDescent="0.25">
      <c r="A301" s="492">
        <v>44474</v>
      </c>
      <c r="B301" s="252" t="s">
        <v>664</v>
      </c>
      <c r="C301" s="252" t="s">
        <v>665</v>
      </c>
      <c r="D301" s="252" t="s">
        <v>473</v>
      </c>
      <c r="E301" s="252" t="s">
        <v>676</v>
      </c>
      <c r="F301" s="252" t="s">
        <v>460</v>
      </c>
      <c r="G301" s="323">
        <v>18147.103779196499</v>
      </c>
      <c r="H301" s="253">
        <v>17845.514558404859</v>
      </c>
      <c r="I301" s="323">
        <v>0</v>
      </c>
      <c r="J301" s="323">
        <v>0</v>
      </c>
      <c r="K301" s="323">
        <v>0</v>
      </c>
      <c r="L301" s="323">
        <v>0</v>
      </c>
      <c r="M301" s="323">
        <v>17845.514558404859</v>
      </c>
      <c r="N301" s="253"/>
      <c r="P301" s="279">
        <v>192</v>
      </c>
      <c r="Q301" s="312"/>
      <c r="R301" s="497">
        <v>44470</v>
      </c>
      <c r="S301" s="498">
        <f t="shared" si="9"/>
        <v>17845.514558404859</v>
      </c>
      <c r="T301" s="258">
        <v>0</v>
      </c>
    </row>
    <row r="302" spans="1:20" ht="11.85" customHeight="1" x14ac:dyDescent="0.25">
      <c r="A302" s="492">
        <v>44505</v>
      </c>
      <c r="B302" s="252" t="s">
        <v>664</v>
      </c>
      <c r="C302" s="252" t="s">
        <v>665</v>
      </c>
      <c r="D302" s="252" t="s">
        <v>473</v>
      </c>
      <c r="E302" s="252" t="s">
        <v>677</v>
      </c>
      <c r="F302" s="252" t="s">
        <v>460</v>
      </c>
      <c r="G302" s="323">
        <v>18147.103779196499</v>
      </c>
      <c r="H302" s="253">
        <v>17845.514558404859</v>
      </c>
      <c r="I302" s="323">
        <v>0</v>
      </c>
      <c r="J302" s="323">
        <v>0</v>
      </c>
      <c r="K302" s="323">
        <v>0</v>
      </c>
      <c r="L302" s="323">
        <v>0</v>
      </c>
      <c r="M302" s="323">
        <v>17845.514558404859</v>
      </c>
      <c r="N302" s="253"/>
      <c r="P302" s="279">
        <v>192</v>
      </c>
      <c r="Q302" s="312"/>
      <c r="R302" s="497">
        <v>44501</v>
      </c>
      <c r="S302" s="498">
        <f t="shared" si="9"/>
        <v>17845.514558404859</v>
      </c>
      <c r="T302" s="258">
        <v>0</v>
      </c>
    </row>
    <row r="303" spans="1:20" ht="11.85" customHeight="1" x14ac:dyDescent="0.25">
      <c r="A303" s="492">
        <v>44535</v>
      </c>
      <c r="B303" s="252" t="s">
        <v>664</v>
      </c>
      <c r="C303" s="252" t="s">
        <v>665</v>
      </c>
      <c r="D303" s="252" t="s">
        <v>473</v>
      </c>
      <c r="E303" s="252" t="s">
        <v>678</v>
      </c>
      <c r="F303" s="252" t="s">
        <v>460</v>
      </c>
      <c r="G303" s="323">
        <v>18147.103779196499</v>
      </c>
      <c r="H303" s="253">
        <v>17845.514558404859</v>
      </c>
      <c r="I303" s="323">
        <v>0</v>
      </c>
      <c r="J303" s="323">
        <v>0</v>
      </c>
      <c r="K303" s="323">
        <v>0</v>
      </c>
      <c r="L303" s="323">
        <v>0</v>
      </c>
      <c r="M303" s="323">
        <v>17845.514558404859</v>
      </c>
      <c r="N303" s="253"/>
      <c r="P303" s="279">
        <v>192</v>
      </c>
      <c r="Q303" s="312"/>
      <c r="R303" s="497">
        <v>44531</v>
      </c>
      <c r="S303" s="498">
        <f t="shared" si="9"/>
        <v>17845.514558404859</v>
      </c>
      <c r="T303" s="258">
        <v>0</v>
      </c>
    </row>
    <row r="304" spans="1:20" ht="11.85" customHeight="1" x14ac:dyDescent="0.25">
      <c r="A304" s="492">
        <v>44566</v>
      </c>
      <c r="B304" s="252" t="s">
        <v>664</v>
      </c>
      <c r="C304" s="252" t="s">
        <v>665</v>
      </c>
      <c r="D304" s="252" t="s">
        <v>473</v>
      </c>
      <c r="E304" s="252" t="s">
        <v>679</v>
      </c>
      <c r="F304" s="252" t="s">
        <v>460</v>
      </c>
      <c r="G304" s="323">
        <v>18147.103779196499</v>
      </c>
      <c r="H304" s="253">
        <v>17845.514558404859</v>
      </c>
      <c r="I304" s="323">
        <v>0</v>
      </c>
      <c r="J304" s="323">
        <v>0</v>
      </c>
      <c r="K304" s="323">
        <v>0</v>
      </c>
      <c r="L304" s="323">
        <v>0</v>
      </c>
      <c r="M304" s="323">
        <v>17845.514558404859</v>
      </c>
      <c r="N304" s="253"/>
      <c r="P304" s="279">
        <v>192</v>
      </c>
      <c r="Q304" s="312"/>
      <c r="R304" s="497">
        <v>44562</v>
      </c>
      <c r="S304" s="498">
        <f t="shared" si="9"/>
        <v>17845.514558404859</v>
      </c>
      <c r="T304" s="258">
        <v>0</v>
      </c>
    </row>
    <row r="305" spans="1:20" ht="11.85" customHeight="1" x14ac:dyDescent="0.25">
      <c r="A305" s="492">
        <v>44597</v>
      </c>
      <c r="B305" s="252" t="s">
        <v>664</v>
      </c>
      <c r="C305" s="252" t="s">
        <v>665</v>
      </c>
      <c r="D305" s="252" t="s">
        <v>473</v>
      </c>
      <c r="E305" s="252" t="s">
        <v>680</v>
      </c>
      <c r="F305" s="252" t="s">
        <v>460</v>
      </c>
      <c r="G305" s="323">
        <v>18147.103779196499</v>
      </c>
      <c r="H305" s="253">
        <v>17845.514558404859</v>
      </c>
      <c r="I305" s="323">
        <v>0</v>
      </c>
      <c r="J305" s="323">
        <v>0</v>
      </c>
      <c r="K305" s="323">
        <v>0</v>
      </c>
      <c r="L305" s="323">
        <v>0</v>
      </c>
      <c r="M305" s="323">
        <v>17845.514558404859</v>
      </c>
      <c r="N305" s="253"/>
      <c r="P305" s="279">
        <v>192</v>
      </c>
      <c r="Q305" s="312"/>
      <c r="R305" s="497">
        <v>44593</v>
      </c>
      <c r="S305" s="498">
        <f t="shared" si="9"/>
        <v>17845.514558404859</v>
      </c>
      <c r="T305" s="258">
        <v>0</v>
      </c>
    </row>
    <row r="306" spans="1:20" ht="11.85" customHeight="1" x14ac:dyDescent="0.25">
      <c r="A306" s="492">
        <v>44625</v>
      </c>
      <c r="B306" s="252" t="s">
        <v>664</v>
      </c>
      <c r="C306" s="252" t="s">
        <v>665</v>
      </c>
      <c r="D306" s="252" t="s">
        <v>473</v>
      </c>
      <c r="E306" s="252" t="s">
        <v>681</v>
      </c>
      <c r="F306" s="252" t="s">
        <v>460</v>
      </c>
      <c r="G306" s="323">
        <v>18147.103779196499</v>
      </c>
      <c r="H306" s="253">
        <v>17845.514558404859</v>
      </c>
      <c r="I306" s="323">
        <v>0</v>
      </c>
      <c r="J306" s="323">
        <v>0</v>
      </c>
      <c r="K306" s="323">
        <v>0</v>
      </c>
      <c r="L306" s="323">
        <v>0</v>
      </c>
      <c r="M306" s="323">
        <v>17845.514558404859</v>
      </c>
      <c r="N306" s="253"/>
      <c r="P306" s="279">
        <v>192</v>
      </c>
      <c r="Q306" s="312"/>
      <c r="R306" s="497">
        <v>44621</v>
      </c>
      <c r="S306" s="498">
        <f t="shared" si="9"/>
        <v>17845.514558404859</v>
      </c>
      <c r="T306" s="258">
        <v>0</v>
      </c>
    </row>
    <row r="307" spans="1:20" ht="11.85" customHeight="1" x14ac:dyDescent="0.25">
      <c r="A307" s="492">
        <v>44656</v>
      </c>
      <c r="B307" s="252" t="s">
        <v>664</v>
      </c>
      <c r="C307" s="252" t="s">
        <v>665</v>
      </c>
      <c r="D307" s="252" t="s">
        <v>473</v>
      </c>
      <c r="E307" s="252" t="s">
        <v>682</v>
      </c>
      <c r="F307" s="252" t="s">
        <v>460</v>
      </c>
      <c r="G307" s="323">
        <v>18147.103779196499</v>
      </c>
      <c r="H307" s="253">
        <v>17845.514558404859</v>
      </c>
      <c r="I307" s="323">
        <v>0</v>
      </c>
      <c r="J307" s="323">
        <v>0</v>
      </c>
      <c r="K307" s="323">
        <v>0</v>
      </c>
      <c r="L307" s="323">
        <v>0</v>
      </c>
      <c r="M307" s="323">
        <v>17845.514558404859</v>
      </c>
      <c r="N307" s="253"/>
      <c r="P307" s="279">
        <v>192</v>
      </c>
      <c r="Q307" s="312"/>
      <c r="R307" s="497">
        <v>44652</v>
      </c>
      <c r="S307" s="498">
        <f t="shared" si="9"/>
        <v>17845.514558404859</v>
      </c>
      <c r="T307" s="258">
        <v>0</v>
      </c>
    </row>
    <row r="308" spans="1:20" ht="11.85" customHeight="1" x14ac:dyDescent="0.25">
      <c r="A308" s="492">
        <v>44686</v>
      </c>
      <c r="B308" s="252" t="s">
        <v>664</v>
      </c>
      <c r="C308" s="252" t="s">
        <v>665</v>
      </c>
      <c r="D308" s="252" t="s">
        <v>473</v>
      </c>
      <c r="E308" s="252" t="s">
        <v>683</v>
      </c>
      <c r="F308" s="252" t="s">
        <v>460</v>
      </c>
      <c r="G308" s="323">
        <v>18147.103779196499</v>
      </c>
      <c r="H308" s="253">
        <v>17845.514558404859</v>
      </c>
      <c r="I308" s="323">
        <v>0</v>
      </c>
      <c r="J308" s="323">
        <v>0</v>
      </c>
      <c r="K308" s="323">
        <v>0</v>
      </c>
      <c r="L308" s="323">
        <v>0</v>
      </c>
      <c r="M308" s="323">
        <v>17845.514558404859</v>
      </c>
      <c r="N308" s="253"/>
      <c r="P308" s="279">
        <v>192</v>
      </c>
      <c r="Q308" s="312"/>
      <c r="R308" s="497">
        <v>44682</v>
      </c>
      <c r="S308" s="498">
        <f t="shared" si="9"/>
        <v>17845.514558404859</v>
      </c>
      <c r="T308" s="258">
        <v>0</v>
      </c>
    </row>
    <row r="309" spans="1:20" ht="11.85" customHeight="1" x14ac:dyDescent="0.25">
      <c r="A309" s="492">
        <v>44717</v>
      </c>
      <c r="B309" s="252" t="s">
        <v>664</v>
      </c>
      <c r="C309" s="252" t="s">
        <v>665</v>
      </c>
      <c r="D309" s="252" t="s">
        <v>473</v>
      </c>
      <c r="E309" s="252" t="s">
        <v>684</v>
      </c>
      <c r="F309" s="252" t="s">
        <v>460</v>
      </c>
      <c r="G309" s="323">
        <v>18147.103779196499</v>
      </c>
      <c r="H309" s="253">
        <v>17845.514558404859</v>
      </c>
      <c r="I309" s="323">
        <v>0</v>
      </c>
      <c r="J309" s="323">
        <v>0</v>
      </c>
      <c r="K309" s="323">
        <v>0</v>
      </c>
      <c r="L309" s="323">
        <v>0</v>
      </c>
      <c r="M309" s="323">
        <v>17845.514558404859</v>
      </c>
      <c r="N309" s="253"/>
      <c r="P309" s="279">
        <v>192</v>
      </c>
      <c r="Q309" s="312"/>
      <c r="R309" s="497">
        <v>44713</v>
      </c>
      <c r="S309" s="498">
        <f t="shared" si="9"/>
        <v>17845.514558404859</v>
      </c>
      <c r="T309" s="258">
        <v>0</v>
      </c>
    </row>
    <row r="310" spans="1:20" ht="11.85" customHeight="1" x14ac:dyDescent="0.25">
      <c r="A310" s="492">
        <v>44747</v>
      </c>
      <c r="B310" s="252" t="s">
        <v>664</v>
      </c>
      <c r="C310" s="252" t="s">
        <v>665</v>
      </c>
      <c r="D310" s="252" t="s">
        <v>473</v>
      </c>
      <c r="E310" s="252" t="s">
        <v>685</v>
      </c>
      <c r="F310" s="252" t="s">
        <v>460</v>
      </c>
      <c r="G310" s="323">
        <v>18147.103779196499</v>
      </c>
      <c r="H310" s="253">
        <v>17845.514558404859</v>
      </c>
      <c r="I310" s="323">
        <v>0</v>
      </c>
      <c r="J310" s="323">
        <v>0</v>
      </c>
      <c r="K310" s="323">
        <v>0</v>
      </c>
      <c r="L310" s="323">
        <v>0</v>
      </c>
      <c r="M310" s="323">
        <v>17845.514558404859</v>
      </c>
      <c r="N310" s="253"/>
      <c r="P310" s="279">
        <v>192</v>
      </c>
      <c r="Q310" s="312"/>
      <c r="R310" s="497">
        <v>44743</v>
      </c>
      <c r="S310" s="498">
        <f t="shared" si="9"/>
        <v>17845.514558404859</v>
      </c>
      <c r="T310" s="258">
        <v>0</v>
      </c>
    </row>
    <row r="311" spans="1:20" ht="11.85" customHeight="1" x14ac:dyDescent="0.25">
      <c r="A311" s="492">
        <v>44778</v>
      </c>
      <c r="B311" s="252" t="s">
        <v>664</v>
      </c>
      <c r="C311" s="252" t="s">
        <v>665</v>
      </c>
      <c r="D311" s="252" t="s">
        <v>473</v>
      </c>
      <c r="E311" s="252" t="s">
        <v>686</v>
      </c>
      <c r="F311" s="252" t="s">
        <v>460</v>
      </c>
      <c r="G311" s="323">
        <v>18147.103779196499</v>
      </c>
      <c r="H311" s="253">
        <v>17845.514558404859</v>
      </c>
      <c r="I311" s="323">
        <v>0</v>
      </c>
      <c r="J311" s="323">
        <v>0</v>
      </c>
      <c r="K311" s="323">
        <v>0</v>
      </c>
      <c r="L311" s="323">
        <v>0</v>
      </c>
      <c r="M311" s="323">
        <v>17845.514558404859</v>
      </c>
      <c r="N311" s="253"/>
      <c r="P311" s="279">
        <v>192</v>
      </c>
      <c r="Q311" s="312"/>
      <c r="R311" s="497">
        <v>44774</v>
      </c>
      <c r="S311" s="498">
        <f t="shared" si="9"/>
        <v>17845.514558404859</v>
      </c>
      <c r="T311" s="258">
        <v>0</v>
      </c>
    </row>
    <row r="312" spans="1:20" ht="11.85" customHeight="1" x14ac:dyDescent="0.25">
      <c r="A312" s="492">
        <v>44778</v>
      </c>
      <c r="B312" s="252" t="s">
        <v>664</v>
      </c>
      <c r="C312" s="252" t="s">
        <v>665</v>
      </c>
      <c r="D312" s="252" t="s">
        <v>471</v>
      </c>
      <c r="E312" s="252" t="s">
        <v>482</v>
      </c>
      <c r="F312" s="252" t="s">
        <v>460</v>
      </c>
      <c r="G312" s="323">
        <v>187520.08289792351</v>
      </c>
      <c r="H312" s="253">
        <v>184403.66077502811</v>
      </c>
      <c r="I312" s="323">
        <v>0</v>
      </c>
      <c r="J312" s="323">
        <v>0</v>
      </c>
      <c r="K312" s="323">
        <v>0</v>
      </c>
      <c r="L312" s="323">
        <v>0</v>
      </c>
      <c r="M312" s="323">
        <v>184403.66077502811</v>
      </c>
      <c r="N312" s="253"/>
      <c r="P312" s="279">
        <v>192</v>
      </c>
      <c r="Q312" s="312"/>
      <c r="R312" s="497">
        <v>44774</v>
      </c>
      <c r="S312" s="498">
        <f t="shared" si="9"/>
        <v>184403.66077502811</v>
      </c>
      <c r="T312" s="258">
        <v>0</v>
      </c>
    </row>
    <row r="313" spans="1:20" ht="11.85" customHeight="1" x14ac:dyDescent="0.25">
      <c r="A313" s="492">
        <v>44809</v>
      </c>
      <c r="B313" s="252" t="s">
        <v>664</v>
      </c>
      <c r="C313" s="252" t="s">
        <v>665</v>
      </c>
      <c r="D313" s="252" t="s">
        <v>473</v>
      </c>
      <c r="E313" s="252" t="s">
        <v>687</v>
      </c>
      <c r="F313" s="252" t="s">
        <v>460</v>
      </c>
      <c r="G313" s="323">
        <v>18147.103779196499</v>
      </c>
      <c r="H313" s="253">
        <v>17845.514558404859</v>
      </c>
      <c r="I313" s="323">
        <v>0</v>
      </c>
      <c r="J313" s="323">
        <v>0</v>
      </c>
      <c r="K313" s="323">
        <v>0</v>
      </c>
      <c r="L313" s="323">
        <v>0</v>
      </c>
      <c r="M313" s="323">
        <v>17845.514558404859</v>
      </c>
      <c r="N313" s="253"/>
      <c r="P313" s="279">
        <v>192</v>
      </c>
      <c r="Q313" s="312"/>
      <c r="R313" s="497">
        <v>44805</v>
      </c>
      <c r="S313" s="498">
        <f t="shared" si="9"/>
        <v>17845.514558404859</v>
      </c>
      <c r="T313" s="258">
        <v>0</v>
      </c>
    </row>
    <row r="314" spans="1:20" ht="11.85" customHeight="1" x14ac:dyDescent="0.25">
      <c r="A314" s="492">
        <v>44839</v>
      </c>
      <c r="B314" s="252" t="s">
        <v>664</v>
      </c>
      <c r="C314" s="252" t="s">
        <v>665</v>
      </c>
      <c r="D314" s="252" t="s">
        <v>473</v>
      </c>
      <c r="E314" s="252" t="s">
        <v>688</v>
      </c>
      <c r="F314" s="252" t="s">
        <v>460</v>
      </c>
      <c r="G314" s="323">
        <v>18147.103779196499</v>
      </c>
      <c r="H314" s="253">
        <v>17845.514558404859</v>
      </c>
      <c r="I314" s="323">
        <v>0</v>
      </c>
      <c r="J314" s="323">
        <v>0</v>
      </c>
      <c r="K314" s="323">
        <v>0</v>
      </c>
      <c r="L314" s="323">
        <v>0</v>
      </c>
      <c r="M314" s="323">
        <v>17845.514558404859</v>
      </c>
      <c r="N314" s="253"/>
      <c r="P314" s="279">
        <v>192</v>
      </c>
      <c r="Q314" s="312"/>
      <c r="R314" s="497">
        <v>44835</v>
      </c>
      <c r="S314" s="498">
        <f t="shared" si="9"/>
        <v>17845.514558404859</v>
      </c>
      <c r="T314" s="258">
        <v>0</v>
      </c>
    </row>
    <row r="315" spans="1:20" ht="11.85" customHeight="1" x14ac:dyDescent="0.25">
      <c r="A315" s="492">
        <v>44870</v>
      </c>
      <c r="B315" s="252" t="s">
        <v>664</v>
      </c>
      <c r="C315" s="252" t="s">
        <v>665</v>
      </c>
      <c r="D315" s="252" t="s">
        <v>473</v>
      </c>
      <c r="E315" s="252" t="s">
        <v>689</v>
      </c>
      <c r="F315" s="252" t="s">
        <v>460</v>
      </c>
      <c r="G315" s="323">
        <v>18147.103779196499</v>
      </c>
      <c r="H315" s="253">
        <v>17845.514558404859</v>
      </c>
      <c r="I315" s="323">
        <v>0</v>
      </c>
      <c r="J315" s="323">
        <v>0</v>
      </c>
      <c r="K315" s="323">
        <v>0</v>
      </c>
      <c r="L315" s="323">
        <v>0</v>
      </c>
      <c r="M315" s="323">
        <v>17845.514558404859</v>
      </c>
      <c r="N315" s="253"/>
      <c r="P315" s="279">
        <v>192</v>
      </c>
      <c r="Q315" s="312"/>
      <c r="R315" s="497">
        <v>44866</v>
      </c>
      <c r="S315" s="498">
        <f t="shared" si="9"/>
        <v>17845.514558404859</v>
      </c>
      <c r="T315" s="258">
        <v>0</v>
      </c>
    </row>
    <row r="316" spans="1:20" ht="11.85" customHeight="1" x14ac:dyDescent="0.25">
      <c r="A316" s="492">
        <v>44900</v>
      </c>
      <c r="B316" s="252" t="s">
        <v>664</v>
      </c>
      <c r="C316" s="252" t="s">
        <v>665</v>
      </c>
      <c r="D316" s="252" t="s">
        <v>473</v>
      </c>
      <c r="E316" s="252" t="s">
        <v>690</v>
      </c>
      <c r="F316" s="252" t="s">
        <v>460</v>
      </c>
      <c r="G316" s="323">
        <v>18147.103779196499</v>
      </c>
      <c r="H316" s="253">
        <v>17845.514558404859</v>
      </c>
      <c r="I316" s="323">
        <v>0</v>
      </c>
      <c r="J316" s="323">
        <v>0</v>
      </c>
      <c r="K316" s="323">
        <v>0</v>
      </c>
      <c r="L316" s="323">
        <v>0</v>
      </c>
      <c r="M316" s="323">
        <v>17845.514558404859</v>
      </c>
      <c r="N316" s="253"/>
      <c r="P316" s="279">
        <v>192</v>
      </c>
      <c r="Q316" s="312"/>
      <c r="R316" s="497">
        <v>44896</v>
      </c>
      <c r="S316" s="498">
        <f t="shared" si="9"/>
        <v>17845.514558404859</v>
      </c>
      <c r="T316" s="258">
        <v>0</v>
      </c>
    </row>
    <row r="317" spans="1:20" ht="11.85" customHeight="1" x14ac:dyDescent="0.25">
      <c r="A317" s="492">
        <v>44931</v>
      </c>
      <c r="B317" s="252" t="s">
        <v>664</v>
      </c>
      <c r="C317" s="252" t="s">
        <v>665</v>
      </c>
      <c r="D317" s="252" t="s">
        <v>473</v>
      </c>
      <c r="E317" s="252" t="s">
        <v>691</v>
      </c>
      <c r="F317" s="252" t="s">
        <v>460</v>
      </c>
      <c r="G317" s="323">
        <v>18147.103779196499</v>
      </c>
      <c r="H317" s="253">
        <v>17845.514558404859</v>
      </c>
      <c r="I317" s="323">
        <v>0</v>
      </c>
      <c r="J317" s="323">
        <v>0</v>
      </c>
      <c r="K317" s="323">
        <v>0</v>
      </c>
      <c r="L317" s="323">
        <v>0</v>
      </c>
      <c r="M317" s="323">
        <v>17845.514558404859</v>
      </c>
      <c r="N317" s="253"/>
      <c r="P317" s="279">
        <v>192</v>
      </c>
      <c r="Q317" s="312"/>
      <c r="R317" s="497">
        <v>44927</v>
      </c>
      <c r="S317" s="498">
        <f t="shared" si="9"/>
        <v>17845.514558404859</v>
      </c>
      <c r="T317" s="258">
        <v>0</v>
      </c>
    </row>
    <row r="318" spans="1:20" ht="11.85" customHeight="1" x14ac:dyDescent="0.25">
      <c r="A318" s="492">
        <v>44962</v>
      </c>
      <c r="B318" s="252" t="s">
        <v>664</v>
      </c>
      <c r="C318" s="252" t="s">
        <v>665</v>
      </c>
      <c r="D318" s="252" t="s">
        <v>473</v>
      </c>
      <c r="E318" s="252" t="s">
        <v>692</v>
      </c>
      <c r="F318" s="252" t="s">
        <v>460</v>
      </c>
      <c r="G318" s="323">
        <v>18147.103779196499</v>
      </c>
      <c r="H318" s="253">
        <v>17845.514558404859</v>
      </c>
      <c r="I318" s="323">
        <v>0</v>
      </c>
      <c r="J318" s="323">
        <v>0</v>
      </c>
      <c r="K318" s="323">
        <v>0</v>
      </c>
      <c r="L318" s="323">
        <v>0</v>
      </c>
      <c r="M318" s="323">
        <v>17845.514558404859</v>
      </c>
      <c r="N318" s="253"/>
      <c r="P318" s="279">
        <v>192</v>
      </c>
      <c r="Q318" s="312"/>
      <c r="R318" s="497">
        <v>44958</v>
      </c>
      <c r="S318" s="498">
        <f t="shared" si="9"/>
        <v>17845.514558404859</v>
      </c>
      <c r="T318" s="258">
        <v>0</v>
      </c>
    </row>
    <row r="319" spans="1:20" ht="11.85" customHeight="1" x14ac:dyDescent="0.25">
      <c r="A319" s="492">
        <v>44990</v>
      </c>
      <c r="B319" s="252" t="s">
        <v>664</v>
      </c>
      <c r="C319" s="252" t="s">
        <v>665</v>
      </c>
      <c r="D319" s="252" t="s">
        <v>473</v>
      </c>
      <c r="E319" s="252" t="s">
        <v>693</v>
      </c>
      <c r="F319" s="252" t="s">
        <v>460</v>
      </c>
      <c r="G319" s="323">
        <v>18147.103779196499</v>
      </c>
      <c r="H319" s="253">
        <v>17845.514558404859</v>
      </c>
      <c r="I319" s="323">
        <v>0</v>
      </c>
      <c r="J319" s="323">
        <v>0</v>
      </c>
      <c r="K319" s="323">
        <v>0</v>
      </c>
      <c r="L319" s="323">
        <v>0</v>
      </c>
      <c r="M319" s="323">
        <v>17845.514558404859</v>
      </c>
      <c r="N319" s="253"/>
      <c r="P319" s="279">
        <v>192</v>
      </c>
      <c r="Q319" s="312"/>
      <c r="R319" s="497">
        <v>44986</v>
      </c>
      <c r="S319" s="498">
        <f t="shared" si="9"/>
        <v>17845.514558404859</v>
      </c>
      <c r="T319" s="258">
        <v>0</v>
      </c>
    </row>
    <row r="320" spans="1:20" ht="11.85" customHeight="1" x14ac:dyDescent="0.25">
      <c r="A320" s="492">
        <v>45021</v>
      </c>
      <c r="B320" s="252" t="s">
        <v>664</v>
      </c>
      <c r="C320" s="252" t="s">
        <v>665</v>
      </c>
      <c r="D320" s="252" t="s">
        <v>473</v>
      </c>
      <c r="E320" s="252" t="s">
        <v>694</v>
      </c>
      <c r="F320" s="252" t="s">
        <v>460</v>
      </c>
      <c r="G320" s="323">
        <v>18147.103779196499</v>
      </c>
      <c r="H320" s="253">
        <v>17845.514558404859</v>
      </c>
      <c r="I320" s="323">
        <v>0</v>
      </c>
      <c r="J320" s="323">
        <v>0</v>
      </c>
      <c r="K320" s="323">
        <v>0</v>
      </c>
      <c r="L320" s="323">
        <v>0</v>
      </c>
      <c r="M320" s="323">
        <v>17845.514558404859</v>
      </c>
      <c r="N320" s="253"/>
      <c r="P320" s="279">
        <v>192</v>
      </c>
      <c r="Q320" s="312"/>
      <c r="R320" s="497">
        <v>45017</v>
      </c>
      <c r="S320" s="498">
        <f t="shared" si="9"/>
        <v>17845.514558404859</v>
      </c>
      <c r="T320" s="258">
        <v>0</v>
      </c>
    </row>
    <row r="321" spans="1:20" ht="11.85" customHeight="1" x14ac:dyDescent="0.25">
      <c r="A321" s="492">
        <v>45021</v>
      </c>
      <c r="B321" s="252" t="s">
        <v>664</v>
      </c>
      <c r="C321" s="252" t="s">
        <v>665</v>
      </c>
      <c r="D321" s="252" t="s">
        <v>465</v>
      </c>
      <c r="E321" s="252" t="s">
        <v>466</v>
      </c>
      <c r="F321" s="252" t="s">
        <v>460</v>
      </c>
      <c r="G321" s="323">
        <v>2100299.2903548768</v>
      </c>
      <c r="H321" s="253">
        <v>2065394.1267478061</v>
      </c>
      <c r="I321" s="323">
        <v>0</v>
      </c>
      <c r="J321" s="323">
        <v>0</v>
      </c>
      <c r="K321" s="323">
        <v>0</v>
      </c>
      <c r="L321" s="323">
        <v>0</v>
      </c>
      <c r="M321" s="323">
        <v>2065394.1267478061</v>
      </c>
      <c r="N321" s="253"/>
      <c r="P321" s="279">
        <v>192</v>
      </c>
      <c r="Q321" s="312"/>
      <c r="R321" s="497">
        <v>45017</v>
      </c>
      <c r="S321" s="498">
        <f t="shared" si="9"/>
        <v>2065394.1267478061</v>
      </c>
      <c r="T321" s="258">
        <v>0</v>
      </c>
    </row>
    <row r="322" spans="1:20" ht="11.85" customHeight="1" x14ac:dyDescent="0.25">
      <c r="A322" s="492">
        <v>45112</v>
      </c>
      <c r="B322" s="252" t="s">
        <v>664</v>
      </c>
      <c r="C322" s="252" t="s">
        <v>665</v>
      </c>
      <c r="D322" s="252" t="s">
        <v>467</v>
      </c>
      <c r="E322" s="252" t="s">
        <v>466</v>
      </c>
      <c r="F322" s="252" t="s">
        <v>460</v>
      </c>
      <c r="G322" s="323">
        <v>1051.289311124503</v>
      </c>
      <c r="H322" s="253">
        <v>1033.817789055395</v>
      </c>
      <c r="I322" s="323">
        <v>0</v>
      </c>
      <c r="J322" s="323">
        <v>0</v>
      </c>
      <c r="K322" s="323">
        <v>0</v>
      </c>
      <c r="L322" s="323">
        <v>0</v>
      </c>
      <c r="M322" s="323">
        <v>1033.817789055395</v>
      </c>
      <c r="N322" s="253"/>
      <c r="P322" s="279">
        <v>192</v>
      </c>
      <c r="Q322" s="312"/>
      <c r="R322" s="497">
        <v>45108</v>
      </c>
      <c r="S322" s="498">
        <f t="shared" si="9"/>
        <v>1033.817789055395</v>
      </c>
      <c r="T322" s="258">
        <v>0</v>
      </c>
    </row>
    <row r="323" spans="1:20" ht="11.85" customHeight="1" x14ac:dyDescent="0.25">
      <c r="A323" s="492">
        <v>44180</v>
      </c>
      <c r="B323" s="252" t="s">
        <v>695</v>
      </c>
      <c r="C323" s="252" t="s">
        <v>696</v>
      </c>
      <c r="D323" s="252" t="s">
        <v>473</v>
      </c>
      <c r="E323" s="252" t="s">
        <v>697</v>
      </c>
      <c r="F323" s="252" t="s">
        <v>460</v>
      </c>
      <c r="G323" s="323">
        <v>19607.622452726609</v>
      </c>
      <c r="H323" s="253">
        <v>19281.760670645799</v>
      </c>
      <c r="I323" s="323">
        <v>0</v>
      </c>
      <c r="J323" s="323">
        <v>0</v>
      </c>
      <c r="K323" s="323">
        <v>0</v>
      </c>
      <c r="L323" s="323">
        <v>0</v>
      </c>
      <c r="M323" s="323">
        <v>19281.760670645799</v>
      </c>
      <c r="N323" s="253"/>
      <c r="P323" s="279">
        <v>201</v>
      </c>
      <c r="Q323" s="312"/>
      <c r="R323" s="497">
        <v>44166</v>
      </c>
      <c r="S323" s="498">
        <f t="shared" si="9"/>
        <v>19281.760670645799</v>
      </c>
      <c r="T323" s="258">
        <v>0</v>
      </c>
    </row>
    <row r="324" spans="1:20" ht="11.85" customHeight="1" x14ac:dyDescent="0.25">
      <c r="A324" s="492">
        <v>44211</v>
      </c>
      <c r="B324" s="252" t="s">
        <v>695</v>
      </c>
      <c r="C324" s="252" t="s">
        <v>696</v>
      </c>
      <c r="D324" s="252" t="s">
        <v>473</v>
      </c>
      <c r="E324" s="252" t="s">
        <v>698</v>
      </c>
      <c r="F324" s="252" t="s">
        <v>460</v>
      </c>
      <c r="G324" s="323">
        <v>19607.622452726609</v>
      </c>
      <c r="H324" s="253">
        <v>19281.760670645799</v>
      </c>
      <c r="I324" s="323">
        <v>0</v>
      </c>
      <c r="J324" s="323">
        <v>0</v>
      </c>
      <c r="K324" s="323">
        <v>0</v>
      </c>
      <c r="L324" s="323">
        <v>0</v>
      </c>
      <c r="M324" s="323">
        <v>19281.760670645799</v>
      </c>
      <c r="N324" s="253"/>
      <c r="P324" s="279">
        <v>201</v>
      </c>
      <c r="Q324" s="312"/>
      <c r="R324" s="497">
        <v>44197</v>
      </c>
      <c r="S324" s="498">
        <f t="shared" si="9"/>
        <v>19281.760670645799</v>
      </c>
      <c r="T324" s="258">
        <v>0</v>
      </c>
    </row>
    <row r="325" spans="1:20" ht="11.85" customHeight="1" x14ac:dyDescent="0.25">
      <c r="A325" s="492">
        <v>44242</v>
      </c>
      <c r="B325" s="252" t="s">
        <v>695</v>
      </c>
      <c r="C325" s="252" t="s">
        <v>696</v>
      </c>
      <c r="D325" s="252" t="s">
        <v>473</v>
      </c>
      <c r="E325" s="252" t="s">
        <v>699</v>
      </c>
      <c r="F325" s="252" t="s">
        <v>460</v>
      </c>
      <c r="G325" s="323">
        <v>19607.622452726609</v>
      </c>
      <c r="H325" s="253">
        <v>19281.760670645799</v>
      </c>
      <c r="I325" s="323">
        <v>0</v>
      </c>
      <c r="J325" s="323">
        <v>0</v>
      </c>
      <c r="K325" s="323">
        <v>0</v>
      </c>
      <c r="L325" s="323">
        <v>0</v>
      </c>
      <c r="M325" s="323">
        <v>19281.760670645799</v>
      </c>
      <c r="N325" s="253"/>
      <c r="P325" s="279">
        <v>201</v>
      </c>
      <c r="Q325" s="312"/>
      <c r="R325" s="497">
        <v>44228</v>
      </c>
      <c r="S325" s="498">
        <f t="shared" si="9"/>
        <v>19281.760670645799</v>
      </c>
      <c r="T325" s="258">
        <v>0</v>
      </c>
    </row>
    <row r="326" spans="1:20" ht="11.85" customHeight="1" x14ac:dyDescent="0.25">
      <c r="A326" s="492">
        <v>44270</v>
      </c>
      <c r="B326" s="252" t="s">
        <v>695</v>
      </c>
      <c r="C326" s="252" t="s">
        <v>696</v>
      </c>
      <c r="D326" s="252" t="s">
        <v>473</v>
      </c>
      <c r="E326" s="252" t="s">
        <v>700</v>
      </c>
      <c r="F326" s="252" t="s">
        <v>460</v>
      </c>
      <c r="G326" s="323">
        <v>19607.622452726609</v>
      </c>
      <c r="H326" s="253">
        <v>19281.760670645799</v>
      </c>
      <c r="I326" s="323">
        <v>0</v>
      </c>
      <c r="J326" s="323">
        <v>0</v>
      </c>
      <c r="K326" s="323">
        <v>0</v>
      </c>
      <c r="L326" s="323">
        <v>0</v>
      </c>
      <c r="M326" s="323">
        <v>19281.760670645799</v>
      </c>
      <c r="N326" s="253"/>
      <c r="P326" s="279">
        <v>201</v>
      </c>
      <c r="Q326" s="312"/>
      <c r="R326" s="497">
        <v>44256</v>
      </c>
      <c r="S326" s="498">
        <f t="shared" si="9"/>
        <v>19281.760670645799</v>
      </c>
      <c r="T326" s="258">
        <v>0</v>
      </c>
    </row>
    <row r="327" spans="1:20" ht="11.85" customHeight="1" x14ac:dyDescent="0.25">
      <c r="A327" s="492">
        <v>44301</v>
      </c>
      <c r="B327" s="252" t="s">
        <v>695</v>
      </c>
      <c r="C327" s="252" t="s">
        <v>696</v>
      </c>
      <c r="D327" s="252" t="s">
        <v>473</v>
      </c>
      <c r="E327" s="252" t="s">
        <v>701</v>
      </c>
      <c r="F327" s="252" t="s">
        <v>460</v>
      </c>
      <c r="G327" s="323">
        <v>19607.622452726609</v>
      </c>
      <c r="H327" s="253">
        <v>19281.760670645799</v>
      </c>
      <c r="I327" s="323">
        <v>0</v>
      </c>
      <c r="J327" s="323">
        <v>0</v>
      </c>
      <c r="K327" s="323">
        <v>0</v>
      </c>
      <c r="L327" s="323">
        <v>0</v>
      </c>
      <c r="M327" s="323">
        <v>19281.760670645799</v>
      </c>
      <c r="N327" s="253"/>
      <c r="P327" s="279">
        <v>201</v>
      </c>
      <c r="Q327" s="312"/>
      <c r="R327" s="497">
        <v>44287</v>
      </c>
      <c r="S327" s="498">
        <f t="shared" ref="S327:S390" si="10">M327</f>
        <v>19281.760670645799</v>
      </c>
      <c r="T327" s="258">
        <v>0</v>
      </c>
    </row>
    <row r="328" spans="1:20" ht="11.85" customHeight="1" x14ac:dyDescent="0.25">
      <c r="A328" s="492">
        <v>44331</v>
      </c>
      <c r="B328" s="252" t="s">
        <v>695</v>
      </c>
      <c r="C328" s="252" t="s">
        <v>696</v>
      </c>
      <c r="D328" s="252" t="s">
        <v>473</v>
      </c>
      <c r="E328" s="252" t="s">
        <v>702</v>
      </c>
      <c r="F328" s="252" t="s">
        <v>460</v>
      </c>
      <c r="G328" s="323">
        <v>19607.622452726609</v>
      </c>
      <c r="H328" s="253">
        <v>19281.760670645799</v>
      </c>
      <c r="I328" s="323">
        <v>0</v>
      </c>
      <c r="J328" s="323">
        <v>0</v>
      </c>
      <c r="K328" s="323">
        <v>0</v>
      </c>
      <c r="L328" s="323">
        <v>0</v>
      </c>
      <c r="M328" s="323">
        <v>19281.760670645799</v>
      </c>
      <c r="N328" s="253"/>
      <c r="P328" s="279">
        <v>201</v>
      </c>
      <c r="Q328" s="312"/>
      <c r="R328" s="497">
        <v>44317</v>
      </c>
      <c r="S328" s="498">
        <f t="shared" si="10"/>
        <v>19281.760670645799</v>
      </c>
      <c r="T328" s="258">
        <v>0</v>
      </c>
    </row>
    <row r="329" spans="1:20" ht="11.85" customHeight="1" x14ac:dyDescent="0.25">
      <c r="A329" s="492">
        <v>44331</v>
      </c>
      <c r="B329" s="252" t="s">
        <v>695</v>
      </c>
      <c r="C329" s="252" t="s">
        <v>696</v>
      </c>
      <c r="D329" s="252" t="s">
        <v>470</v>
      </c>
      <c r="E329" s="252" t="s">
        <v>466</v>
      </c>
      <c r="F329" s="252" t="s">
        <v>460</v>
      </c>
      <c r="G329" s="323">
        <v>167318.37826326711</v>
      </c>
      <c r="H329" s="253">
        <v>164537.69105617749</v>
      </c>
      <c r="I329" s="323">
        <v>0</v>
      </c>
      <c r="J329" s="323">
        <v>0</v>
      </c>
      <c r="K329" s="323">
        <v>0</v>
      </c>
      <c r="L329" s="323">
        <v>0</v>
      </c>
      <c r="M329" s="323">
        <v>164537.69105617749</v>
      </c>
      <c r="N329" s="253"/>
      <c r="P329" s="279">
        <v>201</v>
      </c>
      <c r="Q329" s="312"/>
      <c r="R329" s="497">
        <v>44317</v>
      </c>
      <c r="S329" s="498">
        <f t="shared" si="10"/>
        <v>164537.69105617749</v>
      </c>
      <c r="T329" s="258">
        <v>0</v>
      </c>
    </row>
    <row r="330" spans="1:20" ht="11.85" customHeight="1" x14ac:dyDescent="0.25">
      <c r="A330" s="492">
        <v>44362</v>
      </c>
      <c r="B330" s="252" t="s">
        <v>695</v>
      </c>
      <c r="C330" s="252" t="s">
        <v>696</v>
      </c>
      <c r="D330" s="252" t="s">
        <v>473</v>
      </c>
      <c r="E330" s="252" t="s">
        <v>703</v>
      </c>
      <c r="F330" s="252" t="s">
        <v>460</v>
      </c>
      <c r="G330" s="323">
        <v>19607.622452726609</v>
      </c>
      <c r="H330" s="253">
        <v>19281.760670645799</v>
      </c>
      <c r="I330" s="323">
        <v>0</v>
      </c>
      <c r="J330" s="323">
        <v>0</v>
      </c>
      <c r="K330" s="323">
        <v>0</v>
      </c>
      <c r="L330" s="323">
        <v>0</v>
      </c>
      <c r="M330" s="323">
        <v>19281.760670645799</v>
      </c>
      <c r="N330" s="253"/>
      <c r="P330" s="279">
        <v>201</v>
      </c>
      <c r="Q330" s="312"/>
      <c r="R330" s="497">
        <v>44348</v>
      </c>
      <c r="S330" s="498">
        <f t="shared" si="10"/>
        <v>19281.760670645799</v>
      </c>
      <c r="T330" s="258">
        <v>0</v>
      </c>
    </row>
    <row r="331" spans="1:20" ht="11.85" customHeight="1" x14ac:dyDescent="0.25">
      <c r="A331" s="492">
        <v>44392</v>
      </c>
      <c r="B331" s="252" t="s">
        <v>695</v>
      </c>
      <c r="C331" s="252" t="s">
        <v>696</v>
      </c>
      <c r="D331" s="252" t="s">
        <v>473</v>
      </c>
      <c r="E331" s="252" t="s">
        <v>704</v>
      </c>
      <c r="F331" s="252" t="s">
        <v>460</v>
      </c>
      <c r="G331" s="323">
        <v>19607.622452726609</v>
      </c>
      <c r="H331" s="253">
        <v>19281.760670645799</v>
      </c>
      <c r="I331" s="323">
        <v>0</v>
      </c>
      <c r="J331" s="323">
        <v>0</v>
      </c>
      <c r="K331" s="323">
        <v>0</v>
      </c>
      <c r="L331" s="323">
        <v>0</v>
      </c>
      <c r="M331" s="323">
        <v>19281.760670645799</v>
      </c>
      <c r="N331" s="253"/>
      <c r="P331" s="279">
        <v>201</v>
      </c>
      <c r="Q331" s="312"/>
      <c r="R331" s="497">
        <v>44378</v>
      </c>
      <c r="S331" s="498">
        <f t="shared" si="10"/>
        <v>19281.760670645799</v>
      </c>
      <c r="T331" s="258">
        <v>0</v>
      </c>
    </row>
    <row r="332" spans="1:20" ht="11.85" customHeight="1" x14ac:dyDescent="0.25">
      <c r="A332" s="492">
        <v>44423</v>
      </c>
      <c r="B332" s="252" t="s">
        <v>695</v>
      </c>
      <c r="C332" s="252" t="s">
        <v>696</v>
      </c>
      <c r="D332" s="252" t="s">
        <v>473</v>
      </c>
      <c r="E332" s="252" t="s">
        <v>705</v>
      </c>
      <c r="F332" s="252" t="s">
        <v>460</v>
      </c>
      <c r="G332" s="323">
        <v>19607.622452726609</v>
      </c>
      <c r="H332" s="253">
        <v>19281.760670645799</v>
      </c>
      <c r="I332" s="323">
        <v>0</v>
      </c>
      <c r="J332" s="323">
        <v>0</v>
      </c>
      <c r="K332" s="323">
        <v>0</v>
      </c>
      <c r="L332" s="323">
        <v>0</v>
      </c>
      <c r="M332" s="323">
        <v>19281.760670645799</v>
      </c>
      <c r="N332" s="253"/>
      <c r="P332" s="279">
        <v>201</v>
      </c>
      <c r="Q332" s="312"/>
      <c r="R332" s="497">
        <v>44409</v>
      </c>
      <c r="S332" s="498">
        <f t="shared" si="10"/>
        <v>19281.760670645799</v>
      </c>
      <c r="T332" s="258">
        <v>0</v>
      </c>
    </row>
    <row r="333" spans="1:20" ht="11.85" customHeight="1" x14ac:dyDescent="0.25">
      <c r="A333" s="492">
        <v>44454</v>
      </c>
      <c r="B333" s="252" t="s">
        <v>695</v>
      </c>
      <c r="C333" s="252" t="s">
        <v>696</v>
      </c>
      <c r="D333" s="252" t="s">
        <v>473</v>
      </c>
      <c r="E333" s="252" t="s">
        <v>706</v>
      </c>
      <c r="F333" s="252" t="s">
        <v>460</v>
      </c>
      <c r="G333" s="323">
        <v>19607.622452726609</v>
      </c>
      <c r="H333" s="253">
        <v>19281.760670645799</v>
      </c>
      <c r="I333" s="323">
        <v>0</v>
      </c>
      <c r="J333" s="323">
        <v>0</v>
      </c>
      <c r="K333" s="323">
        <v>0</v>
      </c>
      <c r="L333" s="323">
        <v>0</v>
      </c>
      <c r="M333" s="323">
        <v>19281.760670645799</v>
      </c>
      <c r="N333" s="253"/>
      <c r="P333" s="279">
        <v>201</v>
      </c>
      <c r="Q333" s="312"/>
      <c r="R333" s="497">
        <v>44440</v>
      </c>
      <c r="S333" s="498">
        <f t="shared" si="10"/>
        <v>19281.760670645799</v>
      </c>
      <c r="T333" s="258">
        <v>0</v>
      </c>
    </row>
    <row r="334" spans="1:20" ht="11.85" customHeight="1" x14ac:dyDescent="0.25">
      <c r="A334" s="492">
        <v>44484</v>
      </c>
      <c r="B334" s="252" t="s">
        <v>695</v>
      </c>
      <c r="C334" s="252" t="s">
        <v>696</v>
      </c>
      <c r="D334" s="252" t="s">
        <v>473</v>
      </c>
      <c r="E334" s="252" t="s">
        <v>707</v>
      </c>
      <c r="F334" s="252" t="s">
        <v>460</v>
      </c>
      <c r="G334" s="323">
        <v>19607.622452726609</v>
      </c>
      <c r="H334" s="253">
        <v>19281.760670645799</v>
      </c>
      <c r="I334" s="323">
        <v>0</v>
      </c>
      <c r="J334" s="323">
        <v>0</v>
      </c>
      <c r="K334" s="323">
        <v>0</v>
      </c>
      <c r="L334" s="323">
        <v>0</v>
      </c>
      <c r="M334" s="323">
        <v>19281.760670645799</v>
      </c>
      <c r="N334" s="253"/>
      <c r="P334" s="279">
        <v>201</v>
      </c>
      <c r="Q334" s="312"/>
      <c r="R334" s="497">
        <v>44470</v>
      </c>
      <c r="S334" s="498">
        <f t="shared" si="10"/>
        <v>19281.760670645799</v>
      </c>
      <c r="T334" s="258">
        <v>0</v>
      </c>
    </row>
    <row r="335" spans="1:20" ht="11.85" customHeight="1" x14ac:dyDescent="0.25">
      <c r="A335" s="492">
        <v>44515</v>
      </c>
      <c r="B335" s="252" t="s">
        <v>695</v>
      </c>
      <c r="C335" s="252" t="s">
        <v>696</v>
      </c>
      <c r="D335" s="252" t="s">
        <v>473</v>
      </c>
      <c r="E335" s="252" t="s">
        <v>708</v>
      </c>
      <c r="F335" s="252" t="s">
        <v>460</v>
      </c>
      <c r="G335" s="323">
        <v>19607.622452726609</v>
      </c>
      <c r="H335" s="253">
        <v>19281.760670645799</v>
      </c>
      <c r="I335" s="323">
        <v>0</v>
      </c>
      <c r="J335" s="323">
        <v>0</v>
      </c>
      <c r="K335" s="323">
        <v>0</v>
      </c>
      <c r="L335" s="323">
        <v>0</v>
      </c>
      <c r="M335" s="323">
        <v>19281.760670645799</v>
      </c>
      <c r="N335" s="253"/>
      <c r="P335" s="279">
        <v>201</v>
      </c>
      <c r="Q335" s="312"/>
      <c r="R335" s="497">
        <v>44501</v>
      </c>
      <c r="S335" s="498">
        <f t="shared" si="10"/>
        <v>19281.760670645799</v>
      </c>
      <c r="T335" s="258">
        <v>0</v>
      </c>
    </row>
    <row r="336" spans="1:20" ht="11.85" customHeight="1" x14ac:dyDescent="0.25">
      <c r="A336" s="492">
        <v>44545</v>
      </c>
      <c r="B336" s="252" t="s">
        <v>695</v>
      </c>
      <c r="C336" s="252" t="s">
        <v>696</v>
      </c>
      <c r="D336" s="252" t="s">
        <v>473</v>
      </c>
      <c r="E336" s="252" t="s">
        <v>709</v>
      </c>
      <c r="F336" s="252" t="s">
        <v>460</v>
      </c>
      <c r="G336" s="323">
        <v>19607.622452726609</v>
      </c>
      <c r="H336" s="253">
        <v>19281.760670645799</v>
      </c>
      <c r="I336" s="323">
        <v>0</v>
      </c>
      <c r="J336" s="323">
        <v>0</v>
      </c>
      <c r="K336" s="323">
        <v>0</v>
      </c>
      <c r="L336" s="323">
        <v>0</v>
      </c>
      <c r="M336" s="323">
        <v>19281.760670645799</v>
      </c>
      <c r="N336" s="253"/>
      <c r="P336" s="279">
        <v>201</v>
      </c>
      <c r="Q336" s="312"/>
      <c r="R336" s="497">
        <v>44531</v>
      </c>
      <c r="S336" s="498">
        <f t="shared" si="10"/>
        <v>19281.760670645799</v>
      </c>
      <c r="T336" s="258">
        <v>0</v>
      </c>
    </row>
    <row r="337" spans="1:20" ht="11.85" customHeight="1" x14ac:dyDescent="0.25">
      <c r="A337" s="492">
        <v>44576</v>
      </c>
      <c r="B337" s="252" t="s">
        <v>695</v>
      </c>
      <c r="C337" s="252" t="s">
        <v>696</v>
      </c>
      <c r="D337" s="252" t="s">
        <v>473</v>
      </c>
      <c r="E337" s="252" t="s">
        <v>710</v>
      </c>
      <c r="F337" s="252" t="s">
        <v>460</v>
      </c>
      <c r="G337" s="323">
        <v>19607.622452726609</v>
      </c>
      <c r="H337" s="253">
        <v>19281.760670645799</v>
      </c>
      <c r="I337" s="323">
        <v>0</v>
      </c>
      <c r="J337" s="323">
        <v>0</v>
      </c>
      <c r="K337" s="323">
        <v>0</v>
      </c>
      <c r="L337" s="323">
        <v>0</v>
      </c>
      <c r="M337" s="323">
        <v>19281.760670645799</v>
      </c>
      <c r="N337" s="253"/>
      <c r="P337" s="279">
        <v>201</v>
      </c>
      <c r="Q337" s="312"/>
      <c r="R337" s="497">
        <v>44562</v>
      </c>
      <c r="S337" s="498">
        <f t="shared" si="10"/>
        <v>19281.760670645799</v>
      </c>
      <c r="T337" s="258">
        <v>0</v>
      </c>
    </row>
    <row r="338" spans="1:20" ht="11.85" customHeight="1" x14ac:dyDescent="0.25">
      <c r="A338" s="492">
        <v>44607</v>
      </c>
      <c r="B338" s="252" t="s">
        <v>695</v>
      </c>
      <c r="C338" s="252" t="s">
        <v>696</v>
      </c>
      <c r="D338" s="252" t="s">
        <v>473</v>
      </c>
      <c r="E338" s="252" t="s">
        <v>711</v>
      </c>
      <c r="F338" s="252" t="s">
        <v>460</v>
      </c>
      <c r="G338" s="323">
        <v>19607.622452726609</v>
      </c>
      <c r="H338" s="253">
        <v>19281.760670645799</v>
      </c>
      <c r="I338" s="323">
        <v>0</v>
      </c>
      <c r="J338" s="323">
        <v>0</v>
      </c>
      <c r="K338" s="323">
        <v>0</v>
      </c>
      <c r="L338" s="323">
        <v>0</v>
      </c>
      <c r="M338" s="323">
        <v>19281.760670645799</v>
      </c>
      <c r="N338" s="253"/>
      <c r="P338" s="279">
        <v>201</v>
      </c>
      <c r="Q338" s="312"/>
      <c r="R338" s="497">
        <v>44593</v>
      </c>
      <c r="S338" s="498">
        <f t="shared" si="10"/>
        <v>19281.760670645799</v>
      </c>
      <c r="T338" s="258">
        <v>0</v>
      </c>
    </row>
    <row r="339" spans="1:20" ht="11.85" customHeight="1" x14ac:dyDescent="0.25">
      <c r="A339" s="492">
        <v>44635</v>
      </c>
      <c r="B339" s="252" t="s">
        <v>695</v>
      </c>
      <c r="C339" s="252" t="s">
        <v>696</v>
      </c>
      <c r="D339" s="252" t="s">
        <v>473</v>
      </c>
      <c r="E339" s="252" t="s">
        <v>712</v>
      </c>
      <c r="F339" s="252" t="s">
        <v>460</v>
      </c>
      <c r="G339" s="323">
        <v>19607.622452726609</v>
      </c>
      <c r="H339" s="253">
        <v>19281.760670645799</v>
      </c>
      <c r="I339" s="323">
        <v>0</v>
      </c>
      <c r="J339" s="323">
        <v>0</v>
      </c>
      <c r="K339" s="323">
        <v>0</v>
      </c>
      <c r="L339" s="323">
        <v>0</v>
      </c>
      <c r="M339" s="323">
        <v>19281.760670645799</v>
      </c>
      <c r="N339" s="253"/>
      <c r="P339" s="279">
        <v>201</v>
      </c>
      <c r="Q339" s="312"/>
      <c r="R339" s="497">
        <v>44621</v>
      </c>
      <c r="S339" s="498">
        <f t="shared" si="10"/>
        <v>19281.760670645799</v>
      </c>
      <c r="T339" s="258">
        <v>0</v>
      </c>
    </row>
    <row r="340" spans="1:20" ht="11.85" customHeight="1" x14ac:dyDescent="0.25">
      <c r="A340" s="492">
        <v>44666</v>
      </c>
      <c r="B340" s="252" t="s">
        <v>695</v>
      </c>
      <c r="C340" s="252" t="s">
        <v>696</v>
      </c>
      <c r="D340" s="252" t="s">
        <v>473</v>
      </c>
      <c r="E340" s="252" t="s">
        <v>713</v>
      </c>
      <c r="F340" s="252" t="s">
        <v>460</v>
      </c>
      <c r="G340" s="323">
        <v>19607.622452726609</v>
      </c>
      <c r="H340" s="253">
        <v>19281.760670645799</v>
      </c>
      <c r="I340" s="323">
        <v>0</v>
      </c>
      <c r="J340" s="323">
        <v>0</v>
      </c>
      <c r="K340" s="323">
        <v>0</v>
      </c>
      <c r="L340" s="323">
        <v>0</v>
      </c>
      <c r="M340" s="323">
        <v>19281.760670645799</v>
      </c>
      <c r="N340" s="253"/>
      <c r="P340" s="279">
        <v>201</v>
      </c>
      <c r="Q340" s="312"/>
      <c r="R340" s="497">
        <v>44652</v>
      </c>
      <c r="S340" s="498">
        <f t="shared" si="10"/>
        <v>19281.760670645799</v>
      </c>
      <c r="T340" s="258">
        <v>0</v>
      </c>
    </row>
    <row r="341" spans="1:20" ht="11.85" customHeight="1" x14ac:dyDescent="0.25">
      <c r="A341" s="492">
        <v>44666</v>
      </c>
      <c r="B341" s="252" t="s">
        <v>695</v>
      </c>
      <c r="C341" s="252" t="s">
        <v>696</v>
      </c>
      <c r="D341" s="252" t="s">
        <v>470</v>
      </c>
      <c r="E341" s="252" t="s">
        <v>466</v>
      </c>
      <c r="F341" s="252" t="s">
        <v>460</v>
      </c>
      <c r="G341" s="323">
        <v>94116.587773087726</v>
      </c>
      <c r="H341" s="253">
        <v>92552.451219099836</v>
      </c>
      <c r="I341" s="323">
        <v>0</v>
      </c>
      <c r="J341" s="323">
        <v>0</v>
      </c>
      <c r="K341" s="323">
        <v>0</v>
      </c>
      <c r="L341" s="323">
        <v>0</v>
      </c>
      <c r="M341" s="323">
        <v>92552.451219099836</v>
      </c>
      <c r="N341" s="253"/>
      <c r="P341" s="279">
        <v>201</v>
      </c>
      <c r="Q341" s="312"/>
      <c r="R341" s="497">
        <v>44652</v>
      </c>
      <c r="S341" s="498">
        <f t="shared" si="10"/>
        <v>92552.451219099836</v>
      </c>
      <c r="T341" s="258">
        <v>0</v>
      </c>
    </row>
    <row r="342" spans="1:20" ht="11.85" customHeight="1" x14ac:dyDescent="0.25">
      <c r="A342" s="492">
        <v>44696</v>
      </c>
      <c r="B342" s="252" t="s">
        <v>695</v>
      </c>
      <c r="C342" s="252" t="s">
        <v>696</v>
      </c>
      <c r="D342" s="252" t="s">
        <v>473</v>
      </c>
      <c r="E342" s="252" t="s">
        <v>714</v>
      </c>
      <c r="F342" s="252" t="s">
        <v>460</v>
      </c>
      <c r="G342" s="323">
        <v>19607.622452726609</v>
      </c>
      <c r="H342" s="253">
        <v>19281.760670645799</v>
      </c>
      <c r="I342" s="323">
        <v>0</v>
      </c>
      <c r="J342" s="323">
        <v>0</v>
      </c>
      <c r="K342" s="323">
        <v>0</v>
      </c>
      <c r="L342" s="323">
        <v>0</v>
      </c>
      <c r="M342" s="323">
        <v>19281.760670645799</v>
      </c>
      <c r="N342" s="253"/>
      <c r="P342" s="279">
        <v>201</v>
      </c>
      <c r="Q342" s="312"/>
      <c r="R342" s="497">
        <v>44682</v>
      </c>
      <c r="S342" s="498">
        <f t="shared" si="10"/>
        <v>19281.760670645799</v>
      </c>
      <c r="T342" s="258">
        <v>0</v>
      </c>
    </row>
    <row r="343" spans="1:20" ht="11.85" customHeight="1" x14ac:dyDescent="0.25">
      <c r="A343" s="492">
        <v>44727</v>
      </c>
      <c r="B343" s="252" t="s">
        <v>695</v>
      </c>
      <c r="C343" s="252" t="s">
        <v>696</v>
      </c>
      <c r="D343" s="252" t="s">
        <v>473</v>
      </c>
      <c r="E343" s="252" t="s">
        <v>715</v>
      </c>
      <c r="F343" s="252" t="s">
        <v>460</v>
      </c>
      <c r="G343" s="323">
        <v>19607.622452726609</v>
      </c>
      <c r="H343" s="253">
        <v>19281.760670645799</v>
      </c>
      <c r="I343" s="323">
        <v>0</v>
      </c>
      <c r="J343" s="323">
        <v>0</v>
      </c>
      <c r="K343" s="323">
        <v>0</v>
      </c>
      <c r="L343" s="323">
        <v>0</v>
      </c>
      <c r="M343" s="323">
        <v>19281.760670645799</v>
      </c>
      <c r="N343" s="253"/>
      <c r="P343" s="279">
        <v>201</v>
      </c>
      <c r="Q343" s="312"/>
      <c r="R343" s="497">
        <v>44713</v>
      </c>
      <c r="S343" s="498">
        <f t="shared" si="10"/>
        <v>19281.760670645799</v>
      </c>
      <c r="T343" s="258">
        <v>0</v>
      </c>
    </row>
    <row r="344" spans="1:20" ht="11.85" customHeight="1" x14ac:dyDescent="0.25">
      <c r="A344" s="492">
        <v>44727</v>
      </c>
      <c r="B344" s="252" t="s">
        <v>695</v>
      </c>
      <c r="C344" s="252" t="s">
        <v>696</v>
      </c>
      <c r="D344" s="252" t="s">
        <v>470</v>
      </c>
      <c r="E344" s="252" t="s">
        <v>466</v>
      </c>
      <c r="F344" s="252" t="s">
        <v>460</v>
      </c>
      <c r="G344" s="323">
        <v>167318.37826326711</v>
      </c>
      <c r="H344" s="253">
        <v>164537.69105617749</v>
      </c>
      <c r="I344" s="323">
        <v>0</v>
      </c>
      <c r="J344" s="323">
        <v>0</v>
      </c>
      <c r="K344" s="323">
        <v>0</v>
      </c>
      <c r="L344" s="323">
        <v>0</v>
      </c>
      <c r="M344" s="323">
        <v>164537.69105617749</v>
      </c>
      <c r="N344" s="253"/>
      <c r="P344" s="279">
        <v>201</v>
      </c>
      <c r="Q344" s="312"/>
      <c r="R344" s="497">
        <v>44713</v>
      </c>
      <c r="S344" s="498">
        <f t="shared" si="10"/>
        <v>164537.69105617749</v>
      </c>
      <c r="T344" s="258">
        <v>0</v>
      </c>
    </row>
    <row r="345" spans="1:20" ht="11.85" customHeight="1" x14ac:dyDescent="0.25">
      <c r="A345" s="492">
        <v>44757</v>
      </c>
      <c r="B345" s="252" t="s">
        <v>695</v>
      </c>
      <c r="C345" s="252" t="s">
        <v>696</v>
      </c>
      <c r="D345" s="252" t="s">
        <v>473</v>
      </c>
      <c r="E345" s="252" t="s">
        <v>716</v>
      </c>
      <c r="F345" s="252" t="s">
        <v>460</v>
      </c>
      <c r="G345" s="323">
        <v>19607.622452726609</v>
      </c>
      <c r="H345" s="253">
        <v>19281.760670645799</v>
      </c>
      <c r="I345" s="323">
        <v>0</v>
      </c>
      <c r="J345" s="323">
        <v>0</v>
      </c>
      <c r="K345" s="323">
        <v>0</v>
      </c>
      <c r="L345" s="323">
        <v>0</v>
      </c>
      <c r="M345" s="323">
        <v>19281.760670645799</v>
      </c>
      <c r="N345" s="253"/>
      <c r="P345" s="279">
        <v>201</v>
      </c>
      <c r="Q345" s="312"/>
      <c r="R345" s="497">
        <v>44743</v>
      </c>
      <c r="S345" s="498">
        <f t="shared" si="10"/>
        <v>19281.760670645799</v>
      </c>
      <c r="T345" s="258">
        <v>0</v>
      </c>
    </row>
    <row r="346" spans="1:20" ht="11.85" customHeight="1" x14ac:dyDescent="0.25">
      <c r="A346" s="492">
        <v>44788</v>
      </c>
      <c r="B346" s="252" t="s">
        <v>695</v>
      </c>
      <c r="C346" s="252" t="s">
        <v>696</v>
      </c>
      <c r="D346" s="252" t="s">
        <v>473</v>
      </c>
      <c r="E346" s="252" t="s">
        <v>717</v>
      </c>
      <c r="F346" s="252" t="s">
        <v>460</v>
      </c>
      <c r="G346" s="323">
        <v>19607.622452726609</v>
      </c>
      <c r="H346" s="253">
        <v>19281.760670645799</v>
      </c>
      <c r="I346" s="323">
        <v>0</v>
      </c>
      <c r="J346" s="323">
        <v>0</v>
      </c>
      <c r="K346" s="323">
        <v>0</v>
      </c>
      <c r="L346" s="323">
        <v>0</v>
      </c>
      <c r="M346" s="323">
        <v>19281.760670645799</v>
      </c>
      <c r="N346" s="253"/>
      <c r="P346" s="279">
        <v>201</v>
      </c>
      <c r="Q346" s="312"/>
      <c r="R346" s="497">
        <v>44774</v>
      </c>
      <c r="S346" s="498">
        <f t="shared" si="10"/>
        <v>19281.760670645799</v>
      </c>
      <c r="T346" s="258">
        <v>0</v>
      </c>
    </row>
    <row r="347" spans="1:20" ht="11.85" customHeight="1" x14ac:dyDescent="0.25">
      <c r="A347" s="492">
        <v>44819</v>
      </c>
      <c r="B347" s="252" t="s">
        <v>695</v>
      </c>
      <c r="C347" s="252" t="s">
        <v>696</v>
      </c>
      <c r="D347" s="252" t="s">
        <v>473</v>
      </c>
      <c r="E347" s="252" t="s">
        <v>718</v>
      </c>
      <c r="F347" s="252" t="s">
        <v>460</v>
      </c>
      <c r="G347" s="323">
        <v>19607.622452726609</v>
      </c>
      <c r="H347" s="253">
        <v>19281.760670645799</v>
      </c>
      <c r="I347" s="323">
        <v>0</v>
      </c>
      <c r="J347" s="323">
        <v>0</v>
      </c>
      <c r="K347" s="323">
        <v>0</v>
      </c>
      <c r="L347" s="323">
        <v>0</v>
      </c>
      <c r="M347" s="323">
        <v>19281.760670645799</v>
      </c>
      <c r="N347" s="253"/>
      <c r="P347" s="279">
        <v>201</v>
      </c>
      <c r="Q347" s="312"/>
      <c r="R347" s="497">
        <v>44805</v>
      </c>
      <c r="S347" s="498">
        <f t="shared" si="10"/>
        <v>19281.760670645799</v>
      </c>
      <c r="T347" s="258">
        <v>0</v>
      </c>
    </row>
    <row r="348" spans="1:20" ht="11.85" customHeight="1" x14ac:dyDescent="0.25">
      <c r="A348" s="492">
        <v>44849</v>
      </c>
      <c r="B348" s="252" t="s">
        <v>695</v>
      </c>
      <c r="C348" s="252" t="s">
        <v>696</v>
      </c>
      <c r="D348" s="252" t="s">
        <v>473</v>
      </c>
      <c r="E348" s="252" t="s">
        <v>719</v>
      </c>
      <c r="F348" s="252" t="s">
        <v>460</v>
      </c>
      <c r="G348" s="323">
        <v>19607.622452726609</v>
      </c>
      <c r="H348" s="253">
        <v>19281.760670645799</v>
      </c>
      <c r="I348" s="323">
        <v>0</v>
      </c>
      <c r="J348" s="323">
        <v>0</v>
      </c>
      <c r="K348" s="323">
        <v>0</v>
      </c>
      <c r="L348" s="323">
        <v>0</v>
      </c>
      <c r="M348" s="323">
        <v>19281.760670645799</v>
      </c>
      <c r="N348" s="253"/>
      <c r="P348" s="279">
        <v>201</v>
      </c>
      <c r="Q348" s="312"/>
      <c r="R348" s="497">
        <v>44835</v>
      </c>
      <c r="S348" s="498">
        <f t="shared" si="10"/>
        <v>19281.760670645799</v>
      </c>
      <c r="T348" s="258">
        <v>0</v>
      </c>
    </row>
    <row r="349" spans="1:20" ht="11.85" customHeight="1" x14ac:dyDescent="0.25">
      <c r="A349" s="492">
        <v>44880</v>
      </c>
      <c r="B349" s="252" t="s">
        <v>695</v>
      </c>
      <c r="C349" s="252" t="s">
        <v>696</v>
      </c>
      <c r="D349" s="252" t="s">
        <v>473</v>
      </c>
      <c r="E349" s="252" t="s">
        <v>720</v>
      </c>
      <c r="F349" s="252" t="s">
        <v>460</v>
      </c>
      <c r="G349" s="323">
        <v>19607.622452726609</v>
      </c>
      <c r="H349" s="253">
        <v>19281.760670645799</v>
      </c>
      <c r="I349" s="323">
        <v>0</v>
      </c>
      <c r="J349" s="323">
        <v>0</v>
      </c>
      <c r="K349" s="323">
        <v>0</v>
      </c>
      <c r="L349" s="323">
        <v>0</v>
      </c>
      <c r="M349" s="323">
        <v>19281.760670645799</v>
      </c>
      <c r="N349" s="253"/>
      <c r="P349" s="279">
        <v>201</v>
      </c>
      <c r="Q349" s="312"/>
      <c r="R349" s="497">
        <v>44866</v>
      </c>
      <c r="S349" s="498">
        <f t="shared" si="10"/>
        <v>19281.760670645799</v>
      </c>
      <c r="T349" s="258">
        <v>0</v>
      </c>
    </row>
    <row r="350" spans="1:20" ht="11.85" customHeight="1" x14ac:dyDescent="0.25">
      <c r="A350" s="492">
        <v>44910</v>
      </c>
      <c r="B350" s="252" t="s">
        <v>695</v>
      </c>
      <c r="C350" s="252" t="s">
        <v>696</v>
      </c>
      <c r="D350" s="252" t="s">
        <v>473</v>
      </c>
      <c r="E350" s="252" t="s">
        <v>721</v>
      </c>
      <c r="F350" s="252" t="s">
        <v>460</v>
      </c>
      <c r="G350" s="323">
        <v>19607.622452726609</v>
      </c>
      <c r="H350" s="253">
        <v>19281.760670645799</v>
      </c>
      <c r="I350" s="323">
        <v>0</v>
      </c>
      <c r="J350" s="323">
        <v>0</v>
      </c>
      <c r="K350" s="323">
        <v>0</v>
      </c>
      <c r="L350" s="323">
        <v>0</v>
      </c>
      <c r="M350" s="323">
        <v>19281.760670645799</v>
      </c>
      <c r="N350" s="253"/>
      <c r="P350" s="279">
        <v>201</v>
      </c>
      <c r="Q350" s="312"/>
      <c r="R350" s="497">
        <v>44896</v>
      </c>
      <c r="S350" s="498">
        <f t="shared" si="10"/>
        <v>19281.760670645799</v>
      </c>
      <c r="T350" s="258">
        <v>0</v>
      </c>
    </row>
    <row r="351" spans="1:20" ht="11.85" customHeight="1" x14ac:dyDescent="0.25">
      <c r="A351" s="492">
        <v>44941</v>
      </c>
      <c r="B351" s="252" t="s">
        <v>695</v>
      </c>
      <c r="C351" s="252" t="s">
        <v>696</v>
      </c>
      <c r="D351" s="252" t="s">
        <v>473</v>
      </c>
      <c r="E351" s="252" t="s">
        <v>722</v>
      </c>
      <c r="F351" s="252" t="s">
        <v>460</v>
      </c>
      <c r="G351" s="323">
        <v>19607.622452726609</v>
      </c>
      <c r="H351" s="253">
        <v>19281.760670645799</v>
      </c>
      <c r="I351" s="323">
        <v>0</v>
      </c>
      <c r="J351" s="323">
        <v>0</v>
      </c>
      <c r="K351" s="323">
        <v>0</v>
      </c>
      <c r="L351" s="323">
        <v>0</v>
      </c>
      <c r="M351" s="323">
        <v>19281.760670645799</v>
      </c>
      <c r="N351" s="253"/>
      <c r="P351" s="279">
        <v>201</v>
      </c>
      <c r="Q351" s="312"/>
      <c r="R351" s="497">
        <v>44927</v>
      </c>
      <c r="S351" s="498">
        <f t="shared" si="10"/>
        <v>19281.760670645799</v>
      </c>
      <c r="T351" s="258">
        <v>0</v>
      </c>
    </row>
    <row r="352" spans="1:20" ht="11.85" customHeight="1" x14ac:dyDescent="0.25">
      <c r="A352" s="492">
        <v>44972</v>
      </c>
      <c r="B352" s="252" t="s">
        <v>695</v>
      </c>
      <c r="C352" s="252" t="s">
        <v>696</v>
      </c>
      <c r="D352" s="252" t="s">
        <v>473</v>
      </c>
      <c r="E352" s="252" t="s">
        <v>723</v>
      </c>
      <c r="F352" s="252" t="s">
        <v>460</v>
      </c>
      <c r="G352" s="323">
        <v>19607.622452726609</v>
      </c>
      <c r="H352" s="253">
        <v>19281.760670645799</v>
      </c>
      <c r="I352" s="323">
        <v>0</v>
      </c>
      <c r="J352" s="323">
        <v>0</v>
      </c>
      <c r="K352" s="323">
        <v>0</v>
      </c>
      <c r="L352" s="323">
        <v>0</v>
      </c>
      <c r="M352" s="323">
        <v>19281.760670645799</v>
      </c>
      <c r="N352" s="253"/>
      <c r="P352" s="279">
        <v>201</v>
      </c>
      <c r="Q352" s="312"/>
      <c r="R352" s="497">
        <v>44958</v>
      </c>
      <c r="S352" s="498">
        <f t="shared" si="10"/>
        <v>19281.760670645799</v>
      </c>
      <c r="T352" s="258">
        <v>0</v>
      </c>
    </row>
    <row r="353" spans="1:20" ht="11.85" customHeight="1" x14ac:dyDescent="0.25">
      <c r="A353" s="492">
        <v>45000</v>
      </c>
      <c r="B353" s="252" t="s">
        <v>695</v>
      </c>
      <c r="C353" s="252" t="s">
        <v>696</v>
      </c>
      <c r="D353" s="252" t="s">
        <v>473</v>
      </c>
      <c r="E353" s="252" t="s">
        <v>724</v>
      </c>
      <c r="F353" s="252" t="s">
        <v>460</v>
      </c>
      <c r="G353" s="323">
        <v>19607.622452726609</v>
      </c>
      <c r="H353" s="253">
        <v>19281.760670645799</v>
      </c>
      <c r="I353" s="323">
        <v>0</v>
      </c>
      <c r="J353" s="323">
        <v>0</v>
      </c>
      <c r="K353" s="323">
        <v>0</v>
      </c>
      <c r="L353" s="323">
        <v>0</v>
      </c>
      <c r="M353" s="323">
        <v>19281.760670645799</v>
      </c>
      <c r="N353" s="253"/>
      <c r="P353" s="279">
        <v>201</v>
      </c>
      <c r="Q353" s="312"/>
      <c r="R353" s="497">
        <v>44986</v>
      </c>
      <c r="S353" s="498">
        <f t="shared" si="10"/>
        <v>19281.760670645799</v>
      </c>
      <c r="T353" s="258">
        <v>0</v>
      </c>
    </row>
    <row r="354" spans="1:20" ht="11.85" customHeight="1" x14ac:dyDescent="0.25">
      <c r="A354" s="492">
        <v>45021</v>
      </c>
      <c r="B354" s="252" t="s">
        <v>695</v>
      </c>
      <c r="C354" s="252" t="s">
        <v>696</v>
      </c>
      <c r="D354" s="252" t="s">
        <v>465</v>
      </c>
      <c r="E354" s="252" t="s">
        <v>466</v>
      </c>
      <c r="F354" s="252" t="s">
        <v>460</v>
      </c>
      <c r="G354" s="323">
        <v>2329908.4173159939</v>
      </c>
      <c r="H354" s="253">
        <v>2291187.3479572721</v>
      </c>
      <c r="I354" s="323">
        <v>0</v>
      </c>
      <c r="J354" s="323">
        <v>0</v>
      </c>
      <c r="K354" s="323">
        <v>0</v>
      </c>
      <c r="L354" s="323">
        <v>0</v>
      </c>
      <c r="M354" s="323">
        <v>2291187.3479572721</v>
      </c>
      <c r="N354" s="253"/>
      <c r="P354" s="279">
        <v>201</v>
      </c>
      <c r="Q354" s="312"/>
      <c r="R354" s="497">
        <v>45017</v>
      </c>
      <c r="S354" s="498">
        <f t="shared" si="10"/>
        <v>2291187.3479572721</v>
      </c>
      <c r="T354" s="258">
        <v>0</v>
      </c>
    </row>
    <row r="355" spans="1:20" ht="11.85" customHeight="1" x14ac:dyDescent="0.25">
      <c r="A355" s="492">
        <v>45031</v>
      </c>
      <c r="B355" s="252" t="s">
        <v>695</v>
      </c>
      <c r="C355" s="252" t="s">
        <v>696</v>
      </c>
      <c r="D355" s="252" t="s">
        <v>473</v>
      </c>
      <c r="E355" s="252" t="s">
        <v>725</v>
      </c>
      <c r="F355" s="252" t="s">
        <v>460</v>
      </c>
      <c r="G355" s="323">
        <v>19607.622452726609</v>
      </c>
      <c r="H355" s="253">
        <v>19281.760670645799</v>
      </c>
      <c r="I355" s="323">
        <v>0</v>
      </c>
      <c r="J355" s="323">
        <v>0</v>
      </c>
      <c r="K355" s="323">
        <v>0</v>
      </c>
      <c r="L355" s="323">
        <v>0</v>
      </c>
      <c r="M355" s="323">
        <v>19281.760670645799</v>
      </c>
      <c r="N355" s="253"/>
      <c r="P355" s="279">
        <v>201</v>
      </c>
      <c r="Q355" s="312"/>
      <c r="R355" s="497">
        <v>45017</v>
      </c>
      <c r="S355" s="498">
        <f t="shared" si="10"/>
        <v>19281.760670645799</v>
      </c>
      <c r="T355" s="258">
        <v>0</v>
      </c>
    </row>
    <row r="356" spans="1:20" ht="11.85" customHeight="1" x14ac:dyDescent="0.25">
      <c r="A356" s="492">
        <v>45174</v>
      </c>
      <c r="B356" s="252" t="s">
        <v>695</v>
      </c>
      <c r="C356" s="252" t="s">
        <v>696</v>
      </c>
      <c r="D356" s="252" t="s">
        <v>467</v>
      </c>
      <c r="E356" s="252" t="s">
        <v>466</v>
      </c>
      <c r="F356" s="252" t="s">
        <v>460</v>
      </c>
      <c r="G356" s="323">
        <v>1045.739864145419</v>
      </c>
      <c r="H356" s="253">
        <v>1028.3605691011089</v>
      </c>
      <c r="I356" s="323">
        <v>0</v>
      </c>
      <c r="J356" s="323">
        <v>0</v>
      </c>
      <c r="K356" s="323">
        <v>0</v>
      </c>
      <c r="L356" s="323">
        <v>0</v>
      </c>
      <c r="M356" s="323">
        <v>1028.3605691011089</v>
      </c>
      <c r="N356" s="253"/>
      <c r="P356" s="279">
        <v>201</v>
      </c>
      <c r="Q356" s="312"/>
      <c r="R356" s="497">
        <v>45170</v>
      </c>
      <c r="S356" s="498">
        <f t="shared" si="10"/>
        <v>1028.3605691011089</v>
      </c>
      <c r="T356" s="258">
        <v>0</v>
      </c>
    </row>
    <row r="357" spans="1:20" ht="11.85" customHeight="1" x14ac:dyDescent="0.25">
      <c r="A357" s="492">
        <v>44175</v>
      </c>
      <c r="B357" s="252" t="s">
        <v>726</v>
      </c>
      <c r="C357" s="252" t="s">
        <v>727</v>
      </c>
      <c r="D357" s="252" t="s">
        <v>458</v>
      </c>
      <c r="E357" s="252" t="s">
        <v>728</v>
      </c>
      <c r="F357" s="252" t="s">
        <v>460</v>
      </c>
      <c r="G357" s="323">
        <v>26227.15575783145</v>
      </c>
      <c r="H357" s="253">
        <v>25791.28303870076</v>
      </c>
      <c r="I357" s="323">
        <v>0</v>
      </c>
      <c r="J357" s="323">
        <v>0</v>
      </c>
      <c r="K357" s="323">
        <v>0</v>
      </c>
      <c r="L357" s="323">
        <v>0</v>
      </c>
      <c r="M357" s="323">
        <v>25791.28303870076</v>
      </c>
      <c r="N357" s="253"/>
      <c r="P357" s="279">
        <v>211</v>
      </c>
      <c r="Q357" s="312"/>
      <c r="R357" s="497">
        <v>44166</v>
      </c>
      <c r="S357" s="498">
        <f t="shared" si="10"/>
        <v>25791.28303870076</v>
      </c>
      <c r="T357" s="258">
        <v>0</v>
      </c>
    </row>
    <row r="358" spans="1:20" ht="11.85" customHeight="1" x14ac:dyDescent="0.25">
      <c r="A358" s="492">
        <v>44206</v>
      </c>
      <c r="B358" s="252" t="s">
        <v>726</v>
      </c>
      <c r="C358" s="252" t="s">
        <v>727</v>
      </c>
      <c r="D358" s="252" t="s">
        <v>458</v>
      </c>
      <c r="E358" s="252" t="s">
        <v>729</v>
      </c>
      <c r="F358" s="252" t="s">
        <v>460</v>
      </c>
      <c r="G358" s="323">
        <v>26227.15575783145</v>
      </c>
      <c r="H358" s="253">
        <v>25791.28303870076</v>
      </c>
      <c r="I358" s="323">
        <v>0</v>
      </c>
      <c r="J358" s="323">
        <v>0</v>
      </c>
      <c r="K358" s="323">
        <v>0</v>
      </c>
      <c r="L358" s="323">
        <v>0</v>
      </c>
      <c r="M358" s="323">
        <v>25791.28303870076</v>
      </c>
      <c r="N358" s="253"/>
      <c r="P358" s="279">
        <v>211</v>
      </c>
      <c r="Q358" s="312"/>
      <c r="R358" s="497">
        <v>44197</v>
      </c>
      <c r="S358" s="498">
        <f t="shared" si="10"/>
        <v>25791.28303870076</v>
      </c>
      <c r="T358" s="258">
        <v>0</v>
      </c>
    </row>
    <row r="359" spans="1:20" ht="11.85" customHeight="1" x14ac:dyDescent="0.25">
      <c r="A359" s="492">
        <v>44206</v>
      </c>
      <c r="B359" s="252" t="s">
        <v>726</v>
      </c>
      <c r="C359" s="252" t="s">
        <v>727</v>
      </c>
      <c r="D359" s="252" t="s">
        <v>471</v>
      </c>
      <c r="E359" s="252" t="s">
        <v>601</v>
      </c>
      <c r="F359" s="252" t="s">
        <v>460</v>
      </c>
      <c r="G359" s="323">
        <v>419634.49212530331</v>
      </c>
      <c r="H359" s="253">
        <v>412660.52861921221</v>
      </c>
      <c r="I359" s="323">
        <v>0</v>
      </c>
      <c r="J359" s="323">
        <v>0</v>
      </c>
      <c r="K359" s="323">
        <v>0</v>
      </c>
      <c r="L359" s="323">
        <v>0</v>
      </c>
      <c r="M359" s="323">
        <v>412660.52861921221</v>
      </c>
      <c r="N359" s="253"/>
      <c r="P359" s="279">
        <v>211</v>
      </c>
      <c r="Q359" s="312"/>
      <c r="R359" s="497">
        <v>44197</v>
      </c>
      <c r="S359" s="498">
        <f t="shared" si="10"/>
        <v>412660.52861921221</v>
      </c>
      <c r="T359" s="258">
        <v>0</v>
      </c>
    </row>
    <row r="360" spans="1:20" ht="11.85" customHeight="1" x14ac:dyDescent="0.25">
      <c r="A360" s="492">
        <v>44237</v>
      </c>
      <c r="B360" s="252" t="s">
        <v>726</v>
      </c>
      <c r="C360" s="252" t="s">
        <v>727</v>
      </c>
      <c r="D360" s="252" t="s">
        <v>458</v>
      </c>
      <c r="E360" s="252" t="s">
        <v>730</v>
      </c>
      <c r="F360" s="252" t="s">
        <v>460</v>
      </c>
      <c r="G360" s="323">
        <v>26227.15575783145</v>
      </c>
      <c r="H360" s="253">
        <v>25791.28303870076</v>
      </c>
      <c r="I360" s="323">
        <v>0</v>
      </c>
      <c r="J360" s="323">
        <v>0</v>
      </c>
      <c r="K360" s="323">
        <v>0</v>
      </c>
      <c r="L360" s="323">
        <v>0</v>
      </c>
      <c r="M360" s="323">
        <v>25791.28303870076</v>
      </c>
      <c r="N360" s="253"/>
      <c r="P360" s="279">
        <v>211</v>
      </c>
      <c r="Q360" s="312"/>
      <c r="R360" s="497">
        <v>44228</v>
      </c>
      <c r="S360" s="498">
        <f t="shared" si="10"/>
        <v>25791.28303870076</v>
      </c>
      <c r="T360" s="258">
        <v>0</v>
      </c>
    </row>
    <row r="361" spans="1:20" ht="11.85" customHeight="1" x14ac:dyDescent="0.25">
      <c r="A361" s="492">
        <v>44265</v>
      </c>
      <c r="B361" s="252" t="s">
        <v>726</v>
      </c>
      <c r="C361" s="252" t="s">
        <v>727</v>
      </c>
      <c r="D361" s="252" t="s">
        <v>458</v>
      </c>
      <c r="E361" s="252" t="s">
        <v>731</v>
      </c>
      <c r="F361" s="252" t="s">
        <v>460</v>
      </c>
      <c r="G361" s="323">
        <v>26227.15575783145</v>
      </c>
      <c r="H361" s="253">
        <v>25791.28303870076</v>
      </c>
      <c r="I361" s="323">
        <v>0</v>
      </c>
      <c r="J361" s="323">
        <v>0</v>
      </c>
      <c r="K361" s="323">
        <v>0</v>
      </c>
      <c r="L361" s="323">
        <v>0</v>
      </c>
      <c r="M361" s="323">
        <v>25791.28303870076</v>
      </c>
      <c r="N361" s="253"/>
      <c r="P361" s="279">
        <v>211</v>
      </c>
      <c r="Q361" s="312"/>
      <c r="R361" s="497">
        <v>44256</v>
      </c>
      <c r="S361" s="498">
        <f t="shared" si="10"/>
        <v>25791.28303870076</v>
      </c>
      <c r="T361" s="258">
        <v>0</v>
      </c>
    </row>
    <row r="362" spans="1:20" ht="11.85" customHeight="1" x14ac:dyDescent="0.25">
      <c r="A362" s="492">
        <v>44296</v>
      </c>
      <c r="B362" s="252" t="s">
        <v>726</v>
      </c>
      <c r="C362" s="252" t="s">
        <v>727</v>
      </c>
      <c r="D362" s="252" t="s">
        <v>458</v>
      </c>
      <c r="E362" s="252" t="s">
        <v>732</v>
      </c>
      <c r="F362" s="252" t="s">
        <v>460</v>
      </c>
      <c r="G362" s="323">
        <v>26227.15575783145</v>
      </c>
      <c r="H362" s="253">
        <v>25791.28303870076</v>
      </c>
      <c r="I362" s="323">
        <v>0</v>
      </c>
      <c r="J362" s="323">
        <v>0</v>
      </c>
      <c r="K362" s="323">
        <v>0</v>
      </c>
      <c r="L362" s="323">
        <v>0</v>
      </c>
      <c r="M362" s="323">
        <v>25791.28303870076</v>
      </c>
      <c r="N362" s="253"/>
      <c r="P362" s="279">
        <v>211</v>
      </c>
      <c r="Q362" s="312"/>
      <c r="R362" s="497">
        <v>44287</v>
      </c>
      <c r="S362" s="498">
        <f t="shared" si="10"/>
        <v>25791.28303870076</v>
      </c>
      <c r="T362" s="258">
        <v>0</v>
      </c>
    </row>
    <row r="363" spans="1:20" ht="11.85" customHeight="1" x14ac:dyDescent="0.25">
      <c r="A363" s="492">
        <v>44326</v>
      </c>
      <c r="B363" s="252" t="s">
        <v>726</v>
      </c>
      <c r="C363" s="252" t="s">
        <v>727</v>
      </c>
      <c r="D363" s="252" t="s">
        <v>458</v>
      </c>
      <c r="E363" s="252" t="s">
        <v>733</v>
      </c>
      <c r="F363" s="252" t="s">
        <v>460</v>
      </c>
      <c r="G363" s="323">
        <v>26227.15575783145</v>
      </c>
      <c r="H363" s="253">
        <v>25791.28303870076</v>
      </c>
      <c r="I363" s="323">
        <v>0</v>
      </c>
      <c r="J363" s="323">
        <v>0</v>
      </c>
      <c r="K363" s="323">
        <v>0</v>
      </c>
      <c r="L363" s="323">
        <v>0</v>
      </c>
      <c r="M363" s="323">
        <v>25791.28303870076</v>
      </c>
      <c r="N363" s="253"/>
      <c r="P363" s="279">
        <v>211</v>
      </c>
      <c r="Q363" s="312"/>
      <c r="R363" s="497">
        <v>44317</v>
      </c>
      <c r="S363" s="498">
        <f t="shared" si="10"/>
        <v>25791.28303870076</v>
      </c>
      <c r="T363" s="258">
        <v>0</v>
      </c>
    </row>
    <row r="364" spans="1:20" ht="11.85" customHeight="1" x14ac:dyDescent="0.25">
      <c r="A364" s="492">
        <v>44357</v>
      </c>
      <c r="B364" s="252" t="s">
        <v>726</v>
      </c>
      <c r="C364" s="252" t="s">
        <v>727</v>
      </c>
      <c r="D364" s="252" t="s">
        <v>458</v>
      </c>
      <c r="E364" s="252" t="s">
        <v>734</v>
      </c>
      <c r="F364" s="252" t="s">
        <v>460</v>
      </c>
      <c r="G364" s="323">
        <v>26227.15575783145</v>
      </c>
      <c r="H364" s="253">
        <v>25791.28303870076</v>
      </c>
      <c r="I364" s="323">
        <v>0</v>
      </c>
      <c r="J364" s="323">
        <v>0</v>
      </c>
      <c r="K364" s="323">
        <v>0</v>
      </c>
      <c r="L364" s="323">
        <v>0</v>
      </c>
      <c r="M364" s="323">
        <v>25791.28303870076</v>
      </c>
      <c r="N364" s="253"/>
      <c r="P364" s="279">
        <v>211</v>
      </c>
      <c r="Q364" s="312"/>
      <c r="R364" s="497">
        <v>44348</v>
      </c>
      <c r="S364" s="498">
        <f t="shared" si="10"/>
        <v>25791.28303870076</v>
      </c>
      <c r="T364" s="258">
        <v>0</v>
      </c>
    </row>
    <row r="365" spans="1:20" ht="11.85" customHeight="1" x14ac:dyDescent="0.25">
      <c r="A365" s="492">
        <v>44387</v>
      </c>
      <c r="B365" s="252" t="s">
        <v>726</v>
      </c>
      <c r="C365" s="252" t="s">
        <v>727</v>
      </c>
      <c r="D365" s="252" t="s">
        <v>458</v>
      </c>
      <c r="E365" s="252" t="s">
        <v>735</v>
      </c>
      <c r="F365" s="252" t="s">
        <v>460</v>
      </c>
      <c r="G365" s="323">
        <v>26227.15575783145</v>
      </c>
      <c r="H365" s="253">
        <v>25791.28303870076</v>
      </c>
      <c r="I365" s="323">
        <v>0</v>
      </c>
      <c r="J365" s="323">
        <v>0</v>
      </c>
      <c r="K365" s="323">
        <v>0</v>
      </c>
      <c r="L365" s="323">
        <v>0</v>
      </c>
      <c r="M365" s="323">
        <v>25791.28303870076</v>
      </c>
      <c r="N365" s="253"/>
      <c r="P365" s="279">
        <v>211</v>
      </c>
      <c r="Q365" s="312"/>
      <c r="R365" s="497">
        <v>44378</v>
      </c>
      <c r="S365" s="498">
        <f t="shared" si="10"/>
        <v>25791.28303870076</v>
      </c>
      <c r="T365" s="258">
        <v>0</v>
      </c>
    </row>
    <row r="366" spans="1:20" ht="11.85" customHeight="1" x14ac:dyDescent="0.25">
      <c r="A366" s="492">
        <v>44418</v>
      </c>
      <c r="B366" s="252" t="s">
        <v>726</v>
      </c>
      <c r="C366" s="252" t="s">
        <v>727</v>
      </c>
      <c r="D366" s="252" t="s">
        <v>458</v>
      </c>
      <c r="E366" s="252" t="s">
        <v>736</v>
      </c>
      <c r="F366" s="252" t="s">
        <v>460</v>
      </c>
      <c r="G366" s="323">
        <v>26227.15575783145</v>
      </c>
      <c r="H366" s="253">
        <v>25791.28303870076</v>
      </c>
      <c r="I366" s="323">
        <v>0</v>
      </c>
      <c r="J366" s="323">
        <v>0</v>
      </c>
      <c r="K366" s="323">
        <v>0</v>
      </c>
      <c r="L366" s="323">
        <v>0</v>
      </c>
      <c r="M366" s="323">
        <v>25791.28303870076</v>
      </c>
      <c r="N366" s="253"/>
      <c r="P366" s="279">
        <v>211</v>
      </c>
      <c r="Q366" s="312"/>
      <c r="R366" s="497">
        <v>44409</v>
      </c>
      <c r="S366" s="498">
        <f t="shared" si="10"/>
        <v>25791.28303870076</v>
      </c>
      <c r="T366" s="258">
        <v>0</v>
      </c>
    </row>
    <row r="367" spans="1:20" ht="11.85" customHeight="1" x14ac:dyDescent="0.25">
      <c r="A367" s="492">
        <v>44449</v>
      </c>
      <c r="B367" s="252" t="s">
        <v>726</v>
      </c>
      <c r="C367" s="252" t="s">
        <v>727</v>
      </c>
      <c r="D367" s="252" t="s">
        <v>458</v>
      </c>
      <c r="E367" s="252" t="s">
        <v>737</v>
      </c>
      <c r="F367" s="252" t="s">
        <v>460</v>
      </c>
      <c r="G367" s="323">
        <v>26227.15575783145</v>
      </c>
      <c r="H367" s="253">
        <v>25791.28303870076</v>
      </c>
      <c r="I367" s="323">
        <v>0</v>
      </c>
      <c r="J367" s="323">
        <v>0</v>
      </c>
      <c r="K367" s="323">
        <v>0</v>
      </c>
      <c r="L367" s="323">
        <v>0</v>
      </c>
      <c r="M367" s="323">
        <v>25791.28303870076</v>
      </c>
      <c r="N367" s="253"/>
      <c r="P367" s="279">
        <v>211</v>
      </c>
      <c r="Q367" s="312"/>
      <c r="R367" s="497">
        <v>44440</v>
      </c>
      <c r="S367" s="498">
        <f t="shared" si="10"/>
        <v>25791.28303870076</v>
      </c>
      <c r="T367" s="258">
        <v>0</v>
      </c>
    </row>
    <row r="368" spans="1:20" ht="11.85" customHeight="1" x14ac:dyDescent="0.25">
      <c r="A368" s="492">
        <v>44479</v>
      </c>
      <c r="B368" s="252" t="s">
        <v>726</v>
      </c>
      <c r="C368" s="252" t="s">
        <v>727</v>
      </c>
      <c r="D368" s="252" t="s">
        <v>458</v>
      </c>
      <c r="E368" s="252" t="s">
        <v>738</v>
      </c>
      <c r="F368" s="252" t="s">
        <v>460</v>
      </c>
      <c r="G368" s="323">
        <v>26227.15575783145</v>
      </c>
      <c r="H368" s="253">
        <v>25791.28303870076</v>
      </c>
      <c r="I368" s="323">
        <v>0</v>
      </c>
      <c r="J368" s="323">
        <v>0</v>
      </c>
      <c r="K368" s="323">
        <v>0</v>
      </c>
      <c r="L368" s="323">
        <v>0</v>
      </c>
      <c r="M368" s="323">
        <v>25791.28303870076</v>
      </c>
      <c r="N368" s="253"/>
      <c r="P368" s="279">
        <v>211</v>
      </c>
      <c r="Q368" s="312"/>
      <c r="R368" s="497">
        <v>44470</v>
      </c>
      <c r="S368" s="498">
        <f t="shared" si="10"/>
        <v>25791.28303870076</v>
      </c>
      <c r="T368" s="258">
        <v>0</v>
      </c>
    </row>
    <row r="369" spans="1:20" ht="11.85" customHeight="1" x14ac:dyDescent="0.25">
      <c r="A369" s="492">
        <v>44510</v>
      </c>
      <c r="B369" s="252" t="s">
        <v>726</v>
      </c>
      <c r="C369" s="252" t="s">
        <v>727</v>
      </c>
      <c r="D369" s="252" t="s">
        <v>458</v>
      </c>
      <c r="E369" s="252" t="s">
        <v>739</v>
      </c>
      <c r="F369" s="252" t="s">
        <v>460</v>
      </c>
      <c r="G369" s="323">
        <v>26227.15575783145</v>
      </c>
      <c r="H369" s="253">
        <v>25791.28303870076</v>
      </c>
      <c r="I369" s="323">
        <v>0</v>
      </c>
      <c r="J369" s="323">
        <v>0</v>
      </c>
      <c r="K369" s="323">
        <v>0</v>
      </c>
      <c r="L369" s="323">
        <v>0</v>
      </c>
      <c r="M369" s="323">
        <v>25791.28303870076</v>
      </c>
      <c r="N369" s="253"/>
      <c r="P369" s="279">
        <v>211</v>
      </c>
      <c r="Q369" s="312"/>
      <c r="R369" s="497">
        <v>44501</v>
      </c>
      <c r="S369" s="498">
        <f t="shared" si="10"/>
        <v>25791.28303870076</v>
      </c>
      <c r="T369" s="258">
        <v>0</v>
      </c>
    </row>
    <row r="370" spans="1:20" ht="11.85" customHeight="1" x14ac:dyDescent="0.25">
      <c r="A370" s="492">
        <v>44540</v>
      </c>
      <c r="B370" s="252" t="s">
        <v>726</v>
      </c>
      <c r="C370" s="252" t="s">
        <v>727</v>
      </c>
      <c r="D370" s="252" t="s">
        <v>458</v>
      </c>
      <c r="E370" s="252" t="s">
        <v>740</v>
      </c>
      <c r="F370" s="252" t="s">
        <v>460</v>
      </c>
      <c r="G370" s="323">
        <v>26227.15575783145</v>
      </c>
      <c r="H370" s="253">
        <v>25791.28303870076</v>
      </c>
      <c r="I370" s="323">
        <v>0</v>
      </c>
      <c r="J370" s="323">
        <v>0</v>
      </c>
      <c r="K370" s="323">
        <v>0</v>
      </c>
      <c r="L370" s="323">
        <v>0</v>
      </c>
      <c r="M370" s="323">
        <v>25791.28303870076</v>
      </c>
      <c r="N370" s="253"/>
      <c r="P370" s="279">
        <v>211</v>
      </c>
      <c r="Q370" s="312"/>
      <c r="R370" s="497">
        <v>44531</v>
      </c>
      <c r="S370" s="498">
        <f t="shared" si="10"/>
        <v>25791.28303870076</v>
      </c>
      <c r="T370" s="258">
        <v>0</v>
      </c>
    </row>
    <row r="371" spans="1:20" ht="11.85" customHeight="1" x14ac:dyDescent="0.25">
      <c r="A371" s="492">
        <v>44571</v>
      </c>
      <c r="B371" s="252" t="s">
        <v>726</v>
      </c>
      <c r="C371" s="252" t="s">
        <v>727</v>
      </c>
      <c r="D371" s="252" t="s">
        <v>458</v>
      </c>
      <c r="E371" s="252" t="s">
        <v>741</v>
      </c>
      <c r="F371" s="252" t="s">
        <v>460</v>
      </c>
      <c r="G371" s="323">
        <v>26227.15575783145</v>
      </c>
      <c r="H371" s="253">
        <v>25791.28303870076</v>
      </c>
      <c r="I371" s="323">
        <v>0</v>
      </c>
      <c r="J371" s="323">
        <v>0</v>
      </c>
      <c r="K371" s="323">
        <v>0</v>
      </c>
      <c r="L371" s="323">
        <v>0</v>
      </c>
      <c r="M371" s="323">
        <v>25791.28303870076</v>
      </c>
      <c r="N371" s="253"/>
      <c r="P371" s="279">
        <v>211</v>
      </c>
      <c r="Q371" s="312"/>
      <c r="R371" s="497">
        <v>44562</v>
      </c>
      <c r="S371" s="498">
        <f t="shared" si="10"/>
        <v>25791.28303870076</v>
      </c>
      <c r="T371" s="258">
        <v>0</v>
      </c>
    </row>
    <row r="372" spans="1:20" ht="11.85" customHeight="1" x14ac:dyDescent="0.25">
      <c r="A372" s="492">
        <v>44571</v>
      </c>
      <c r="B372" s="252" t="s">
        <v>726</v>
      </c>
      <c r="C372" s="252" t="s">
        <v>727</v>
      </c>
      <c r="D372" s="252" t="s">
        <v>471</v>
      </c>
      <c r="E372" s="252" t="s">
        <v>564</v>
      </c>
      <c r="F372" s="252" t="s">
        <v>460</v>
      </c>
      <c r="G372" s="323">
        <v>419634.49212530331</v>
      </c>
      <c r="H372" s="253">
        <v>412660.52861921221</v>
      </c>
      <c r="I372" s="323">
        <v>0</v>
      </c>
      <c r="J372" s="323">
        <v>0</v>
      </c>
      <c r="K372" s="323">
        <v>0</v>
      </c>
      <c r="L372" s="323">
        <v>0</v>
      </c>
      <c r="M372" s="323">
        <v>412660.52861921221</v>
      </c>
      <c r="N372" s="253"/>
      <c r="P372" s="279">
        <v>211</v>
      </c>
      <c r="Q372" s="312"/>
      <c r="R372" s="497">
        <v>44562</v>
      </c>
      <c r="S372" s="498">
        <f t="shared" si="10"/>
        <v>412660.52861921221</v>
      </c>
      <c r="T372" s="258">
        <v>0</v>
      </c>
    </row>
    <row r="373" spans="1:20" ht="11.85" customHeight="1" x14ac:dyDescent="0.25">
      <c r="A373" s="492">
        <v>44602</v>
      </c>
      <c r="B373" s="252" t="s">
        <v>726</v>
      </c>
      <c r="C373" s="252" t="s">
        <v>727</v>
      </c>
      <c r="D373" s="252" t="s">
        <v>458</v>
      </c>
      <c r="E373" s="252" t="s">
        <v>742</v>
      </c>
      <c r="F373" s="252" t="s">
        <v>460</v>
      </c>
      <c r="G373" s="323">
        <v>26227.15575783145</v>
      </c>
      <c r="H373" s="253">
        <v>25791.28303870076</v>
      </c>
      <c r="I373" s="323">
        <v>0</v>
      </c>
      <c r="J373" s="323">
        <v>0</v>
      </c>
      <c r="K373" s="323">
        <v>0</v>
      </c>
      <c r="L373" s="323">
        <v>0</v>
      </c>
      <c r="M373" s="323">
        <v>25791.28303870076</v>
      </c>
      <c r="N373" s="253"/>
      <c r="P373" s="279">
        <v>211</v>
      </c>
      <c r="Q373" s="312"/>
      <c r="R373" s="497">
        <v>44593</v>
      </c>
      <c r="S373" s="498">
        <f t="shared" si="10"/>
        <v>25791.28303870076</v>
      </c>
      <c r="T373" s="258">
        <v>0</v>
      </c>
    </row>
    <row r="374" spans="1:20" ht="11.85" customHeight="1" x14ac:dyDescent="0.25">
      <c r="A374" s="492">
        <v>44630</v>
      </c>
      <c r="B374" s="252" t="s">
        <v>726</v>
      </c>
      <c r="C374" s="252" t="s">
        <v>727</v>
      </c>
      <c r="D374" s="252" t="s">
        <v>458</v>
      </c>
      <c r="E374" s="252" t="s">
        <v>743</v>
      </c>
      <c r="F374" s="252" t="s">
        <v>460</v>
      </c>
      <c r="G374" s="323">
        <v>26227.15575783145</v>
      </c>
      <c r="H374" s="253">
        <v>25791.28303870076</v>
      </c>
      <c r="I374" s="323">
        <v>0</v>
      </c>
      <c r="J374" s="323">
        <v>0</v>
      </c>
      <c r="K374" s="323">
        <v>0</v>
      </c>
      <c r="L374" s="323">
        <v>0</v>
      </c>
      <c r="M374" s="323">
        <v>25791.28303870076</v>
      </c>
      <c r="N374" s="253"/>
      <c r="P374" s="279">
        <v>211</v>
      </c>
      <c r="Q374" s="312"/>
      <c r="R374" s="497">
        <v>44621</v>
      </c>
      <c r="S374" s="498">
        <f t="shared" si="10"/>
        <v>25791.28303870076</v>
      </c>
      <c r="T374" s="258">
        <v>0</v>
      </c>
    </row>
    <row r="375" spans="1:20" ht="11.85" customHeight="1" x14ac:dyDescent="0.25">
      <c r="A375" s="492">
        <v>44661</v>
      </c>
      <c r="B375" s="252" t="s">
        <v>726</v>
      </c>
      <c r="C375" s="252" t="s">
        <v>727</v>
      </c>
      <c r="D375" s="252" t="s">
        <v>458</v>
      </c>
      <c r="E375" s="252" t="s">
        <v>744</v>
      </c>
      <c r="F375" s="252" t="s">
        <v>460</v>
      </c>
      <c r="G375" s="323">
        <v>26227.15575783145</v>
      </c>
      <c r="H375" s="253">
        <v>25791.28303870076</v>
      </c>
      <c r="I375" s="323">
        <v>0</v>
      </c>
      <c r="J375" s="323">
        <v>0</v>
      </c>
      <c r="K375" s="323">
        <v>0</v>
      </c>
      <c r="L375" s="323">
        <v>0</v>
      </c>
      <c r="M375" s="323">
        <v>25791.28303870076</v>
      </c>
      <c r="N375" s="253"/>
      <c r="P375" s="279">
        <v>211</v>
      </c>
      <c r="Q375" s="312"/>
      <c r="R375" s="497">
        <v>44652</v>
      </c>
      <c r="S375" s="498">
        <f t="shared" si="10"/>
        <v>25791.28303870076</v>
      </c>
      <c r="T375" s="258">
        <v>0</v>
      </c>
    </row>
    <row r="376" spans="1:20" ht="11.85" customHeight="1" x14ac:dyDescent="0.25">
      <c r="A376" s="492">
        <v>44691</v>
      </c>
      <c r="B376" s="252" t="s">
        <v>726</v>
      </c>
      <c r="C376" s="252" t="s">
        <v>727</v>
      </c>
      <c r="D376" s="252" t="s">
        <v>458</v>
      </c>
      <c r="E376" s="252" t="s">
        <v>745</v>
      </c>
      <c r="F376" s="252" t="s">
        <v>460</v>
      </c>
      <c r="G376" s="323">
        <v>26227.15575783145</v>
      </c>
      <c r="H376" s="253">
        <v>25791.28303870076</v>
      </c>
      <c r="I376" s="323">
        <v>0</v>
      </c>
      <c r="J376" s="323">
        <v>0</v>
      </c>
      <c r="K376" s="323">
        <v>0</v>
      </c>
      <c r="L376" s="323">
        <v>0</v>
      </c>
      <c r="M376" s="323">
        <v>25791.28303870076</v>
      </c>
      <c r="N376" s="253"/>
      <c r="P376" s="279">
        <v>211</v>
      </c>
      <c r="Q376" s="312"/>
      <c r="R376" s="497">
        <v>44682</v>
      </c>
      <c r="S376" s="498">
        <f t="shared" si="10"/>
        <v>25791.28303870076</v>
      </c>
      <c r="T376" s="258">
        <v>0</v>
      </c>
    </row>
    <row r="377" spans="1:20" ht="11.85" customHeight="1" x14ac:dyDescent="0.25">
      <c r="A377" s="492">
        <v>44722</v>
      </c>
      <c r="B377" s="252" t="s">
        <v>726</v>
      </c>
      <c r="C377" s="252" t="s">
        <v>727</v>
      </c>
      <c r="D377" s="252" t="s">
        <v>458</v>
      </c>
      <c r="E377" s="252" t="s">
        <v>746</v>
      </c>
      <c r="F377" s="252" t="s">
        <v>460</v>
      </c>
      <c r="G377" s="323">
        <v>26227.15575783145</v>
      </c>
      <c r="H377" s="253">
        <v>25791.28303870076</v>
      </c>
      <c r="I377" s="323">
        <v>0</v>
      </c>
      <c r="J377" s="323">
        <v>0</v>
      </c>
      <c r="K377" s="323">
        <v>0</v>
      </c>
      <c r="L377" s="323">
        <v>0</v>
      </c>
      <c r="M377" s="323">
        <v>25791.28303870076</v>
      </c>
      <c r="N377" s="253"/>
      <c r="P377" s="279">
        <v>211</v>
      </c>
      <c r="Q377" s="312"/>
      <c r="R377" s="497">
        <v>44713</v>
      </c>
      <c r="S377" s="498">
        <f t="shared" si="10"/>
        <v>25791.28303870076</v>
      </c>
      <c r="T377" s="258">
        <v>0</v>
      </c>
    </row>
    <row r="378" spans="1:20" ht="11.85" customHeight="1" x14ac:dyDescent="0.25">
      <c r="A378" s="492">
        <v>44752</v>
      </c>
      <c r="B378" s="252" t="s">
        <v>726</v>
      </c>
      <c r="C378" s="252" t="s">
        <v>727</v>
      </c>
      <c r="D378" s="252" t="s">
        <v>458</v>
      </c>
      <c r="E378" s="252" t="s">
        <v>747</v>
      </c>
      <c r="F378" s="252" t="s">
        <v>460</v>
      </c>
      <c r="G378" s="323">
        <v>26227.15575783145</v>
      </c>
      <c r="H378" s="253">
        <v>25791.28303870076</v>
      </c>
      <c r="I378" s="323">
        <v>0</v>
      </c>
      <c r="J378" s="323">
        <v>0</v>
      </c>
      <c r="K378" s="323">
        <v>0</v>
      </c>
      <c r="L378" s="323">
        <v>0</v>
      </c>
      <c r="M378" s="323">
        <v>25791.28303870076</v>
      </c>
      <c r="N378" s="253"/>
      <c r="P378" s="279">
        <v>211</v>
      </c>
      <c r="Q378" s="312"/>
      <c r="R378" s="497">
        <v>44743</v>
      </c>
      <c r="S378" s="498">
        <f t="shared" si="10"/>
        <v>25791.28303870076</v>
      </c>
      <c r="T378" s="258">
        <v>0</v>
      </c>
    </row>
    <row r="379" spans="1:20" ht="11.85" customHeight="1" x14ac:dyDescent="0.25">
      <c r="A379" s="492">
        <v>44783</v>
      </c>
      <c r="B379" s="252" t="s">
        <v>726</v>
      </c>
      <c r="C379" s="252" t="s">
        <v>727</v>
      </c>
      <c r="D379" s="252" t="s">
        <v>458</v>
      </c>
      <c r="E379" s="252" t="s">
        <v>748</v>
      </c>
      <c r="F379" s="252" t="s">
        <v>460</v>
      </c>
      <c r="G379" s="323">
        <v>26227.15575783145</v>
      </c>
      <c r="H379" s="253">
        <v>25791.28303870076</v>
      </c>
      <c r="I379" s="323">
        <v>0</v>
      </c>
      <c r="J379" s="323">
        <v>0</v>
      </c>
      <c r="K379" s="323">
        <v>0</v>
      </c>
      <c r="L379" s="323">
        <v>0</v>
      </c>
      <c r="M379" s="323">
        <v>25791.28303870076</v>
      </c>
      <c r="N379" s="253"/>
      <c r="P379" s="279">
        <v>211</v>
      </c>
      <c r="Q379" s="312"/>
      <c r="R379" s="497">
        <v>44774</v>
      </c>
      <c r="S379" s="498">
        <f t="shared" si="10"/>
        <v>25791.28303870076</v>
      </c>
      <c r="T379" s="258">
        <v>0</v>
      </c>
    </row>
    <row r="380" spans="1:20" ht="11.85" customHeight="1" x14ac:dyDescent="0.25">
      <c r="A380" s="492">
        <v>44814</v>
      </c>
      <c r="B380" s="252" t="s">
        <v>726</v>
      </c>
      <c r="C380" s="252" t="s">
        <v>727</v>
      </c>
      <c r="D380" s="252" t="s">
        <v>458</v>
      </c>
      <c r="E380" s="252" t="s">
        <v>749</v>
      </c>
      <c r="F380" s="252" t="s">
        <v>460</v>
      </c>
      <c r="G380" s="323">
        <v>26227.15575783145</v>
      </c>
      <c r="H380" s="253">
        <v>25791.28303870076</v>
      </c>
      <c r="I380" s="323">
        <v>0</v>
      </c>
      <c r="J380" s="323">
        <v>0</v>
      </c>
      <c r="K380" s="323">
        <v>0</v>
      </c>
      <c r="L380" s="323">
        <v>0</v>
      </c>
      <c r="M380" s="323">
        <v>25791.28303870076</v>
      </c>
      <c r="N380" s="253"/>
      <c r="P380" s="279">
        <v>211</v>
      </c>
      <c r="Q380" s="312"/>
      <c r="R380" s="497">
        <v>44805</v>
      </c>
      <c r="S380" s="498">
        <f t="shared" si="10"/>
        <v>25791.28303870076</v>
      </c>
      <c r="T380" s="258">
        <v>0</v>
      </c>
    </row>
    <row r="381" spans="1:20" ht="11.85" customHeight="1" x14ac:dyDescent="0.25">
      <c r="A381" s="492">
        <v>44844</v>
      </c>
      <c r="B381" s="252" t="s">
        <v>726</v>
      </c>
      <c r="C381" s="252" t="s">
        <v>727</v>
      </c>
      <c r="D381" s="252" t="s">
        <v>458</v>
      </c>
      <c r="E381" s="252" t="s">
        <v>750</v>
      </c>
      <c r="F381" s="252" t="s">
        <v>460</v>
      </c>
      <c r="G381" s="323">
        <v>26227.15575783145</v>
      </c>
      <c r="H381" s="253">
        <v>25791.28303870076</v>
      </c>
      <c r="I381" s="323">
        <v>0</v>
      </c>
      <c r="J381" s="323">
        <v>0</v>
      </c>
      <c r="K381" s="323">
        <v>0</v>
      </c>
      <c r="L381" s="323">
        <v>0</v>
      </c>
      <c r="M381" s="323">
        <v>25791.28303870076</v>
      </c>
      <c r="N381" s="253"/>
      <c r="P381" s="279">
        <v>211</v>
      </c>
      <c r="Q381" s="312"/>
      <c r="R381" s="497">
        <v>44835</v>
      </c>
      <c r="S381" s="498">
        <f t="shared" si="10"/>
        <v>25791.28303870076</v>
      </c>
      <c r="T381" s="258">
        <v>0</v>
      </c>
    </row>
    <row r="382" spans="1:20" ht="11.85" customHeight="1" x14ac:dyDescent="0.25">
      <c r="A382" s="492">
        <v>44875</v>
      </c>
      <c r="B382" s="252" t="s">
        <v>726</v>
      </c>
      <c r="C382" s="252" t="s">
        <v>727</v>
      </c>
      <c r="D382" s="252" t="s">
        <v>458</v>
      </c>
      <c r="E382" s="252" t="s">
        <v>751</v>
      </c>
      <c r="F382" s="252" t="s">
        <v>460</v>
      </c>
      <c r="G382" s="323">
        <v>26227.15575783145</v>
      </c>
      <c r="H382" s="253">
        <v>25791.28303870076</v>
      </c>
      <c r="I382" s="323">
        <v>0</v>
      </c>
      <c r="J382" s="323">
        <v>0</v>
      </c>
      <c r="K382" s="323">
        <v>0</v>
      </c>
      <c r="L382" s="323">
        <v>0</v>
      </c>
      <c r="M382" s="323">
        <v>25791.28303870076</v>
      </c>
      <c r="N382" s="253"/>
      <c r="P382" s="279">
        <v>211</v>
      </c>
      <c r="Q382" s="312"/>
      <c r="R382" s="497">
        <v>44866</v>
      </c>
      <c r="S382" s="498">
        <f t="shared" si="10"/>
        <v>25791.28303870076</v>
      </c>
      <c r="T382" s="258">
        <v>0</v>
      </c>
    </row>
    <row r="383" spans="1:20" ht="11.85" customHeight="1" x14ac:dyDescent="0.25">
      <c r="A383" s="492">
        <v>44905</v>
      </c>
      <c r="B383" s="252" t="s">
        <v>726</v>
      </c>
      <c r="C383" s="252" t="s">
        <v>727</v>
      </c>
      <c r="D383" s="252" t="s">
        <v>458</v>
      </c>
      <c r="E383" s="252" t="s">
        <v>752</v>
      </c>
      <c r="F383" s="252" t="s">
        <v>460</v>
      </c>
      <c r="G383" s="323">
        <v>26227.15575783145</v>
      </c>
      <c r="H383" s="253">
        <v>25791.28303870076</v>
      </c>
      <c r="I383" s="323">
        <v>0</v>
      </c>
      <c r="J383" s="323">
        <v>0</v>
      </c>
      <c r="K383" s="323">
        <v>0</v>
      </c>
      <c r="L383" s="323">
        <v>0</v>
      </c>
      <c r="M383" s="323">
        <v>25791.28303870076</v>
      </c>
      <c r="N383" s="253"/>
      <c r="P383" s="279">
        <v>211</v>
      </c>
      <c r="Q383" s="312"/>
      <c r="R383" s="497">
        <v>44896</v>
      </c>
      <c r="S383" s="498">
        <f t="shared" si="10"/>
        <v>25791.28303870076</v>
      </c>
      <c r="T383" s="258">
        <v>0</v>
      </c>
    </row>
    <row r="384" spans="1:20" ht="11.85" customHeight="1" x14ac:dyDescent="0.25">
      <c r="A384" s="492">
        <v>44936</v>
      </c>
      <c r="B384" s="252" t="s">
        <v>726</v>
      </c>
      <c r="C384" s="252" t="s">
        <v>727</v>
      </c>
      <c r="D384" s="252" t="s">
        <v>458</v>
      </c>
      <c r="E384" s="252" t="s">
        <v>753</v>
      </c>
      <c r="F384" s="252" t="s">
        <v>460</v>
      </c>
      <c r="G384" s="323">
        <v>26227.15575783145</v>
      </c>
      <c r="H384" s="253">
        <v>25791.28303870076</v>
      </c>
      <c r="I384" s="323">
        <v>0</v>
      </c>
      <c r="J384" s="323">
        <v>0</v>
      </c>
      <c r="K384" s="323">
        <v>0</v>
      </c>
      <c r="L384" s="323">
        <v>0</v>
      </c>
      <c r="M384" s="323">
        <v>25791.28303870076</v>
      </c>
      <c r="N384" s="253"/>
      <c r="P384" s="279">
        <v>211</v>
      </c>
      <c r="Q384" s="312"/>
      <c r="R384" s="497">
        <v>44927</v>
      </c>
      <c r="S384" s="498">
        <f t="shared" si="10"/>
        <v>25791.28303870076</v>
      </c>
      <c r="T384" s="258">
        <v>0</v>
      </c>
    </row>
    <row r="385" spans="1:20" ht="11.85" customHeight="1" x14ac:dyDescent="0.25">
      <c r="A385" s="492">
        <v>44936</v>
      </c>
      <c r="B385" s="252" t="s">
        <v>726</v>
      </c>
      <c r="C385" s="252" t="s">
        <v>727</v>
      </c>
      <c r="D385" s="252" t="s">
        <v>471</v>
      </c>
      <c r="E385" s="252" t="s">
        <v>565</v>
      </c>
      <c r="F385" s="252" t="s">
        <v>460</v>
      </c>
      <c r="G385" s="323">
        <v>419634.49212530331</v>
      </c>
      <c r="H385" s="253">
        <v>412660.52861921221</v>
      </c>
      <c r="I385" s="323">
        <v>0</v>
      </c>
      <c r="J385" s="323">
        <v>0</v>
      </c>
      <c r="K385" s="323">
        <v>0</v>
      </c>
      <c r="L385" s="323">
        <v>0</v>
      </c>
      <c r="M385" s="323">
        <v>412660.52861921221</v>
      </c>
      <c r="N385" s="253"/>
      <c r="P385" s="279">
        <v>211</v>
      </c>
      <c r="Q385" s="312"/>
      <c r="R385" s="497">
        <v>44927</v>
      </c>
      <c r="S385" s="498">
        <f t="shared" si="10"/>
        <v>412660.52861921221</v>
      </c>
      <c r="T385" s="258">
        <v>0</v>
      </c>
    </row>
    <row r="386" spans="1:20" ht="11.85" customHeight="1" x14ac:dyDescent="0.25">
      <c r="A386" s="492">
        <v>44967</v>
      </c>
      <c r="B386" s="252" t="s">
        <v>726</v>
      </c>
      <c r="C386" s="252" t="s">
        <v>727</v>
      </c>
      <c r="D386" s="252" t="s">
        <v>458</v>
      </c>
      <c r="E386" s="252" t="s">
        <v>754</v>
      </c>
      <c r="F386" s="252" t="s">
        <v>460</v>
      </c>
      <c r="G386" s="323">
        <v>26227.15575783145</v>
      </c>
      <c r="H386" s="253">
        <v>25791.28303870076</v>
      </c>
      <c r="I386" s="323">
        <v>0</v>
      </c>
      <c r="J386" s="323">
        <v>0</v>
      </c>
      <c r="K386" s="323">
        <v>0</v>
      </c>
      <c r="L386" s="323">
        <v>0</v>
      </c>
      <c r="M386" s="323">
        <v>25791.28303870076</v>
      </c>
      <c r="N386" s="253"/>
      <c r="P386" s="279">
        <v>211</v>
      </c>
      <c r="Q386" s="312"/>
      <c r="R386" s="497">
        <v>44958</v>
      </c>
      <c r="S386" s="498">
        <f t="shared" si="10"/>
        <v>25791.28303870076</v>
      </c>
      <c r="T386" s="258">
        <v>0</v>
      </c>
    </row>
    <row r="387" spans="1:20" ht="11.85" customHeight="1" x14ac:dyDescent="0.25">
      <c r="A387" s="492">
        <v>44995</v>
      </c>
      <c r="B387" s="252" t="s">
        <v>726</v>
      </c>
      <c r="C387" s="252" t="s">
        <v>727</v>
      </c>
      <c r="D387" s="252" t="s">
        <v>458</v>
      </c>
      <c r="E387" s="252" t="s">
        <v>755</v>
      </c>
      <c r="F387" s="252" t="s">
        <v>460</v>
      </c>
      <c r="G387" s="323">
        <v>26227.15575783145</v>
      </c>
      <c r="H387" s="253">
        <v>25791.28303870076</v>
      </c>
      <c r="I387" s="323">
        <v>0</v>
      </c>
      <c r="J387" s="323">
        <v>0</v>
      </c>
      <c r="K387" s="323">
        <v>0</v>
      </c>
      <c r="L387" s="323">
        <v>0</v>
      </c>
      <c r="M387" s="323">
        <v>25791.28303870076</v>
      </c>
      <c r="N387" s="253"/>
      <c r="P387" s="279">
        <v>211</v>
      </c>
      <c r="Q387" s="312"/>
      <c r="R387" s="497">
        <v>44986</v>
      </c>
      <c r="S387" s="498">
        <f t="shared" si="10"/>
        <v>25791.28303870076</v>
      </c>
      <c r="T387" s="258">
        <v>0</v>
      </c>
    </row>
    <row r="388" spans="1:20" ht="11.85" customHeight="1" x14ac:dyDescent="0.25">
      <c r="A388" s="492">
        <v>45026</v>
      </c>
      <c r="B388" s="252" t="s">
        <v>726</v>
      </c>
      <c r="C388" s="252" t="s">
        <v>727</v>
      </c>
      <c r="D388" s="252" t="s">
        <v>458</v>
      </c>
      <c r="E388" s="252" t="s">
        <v>756</v>
      </c>
      <c r="F388" s="252" t="s">
        <v>460</v>
      </c>
      <c r="G388" s="323">
        <v>26227.15575783145</v>
      </c>
      <c r="H388" s="253">
        <v>25791.28303870076</v>
      </c>
      <c r="I388" s="323">
        <v>0</v>
      </c>
      <c r="J388" s="323">
        <v>0</v>
      </c>
      <c r="K388" s="323">
        <v>0</v>
      </c>
      <c r="L388" s="323">
        <v>0</v>
      </c>
      <c r="M388" s="323">
        <v>25791.28303870076</v>
      </c>
      <c r="N388" s="253"/>
      <c r="P388" s="279">
        <v>211</v>
      </c>
      <c r="Q388" s="312"/>
      <c r="R388" s="497">
        <v>45017</v>
      </c>
      <c r="S388" s="498">
        <f t="shared" si="10"/>
        <v>25791.28303870076</v>
      </c>
      <c r="T388" s="258">
        <v>0</v>
      </c>
    </row>
    <row r="389" spans="1:20" ht="11.85" customHeight="1" x14ac:dyDescent="0.25">
      <c r="A389" s="492">
        <v>45056</v>
      </c>
      <c r="B389" s="252" t="s">
        <v>726</v>
      </c>
      <c r="C389" s="252" t="s">
        <v>727</v>
      </c>
      <c r="D389" s="252" t="s">
        <v>458</v>
      </c>
      <c r="E389" s="252" t="s">
        <v>757</v>
      </c>
      <c r="F389" s="252" t="s">
        <v>460</v>
      </c>
      <c r="G389" s="323">
        <v>26227.15575783145</v>
      </c>
      <c r="H389" s="253">
        <v>25791.28303870076</v>
      </c>
      <c r="I389" s="323">
        <v>0</v>
      </c>
      <c r="J389" s="323">
        <v>0</v>
      </c>
      <c r="K389" s="323">
        <v>0</v>
      </c>
      <c r="L389" s="323">
        <v>0</v>
      </c>
      <c r="M389" s="323">
        <v>25791.28303870076</v>
      </c>
      <c r="N389" s="253"/>
      <c r="P389" s="279">
        <v>211</v>
      </c>
      <c r="Q389" s="312"/>
      <c r="R389" s="497">
        <v>45047</v>
      </c>
      <c r="S389" s="498">
        <f t="shared" si="10"/>
        <v>25791.28303870076</v>
      </c>
      <c r="T389" s="258">
        <v>0</v>
      </c>
    </row>
    <row r="390" spans="1:20" ht="11.85" customHeight="1" x14ac:dyDescent="0.25">
      <c r="A390" s="492">
        <v>45087</v>
      </c>
      <c r="B390" s="252" t="s">
        <v>726</v>
      </c>
      <c r="C390" s="252" t="s">
        <v>727</v>
      </c>
      <c r="D390" s="252" t="s">
        <v>458</v>
      </c>
      <c r="E390" s="252" t="s">
        <v>758</v>
      </c>
      <c r="F390" s="252" t="s">
        <v>460</v>
      </c>
      <c r="G390" s="323">
        <v>26227.15575783145</v>
      </c>
      <c r="H390" s="253">
        <v>25791.28303870076</v>
      </c>
      <c r="I390" s="323">
        <v>0</v>
      </c>
      <c r="J390" s="323">
        <v>0</v>
      </c>
      <c r="K390" s="323">
        <v>0</v>
      </c>
      <c r="L390" s="323">
        <v>0</v>
      </c>
      <c r="M390" s="323">
        <v>25791.28303870076</v>
      </c>
      <c r="N390" s="253"/>
      <c r="P390" s="279">
        <v>211</v>
      </c>
      <c r="Q390" s="312"/>
      <c r="R390" s="497">
        <v>45078</v>
      </c>
      <c r="S390" s="498">
        <f t="shared" si="10"/>
        <v>25791.28303870076</v>
      </c>
      <c r="T390" s="258">
        <v>0</v>
      </c>
    </row>
    <row r="391" spans="1:20" ht="11.85" customHeight="1" x14ac:dyDescent="0.25">
      <c r="A391" s="492">
        <v>45143</v>
      </c>
      <c r="B391" s="252" t="s">
        <v>726</v>
      </c>
      <c r="C391" s="252" t="s">
        <v>727</v>
      </c>
      <c r="D391" s="252" t="s">
        <v>467</v>
      </c>
      <c r="E391" s="252" t="s">
        <v>466</v>
      </c>
      <c r="F391" s="252" t="s">
        <v>460</v>
      </c>
      <c r="G391" s="323">
        <v>1049.0862303132581</v>
      </c>
      <c r="H391" s="253">
        <v>1031.65132154803</v>
      </c>
      <c r="I391" s="323">
        <v>0</v>
      </c>
      <c r="J391" s="323">
        <v>0</v>
      </c>
      <c r="K391" s="323">
        <v>0</v>
      </c>
      <c r="L391" s="323">
        <v>0</v>
      </c>
      <c r="M391" s="323">
        <v>1031.65132154803</v>
      </c>
      <c r="N391" s="253"/>
      <c r="P391" s="279">
        <v>211</v>
      </c>
      <c r="Q391" s="312"/>
      <c r="R391" s="497">
        <v>45139</v>
      </c>
      <c r="S391" s="498">
        <f t="shared" ref="S391:S454" si="11">M391</f>
        <v>1031.65132154803</v>
      </c>
      <c r="T391" s="258">
        <v>0</v>
      </c>
    </row>
    <row r="392" spans="1:20" ht="11.85" customHeight="1" x14ac:dyDescent="0.25">
      <c r="A392" s="492">
        <v>44170</v>
      </c>
      <c r="B392" s="252" t="s">
        <v>759</v>
      </c>
      <c r="C392" s="252" t="s">
        <v>760</v>
      </c>
      <c r="D392" s="252" t="s">
        <v>473</v>
      </c>
      <c r="E392" s="252" t="s">
        <v>666</v>
      </c>
      <c r="F392" s="252" t="s">
        <v>460</v>
      </c>
      <c r="G392" s="323">
        <v>18308.350533736771</v>
      </c>
      <c r="H392" s="253">
        <v>18004.08153089018</v>
      </c>
      <c r="I392" s="323">
        <v>0</v>
      </c>
      <c r="J392" s="323">
        <v>0</v>
      </c>
      <c r="K392" s="323">
        <v>0</v>
      </c>
      <c r="L392" s="323">
        <v>0</v>
      </c>
      <c r="M392" s="323">
        <v>18004.08153089018</v>
      </c>
      <c r="N392" s="253"/>
      <c r="P392" s="279">
        <v>212</v>
      </c>
      <c r="Q392" s="312"/>
      <c r="R392" s="497">
        <v>44166</v>
      </c>
      <c r="S392" s="498">
        <f t="shared" si="11"/>
        <v>18004.08153089018</v>
      </c>
      <c r="T392" s="258">
        <v>0</v>
      </c>
    </row>
    <row r="393" spans="1:20" ht="11.85" customHeight="1" x14ac:dyDescent="0.25">
      <c r="A393" s="492">
        <v>44201</v>
      </c>
      <c r="B393" s="252" t="s">
        <v>759</v>
      </c>
      <c r="C393" s="252" t="s">
        <v>760</v>
      </c>
      <c r="D393" s="252" t="s">
        <v>473</v>
      </c>
      <c r="E393" s="252" t="s">
        <v>667</v>
      </c>
      <c r="F393" s="252" t="s">
        <v>460</v>
      </c>
      <c r="G393" s="323">
        <v>18308.350533736771</v>
      </c>
      <c r="H393" s="253">
        <v>18004.08153089018</v>
      </c>
      <c r="I393" s="323">
        <v>0</v>
      </c>
      <c r="J393" s="323">
        <v>0</v>
      </c>
      <c r="K393" s="323">
        <v>0</v>
      </c>
      <c r="L393" s="323">
        <v>0</v>
      </c>
      <c r="M393" s="323">
        <v>18004.08153089018</v>
      </c>
      <c r="N393" s="253"/>
      <c r="P393" s="279">
        <v>212</v>
      </c>
      <c r="Q393" s="312"/>
      <c r="R393" s="497">
        <v>44197</v>
      </c>
      <c r="S393" s="498">
        <f t="shared" si="11"/>
        <v>18004.08153089018</v>
      </c>
      <c r="T393" s="258">
        <v>0</v>
      </c>
    </row>
    <row r="394" spans="1:20" ht="11.85" customHeight="1" x14ac:dyDescent="0.25">
      <c r="A394" s="492">
        <v>44232</v>
      </c>
      <c r="B394" s="252" t="s">
        <v>759</v>
      </c>
      <c r="C394" s="252" t="s">
        <v>760</v>
      </c>
      <c r="D394" s="252" t="s">
        <v>473</v>
      </c>
      <c r="E394" s="252" t="s">
        <v>668</v>
      </c>
      <c r="F394" s="252" t="s">
        <v>460</v>
      </c>
      <c r="G394" s="323">
        <v>18308.350533736771</v>
      </c>
      <c r="H394" s="253">
        <v>18004.08153089018</v>
      </c>
      <c r="I394" s="323">
        <v>0</v>
      </c>
      <c r="J394" s="323">
        <v>0</v>
      </c>
      <c r="K394" s="323">
        <v>0</v>
      </c>
      <c r="L394" s="323">
        <v>0</v>
      </c>
      <c r="M394" s="323">
        <v>18004.08153089018</v>
      </c>
      <c r="N394" s="253"/>
      <c r="P394" s="279">
        <v>212</v>
      </c>
      <c r="Q394" s="312"/>
      <c r="R394" s="497">
        <v>44228</v>
      </c>
      <c r="S394" s="498">
        <f t="shared" si="11"/>
        <v>18004.08153089018</v>
      </c>
      <c r="T394" s="258">
        <v>0</v>
      </c>
    </row>
    <row r="395" spans="1:20" ht="11.85" customHeight="1" x14ac:dyDescent="0.25">
      <c r="A395" s="492">
        <v>44260</v>
      </c>
      <c r="B395" s="252" t="s">
        <v>759</v>
      </c>
      <c r="C395" s="252" t="s">
        <v>760</v>
      </c>
      <c r="D395" s="252" t="s">
        <v>473</v>
      </c>
      <c r="E395" s="252" t="s">
        <v>669</v>
      </c>
      <c r="F395" s="252" t="s">
        <v>460</v>
      </c>
      <c r="G395" s="323">
        <v>18308.350533736771</v>
      </c>
      <c r="H395" s="253">
        <v>18004.08153089018</v>
      </c>
      <c r="I395" s="323">
        <v>0</v>
      </c>
      <c r="J395" s="323">
        <v>0</v>
      </c>
      <c r="K395" s="323">
        <v>0</v>
      </c>
      <c r="L395" s="323">
        <v>0</v>
      </c>
      <c r="M395" s="323">
        <v>18004.08153089018</v>
      </c>
      <c r="N395" s="253"/>
      <c r="P395" s="279">
        <v>212</v>
      </c>
      <c r="Q395" s="312"/>
      <c r="R395" s="497">
        <v>44256</v>
      </c>
      <c r="S395" s="498">
        <f t="shared" si="11"/>
        <v>18004.08153089018</v>
      </c>
      <c r="T395" s="258">
        <v>0</v>
      </c>
    </row>
    <row r="396" spans="1:20" ht="11.85" customHeight="1" x14ac:dyDescent="0.25">
      <c r="A396" s="492">
        <v>44291</v>
      </c>
      <c r="B396" s="252" t="s">
        <v>759</v>
      </c>
      <c r="C396" s="252" t="s">
        <v>760</v>
      </c>
      <c r="D396" s="252" t="s">
        <v>473</v>
      </c>
      <c r="E396" s="252" t="s">
        <v>670</v>
      </c>
      <c r="F396" s="252" t="s">
        <v>460</v>
      </c>
      <c r="G396" s="323">
        <v>18308.350533736771</v>
      </c>
      <c r="H396" s="253">
        <v>18004.08153089018</v>
      </c>
      <c r="I396" s="323">
        <v>0</v>
      </c>
      <c r="J396" s="323">
        <v>0</v>
      </c>
      <c r="K396" s="323">
        <v>0</v>
      </c>
      <c r="L396" s="323">
        <v>0</v>
      </c>
      <c r="M396" s="323">
        <v>18004.08153089018</v>
      </c>
      <c r="N396" s="253"/>
      <c r="P396" s="279">
        <v>212</v>
      </c>
      <c r="Q396" s="312"/>
      <c r="R396" s="497">
        <v>44287</v>
      </c>
      <c r="S396" s="498">
        <f t="shared" si="11"/>
        <v>18004.08153089018</v>
      </c>
      <c r="T396" s="258">
        <v>0</v>
      </c>
    </row>
    <row r="397" spans="1:20" ht="11.85" customHeight="1" x14ac:dyDescent="0.25">
      <c r="A397" s="492">
        <v>44321</v>
      </c>
      <c r="B397" s="252" t="s">
        <v>759</v>
      </c>
      <c r="C397" s="252" t="s">
        <v>760</v>
      </c>
      <c r="D397" s="252" t="s">
        <v>473</v>
      </c>
      <c r="E397" s="252" t="s">
        <v>671</v>
      </c>
      <c r="F397" s="252" t="s">
        <v>460</v>
      </c>
      <c r="G397" s="323">
        <v>18308.350533736771</v>
      </c>
      <c r="H397" s="253">
        <v>18004.08153089018</v>
      </c>
      <c r="I397" s="323">
        <v>0</v>
      </c>
      <c r="J397" s="323">
        <v>0</v>
      </c>
      <c r="K397" s="323">
        <v>0</v>
      </c>
      <c r="L397" s="323">
        <v>0</v>
      </c>
      <c r="M397" s="323">
        <v>18004.08153089018</v>
      </c>
      <c r="N397" s="253"/>
      <c r="P397" s="279">
        <v>212</v>
      </c>
      <c r="Q397" s="312"/>
      <c r="R397" s="497">
        <v>44317</v>
      </c>
      <c r="S397" s="498">
        <f t="shared" si="11"/>
        <v>18004.08153089018</v>
      </c>
      <c r="T397" s="258">
        <v>0</v>
      </c>
    </row>
    <row r="398" spans="1:20" ht="11.85" customHeight="1" x14ac:dyDescent="0.25">
      <c r="A398" s="492">
        <v>44352</v>
      </c>
      <c r="B398" s="252" t="s">
        <v>759</v>
      </c>
      <c r="C398" s="252" t="s">
        <v>760</v>
      </c>
      <c r="D398" s="252" t="s">
        <v>473</v>
      </c>
      <c r="E398" s="252" t="s">
        <v>672</v>
      </c>
      <c r="F398" s="252" t="s">
        <v>460</v>
      </c>
      <c r="G398" s="323">
        <v>18308.350533736771</v>
      </c>
      <c r="H398" s="253">
        <v>18004.08153089018</v>
      </c>
      <c r="I398" s="323">
        <v>0</v>
      </c>
      <c r="J398" s="323">
        <v>0</v>
      </c>
      <c r="K398" s="323">
        <v>0</v>
      </c>
      <c r="L398" s="323">
        <v>0</v>
      </c>
      <c r="M398" s="323">
        <v>18004.08153089018</v>
      </c>
      <c r="N398" s="253"/>
      <c r="P398" s="279">
        <v>212</v>
      </c>
      <c r="Q398" s="312"/>
      <c r="R398" s="497">
        <v>44348</v>
      </c>
      <c r="S398" s="498">
        <f t="shared" si="11"/>
        <v>18004.08153089018</v>
      </c>
      <c r="T398" s="258">
        <v>0</v>
      </c>
    </row>
    <row r="399" spans="1:20" ht="11.85" customHeight="1" x14ac:dyDescent="0.25">
      <c r="A399" s="492">
        <v>44382</v>
      </c>
      <c r="B399" s="252" t="s">
        <v>759</v>
      </c>
      <c r="C399" s="252" t="s">
        <v>760</v>
      </c>
      <c r="D399" s="252" t="s">
        <v>473</v>
      </c>
      <c r="E399" s="252" t="s">
        <v>673</v>
      </c>
      <c r="F399" s="252" t="s">
        <v>460</v>
      </c>
      <c r="G399" s="323">
        <v>18308.350533736771</v>
      </c>
      <c r="H399" s="253">
        <v>18004.08153089018</v>
      </c>
      <c r="I399" s="323">
        <v>0</v>
      </c>
      <c r="J399" s="323">
        <v>0</v>
      </c>
      <c r="K399" s="323">
        <v>0</v>
      </c>
      <c r="L399" s="323">
        <v>0</v>
      </c>
      <c r="M399" s="323">
        <v>18004.08153089018</v>
      </c>
      <c r="N399" s="253"/>
      <c r="P399" s="279">
        <v>212</v>
      </c>
      <c r="Q399" s="312"/>
      <c r="R399" s="497">
        <v>44378</v>
      </c>
      <c r="S399" s="498">
        <f t="shared" si="11"/>
        <v>18004.08153089018</v>
      </c>
      <c r="T399" s="258">
        <v>0</v>
      </c>
    </row>
    <row r="400" spans="1:20" ht="11.85" customHeight="1" x14ac:dyDescent="0.25">
      <c r="A400" s="492">
        <v>44413</v>
      </c>
      <c r="B400" s="252" t="s">
        <v>759</v>
      </c>
      <c r="C400" s="252" t="s">
        <v>760</v>
      </c>
      <c r="D400" s="252" t="s">
        <v>473</v>
      </c>
      <c r="E400" s="252" t="s">
        <v>674</v>
      </c>
      <c r="F400" s="252" t="s">
        <v>460</v>
      </c>
      <c r="G400" s="323">
        <v>18308.350533736771</v>
      </c>
      <c r="H400" s="253">
        <v>18004.08153089018</v>
      </c>
      <c r="I400" s="323">
        <v>0</v>
      </c>
      <c r="J400" s="323">
        <v>0</v>
      </c>
      <c r="K400" s="323">
        <v>0</v>
      </c>
      <c r="L400" s="323">
        <v>0</v>
      </c>
      <c r="M400" s="323">
        <v>18004.08153089018</v>
      </c>
      <c r="N400" s="253"/>
      <c r="P400" s="279">
        <v>212</v>
      </c>
      <c r="Q400" s="312"/>
      <c r="R400" s="497">
        <v>44409</v>
      </c>
      <c r="S400" s="498">
        <f t="shared" si="11"/>
        <v>18004.08153089018</v>
      </c>
      <c r="T400" s="258">
        <v>0</v>
      </c>
    </row>
    <row r="401" spans="1:20" ht="11.85" customHeight="1" x14ac:dyDescent="0.25">
      <c r="A401" s="492">
        <v>44413</v>
      </c>
      <c r="B401" s="252" t="s">
        <v>759</v>
      </c>
      <c r="C401" s="252" t="s">
        <v>760</v>
      </c>
      <c r="D401" s="252" t="s">
        <v>471</v>
      </c>
      <c r="E401" s="252" t="s">
        <v>472</v>
      </c>
      <c r="F401" s="252" t="s">
        <v>460</v>
      </c>
      <c r="G401" s="323">
        <v>130359.8745794383</v>
      </c>
      <c r="H401" s="253">
        <v>128193.405842869</v>
      </c>
      <c r="I401" s="323">
        <v>0</v>
      </c>
      <c r="J401" s="323">
        <v>0</v>
      </c>
      <c r="K401" s="323">
        <v>0</v>
      </c>
      <c r="L401" s="323">
        <v>0</v>
      </c>
      <c r="M401" s="323">
        <v>128193.405842869</v>
      </c>
      <c r="N401" s="253"/>
      <c r="P401" s="279">
        <v>212</v>
      </c>
      <c r="Q401" s="312"/>
      <c r="R401" s="497">
        <v>44409</v>
      </c>
      <c r="S401" s="498">
        <f t="shared" si="11"/>
        <v>128193.405842869</v>
      </c>
      <c r="T401" s="258">
        <v>0</v>
      </c>
    </row>
    <row r="402" spans="1:20" ht="11.85" customHeight="1" x14ac:dyDescent="0.25">
      <c r="A402" s="492">
        <v>44444</v>
      </c>
      <c r="B402" s="252" t="s">
        <v>759</v>
      </c>
      <c r="C402" s="252" t="s">
        <v>760</v>
      </c>
      <c r="D402" s="252" t="s">
        <v>473</v>
      </c>
      <c r="E402" s="252" t="s">
        <v>675</v>
      </c>
      <c r="F402" s="252" t="s">
        <v>460</v>
      </c>
      <c r="G402" s="323">
        <v>18308.350533736771</v>
      </c>
      <c r="H402" s="253">
        <v>18004.08153089018</v>
      </c>
      <c r="I402" s="323">
        <v>0</v>
      </c>
      <c r="J402" s="323">
        <v>0</v>
      </c>
      <c r="K402" s="323">
        <v>0</v>
      </c>
      <c r="L402" s="323">
        <v>0</v>
      </c>
      <c r="M402" s="323">
        <v>18004.08153089018</v>
      </c>
      <c r="N402" s="253"/>
      <c r="P402" s="279">
        <v>212</v>
      </c>
      <c r="Q402" s="312"/>
      <c r="R402" s="497">
        <v>44440</v>
      </c>
      <c r="S402" s="498">
        <f t="shared" si="11"/>
        <v>18004.08153089018</v>
      </c>
      <c r="T402" s="258">
        <v>0</v>
      </c>
    </row>
    <row r="403" spans="1:20" ht="11.85" customHeight="1" x14ac:dyDescent="0.25">
      <c r="A403" s="492">
        <v>44474</v>
      </c>
      <c r="B403" s="252" t="s">
        <v>759</v>
      </c>
      <c r="C403" s="252" t="s">
        <v>760</v>
      </c>
      <c r="D403" s="252" t="s">
        <v>473</v>
      </c>
      <c r="E403" s="252" t="s">
        <v>676</v>
      </c>
      <c r="F403" s="252" t="s">
        <v>460</v>
      </c>
      <c r="G403" s="323">
        <v>18308.350533736771</v>
      </c>
      <c r="H403" s="253">
        <v>18004.08153089018</v>
      </c>
      <c r="I403" s="323">
        <v>0</v>
      </c>
      <c r="J403" s="323">
        <v>0</v>
      </c>
      <c r="K403" s="323">
        <v>0</v>
      </c>
      <c r="L403" s="323">
        <v>0</v>
      </c>
      <c r="M403" s="323">
        <v>18004.08153089018</v>
      </c>
      <c r="N403" s="253"/>
      <c r="P403" s="279">
        <v>212</v>
      </c>
      <c r="Q403" s="312"/>
      <c r="R403" s="497">
        <v>44470</v>
      </c>
      <c r="S403" s="498">
        <f t="shared" si="11"/>
        <v>18004.08153089018</v>
      </c>
      <c r="T403" s="258">
        <v>0</v>
      </c>
    </row>
    <row r="404" spans="1:20" ht="11.85" customHeight="1" x14ac:dyDescent="0.25">
      <c r="A404" s="492">
        <v>44505</v>
      </c>
      <c r="B404" s="252" t="s">
        <v>759</v>
      </c>
      <c r="C404" s="252" t="s">
        <v>760</v>
      </c>
      <c r="D404" s="252" t="s">
        <v>473</v>
      </c>
      <c r="E404" s="252" t="s">
        <v>677</v>
      </c>
      <c r="F404" s="252" t="s">
        <v>460</v>
      </c>
      <c r="G404" s="323">
        <v>18308.350533736771</v>
      </c>
      <c r="H404" s="253">
        <v>18004.08153089018</v>
      </c>
      <c r="I404" s="323">
        <v>0</v>
      </c>
      <c r="J404" s="323">
        <v>0</v>
      </c>
      <c r="K404" s="323">
        <v>0</v>
      </c>
      <c r="L404" s="323">
        <v>0</v>
      </c>
      <c r="M404" s="323">
        <v>18004.08153089018</v>
      </c>
      <c r="N404" s="253"/>
      <c r="P404" s="279">
        <v>212</v>
      </c>
      <c r="Q404" s="312"/>
      <c r="R404" s="497">
        <v>44501</v>
      </c>
      <c r="S404" s="498">
        <f t="shared" si="11"/>
        <v>18004.08153089018</v>
      </c>
      <c r="T404" s="258">
        <v>0</v>
      </c>
    </row>
    <row r="405" spans="1:20" ht="11.85" customHeight="1" x14ac:dyDescent="0.25">
      <c r="A405" s="492">
        <v>44535</v>
      </c>
      <c r="B405" s="252" t="s">
        <v>759</v>
      </c>
      <c r="C405" s="252" t="s">
        <v>760</v>
      </c>
      <c r="D405" s="252" t="s">
        <v>473</v>
      </c>
      <c r="E405" s="252" t="s">
        <v>678</v>
      </c>
      <c r="F405" s="252" t="s">
        <v>460</v>
      </c>
      <c r="G405" s="323">
        <v>18308.350533736771</v>
      </c>
      <c r="H405" s="253">
        <v>18004.08153089018</v>
      </c>
      <c r="I405" s="323">
        <v>0</v>
      </c>
      <c r="J405" s="323">
        <v>0</v>
      </c>
      <c r="K405" s="323">
        <v>0</v>
      </c>
      <c r="L405" s="323">
        <v>0</v>
      </c>
      <c r="M405" s="323">
        <v>18004.08153089018</v>
      </c>
      <c r="N405" s="253"/>
      <c r="P405" s="279">
        <v>212</v>
      </c>
      <c r="Q405" s="312"/>
      <c r="R405" s="497">
        <v>44531</v>
      </c>
      <c r="S405" s="498">
        <f t="shared" si="11"/>
        <v>18004.08153089018</v>
      </c>
      <c r="T405" s="258">
        <v>0</v>
      </c>
    </row>
    <row r="406" spans="1:20" ht="11.85" customHeight="1" x14ac:dyDescent="0.25">
      <c r="A406" s="492">
        <v>44566</v>
      </c>
      <c r="B406" s="252" t="s">
        <v>759</v>
      </c>
      <c r="C406" s="252" t="s">
        <v>760</v>
      </c>
      <c r="D406" s="252" t="s">
        <v>473</v>
      </c>
      <c r="E406" s="252" t="s">
        <v>679</v>
      </c>
      <c r="F406" s="252" t="s">
        <v>460</v>
      </c>
      <c r="G406" s="323">
        <v>18308.350533736771</v>
      </c>
      <c r="H406" s="253">
        <v>18004.08153089018</v>
      </c>
      <c r="I406" s="323">
        <v>0</v>
      </c>
      <c r="J406" s="323">
        <v>0</v>
      </c>
      <c r="K406" s="323">
        <v>0</v>
      </c>
      <c r="L406" s="323">
        <v>0</v>
      </c>
      <c r="M406" s="323">
        <v>18004.08153089018</v>
      </c>
      <c r="N406" s="253"/>
      <c r="P406" s="279">
        <v>212</v>
      </c>
      <c r="Q406" s="312"/>
      <c r="R406" s="497">
        <v>44562</v>
      </c>
      <c r="S406" s="498">
        <f t="shared" si="11"/>
        <v>18004.08153089018</v>
      </c>
      <c r="T406" s="258">
        <v>0</v>
      </c>
    </row>
    <row r="407" spans="1:20" ht="11.85" customHeight="1" x14ac:dyDescent="0.25">
      <c r="A407" s="492">
        <v>44597</v>
      </c>
      <c r="B407" s="252" t="s">
        <v>759</v>
      </c>
      <c r="C407" s="252" t="s">
        <v>760</v>
      </c>
      <c r="D407" s="252" t="s">
        <v>473</v>
      </c>
      <c r="E407" s="252" t="s">
        <v>680</v>
      </c>
      <c r="F407" s="252" t="s">
        <v>460</v>
      </c>
      <c r="G407" s="323">
        <v>18308.350533736771</v>
      </c>
      <c r="H407" s="253">
        <v>18004.08153089018</v>
      </c>
      <c r="I407" s="323">
        <v>0</v>
      </c>
      <c r="J407" s="323">
        <v>0</v>
      </c>
      <c r="K407" s="323">
        <v>0</v>
      </c>
      <c r="L407" s="323">
        <v>0</v>
      </c>
      <c r="M407" s="323">
        <v>18004.08153089018</v>
      </c>
      <c r="N407" s="253"/>
      <c r="P407" s="279">
        <v>212</v>
      </c>
      <c r="Q407" s="312"/>
      <c r="R407" s="497">
        <v>44593</v>
      </c>
      <c r="S407" s="498">
        <f t="shared" si="11"/>
        <v>18004.08153089018</v>
      </c>
      <c r="T407" s="258">
        <v>0</v>
      </c>
    </row>
    <row r="408" spans="1:20" ht="11.85" customHeight="1" x14ac:dyDescent="0.25">
      <c r="A408" s="492">
        <v>44625</v>
      </c>
      <c r="B408" s="252" t="s">
        <v>759</v>
      </c>
      <c r="C408" s="252" t="s">
        <v>760</v>
      </c>
      <c r="D408" s="252" t="s">
        <v>473</v>
      </c>
      <c r="E408" s="252" t="s">
        <v>681</v>
      </c>
      <c r="F408" s="252" t="s">
        <v>460</v>
      </c>
      <c r="G408" s="323">
        <v>18308.350533736771</v>
      </c>
      <c r="H408" s="253">
        <v>18004.08153089018</v>
      </c>
      <c r="I408" s="323">
        <v>0</v>
      </c>
      <c r="J408" s="323">
        <v>0</v>
      </c>
      <c r="K408" s="323">
        <v>0</v>
      </c>
      <c r="L408" s="323">
        <v>0</v>
      </c>
      <c r="M408" s="323">
        <v>18004.08153089018</v>
      </c>
      <c r="N408" s="253"/>
      <c r="P408" s="279">
        <v>212</v>
      </c>
      <c r="Q408" s="312"/>
      <c r="R408" s="497">
        <v>44621</v>
      </c>
      <c r="S408" s="498">
        <f t="shared" si="11"/>
        <v>18004.08153089018</v>
      </c>
      <c r="T408" s="258">
        <v>0</v>
      </c>
    </row>
    <row r="409" spans="1:20" ht="11.85" customHeight="1" x14ac:dyDescent="0.25">
      <c r="A409" s="492">
        <v>44656</v>
      </c>
      <c r="B409" s="252" t="s">
        <v>759</v>
      </c>
      <c r="C409" s="252" t="s">
        <v>760</v>
      </c>
      <c r="D409" s="252" t="s">
        <v>473</v>
      </c>
      <c r="E409" s="252" t="s">
        <v>682</v>
      </c>
      <c r="F409" s="252" t="s">
        <v>460</v>
      </c>
      <c r="G409" s="323">
        <v>18308.350533736771</v>
      </c>
      <c r="H409" s="253">
        <v>18004.08153089018</v>
      </c>
      <c r="I409" s="323">
        <v>0</v>
      </c>
      <c r="J409" s="323">
        <v>0</v>
      </c>
      <c r="K409" s="323">
        <v>0</v>
      </c>
      <c r="L409" s="323">
        <v>0</v>
      </c>
      <c r="M409" s="323">
        <v>18004.08153089018</v>
      </c>
      <c r="N409" s="253"/>
      <c r="P409" s="279">
        <v>212</v>
      </c>
      <c r="Q409" s="312"/>
      <c r="R409" s="497">
        <v>44652</v>
      </c>
      <c r="S409" s="498">
        <f t="shared" si="11"/>
        <v>18004.08153089018</v>
      </c>
      <c r="T409" s="258">
        <v>0</v>
      </c>
    </row>
    <row r="410" spans="1:20" ht="11.85" customHeight="1" x14ac:dyDescent="0.25">
      <c r="A410" s="492">
        <v>44686</v>
      </c>
      <c r="B410" s="252" t="s">
        <v>759</v>
      </c>
      <c r="C410" s="252" t="s">
        <v>760</v>
      </c>
      <c r="D410" s="252" t="s">
        <v>473</v>
      </c>
      <c r="E410" s="252" t="s">
        <v>683</v>
      </c>
      <c r="F410" s="252" t="s">
        <v>460</v>
      </c>
      <c r="G410" s="323">
        <v>18308.350533736771</v>
      </c>
      <c r="H410" s="253">
        <v>18004.08153089018</v>
      </c>
      <c r="I410" s="323">
        <v>0</v>
      </c>
      <c r="J410" s="323">
        <v>0</v>
      </c>
      <c r="K410" s="323">
        <v>0</v>
      </c>
      <c r="L410" s="323">
        <v>0</v>
      </c>
      <c r="M410" s="323">
        <v>18004.08153089018</v>
      </c>
      <c r="N410" s="253"/>
      <c r="P410" s="279">
        <v>212</v>
      </c>
      <c r="Q410" s="312"/>
      <c r="R410" s="497">
        <v>44682</v>
      </c>
      <c r="S410" s="498">
        <f t="shared" si="11"/>
        <v>18004.08153089018</v>
      </c>
      <c r="T410" s="258">
        <v>0</v>
      </c>
    </row>
    <row r="411" spans="1:20" ht="11.85" customHeight="1" x14ac:dyDescent="0.25">
      <c r="A411" s="492">
        <v>44717</v>
      </c>
      <c r="B411" s="252" t="s">
        <v>759</v>
      </c>
      <c r="C411" s="252" t="s">
        <v>760</v>
      </c>
      <c r="D411" s="252" t="s">
        <v>473</v>
      </c>
      <c r="E411" s="252" t="s">
        <v>684</v>
      </c>
      <c r="F411" s="252" t="s">
        <v>460</v>
      </c>
      <c r="G411" s="323">
        <v>18308.350533736771</v>
      </c>
      <c r="H411" s="253">
        <v>18004.08153089018</v>
      </c>
      <c r="I411" s="323">
        <v>0</v>
      </c>
      <c r="J411" s="323">
        <v>0</v>
      </c>
      <c r="K411" s="323">
        <v>0</v>
      </c>
      <c r="L411" s="323">
        <v>0</v>
      </c>
      <c r="M411" s="323">
        <v>18004.08153089018</v>
      </c>
      <c r="N411" s="253"/>
      <c r="P411" s="279">
        <v>212</v>
      </c>
      <c r="Q411" s="312"/>
      <c r="R411" s="497">
        <v>44713</v>
      </c>
      <c r="S411" s="498">
        <f t="shared" si="11"/>
        <v>18004.08153089018</v>
      </c>
      <c r="T411" s="258">
        <v>0</v>
      </c>
    </row>
    <row r="412" spans="1:20" ht="11.85" customHeight="1" x14ac:dyDescent="0.25">
      <c r="A412" s="492">
        <v>44747</v>
      </c>
      <c r="B412" s="252" t="s">
        <v>759</v>
      </c>
      <c r="C412" s="252" t="s">
        <v>760</v>
      </c>
      <c r="D412" s="252" t="s">
        <v>473</v>
      </c>
      <c r="E412" s="252" t="s">
        <v>685</v>
      </c>
      <c r="F412" s="252" t="s">
        <v>460</v>
      </c>
      <c r="G412" s="323">
        <v>18308.350533736771</v>
      </c>
      <c r="H412" s="253">
        <v>18004.08153089018</v>
      </c>
      <c r="I412" s="323">
        <v>0</v>
      </c>
      <c r="J412" s="323">
        <v>0</v>
      </c>
      <c r="K412" s="323">
        <v>0</v>
      </c>
      <c r="L412" s="323">
        <v>0</v>
      </c>
      <c r="M412" s="323">
        <v>18004.08153089018</v>
      </c>
      <c r="N412" s="253"/>
      <c r="P412" s="279">
        <v>212</v>
      </c>
      <c r="Q412" s="312"/>
      <c r="R412" s="497">
        <v>44743</v>
      </c>
      <c r="S412" s="498">
        <f t="shared" si="11"/>
        <v>18004.08153089018</v>
      </c>
      <c r="T412" s="258">
        <v>0</v>
      </c>
    </row>
    <row r="413" spans="1:20" ht="11.85" customHeight="1" x14ac:dyDescent="0.25">
      <c r="A413" s="492">
        <v>44778</v>
      </c>
      <c r="B413" s="252" t="s">
        <v>759</v>
      </c>
      <c r="C413" s="252" t="s">
        <v>760</v>
      </c>
      <c r="D413" s="252" t="s">
        <v>473</v>
      </c>
      <c r="E413" s="252" t="s">
        <v>686</v>
      </c>
      <c r="F413" s="252" t="s">
        <v>460</v>
      </c>
      <c r="G413" s="323">
        <v>18308.350533736771</v>
      </c>
      <c r="H413" s="253">
        <v>18004.08153089018</v>
      </c>
      <c r="I413" s="323">
        <v>0</v>
      </c>
      <c r="J413" s="323">
        <v>0</v>
      </c>
      <c r="K413" s="323">
        <v>0</v>
      </c>
      <c r="L413" s="323">
        <v>0</v>
      </c>
      <c r="M413" s="323">
        <v>18004.08153089018</v>
      </c>
      <c r="N413" s="253"/>
      <c r="P413" s="279">
        <v>212</v>
      </c>
      <c r="Q413" s="312"/>
      <c r="R413" s="497">
        <v>44774</v>
      </c>
      <c r="S413" s="498">
        <f t="shared" si="11"/>
        <v>18004.08153089018</v>
      </c>
      <c r="T413" s="258">
        <v>0</v>
      </c>
    </row>
    <row r="414" spans="1:20" ht="11.85" customHeight="1" x14ac:dyDescent="0.25">
      <c r="A414" s="492">
        <v>44778</v>
      </c>
      <c r="B414" s="252" t="s">
        <v>759</v>
      </c>
      <c r="C414" s="252" t="s">
        <v>760</v>
      </c>
      <c r="D414" s="252" t="s">
        <v>471</v>
      </c>
      <c r="E414" s="252" t="s">
        <v>482</v>
      </c>
      <c r="F414" s="252" t="s">
        <v>460</v>
      </c>
      <c r="G414" s="323">
        <v>130359.8745794383</v>
      </c>
      <c r="H414" s="253">
        <v>128193.405842869</v>
      </c>
      <c r="I414" s="323">
        <v>0</v>
      </c>
      <c r="J414" s="323">
        <v>0</v>
      </c>
      <c r="K414" s="323">
        <v>0</v>
      </c>
      <c r="L414" s="323">
        <v>0</v>
      </c>
      <c r="M414" s="323">
        <v>128193.405842869</v>
      </c>
      <c r="N414" s="253"/>
      <c r="P414" s="279">
        <v>212</v>
      </c>
      <c r="Q414" s="312"/>
      <c r="R414" s="497">
        <v>44774</v>
      </c>
      <c r="S414" s="498">
        <f t="shared" si="11"/>
        <v>128193.405842869</v>
      </c>
      <c r="T414" s="258">
        <v>0</v>
      </c>
    </row>
    <row r="415" spans="1:20" ht="11.85" customHeight="1" x14ac:dyDescent="0.25">
      <c r="A415" s="492">
        <v>44809</v>
      </c>
      <c r="B415" s="252" t="s">
        <v>759</v>
      </c>
      <c r="C415" s="252" t="s">
        <v>760</v>
      </c>
      <c r="D415" s="252" t="s">
        <v>473</v>
      </c>
      <c r="E415" s="252" t="s">
        <v>687</v>
      </c>
      <c r="F415" s="252" t="s">
        <v>460</v>
      </c>
      <c r="G415" s="323">
        <v>18308.350533736771</v>
      </c>
      <c r="H415" s="253">
        <v>18004.08153089018</v>
      </c>
      <c r="I415" s="323">
        <v>0</v>
      </c>
      <c r="J415" s="323">
        <v>0</v>
      </c>
      <c r="K415" s="323">
        <v>0</v>
      </c>
      <c r="L415" s="323">
        <v>0</v>
      </c>
      <c r="M415" s="323">
        <v>18004.08153089018</v>
      </c>
      <c r="N415" s="253"/>
      <c r="P415" s="279">
        <v>212</v>
      </c>
      <c r="Q415" s="312"/>
      <c r="R415" s="497">
        <v>44805</v>
      </c>
      <c r="S415" s="498">
        <f t="shared" si="11"/>
        <v>18004.08153089018</v>
      </c>
      <c r="T415" s="258">
        <v>0</v>
      </c>
    </row>
    <row r="416" spans="1:20" ht="11.85" customHeight="1" x14ac:dyDescent="0.25">
      <c r="A416" s="492">
        <v>44839</v>
      </c>
      <c r="B416" s="252" t="s">
        <v>759</v>
      </c>
      <c r="C416" s="252" t="s">
        <v>760</v>
      </c>
      <c r="D416" s="252" t="s">
        <v>473</v>
      </c>
      <c r="E416" s="252" t="s">
        <v>688</v>
      </c>
      <c r="F416" s="252" t="s">
        <v>460</v>
      </c>
      <c r="G416" s="323">
        <v>18308.350533736771</v>
      </c>
      <c r="H416" s="253">
        <v>18004.08153089018</v>
      </c>
      <c r="I416" s="323">
        <v>0</v>
      </c>
      <c r="J416" s="323">
        <v>0</v>
      </c>
      <c r="K416" s="323">
        <v>0</v>
      </c>
      <c r="L416" s="323">
        <v>0</v>
      </c>
      <c r="M416" s="323">
        <v>18004.08153089018</v>
      </c>
      <c r="N416" s="253"/>
      <c r="P416" s="279">
        <v>212</v>
      </c>
      <c r="Q416" s="312"/>
      <c r="R416" s="497">
        <v>44835</v>
      </c>
      <c r="S416" s="498">
        <f t="shared" si="11"/>
        <v>18004.08153089018</v>
      </c>
      <c r="T416" s="258">
        <v>0</v>
      </c>
    </row>
    <row r="417" spans="1:20" ht="11.85" customHeight="1" x14ac:dyDescent="0.25">
      <c r="A417" s="492">
        <v>44839</v>
      </c>
      <c r="B417" s="252" t="s">
        <v>759</v>
      </c>
      <c r="C417" s="252" t="s">
        <v>760</v>
      </c>
      <c r="D417" s="252" t="s">
        <v>470</v>
      </c>
      <c r="E417" s="252" t="s">
        <v>466</v>
      </c>
      <c r="F417" s="252" t="s">
        <v>460</v>
      </c>
      <c r="G417" s="323">
        <v>946160.38001205237</v>
      </c>
      <c r="H417" s="253">
        <v>930436.01014985563</v>
      </c>
      <c r="I417" s="323">
        <v>0</v>
      </c>
      <c r="J417" s="323">
        <v>0</v>
      </c>
      <c r="K417" s="323">
        <v>0</v>
      </c>
      <c r="L417" s="323">
        <v>0</v>
      </c>
      <c r="M417" s="323">
        <v>930436.01014985563</v>
      </c>
      <c r="N417" s="253"/>
      <c r="P417" s="279">
        <v>212</v>
      </c>
      <c r="Q417" s="312"/>
      <c r="R417" s="497">
        <v>44835</v>
      </c>
      <c r="S417" s="498">
        <f t="shared" si="11"/>
        <v>930436.01014985563</v>
      </c>
      <c r="T417" s="258">
        <v>0</v>
      </c>
    </row>
    <row r="418" spans="1:20" ht="11.85" customHeight="1" x14ac:dyDescent="0.25">
      <c r="A418" s="492">
        <v>44870</v>
      </c>
      <c r="B418" s="252" t="s">
        <v>759</v>
      </c>
      <c r="C418" s="252" t="s">
        <v>760</v>
      </c>
      <c r="D418" s="252" t="s">
        <v>473</v>
      </c>
      <c r="E418" s="252" t="s">
        <v>689</v>
      </c>
      <c r="F418" s="252" t="s">
        <v>460</v>
      </c>
      <c r="G418" s="323">
        <v>18308.350533736771</v>
      </c>
      <c r="H418" s="253">
        <v>18004.08153089018</v>
      </c>
      <c r="I418" s="323">
        <v>0</v>
      </c>
      <c r="J418" s="323">
        <v>0</v>
      </c>
      <c r="K418" s="323">
        <v>0</v>
      </c>
      <c r="L418" s="323">
        <v>0</v>
      </c>
      <c r="M418" s="323">
        <v>18004.08153089018</v>
      </c>
      <c r="N418" s="253"/>
      <c r="P418" s="279">
        <v>212</v>
      </c>
      <c r="Q418" s="312"/>
      <c r="R418" s="497">
        <v>44866</v>
      </c>
      <c r="S418" s="498">
        <f t="shared" si="11"/>
        <v>18004.08153089018</v>
      </c>
      <c r="T418" s="258">
        <v>0</v>
      </c>
    </row>
    <row r="419" spans="1:20" ht="11.85" customHeight="1" x14ac:dyDescent="0.25">
      <c r="A419" s="492">
        <v>44900</v>
      </c>
      <c r="B419" s="252" t="s">
        <v>759</v>
      </c>
      <c r="C419" s="252" t="s">
        <v>760</v>
      </c>
      <c r="D419" s="252" t="s">
        <v>473</v>
      </c>
      <c r="E419" s="252" t="s">
        <v>690</v>
      </c>
      <c r="F419" s="252" t="s">
        <v>460</v>
      </c>
      <c r="G419" s="323">
        <v>18308.350533736771</v>
      </c>
      <c r="H419" s="253">
        <v>18004.08153089018</v>
      </c>
      <c r="I419" s="323">
        <v>0</v>
      </c>
      <c r="J419" s="323">
        <v>0</v>
      </c>
      <c r="K419" s="323">
        <v>0</v>
      </c>
      <c r="L419" s="323">
        <v>0</v>
      </c>
      <c r="M419" s="323">
        <v>18004.08153089018</v>
      </c>
      <c r="N419" s="253"/>
      <c r="P419" s="279">
        <v>212</v>
      </c>
      <c r="Q419" s="312"/>
      <c r="R419" s="497">
        <v>44896</v>
      </c>
      <c r="S419" s="498">
        <f t="shared" si="11"/>
        <v>18004.08153089018</v>
      </c>
      <c r="T419" s="258">
        <v>0</v>
      </c>
    </row>
    <row r="420" spans="1:20" ht="11.85" customHeight="1" x14ac:dyDescent="0.25">
      <c r="A420" s="492">
        <v>44931</v>
      </c>
      <c r="B420" s="252" t="s">
        <v>759</v>
      </c>
      <c r="C420" s="252" t="s">
        <v>760</v>
      </c>
      <c r="D420" s="252" t="s">
        <v>473</v>
      </c>
      <c r="E420" s="252" t="s">
        <v>691</v>
      </c>
      <c r="F420" s="252" t="s">
        <v>460</v>
      </c>
      <c r="G420" s="323">
        <v>18308.350533736771</v>
      </c>
      <c r="H420" s="253">
        <v>18004.08153089018</v>
      </c>
      <c r="I420" s="323">
        <v>0</v>
      </c>
      <c r="J420" s="323">
        <v>0</v>
      </c>
      <c r="K420" s="323">
        <v>0</v>
      </c>
      <c r="L420" s="323">
        <v>0</v>
      </c>
      <c r="M420" s="323">
        <v>18004.08153089018</v>
      </c>
      <c r="N420" s="253"/>
      <c r="P420" s="279">
        <v>212</v>
      </c>
      <c r="Q420" s="312"/>
      <c r="R420" s="497">
        <v>44927</v>
      </c>
      <c r="S420" s="498">
        <f t="shared" si="11"/>
        <v>18004.08153089018</v>
      </c>
      <c r="T420" s="258">
        <v>0</v>
      </c>
    </row>
    <row r="421" spans="1:20" ht="11.85" customHeight="1" x14ac:dyDescent="0.25">
      <c r="A421" s="492">
        <v>44962</v>
      </c>
      <c r="B421" s="252" t="s">
        <v>759</v>
      </c>
      <c r="C421" s="252" t="s">
        <v>760</v>
      </c>
      <c r="D421" s="252" t="s">
        <v>473</v>
      </c>
      <c r="E421" s="252" t="s">
        <v>692</v>
      </c>
      <c r="F421" s="252" t="s">
        <v>460</v>
      </c>
      <c r="G421" s="323">
        <v>18308.350533736771</v>
      </c>
      <c r="H421" s="253">
        <v>18004.08153089018</v>
      </c>
      <c r="I421" s="323">
        <v>0</v>
      </c>
      <c r="J421" s="323">
        <v>0</v>
      </c>
      <c r="K421" s="323">
        <v>0</v>
      </c>
      <c r="L421" s="323">
        <v>0</v>
      </c>
      <c r="M421" s="323">
        <v>18004.08153089018</v>
      </c>
      <c r="N421" s="253"/>
      <c r="P421" s="279">
        <v>212</v>
      </c>
      <c r="Q421" s="312"/>
      <c r="R421" s="497">
        <v>44958</v>
      </c>
      <c r="S421" s="498">
        <f t="shared" si="11"/>
        <v>18004.08153089018</v>
      </c>
      <c r="T421" s="258">
        <v>0</v>
      </c>
    </row>
    <row r="422" spans="1:20" ht="11.85" customHeight="1" x14ac:dyDescent="0.25">
      <c r="A422" s="492">
        <v>44990</v>
      </c>
      <c r="B422" s="252" t="s">
        <v>759</v>
      </c>
      <c r="C422" s="252" t="s">
        <v>760</v>
      </c>
      <c r="D422" s="252" t="s">
        <v>473</v>
      </c>
      <c r="E422" s="252" t="s">
        <v>693</v>
      </c>
      <c r="F422" s="252" t="s">
        <v>460</v>
      </c>
      <c r="G422" s="323">
        <v>18308.350533736771</v>
      </c>
      <c r="H422" s="253">
        <v>18004.08153089018</v>
      </c>
      <c r="I422" s="323">
        <v>0</v>
      </c>
      <c r="J422" s="323">
        <v>0</v>
      </c>
      <c r="K422" s="323">
        <v>0</v>
      </c>
      <c r="L422" s="323">
        <v>0</v>
      </c>
      <c r="M422" s="323">
        <v>18004.08153089018</v>
      </c>
      <c r="N422" s="253"/>
      <c r="P422" s="279">
        <v>212</v>
      </c>
      <c r="Q422" s="312"/>
      <c r="R422" s="497">
        <v>44986</v>
      </c>
      <c r="S422" s="498">
        <f t="shared" si="11"/>
        <v>18004.08153089018</v>
      </c>
      <c r="T422" s="258">
        <v>0</v>
      </c>
    </row>
    <row r="423" spans="1:20" ht="11.85" customHeight="1" x14ac:dyDescent="0.25">
      <c r="A423" s="492">
        <v>45021</v>
      </c>
      <c r="B423" s="252" t="s">
        <v>759</v>
      </c>
      <c r="C423" s="252" t="s">
        <v>760</v>
      </c>
      <c r="D423" s="252" t="s">
        <v>473</v>
      </c>
      <c r="E423" s="252" t="s">
        <v>694</v>
      </c>
      <c r="F423" s="252" t="s">
        <v>460</v>
      </c>
      <c r="G423" s="323">
        <v>18308.350533736771</v>
      </c>
      <c r="H423" s="253">
        <v>18004.08153089018</v>
      </c>
      <c r="I423" s="323">
        <v>0</v>
      </c>
      <c r="J423" s="323">
        <v>0</v>
      </c>
      <c r="K423" s="323">
        <v>0</v>
      </c>
      <c r="L423" s="323">
        <v>0</v>
      </c>
      <c r="M423" s="323">
        <v>18004.08153089018</v>
      </c>
      <c r="N423" s="253"/>
      <c r="P423" s="279">
        <v>212</v>
      </c>
      <c r="Q423" s="312"/>
      <c r="R423" s="497">
        <v>45017</v>
      </c>
      <c r="S423" s="498">
        <f t="shared" si="11"/>
        <v>18004.08153089018</v>
      </c>
      <c r="T423" s="258">
        <v>0</v>
      </c>
    </row>
    <row r="424" spans="1:20" ht="11.85" customHeight="1" x14ac:dyDescent="0.25">
      <c r="A424" s="492">
        <v>45021</v>
      </c>
      <c r="B424" s="252" t="s">
        <v>759</v>
      </c>
      <c r="C424" s="252" t="s">
        <v>760</v>
      </c>
      <c r="D424" s="252" t="s">
        <v>465</v>
      </c>
      <c r="E424" s="252" t="s">
        <v>466</v>
      </c>
      <c r="F424" s="252" t="s">
        <v>460</v>
      </c>
      <c r="G424" s="323">
        <v>1286377.8173853939</v>
      </c>
      <c r="H424" s="253">
        <v>1264999.327004265</v>
      </c>
      <c r="I424" s="323">
        <v>0</v>
      </c>
      <c r="J424" s="323">
        <v>0</v>
      </c>
      <c r="K424" s="323">
        <v>0</v>
      </c>
      <c r="L424" s="323">
        <v>0</v>
      </c>
      <c r="M424" s="323">
        <v>1264999.327004265</v>
      </c>
      <c r="N424" s="253"/>
      <c r="P424" s="279">
        <v>212</v>
      </c>
      <c r="Q424" s="312"/>
      <c r="R424" s="497">
        <v>45017</v>
      </c>
      <c r="S424" s="498">
        <f t="shared" si="11"/>
        <v>1264999.327004265</v>
      </c>
      <c r="T424" s="258">
        <v>0</v>
      </c>
    </row>
    <row r="425" spans="1:20" ht="11.85" customHeight="1" x14ac:dyDescent="0.25">
      <c r="A425" s="492">
        <v>45112</v>
      </c>
      <c r="B425" s="252" t="s">
        <v>759</v>
      </c>
      <c r="C425" s="252" t="s">
        <v>760</v>
      </c>
      <c r="D425" s="252" t="s">
        <v>467</v>
      </c>
      <c r="E425" s="252" t="s">
        <v>466</v>
      </c>
      <c r="F425" s="252" t="s">
        <v>460</v>
      </c>
      <c r="G425" s="323">
        <v>1051.289311124503</v>
      </c>
      <c r="H425" s="253">
        <v>1033.817789055395</v>
      </c>
      <c r="I425" s="323">
        <v>0</v>
      </c>
      <c r="J425" s="323">
        <v>0</v>
      </c>
      <c r="K425" s="323">
        <v>0</v>
      </c>
      <c r="L425" s="323">
        <v>0</v>
      </c>
      <c r="M425" s="323">
        <v>1033.817789055395</v>
      </c>
      <c r="N425" s="253"/>
      <c r="P425" s="279">
        <v>212</v>
      </c>
      <c r="Q425" s="312"/>
      <c r="R425" s="497">
        <v>45108</v>
      </c>
      <c r="S425" s="498">
        <f t="shared" si="11"/>
        <v>1033.817789055395</v>
      </c>
      <c r="T425" s="258">
        <v>0</v>
      </c>
    </row>
    <row r="426" spans="1:20" ht="11.85" customHeight="1" x14ac:dyDescent="0.25">
      <c r="A426" s="492">
        <v>44190</v>
      </c>
      <c r="B426" s="252" t="s">
        <v>761</v>
      </c>
      <c r="C426" s="252" t="s">
        <v>762</v>
      </c>
      <c r="D426" s="252" t="s">
        <v>458</v>
      </c>
      <c r="E426" s="252" t="s">
        <v>669</v>
      </c>
      <c r="F426" s="252" t="s">
        <v>460</v>
      </c>
      <c r="G426" s="323">
        <v>4196.3449212530322</v>
      </c>
      <c r="H426" s="253">
        <v>4126.6052861921216</v>
      </c>
      <c r="I426" s="323">
        <v>0</v>
      </c>
      <c r="J426" s="323">
        <v>0</v>
      </c>
      <c r="K426" s="323">
        <v>0</v>
      </c>
      <c r="L426" s="323">
        <v>0</v>
      </c>
      <c r="M426" s="323">
        <v>4126.6052861921216</v>
      </c>
      <c r="N426" s="253"/>
      <c r="P426" s="279">
        <v>221</v>
      </c>
      <c r="Q426" s="312"/>
      <c r="R426" s="497">
        <v>44166</v>
      </c>
      <c r="S426" s="498">
        <f t="shared" si="11"/>
        <v>4126.6052861921216</v>
      </c>
      <c r="T426" s="258">
        <v>0</v>
      </c>
    </row>
    <row r="427" spans="1:20" ht="11.85" customHeight="1" x14ac:dyDescent="0.25">
      <c r="A427" s="492">
        <v>44221</v>
      </c>
      <c r="B427" s="252" t="s">
        <v>761</v>
      </c>
      <c r="C427" s="252" t="s">
        <v>762</v>
      </c>
      <c r="D427" s="252" t="s">
        <v>458</v>
      </c>
      <c r="E427" s="252" t="s">
        <v>670</v>
      </c>
      <c r="F427" s="252" t="s">
        <v>460</v>
      </c>
      <c r="G427" s="323">
        <v>4196.3449212530322</v>
      </c>
      <c r="H427" s="253">
        <v>4126.6052861921216</v>
      </c>
      <c r="I427" s="323">
        <v>0</v>
      </c>
      <c r="J427" s="323">
        <v>0</v>
      </c>
      <c r="K427" s="323">
        <v>0</v>
      </c>
      <c r="L427" s="323">
        <v>0</v>
      </c>
      <c r="M427" s="323">
        <v>4126.6052861921216</v>
      </c>
      <c r="N427" s="253"/>
      <c r="P427" s="279">
        <v>221</v>
      </c>
      <c r="Q427" s="312"/>
      <c r="R427" s="497">
        <v>44197</v>
      </c>
      <c r="S427" s="498">
        <f t="shared" si="11"/>
        <v>4126.6052861921216</v>
      </c>
      <c r="T427" s="258">
        <v>0</v>
      </c>
    </row>
    <row r="428" spans="1:20" ht="11.85" customHeight="1" x14ac:dyDescent="0.25">
      <c r="A428" s="492">
        <v>44252</v>
      </c>
      <c r="B428" s="252" t="s">
        <v>761</v>
      </c>
      <c r="C428" s="252" t="s">
        <v>762</v>
      </c>
      <c r="D428" s="252" t="s">
        <v>458</v>
      </c>
      <c r="E428" s="252" t="s">
        <v>671</v>
      </c>
      <c r="F428" s="252" t="s">
        <v>460</v>
      </c>
      <c r="G428" s="323">
        <v>4196.3449212530322</v>
      </c>
      <c r="H428" s="253">
        <v>4126.6052861921216</v>
      </c>
      <c r="I428" s="323">
        <v>0</v>
      </c>
      <c r="J428" s="323">
        <v>0</v>
      </c>
      <c r="K428" s="323">
        <v>0</v>
      </c>
      <c r="L428" s="323">
        <v>0</v>
      </c>
      <c r="M428" s="323">
        <v>4126.6052861921216</v>
      </c>
      <c r="N428" s="253"/>
      <c r="P428" s="279">
        <v>221</v>
      </c>
      <c r="Q428" s="312"/>
      <c r="R428" s="497">
        <v>44228</v>
      </c>
      <c r="S428" s="498">
        <f t="shared" si="11"/>
        <v>4126.6052861921216</v>
      </c>
      <c r="T428" s="258">
        <v>0</v>
      </c>
    </row>
    <row r="429" spans="1:20" ht="11.85" customHeight="1" x14ac:dyDescent="0.25">
      <c r="A429" s="492">
        <v>44280</v>
      </c>
      <c r="B429" s="252" t="s">
        <v>761</v>
      </c>
      <c r="C429" s="252" t="s">
        <v>762</v>
      </c>
      <c r="D429" s="252" t="s">
        <v>458</v>
      </c>
      <c r="E429" s="252" t="s">
        <v>672</v>
      </c>
      <c r="F429" s="252" t="s">
        <v>460</v>
      </c>
      <c r="G429" s="323">
        <v>4196.3449212530322</v>
      </c>
      <c r="H429" s="253">
        <v>4126.6052861921216</v>
      </c>
      <c r="I429" s="323">
        <v>0</v>
      </c>
      <c r="J429" s="323">
        <v>0</v>
      </c>
      <c r="K429" s="323">
        <v>0</v>
      </c>
      <c r="L429" s="323">
        <v>0</v>
      </c>
      <c r="M429" s="323">
        <v>4126.6052861921216</v>
      </c>
      <c r="N429" s="253"/>
      <c r="P429" s="279">
        <v>221</v>
      </c>
      <c r="Q429" s="312"/>
      <c r="R429" s="497">
        <v>44256</v>
      </c>
      <c r="S429" s="498">
        <f t="shared" si="11"/>
        <v>4126.6052861921216</v>
      </c>
      <c r="T429" s="258">
        <v>0</v>
      </c>
    </row>
    <row r="430" spans="1:20" ht="11.85" customHeight="1" x14ac:dyDescent="0.25">
      <c r="A430" s="492">
        <v>44311</v>
      </c>
      <c r="B430" s="252" t="s">
        <v>761</v>
      </c>
      <c r="C430" s="252" t="s">
        <v>762</v>
      </c>
      <c r="D430" s="252" t="s">
        <v>458</v>
      </c>
      <c r="E430" s="252" t="s">
        <v>673</v>
      </c>
      <c r="F430" s="252" t="s">
        <v>460</v>
      </c>
      <c r="G430" s="323">
        <v>4196.3449212530322</v>
      </c>
      <c r="H430" s="253">
        <v>4126.6052861921216</v>
      </c>
      <c r="I430" s="323">
        <v>0</v>
      </c>
      <c r="J430" s="323">
        <v>0</v>
      </c>
      <c r="K430" s="323">
        <v>0</v>
      </c>
      <c r="L430" s="323">
        <v>0</v>
      </c>
      <c r="M430" s="323">
        <v>4126.6052861921216</v>
      </c>
      <c r="N430" s="253"/>
      <c r="P430" s="279">
        <v>221</v>
      </c>
      <c r="Q430" s="312"/>
      <c r="R430" s="497">
        <v>44287</v>
      </c>
      <c r="S430" s="498">
        <f t="shared" si="11"/>
        <v>4126.6052861921216</v>
      </c>
      <c r="T430" s="258">
        <v>0</v>
      </c>
    </row>
    <row r="431" spans="1:20" ht="11.85" customHeight="1" x14ac:dyDescent="0.25">
      <c r="A431" s="492">
        <v>44341</v>
      </c>
      <c r="B431" s="252" t="s">
        <v>761</v>
      </c>
      <c r="C431" s="252" t="s">
        <v>762</v>
      </c>
      <c r="D431" s="252" t="s">
        <v>458</v>
      </c>
      <c r="E431" s="252" t="s">
        <v>674</v>
      </c>
      <c r="F431" s="252" t="s">
        <v>460</v>
      </c>
      <c r="G431" s="323">
        <v>4196.3449212530322</v>
      </c>
      <c r="H431" s="253">
        <v>4126.6052861921216</v>
      </c>
      <c r="I431" s="323">
        <v>0</v>
      </c>
      <c r="J431" s="323">
        <v>0</v>
      </c>
      <c r="K431" s="323">
        <v>0</v>
      </c>
      <c r="L431" s="323">
        <v>0</v>
      </c>
      <c r="M431" s="323">
        <v>4126.6052861921216</v>
      </c>
      <c r="N431" s="253"/>
      <c r="P431" s="279">
        <v>221</v>
      </c>
      <c r="Q431" s="312"/>
      <c r="R431" s="497">
        <v>44317</v>
      </c>
      <c r="S431" s="498">
        <f t="shared" si="11"/>
        <v>4126.6052861921216</v>
      </c>
      <c r="T431" s="258">
        <v>0</v>
      </c>
    </row>
    <row r="432" spans="1:20" ht="11.85" customHeight="1" x14ac:dyDescent="0.25">
      <c r="A432" s="492">
        <v>44352</v>
      </c>
      <c r="B432" s="252" t="s">
        <v>761</v>
      </c>
      <c r="C432" s="252" t="s">
        <v>762</v>
      </c>
      <c r="D432" s="252" t="s">
        <v>471</v>
      </c>
      <c r="E432" s="252" t="s">
        <v>472</v>
      </c>
      <c r="F432" s="252" t="s">
        <v>460</v>
      </c>
      <c r="G432" s="323">
        <v>928441.31382723327</v>
      </c>
      <c r="H432" s="253">
        <v>913011.4195700069</v>
      </c>
      <c r="I432" s="323">
        <v>0</v>
      </c>
      <c r="J432" s="323">
        <v>0</v>
      </c>
      <c r="K432" s="323">
        <v>0</v>
      </c>
      <c r="L432" s="323">
        <v>0</v>
      </c>
      <c r="M432" s="323">
        <v>913011.4195700069</v>
      </c>
      <c r="N432" s="253"/>
      <c r="P432" s="279">
        <v>221</v>
      </c>
      <c r="Q432" s="312"/>
      <c r="R432" s="497">
        <v>44348</v>
      </c>
      <c r="S432" s="498">
        <f t="shared" si="11"/>
        <v>913011.4195700069</v>
      </c>
      <c r="T432" s="258">
        <v>0</v>
      </c>
    </row>
    <row r="433" spans="1:20" x14ac:dyDescent="0.25">
      <c r="A433" s="492">
        <v>44372</v>
      </c>
      <c r="B433" s="252" t="s">
        <v>761</v>
      </c>
      <c r="C433" s="252" t="s">
        <v>762</v>
      </c>
      <c r="D433" s="252" t="s">
        <v>458</v>
      </c>
      <c r="E433" s="252" t="s">
        <v>675</v>
      </c>
      <c r="F433" s="252" t="s">
        <v>460</v>
      </c>
      <c r="G433" s="323">
        <v>4196.3449212530322</v>
      </c>
      <c r="H433" s="253">
        <v>4126.6052861921216</v>
      </c>
      <c r="I433" s="323">
        <v>0</v>
      </c>
      <c r="J433" s="323">
        <v>0</v>
      </c>
      <c r="K433" s="323">
        <v>0</v>
      </c>
      <c r="L433" s="323">
        <v>0</v>
      </c>
      <c r="M433" s="323">
        <v>4126.6052861921216</v>
      </c>
      <c r="N433" s="253"/>
      <c r="P433" s="279">
        <v>221</v>
      </c>
      <c r="Q433" s="312"/>
      <c r="R433" s="497">
        <v>44348</v>
      </c>
      <c r="S433" s="498">
        <f t="shared" si="11"/>
        <v>4126.6052861921216</v>
      </c>
      <c r="T433" s="258">
        <v>0</v>
      </c>
    </row>
    <row r="434" spans="1:20" x14ac:dyDescent="0.25">
      <c r="A434" s="492">
        <v>44402</v>
      </c>
      <c r="B434" s="252" t="s">
        <v>761</v>
      </c>
      <c r="C434" s="252" t="s">
        <v>762</v>
      </c>
      <c r="D434" s="252" t="s">
        <v>458</v>
      </c>
      <c r="E434" s="252" t="s">
        <v>676</v>
      </c>
      <c r="F434" s="252" t="s">
        <v>460</v>
      </c>
      <c r="G434" s="323">
        <v>4196.3449212530322</v>
      </c>
      <c r="H434" s="253">
        <v>4126.6052861921216</v>
      </c>
      <c r="I434" s="323">
        <v>0</v>
      </c>
      <c r="J434" s="323">
        <v>0</v>
      </c>
      <c r="K434" s="323">
        <v>0</v>
      </c>
      <c r="L434" s="323">
        <v>0</v>
      </c>
      <c r="M434" s="323">
        <v>4126.6052861921216</v>
      </c>
      <c r="N434" s="253"/>
      <c r="P434" s="279">
        <v>221</v>
      </c>
      <c r="Q434" s="312"/>
      <c r="R434" s="497">
        <v>44378</v>
      </c>
      <c r="S434" s="498">
        <f t="shared" si="11"/>
        <v>4126.6052861921216</v>
      </c>
      <c r="T434" s="258">
        <v>0</v>
      </c>
    </row>
    <row r="435" spans="1:20" x14ac:dyDescent="0.25">
      <c r="A435" s="492">
        <v>44433</v>
      </c>
      <c r="B435" s="252" t="s">
        <v>761</v>
      </c>
      <c r="C435" s="252" t="s">
        <v>762</v>
      </c>
      <c r="D435" s="252" t="s">
        <v>458</v>
      </c>
      <c r="E435" s="252" t="s">
        <v>677</v>
      </c>
      <c r="F435" s="252" t="s">
        <v>460</v>
      </c>
      <c r="G435" s="323">
        <v>4196.3449212530322</v>
      </c>
      <c r="H435" s="253">
        <v>4126.6052861921216</v>
      </c>
      <c r="I435" s="323">
        <v>0</v>
      </c>
      <c r="J435" s="323">
        <v>0</v>
      </c>
      <c r="K435" s="323">
        <v>0</v>
      </c>
      <c r="L435" s="323">
        <v>0</v>
      </c>
      <c r="M435" s="323">
        <v>4126.6052861921216</v>
      </c>
      <c r="N435" s="253"/>
      <c r="P435" s="279">
        <v>221</v>
      </c>
      <c r="Q435" s="312"/>
      <c r="R435" s="497">
        <v>44409</v>
      </c>
      <c r="S435" s="498">
        <f t="shared" si="11"/>
        <v>4126.6052861921216</v>
      </c>
      <c r="T435" s="258">
        <v>0</v>
      </c>
    </row>
    <row r="436" spans="1:20" x14ac:dyDescent="0.25">
      <c r="A436" s="492">
        <v>44464</v>
      </c>
      <c r="B436" s="252" t="s">
        <v>761</v>
      </c>
      <c r="C436" s="252" t="s">
        <v>762</v>
      </c>
      <c r="D436" s="252" t="s">
        <v>458</v>
      </c>
      <c r="E436" s="252" t="s">
        <v>678</v>
      </c>
      <c r="F436" s="252" t="s">
        <v>460</v>
      </c>
      <c r="G436" s="323">
        <v>4196.3449212530322</v>
      </c>
      <c r="H436" s="253">
        <v>4126.6052861921216</v>
      </c>
      <c r="I436" s="323">
        <v>0</v>
      </c>
      <c r="J436" s="323">
        <v>0</v>
      </c>
      <c r="K436" s="323">
        <v>0</v>
      </c>
      <c r="L436" s="323">
        <v>0</v>
      </c>
      <c r="M436" s="323">
        <v>4126.6052861921216</v>
      </c>
      <c r="N436" s="253"/>
      <c r="P436" s="279">
        <v>221</v>
      </c>
      <c r="Q436" s="312"/>
      <c r="R436" s="497">
        <v>44440</v>
      </c>
      <c r="S436" s="498">
        <f t="shared" si="11"/>
        <v>4126.6052861921216</v>
      </c>
      <c r="T436" s="258">
        <v>0</v>
      </c>
    </row>
    <row r="437" spans="1:20" x14ac:dyDescent="0.25">
      <c r="A437" s="492">
        <v>44494</v>
      </c>
      <c r="B437" s="252" t="s">
        <v>761</v>
      </c>
      <c r="C437" s="252" t="s">
        <v>762</v>
      </c>
      <c r="D437" s="252" t="s">
        <v>458</v>
      </c>
      <c r="E437" s="252" t="s">
        <v>679</v>
      </c>
      <c r="F437" s="252" t="s">
        <v>460</v>
      </c>
      <c r="G437" s="323">
        <v>4196.3449212530322</v>
      </c>
      <c r="H437" s="253">
        <v>4126.6052861921216</v>
      </c>
      <c r="I437" s="323">
        <v>0</v>
      </c>
      <c r="J437" s="323">
        <v>0</v>
      </c>
      <c r="K437" s="323">
        <v>0</v>
      </c>
      <c r="L437" s="323">
        <v>0</v>
      </c>
      <c r="M437" s="323">
        <v>4126.6052861921216</v>
      </c>
      <c r="N437" s="253"/>
      <c r="P437" s="279">
        <v>221</v>
      </c>
      <c r="Q437" s="312"/>
      <c r="R437" s="497">
        <v>44470</v>
      </c>
      <c r="S437" s="498">
        <f t="shared" si="11"/>
        <v>4126.6052861921216</v>
      </c>
      <c r="T437" s="258">
        <v>0</v>
      </c>
    </row>
    <row r="438" spans="1:20" x14ac:dyDescent="0.25">
      <c r="A438" s="492">
        <v>44525</v>
      </c>
      <c r="B438" s="252" t="s">
        <v>761</v>
      </c>
      <c r="C438" s="252" t="s">
        <v>762</v>
      </c>
      <c r="D438" s="252" t="s">
        <v>458</v>
      </c>
      <c r="E438" s="252" t="s">
        <v>680</v>
      </c>
      <c r="F438" s="252" t="s">
        <v>460</v>
      </c>
      <c r="G438" s="323">
        <v>4196.3449212530322</v>
      </c>
      <c r="H438" s="253">
        <v>4126.6052861921216</v>
      </c>
      <c r="I438" s="323">
        <v>0</v>
      </c>
      <c r="J438" s="323">
        <v>0</v>
      </c>
      <c r="K438" s="323">
        <v>0</v>
      </c>
      <c r="L438" s="323">
        <v>0</v>
      </c>
      <c r="M438" s="323">
        <v>4126.6052861921216</v>
      </c>
      <c r="N438" s="253"/>
      <c r="P438" s="279">
        <v>221</v>
      </c>
      <c r="Q438" s="312"/>
      <c r="R438" s="497">
        <v>44501</v>
      </c>
      <c r="S438" s="498">
        <f t="shared" si="11"/>
        <v>4126.6052861921216</v>
      </c>
      <c r="T438" s="258">
        <v>0</v>
      </c>
    </row>
    <row r="439" spans="1:20" x14ac:dyDescent="0.25">
      <c r="A439" s="492">
        <v>44555</v>
      </c>
      <c r="B439" s="252" t="s">
        <v>761</v>
      </c>
      <c r="C439" s="252" t="s">
        <v>762</v>
      </c>
      <c r="D439" s="252" t="s">
        <v>458</v>
      </c>
      <c r="E439" s="252" t="s">
        <v>681</v>
      </c>
      <c r="F439" s="252" t="s">
        <v>460</v>
      </c>
      <c r="G439" s="323">
        <v>4196.3449212530322</v>
      </c>
      <c r="H439" s="253">
        <v>4126.6052861921216</v>
      </c>
      <c r="I439" s="323">
        <v>0</v>
      </c>
      <c r="J439" s="323">
        <v>0</v>
      </c>
      <c r="K439" s="323">
        <v>0</v>
      </c>
      <c r="L439" s="323">
        <v>0</v>
      </c>
      <c r="M439" s="323">
        <v>4126.6052861921216</v>
      </c>
      <c r="N439" s="253"/>
      <c r="P439" s="279">
        <v>221</v>
      </c>
      <c r="Q439" s="312"/>
      <c r="R439" s="497">
        <v>44531</v>
      </c>
      <c r="S439" s="498">
        <f t="shared" si="11"/>
        <v>4126.6052861921216</v>
      </c>
      <c r="T439" s="258">
        <v>0</v>
      </c>
    </row>
    <row r="440" spans="1:20" x14ac:dyDescent="0.25">
      <c r="A440" s="492">
        <v>44586</v>
      </c>
      <c r="B440" s="252" t="s">
        <v>761</v>
      </c>
      <c r="C440" s="252" t="s">
        <v>762</v>
      </c>
      <c r="D440" s="252" t="s">
        <v>458</v>
      </c>
      <c r="E440" s="252" t="s">
        <v>682</v>
      </c>
      <c r="F440" s="252" t="s">
        <v>460</v>
      </c>
      <c r="G440" s="323">
        <v>4196.3449212530322</v>
      </c>
      <c r="H440" s="253">
        <v>4126.6052861921216</v>
      </c>
      <c r="I440" s="323">
        <v>0</v>
      </c>
      <c r="J440" s="323">
        <v>0</v>
      </c>
      <c r="K440" s="323">
        <v>0</v>
      </c>
      <c r="L440" s="323">
        <v>0</v>
      </c>
      <c r="M440" s="323">
        <v>4126.6052861921216</v>
      </c>
      <c r="N440" s="253"/>
      <c r="P440" s="279">
        <v>221</v>
      </c>
      <c r="Q440" s="312"/>
      <c r="R440" s="497">
        <v>44562</v>
      </c>
      <c r="S440" s="498">
        <f t="shared" si="11"/>
        <v>4126.6052861921216</v>
      </c>
      <c r="T440" s="258">
        <v>0</v>
      </c>
    </row>
    <row r="441" spans="1:20" x14ac:dyDescent="0.25">
      <c r="A441" s="492">
        <v>44617</v>
      </c>
      <c r="B441" s="252" t="s">
        <v>761</v>
      </c>
      <c r="C441" s="252" t="s">
        <v>762</v>
      </c>
      <c r="D441" s="252" t="s">
        <v>458</v>
      </c>
      <c r="E441" s="252" t="s">
        <v>683</v>
      </c>
      <c r="F441" s="252" t="s">
        <v>460</v>
      </c>
      <c r="G441" s="323">
        <v>4196.3449212530322</v>
      </c>
      <c r="H441" s="253">
        <v>4126.6052861921216</v>
      </c>
      <c r="I441" s="323">
        <v>0</v>
      </c>
      <c r="J441" s="323">
        <v>0</v>
      </c>
      <c r="K441" s="323">
        <v>0</v>
      </c>
      <c r="L441" s="323">
        <v>0</v>
      </c>
      <c r="M441" s="323">
        <v>4126.6052861921216</v>
      </c>
      <c r="N441" s="253"/>
      <c r="P441" s="279">
        <v>221</v>
      </c>
      <c r="Q441" s="312"/>
      <c r="R441" s="497">
        <v>44593</v>
      </c>
      <c r="S441" s="498">
        <f t="shared" si="11"/>
        <v>4126.6052861921216</v>
      </c>
      <c r="T441" s="258">
        <v>0</v>
      </c>
    </row>
    <row r="442" spans="1:20" x14ac:dyDescent="0.25">
      <c r="A442" s="492">
        <v>44645</v>
      </c>
      <c r="B442" s="252" t="s">
        <v>761</v>
      </c>
      <c r="C442" s="252" t="s">
        <v>762</v>
      </c>
      <c r="D442" s="252" t="s">
        <v>458</v>
      </c>
      <c r="E442" s="252" t="s">
        <v>684</v>
      </c>
      <c r="F442" s="252" t="s">
        <v>460</v>
      </c>
      <c r="G442" s="323">
        <v>4196.3449212530322</v>
      </c>
      <c r="H442" s="253">
        <v>4126.6052861921216</v>
      </c>
      <c r="I442" s="323">
        <v>0</v>
      </c>
      <c r="J442" s="323">
        <v>0</v>
      </c>
      <c r="K442" s="323">
        <v>0</v>
      </c>
      <c r="L442" s="323">
        <v>0</v>
      </c>
      <c r="M442" s="323">
        <v>4126.6052861921216</v>
      </c>
      <c r="N442" s="253"/>
      <c r="P442" s="279">
        <v>221</v>
      </c>
      <c r="Q442" s="312"/>
      <c r="R442" s="497">
        <v>44621</v>
      </c>
      <c r="S442" s="498">
        <f t="shared" si="11"/>
        <v>4126.6052861921216</v>
      </c>
      <c r="T442" s="258">
        <v>0</v>
      </c>
    </row>
    <row r="443" spans="1:20" x14ac:dyDescent="0.25">
      <c r="A443" s="492">
        <v>44676</v>
      </c>
      <c r="B443" s="252" t="s">
        <v>761</v>
      </c>
      <c r="C443" s="252" t="s">
        <v>762</v>
      </c>
      <c r="D443" s="252" t="s">
        <v>458</v>
      </c>
      <c r="E443" s="252" t="s">
        <v>685</v>
      </c>
      <c r="F443" s="252" t="s">
        <v>460</v>
      </c>
      <c r="G443" s="323">
        <v>4196.3449212530322</v>
      </c>
      <c r="H443" s="253">
        <v>4126.6052861921216</v>
      </c>
      <c r="I443" s="323">
        <v>0</v>
      </c>
      <c r="J443" s="323">
        <v>0</v>
      </c>
      <c r="K443" s="323">
        <v>0</v>
      </c>
      <c r="L443" s="323">
        <v>0</v>
      </c>
      <c r="M443" s="323">
        <v>4126.6052861921216</v>
      </c>
      <c r="N443" s="253"/>
      <c r="P443" s="279">
        <v>221</v>
      </c>
      <c r="Q443" s="312"/>
      <c r="R443" s="497">
        <v>44652</v>
      </c>
      <c r="S443" s="498">
        <f t="shared" si="11"/>
        <v>4126.6052861921216</v>
      </c>
      <c r="T443" s="258">
        <v>0</v>
      </c>
    </row>
    <row r="444" spans="1:20" x14ac:dyDescent="0.25">
      <c r="A444" s="492">
        <v>44706</v>
      </c>
      <c r="B444" s="252" t="s">
        <v>761</v>
      </c>
      <c r="C444" s="252" t="s">
        <v>762</v>
      </c>
      <c r="D444" s="252" t="s">
        <v>458</v>
      </c>
      <c r="E444" s="252" t="s">
        <v>686</v>
      </c>
      <c r="F444" s="252" t="s">
        <v>460</v>
      </c>
      <c r="G444" s="323">
        <v>4196.3449212530322</v>
      </c>
      <c r="H444" s="253">
        <v>4126.6052861921216</v>
      </c>
      <c r="I444" s="323">
        <v>0</v>
      </c>
      <c r="J444" s="323">
        <v>0</v>
      </c>
      <c r="K444" s="323">
        <v>0</v>
      </c>
      <c r="L444" s="323">
        <v>0</v>
      </c>
      <c r="M444" s="323">
        <v>4126.6052861921216</v>
      </c>
      <c r="N444" s="253"/>
      <c r="P444" s="279">
        <v>221</v>
      </c>
      <c r="Q444" s="312"/>
      <c r="R444" s="497">
        <v>44682</v>
      </c>
      <c r="S444" s="498">
        <f t="shared" si="11"/>
        <v>4126.6052861921216</v>
      </c>
      <c r="T444" s="258">
        <v>0</v>
      </c>
    </row>
    <row r="445" spans="1:20" x14ac:dyDescent="0.25">
      <c r="A445" s="492">
        <v>44717</v>
      </c>
      <c r="B445" s="252" t="s">
        <v>761</v>
      </c>
      <c r="C445" s="252" t="s">
        <v>762</v>
      </c>
      <c r="D445" s="252" t="s">
        <v>471</v>
      </c>
      <c r="E445" s="252" t="s">
        <v>482</v>
      </c>
      <c r="F445" s="252" t="s">
        <v>460</v>
      </c>
      <c r="G445" s="323">
        <v>928441.31382723327</v>
      </c>
      <c r="H445" s="253">
        <v>913011.4195700069</v>
      </c>
      <c r="I445" s="323">
        <v>0</v>
      </c>
      <c r="J445" s="323">
        <v>0</v>
      </c>
      <c r="K445" s="323">
        <v>0</v>
      </c>
      <c r="L445" s="323">
        <v>0</v>
      </c>
      <c r="M445" s="323">
        <v>913011.4195700069</v>
      </c>
      <c r="N445" s="253"/>
      <c r="P445" s="279">
        <v>221</v>
      </c>
      <c r="Q445" s="312"/>
      <c r="R445" s="497">
        <v>44713</v>
      </c>
      <c r="S445" s="498">
        <f t="shared" si="11"/>
        <v>913011.4195700069</v>
      </c>
      <c r="T445" s="258">
        <v>0</v>
      </c>
    </row>
    <row r="446" spans="1:20" x14ac:dyDescent="0.25">
      <c r="A446" s="492">
        <v>44737</v>
      </c>
      <c r="B446" s="252" t="s">
        <v>761</v>
      </c>
      <c r="C446" s="252" t="s">
        <v>762</v>
      </c>
      <c r="D446" s="252" t="s">
        <v>458</v>
      </c>
      <c r="E446" s="252" t="s">
        <v>687</v>
      </c>
      <c r="F446" s="252" t="s">
        <v>460</v>
      </c>
      <c r="G446" s="323">
        <v>4196.3449212530322</v>
      </c>
      <c r="H446" s="253">
        <v>4126.6052861921216</v>
      </c>
      <c r="I446" s="323">
        <v>0</v>
      </c>
      <c r="J446" s="323">
        <v>0</v>
      </c>
      <c r="K446" s="323">
        <v>0</v>
      </c>
      <c r="L446" s="323">
        <v>0</v>
      </c>
      <c r="M446" s="323">
        <v>4126.6052861921216</v>
      </c>
      <c r="N446" s="253"/>
      <c r="P446" s="279">
        <v>221</v>
      </c>
      <c r="Q446" s="312"/>
      <c r="R446" s="497">
        <v>44713</v>
      </c>
      <c r="S446" s="498">
        <f t="shared" si="11"/>
        <v>4126.6052861921216</v>
      </c>
      <c r="T446" s="258">
        <v>0</v>
      </c>
    </row>
    <row r="447" spans="1:20" x14ac:dyDescent="0.25">
      <c r="A447" s="492">
        <v>44767</v>
      </c>
      <c r="B447" s="252" t="s">
        <v>761</v>
      </c>
      <c r="C447" s="252" t="s">
        <v>762</v>
      </c>
      <c r="D447" s="252" t="s">
        <v>458</v>
      </c>
      <c r="E447" s="252" t="s">
        <v>688</v>
      </c>
      <c r="F447" s="252" t="s">
        <v>460</v>
      </c>
      <c r="G447" s="323">
        <v>4196.3449212530322</v>
      </c>
      <c r="H447" s="253">
        <v>4126.6052861921216</v>
      </c>
      <c r="I447" s="323">
        <v>0</v>
      </c>
      <c r="J447" s="323">
        <v>0</v>
      </c>
      <c r="K447" s="323">
        <v>0</v>
      </c>
      <c r="L447" s="323">
        <v>0</v>
      </c>
      <c r="M447" s="323">
        <v>4126.6052861921216</v>
      </c>
      <c r="N447" s="253"/>
      <c r="P447" s="279">
        <v>221</v>
      </c>
      <c r="Q447" s="312"/>
      <c r="R447" s="497">
        <v>44743</v>
      </c>
      <c r="S447" s="498">
        <f t="shared" si="11"/>
        <v>4126.6052861921216</v>
      </c>
      <c r="T447" s="258">
        <v>0</v>
      </c>
    </row>
    <row r="448" spans="1:20" x14ac:dyDescent="0.25">
      <c r="A448" s="492">
        <v>44798</v>
      </c>
      <c r="B448" s="252" t="s">
        <v>761</v>
      </c>
      <c r="C448" s="252" t="s">
        <v>762</v>
      </c>
      <c r="D448" s="252" t="s">
        <v>458</v>
      </c>
      <c r="E448" s="252" t="s">
        <v>689</v>
      </c>
      <c r="F448" s="252" t="s">
        <v>460</v>
      </c>
      <c r="G448" s="323">
        <v>4196.3449212530322</v>
      </c>
      <c r="H448" s="253">
        <v>4126.6052861921216</v>
      </c>
      <c r="I448" s="323">
        <v>0</v>
      </c>
      <c r="J448" s="323">
        <v>0</v>
      </c>
      <c r="K448" s="323">
        <v>0</v>
      </c>
      <c r="L448" s="323">
        <v>0</v>
      </c>
      <c r="M448" s="323">
        <v>4126.6052861921216</v>
      </c>
      <c r="N448" s="253"/>
      <c r="P448" s="279">
        <v>221</v>
      </c>
      <c r="Q448" s="312"/>
      <c r="R448" s="497">
        <v>44774</v>
      </c>
      <c r="S448" s="498">
        <f t="shared" si="11"/>
        <v>4126.6052861921216</v>
      </c>
      <c r="T448" s="258">
        <v>0</v>
      </c>
    </row>
    <row r="449" spans="1:20" x14ac:dyDescent="0.25">
      <c r="A449" s="492">
        <v>44829</v>
      </c>
      <c r="B449" s="252" t="s">
        <v>761</v>
      </c>
      <c r="C449" s="252" t="s">
        <v>762</v>
      </c>
      <c r="D449" s="252" t="s">
        <v>458</v>
      </c>
      <c r="E449" s="252" t="s">
        <v>690</v>
      </c>
      <c r="F449" s="252" t="s">
        <v>460</v>
      </c>
      <c r="G449" s="323">
        <v>4196.3449212530322</v>
      </c>
      <c r="H449" s="253">
        <v>4126.6052861921216</v>
      </c>
      <c r="I449" s="323">
        <v>0</v>
      </c>
      <c r="J449" s="323">
        <v>0</v>
      </c>
      <c r="K449" s="323">
        <v>0</v>
      </c>
      <c r="L449" s="323">
        <v>0</v>
      </c>
      <c r="M449" s="323">
        <v>4126.6052861921216</v>
      </c>
      <c r="N449" s="253"/>
      <c r="P449" s="279">
        <v>221</v>
      </c>
      <c r="Q449" s="312"/>
      <c r="R449" s="497">
        <v>44805</v>
      </c>
      <c r="S449" s="498">
        <f t="shared" si="11"/>
        <v>4126.6052861921216</v>
      </c>
      <c r="T449" s="258">
        <v>0</v>
      </c>
    </row>
    <row r="450" spans="1:20" x14ac:dyDescent="0.25">
      <c r="A450" s="492">
        <v>44859</v>
      </c>
      <c r="B450" s="252" t="s">
        <v>761</v>
      </c>
      <c r="C450" s="252" t="s">
        <v>762</v>
      </c>
      <c r="D450" s="252" t="s">
        <v>458</v>
      </c>
      <c r="E450" s="252" t="s">
        <v>691</v>
      </c>
      <c r="F450" s="252" t="s">
        <v>460</v>
      </c>
      <c r="G450" s="323">
        <v>4196.3449212530322</v>
      </c>
      <c r="H450" s="253">
        <v>4126.6052861921216</v>
      </c>
      <c r="I450" s="323">
        <v>0</v>
      </c>
      <c r="J450" s="323">
        <v>0</v>
      </c>
      <c r="K450" s="323">
        <v>0</v>
      </c>
      <c r="L450" s="323">
        <v>0</v>
      </c>
      <c r="M450" s="323">
        <v>4126.6052861921216</v>
      </c>
      <c r="N450" s="253"/>
      <c r="P450" s="279">
        <v>221</v>
      </c>
      <c r="Q450" s="312"/>
      <c r="R450" s="497">
        <v>44835</v>
      </c>
      <c r="S450" s="498">
        <f t="shared" si="11"/>
        <v>4126.6052861921216</v>
      </c>
      <c r="T450" s="258">
        <v>0</v>
      </c>
    </row>
    <row r="451" spans="1:20" x14ac:dyDescent="0.25">
      <c r="A451" s="492">
        <v>44890</v>
      </c>
      <c r="B451" s="252" t="s">
        <v>761</v>
      </c>
      <c r="C451" s="252" t="s">
        <v>762</v>
      </c>
      <c r="D451" s="252" t="s">
        <v>458</v>
      </c>
      <c r="E451" s="252" t="s">
        <v>692</v>
      </c>
      <c r="F451" s="252" t="s">
        <v>460</v>
      </c>
      <c r="G451" s="323">
        <v>4196.3449212530322</v>
      </c>
      <c r="H451" s="253">
        <v>4126.6052861921216</v>
      </c>
      <c r="I451" s="323">
        <v>0</v>
      </c>
      <c r="J451" s="323">
        <v>0</v>
      </c>
      <c r="K451" s="323">
        <v>0</v>
      </c>
      <c r="L451" s="323">
        <v>0</v>
      </c>
      <c r="M451" s="323">
        <v>4126.6052861921216</v>
      </c>
      <c r="N451" s="253"/>
      <c r="P451" s="279">
        <v>221</v>
      </c>
      <c r="Q451" s="312"/>
      <c r="R451" s="497">
        <v>44866</v>
      </c>
      <c r="S451" s="498">
        <f t="shared" si="11"/>
        <v>4126.6052861921216</v>
      </c>
      <c r="T451" s="258">
        <v>0</v>
      </c>
    </row>
    <row r="452" spans="1:20" x14ac:dyDescent="0.25">
      <c r="A452" s="492">
        <v>44920</v>
      </c>
      <c r="B452" s="252" t="s">
        <v>761</v>
      </c>
      <c r="C452" s="252" t="s">
        <v>762</v>
      </c>
      <c r="D452" s="252" t="s">
        <v>458</v>
      </c>
      <c r="E452" s="252" t="s">
        <v>693</v>
      </c>
      <c r="F452" s="252" t="s">
        <v>460</v>
      </c>
      <c r="G452" s="323">
        <v>4196.3449212530322</v>
      </c>
      <c r="H452" s="253">
        <v>4126.6052861921216</v>
      </c>
      <c r="I452" s="323">
        <v>0</v>
      </c>
      <c r="J452" s="323">
        <v>0</v>
      </c>
      <c r="K452" s="323">
        <v>0</v>
      </c>
      <c r="L452" s="323">
        <v>0</v>
      </c>
      <c r="M452" s="323">
        <v>4126.6052861921216</v>
      </c>
      <c r="N452" s="253"/>
      <c r="P452" s="279">
        <v>221</v>
      </c>
      <c r="Q452" s="312"/>
      <c r="R452" s="497">
        <v>44896</v>
      </c>
      <c r="S452" s="498">
        <f t="shared" si="11"/>
        <v>4126.6052861921216</v>
      </c>
      <c r="T452" s="258">
        <v>0</v>
      </c>
    </row>
    <row r="453" spans="1:20" x14ac:dyDescent="0.25">
      <c r="A453" s="492">
        <v>44951</v>
      </c>
      <c r="B453" s="252" t="s">
        <v>761</v>
      </c>
      <c r="C453" s="252" t="s">
        <v>762</v>
      </c>
      <c r="D453" s="252" t="s">
        <v>458</v>
      </c>
      <c r="E453" s="252" t="s">
        <v>694</v>
      </c>
      <c r="F453" s="252" t="s">
        <v>460</v>
      </c>
      <c r="G453" s="323">
        <v>4196.3449212530322</v>
      </c>
      <c r="H453" s="253">
        <v>4126.6052861921216</v>
      </c>
      <c r="I453" s="323">
        <v>0</v>
      </c>
      <c r="J453" s="323">
        <v>0</v>
      </c>
      <c r="K453" s="323">
        <v>0</v>
      </c>
      <c r="L453" s="323">
        <v>0</v>
      </c>
      <c r="M453" s="323">
        <v>4126.6052861921216</v>
      </c>
      <c r="N453" s="253"/>
      <c r="P453" s="279">
        <v>221</v>
      </c>
      <c r="Q453" s="312"/>
      <c r="R453" s="497">
        <v>44927</v>
      </c>
      <c r="S453" s="498">
        <f t="shared" si="11"/>
        <v>4126.6052861921216</v>
      </c>
      <c r="T453" s="258">
        <v>0</v>
      </c>
    </row>
    <row r="454" spans="1:20" x14ac:dyDescent="0.25">
      <c r="A454" s="492">
        <v>45021</v>
      </c>
      <c r="B454" s="252" t="s">
        <v>761</v>
      </c>
      <c r="C454" s="252" t="s">
        <v>762</v>
      </c>
      <c r="D454" s="252" t="s">
        <v>465</v>
      </c>
      <c r="E454" s="252" t="s">
        <v>466</v>
      </c>
      <c r="F454" s="252" t="s">
        <v>460</v>
      </c>
      <c r="G454" s="323">
        <v>928441.31382723327</v>
      </c>
      <c r="H454" s="253">
        <v>913011.4195700069</v>
      </c>
      <c r="I454" s="323">
        <v>0</v>
      </c>
      <c r="J454" s="323">
        <v>0</v>
      </c>
      <c r="K454" s="323">
        <v>0</v>
      </c>
      <c r="L454" s="323">
        <v>0</v>
      </c>
      <c r="M454" s="323">
        <v>913011.4195700069</v>
      </c>
      <c r="N454" s="253"/>
      <c r="P454" s="279">
        <v>221</v>
      </c>
      <c r="Q454" s="312"/>
      <c r="R454" s="497">
        <v>45017</v>
      </c>
      <c r="S454" s="498">
        <f t="shared" si="11"/>
        <v>913011.4195700069</v>
      </c>
      <c r="T454" s="258">
        <v>0</v>
      </c>
    </row>
    <row r="455" spans="1:20" x14ac:dyDescent="0.25">
      <c r="A455" s="492">
        <v>45143</v>
      </c>
      <c r="B455" s="252" t="s">
        <v>761</v>
      </c>
      <c r="C455" s="252" t="s">
        <v>762</v>
      </c>
      <c r="D455" s="252" t="s">
        <v>467</v>
      </c>
      <c r="E455" s="252" t="s">
        <v>466</v>
      </c>
      <c r="F455" s="252" t="s">
        <v>460</v>
      </c>
      <c r="G455" s="323">
        <v>1049.0862303132581</v>
      </c>
      <c r="H455" s="253">
        <v>1031.65132154803</v>
      </c>
      <c r="I455" s="323">
        <v>0</v>
      </c>
      <c r="J455" s="323">
        <v>0</v>
      </c>
      <c r="K455" s="323">
        <v>0</v>
      </c>
      <c r="L455" s="323">
        <v>0</v>
      </c>
      <c r="M455" s="323">
        <v>1031.65132154803</v>
      </c>
      <c r="N455" s="253"/>
      <c r="P455" s="279">
        <v>221</v>
      </c>
      <c r="Q455" s="312"/>
      <c r="R455" s="497">
        <v>45139</v>
      </c>
      <c r="S455" s="498">
        <f t="shared" ref="S455:S519" si="12">M455</f>
        <v>1031.65132154803</v>
      </c>
      <c r="T455" s="258">
        <v>0</v>
      </c>
    </row>
    <row r="456" spans="1:20" x14ac:dyDescent="0.25">
      <c r="A456" s="492">
        <v>44232</v>
      </c>
      <c r="B456" s="252" t="s">
        <v>763</v>
      </c>
      <c r="C456" s="252" t="s">
        <v>764</v>
      </c>
      <c r="D456" s="252" t="s">
        <v>473</v>
      </c>
      <c r="E456" s="252" t="s">
        <v>535</v>
      </c>
      <c r="F456" s="252" t="s">
        <v>460</v>
      </c>
      <c r="G456" s="323">
        <v>41963.449212530322</v>
      </c>
      <c r="H456" s="253">
        <v>41266.052861921213</v>
      </c>
      <c r="I456" s="323">
        <v>0</v>
      </c>
      <c r="J456" s="323">
        <v>0</v>
      </c>
      <c r="K456" s="323">
        <v>0</v>
      </c>
      <c r="L456" s="323">
        <v>0</v>
      </c>
      <c r="M456" s="323">
        <v>41266.052861921213</v>
      </c>
      <c r="N456" s="253"/>
      <c r="P456" s="279">
        <v>231</v>
      </c>
      <c r="Q456" s="312"/>
      <c r="R456" s="497">
        <v>44228</v>
      </c>
      <c r="S456" s="498">
        <f t="shared" si="12"/>
        <v>41266.052861921213</v>
      </c>
      <c r="T456" s="258">
        <v>0</v>
      </c>
    </row>
    <row r="457" spans="1:20" x14ac:dyDescent="0.25">
      <c r="A457" s="492">
        <v>44260</v>
      </c>
      <c r="B457" s="252" t="s">
        <v>763</v>
      </c>
      <c r="C457" s="252" t="s">
        <v>764</v>
      </c>
      <c r="D457" s="252" t="s">
        <v>473</v>
      </c>
      <c r="E457" s="252" t="s">
        <v>536</v>
      </c>
      <c r="F457" s="252" t="s">
        <v>460</v>
      </c>
      <c r="G457" s="323">
        <v>41963.449212530322</v>
      </c>
      <c r="H457" s="253">
        <v>41266.052861921213</v>
      </c>
      <c r="I457" s="323">
        <v>0</v>
      </c>
      <c r="J457" s="323">
        <v>0</v>
      </c>
      <c r="K457" s="323">
        <v>0</v>
      </c>
      <c r="L457" s="323">
        <v>0</v>
      </c>
      <c r="M457" s="323">
        <v>41266.052861921213</v>
      </c>
      <c r="N457" s="253"/>
      <c r="P457" s="279">
        <v>231</v>
      </c>
      <c r="Q457" s="312"/>
      <c r="R457" s="497">
        <v>44256</v>
      </c>
      <c r="S457" s="498">
        <f t="shared" si="12"/>
        <v>41266.052861921213</v>
      </c>
      <c r="T457" s="258">
        <v>0</v>
      </c>
    </row>
    <row r="458" spans="1:20" x14ac:dyDescent="0.25">
      <c r="A458" s="492">
        <v>44291</v>
      </c>
      <c r="B458" s="252" t="s">
        <v>763</v>
      </c>
      <c r="C458" s="252" t="s">
        <v>764</v>
      </c>
      <c r="D458" s="252" t="s">
        <v>473</v>
      </c>
      <c r="E458" s="252" t="s">
        <v>537</v>
      </c>
      <c r="F458" s="252" t="s">
        <v>460</v>
      </c>
      <c r="G458" s="323">
        <v>41963.449212530322</v>
      </c>
      <c r="H458" s="253">
        <v>41266.052861921213</v>
      </c>
      <c r="I458" s="323">
        <v>0</v>
      </c>
      <c r="J458" s="323">
        <v>0</v>
      </c>
      <c r="K458" s="323">
        <v>0</v>
      </c>
      <c r="L458" s="323">
        <v>0</v>
      </c>
      <c r="M458" s="323">
        <v>41266.052861921213</v>
      </c>
      <c r="N458" s="253"/>
      <c r="P458" s="279">
        <v>231</v>
      </c>
      <c r="Q458" s="312"/>
      <c r="R458" s="497">
        <v>44287</v>
      </c>
      <c r="S458" s="498">
        <f t="shared" si="12"/>
        <v>41266.052861921213</v>
      </c>
      <c r="T458" s="258">
        <v>0</v>
      </c>
    </row>
    <row r="459" spans="1:20" x14ac:dyDescent="0.25">
      <c r="A459" s="492">
        <v>44321</v>
      </c>
      <c r="B459" s="252" t="s">
        <v>763</v>
      </c>
      <c r="C459" s="252" t="s">
        <v>764</v>
      </c>
      <c r="D459" s="252" t="s">
        <v>473</v>
      </c>
      <c r="E459" s="252" t="s">
        <v>538</v>
      </c>
      <c r="F459" s="252" t="s">
        <v>460</v>
      </c>
      <c r="G459" s="323">
        <v>41963.449212530322</v>
      </c>
      <c r="H459" s="253">
        <v>41266.052861921213</v>
      </c>
      <c r="I459" s="323">
        <v>0</v>
      </c>
      <c r="J459" s="323">
        <v>0</v>
      </c>
      <c r="K459" s="323">
        <v>0</v>
      </c>
      <c r="L459" s="323">
        <v>0</v>
      </c>
      <c r="M459" s="323">
        <v>41266.052861921213</v>
      </c>
      <c r="N459" s="253"/>
      <c r="P459" s="279">
        <v>231</v>
      </c>
      <c r="Q459" s="312"/>
      <c r="R459" s="497">
        <v>44317</v>
      </c>
      <c r="S459" s="498">
        <f t="shared" si="12"/>
        <v>41266.052861921213</v>
      </c>
      <c r="T459" s="258">
        <v>0</v>
      </c>
    </row>
    <row r="460" spans="1:20" x14ac:dyDescent="0.25">
      <c r="A460" s="492">
        <v>44352</v>
      </c>
      <c r="B460" s="252" t="s">
        <v>763</v>
      </c>
      <c r="C460" s="252" t="s">
        <v>764</v>
      </c>
      <c r="D460" s="252" t="s">
        <v>473</v>
      </c>
      <c r="E460" s="252" t="s">
        <v>539</v>
      </c>
      <c r="F460" s="252" t="s">
        <v>460</v>
      </c>
      <c r="G460" s="323">
        <v>41963.449212530322</v>
      </c>
      <c r="H460" s="253">
        <v>41266.052861921213</v>
      </c>
      <c r="I460" s="323">
        <v>0</v>
      </c>
      <c r="J460" s="323">
        <v>0</v>
      </c>
      <c r="K460" s="323">
        <v>0</v>
      </c>
      <c r="L460" s="323">
        <v>0</v>
      </c>
      <c r="M460" s="323">
        <v>41266.052861921213</v>
      </c>
      <c r="N460" s="253"/>
      <c r="P460" s="279">
        <v>231</v>
      </c>
      <c r="Q460" s="312"/>
      <c r="R460" s="497">
        <v>44348</v>
      </c>
      <c r="S460" s="498">
        <f t="shared" si="12"/>
        <v>41266.052861921213</v>
      </c>
      <c r="T460" s="258">
        <v>0</v>
      </c>
    </row>
    <row r="461" spans="1:20" x14ac:dyDescent="0.25">
      <c r="A461" s="492">
        <v>44382</v>
      </c>
      <c r="B461" s="252" t="s">
        <v>763</v>
      </c>
      <c r="C461" s="252" t="s">
        <v>764</v>
      </c>
      <c r="D461" s="252" t="s">
        <v>473</v>
      </c>
      <c r="E461" s="252" t="s">
        <v>540</v>
      </c>
      <c r="F461" s="252" t="s">
        <v>460</v>
      </c>
      <c r="G461" s="323">
        <v>41963.449212530322</v>
      </c>
      <c r="H461" s="253">
        <v>41266.052861921213</v>
      </c>
      <c r="I461" s="323">
        <v>0</v>
      </c>
      <c r="J461" s="323">
        <v>0</v>
      </c>
      <c r="K461" s="323">
        <v>0</v>
      </c>
      <c r="L461" s="323">
        <v>0</v>
      </c>
      <c r="M461" s="323">
        <v>41266.052861921213</v>
      </c>
      <c r="N461" s="253"/>
      <c r="P461" s="279">
        <v>231</v>
      </c>
      <c r="Q461" s="312"/>
      <c r="R461" s="497">
        <v>44378</v>
      </c>
      <c r="S461" s="498">
        <f t="shared" si="12"/>
        <v>41266.052861921213</v>
      </c>
      <c r="T461" s="258">
        <v>0</v>
      </c>
    </row>
    <row r="462" spans="1:20" x14ac:dyDescent="0.25">
      <c r="A462" s="492">
        <v>44413</v>
      </c>
      <c r="B462" s="252" t="s">
        <v>763</v>
      </c>
      <c r="C462" s="252" t="s">
        <v>764</v>
      </c>
      <c r="D462" s="252" t="s">
        <v>473</v>
      </c>
      <c r="E462" s="252" t="s">
        <v>541</v>
      </c>
      <c r="F462" s="252" t="s">
        <v>460</v>
      </c>
      <c r="G462" s="323">
        <v>41963.449212530322</v>
      </c>
      <c r="H462" s="253">
        <v>41266.052861921213</v>
      </c>
      <c r="I462" s="323">
        <v>0</v>
      </c>
      <c r="J462" s="323">
        <v>0</v>
      </c>
      <c r="K462" s="323">
        <v>0</v>
      </c>
      <c r="L462" s="323">
        <v>0</v>
      </c>
      <c r="M462" s="323">
        <v>41266.052861921213</v>
      </c>
      <c r="N462" s="253"/>
      <c r="P462" s="279">
        <v>231</v>
      </c>
      <c r="Q462" s="312"/>
      <c r="R462" s="497">
        <v>44409</v>
      </c>
      <c r="S462" s="498">
        <f t="shared" si="12"/>
        <v>41266.052861921213</v>
      </c>
      <c r="T462" s="258">
        <v>0</v>
      </c>
    </row>
    <row r="463" spans="1:20" x14ac:dyDescent="0.25">
      <c r="A463" s="492">
        <v>44418</v>
      </c>
      <c r="B463" s="252" t="s">
        <v>763</v>
      </c>
      <c r="C463" s="252" t="s">
        <v>764</v>
      </c>
      <c r="D463" s="252" t="s">
        <v>471</v>
      </c>
      <c r="E463" s="252" t="s">
        <v>472</v>
      </c>
      <c r="F463" s="252" t="s">
        <v>460</v>
      </c>
      <c r="G463" s="323">
        <v>356689.31830650778</v>
      </c>
      <c r="H463" s="253">
        <v>350761.44932633027</v>
      </c>
      <c r="I463" s="323">
        <v>0</v>
      </c>
      <c r="J463" s="323">
        <v>0</v>
      </c>
      <c r="K463" s="323">
        <v>0</v>
      </c>
      <c r="L463" s="323">
        <v>0</v>
      </c>
      <c r="M463" s="323">
        <v>350761.44932633027</v>
      </c>
      <c r="N463" s="253"/>
      <c r="P463" s="279">
        <v>231</v>
      </c>
      <c r="Q463" s="312"/>
      <c r="R463" s="497">
        <v>44409</v>
      </c>
      <c r="S463" s="498">
        <f t="shared" si="12"/>
        <v>350761.44932633027</v>
      </c>
      <c r="T463" s="258">
        <v>0</v>
      </c>
    </row>
    <row r="464" spans="1:20" x14ac:dyDescent="0.25">
      <c r="A464" s="492">
        <v>44444</v>
      </c>
      <c r="B464" s="252" t="s">
        <v>763</v>
      </c>
      <c r="C464" s="252" t="s">
        <v>764</v>
      </c>
      <c r="D464" s="252" t="s">
        <v>473</v>
      </c>
      <c r="E464" s="252" t="s">
        <v>542</v>
      </c>
      <c r="F464" s="252" t="s">
        <v>460</v>
      </c>
      <c r="G464" s="323">
        <v>41963.449212530322</v>
      </c>
      <c r="H464" s="253">
        <v>41266.052861921213</v>
      </c>
      <c r="I464" s="323">
        <v>0</v>
      </c>
      <c r="J464" s="323">
        <v>0</v>
      </c>
      <c r="K464" s="323">
        <v>0</v>
      </c>
      <c r="L464" s="323">
        <v>0</v>
      </c>
      <c r="M464" s="323">
        <v>41266.052861921213</v>
      </c>
      <c r="N464" s="253"/>
      <c r="P464" s="279">
        <v>231</v>
      </c>
      <c r="Q464" s="312"/>
      <c r="R464" s="497">
        <v>44440</v>
      </c>
      <c r="S464" s="498">
        <f t="shared" si="12"/>
        <v>41266.052861921213</v>
      </c>
      <c r="T464" s="258">
        <v>0</v>
      </c>
    </row>
    <row r="465" spans="1:20" x14ac:dyDescent="0.25">
      <c r="A465" s="492">
        <v>44474</v>
      </c>
      <c r="B465" s="252" t="s">
        <v>763</v>
      </c>
      <c r="C465" s="252" t="s">
        <v>764</v>
      </c>
      <c r="D465" s="252" t="s">
        <v>473</v>
      </c>
      <c r="E465" s="252" t="s">
        <v>543</v>
      </c>
      <c r="F465" s="252" t="s">
        <v>460</v>
      </c>
      <c r="G465" s="323">
        <v>41963.449212530322</v>
      </c>
      <c r="H465" s="253">
        <v>41266.052861921213</v>
      </c>
      <c r="I465" s="323">
        <v>0</v>
      </c>
      <c r="J465" s="323">
        <v>0</v>
      </c>
      <c r="K465" s="323">
        <v>0</v>
      </c>
      <c r="L465" s="323">
        <v>0</v>
      </c>
      <c r="M465" s="323">
        <v>41266.052861921213</v>
      </c>
      <c r="N465" s="253"/>
      <c r="P465" s="279">
        <v>231</v>
      </c>
      <c r="Q465" s="312"/>
      <c r="R465" s="497">
        <v>44470</v>
      </c>
      <c r="S465" s="498">
        <f t="shared" si="12"/>
        <v>41266.052861921213</v>
      </c>
      <c r="T465" s="258">
        <v>0</v>
      </c>
    </row>
    <row r="466" spans="1:20" x14ac:dyDescent="0.25">
      <c r="A466" s="492">
        <v>44505</v>
      </c>
      <c r="B466" s="252" t="s">
        <v>763</v>
      </c>
      <c r="C466" s="252" t="s">
        <v>764</v>
      </c>
      <c r="D466" s="252" t="s">
        <v>473</v>
      </c>
      <c r="E466" s="252" t="s">
        <v>544</v>
      </c>
      <c r="F466" s="252" t="s">
        <v>460</v>
      </c>
      <c r="G466" s="323">
        <v>41963.449212530322</v>
      </c>
      <c r="H466" s="253">
        <v>41266.052861921213</v>
      </c>
      <c r="I466" s="323">
        <v>0</v>
      </c>
      <c r="J466" s="323">
        <v>0</v>
      </c>
      <c r="K466" s="323">
        <v>0</v>
      </c>
      <c r="L466" s="323">
        <v>0</v>
      </c>
      <c r="M466" s="323">
        <v>41266.052861921213</v>
      </c>
      <c r="N466" s="253"/>
      <c r="P466" s="279">
        <v>231</v>
      </c>
      <c r="Q466" s="312"/>
      <c r="R466" s="497">
        <v>44501</v>
      </c>
      <c r="S466" s="498">
        <f t="shared" si="12"/>
        <v>41266.052861921213</v>
      </c>
      <c r="T466" s="258">
        <v>0</v>
      </c>
    </row>
    <row r="467" spans="1:20" x14ac:dyDescent="0.25">
      <c r="A467" s="492">
        <v>44535</v>
      </c>
      <c r="B467" s="252" t="s">
        <v>763</v>
      </c>
      <c r="C467" s="252" t="s">
        <v>764</v>
      </c>
      <c r="D467" s="252" t="s">
        <v>473</v>
      </c>
      <c r="E467" s="252" t="s">
        <v>545</v>
      </c>
      <c r="F467" s="252" t="s">
        <v>460</v>
      </c>
      <c r="G467" s="323">
        <v>41963.449212530322</v>
      </c>
      <c r="H467" s="253">
        <v>41266.052861921213</v>
      </c>
      <c r="I467" s="323">
        <v>0</v>
      </c>
      <c r="J467" s="323">
        <v>0</v>
      </c>
      <c r="K467" s="323">
        <v>0</v>
      </c>
      <c r="L467" s="323">
        <v>0</v>
      </c>
      <c r="M467" s="323">
        <v>41266.052861921213</v>
      </c>
      <c r="N467" s="253"/>
      <c r="P467" s="279">
        <v>231</v>
      </c>
      <c r="Q467" s="312"/>
      <c r="R467" s="497">
        <v>44531</v>
      </c>
      <c r="S467" s="498">
        <f t="shared" si="12"/>
        <v>41266.052861921213</v>
      </c>
      <c r="T467" s="258">
        <v>0</v>
      </c>
    </row>
    <row r="468" spans="1:20" x14ac:dyDescent="0.25">
      <c r="A468" s="492">
        <v>44566</v>
      </c>
      <c r="B468" s="252" t="s">
        <v>763</v>
      </c>
      <c r="C468" s="252" t="s">
        <v>764</v>
      </c>
      <c r="D468" s="252" t="s">
        <v>473</v>
      </c>
      <c r="E468" s="252" t="s">
        <v>546</v>
      </c>
      <c r="F468" s="252" t="s">
        <v>460</v>
      </c>
      <c r="G468" s="323">
        <v>41963.449212530322</v>
      </c>
      <c r="H468" s="253">
        <v>41266.052861921213</v>
      </c>
      <c r="I468" s="323">
        <v>0</v>
      </c>
      <c r="J468" s="323">
        <v>0</v>
      </c>
      <c r="K468" s="323">
        <v>0</v>
      </c>
      <c r="L468" s="323">
        <v>0</v>
      </c>
      <c r="M468" s="323">
        <v>41266.052861921213</v>
      </c>
      <c r="N468" s="253"/>
      <c r="P468" s="279">
        <v>231</v>
      </c>
      <c r="Q468" s="312"/>
      <c r="R468" s="497">
        <v>44562</v>
      </c>
      <c r="S468" s="498">
        <f t="shared" si="12"/>
        <v>41266.052861921213</v>
      </c>
      <c r="T468" s="258">
        <v>0</v>
      </c>
    </row>
    <row r="469" spans="1:20" x14ac:dyDescent="0.25">
      <c r="A469" s="492">
        <v>44597</v>
      </c>
      <c r="B469" s="252" t="s">
        <v>763</v>
      </c>
      <c r="C469" s="252" t="s">
        <v>764</v>
      </c>
      <c r="D469" s="252" t="s">
        <v>473</v>
      </c>
      <c r="E469" s="252" t="s">
        <v>547</v>
      </c>
      <c r="F469" s="252" t="s">
        <v>460</v>
      </c>
      <c r="G469" s="323">
        <v>41963.449212530322</v>
      </c>
      <c r="H469" s="253">
        <v>41266.052861921213</v>
      </c>
      <c r="I469" s="323">
        <v>0</v>
      </c>
      <c r="J469" s="323">
        <v>0</v>
      </c>
      <c r="K469" s="323">
        <v>0</v>
      </c>
      <c r="L469" s="323">
        <v>0</v>
      </c>
      <c r="M469" s="323">
        <v>41266.052861921213</v>
      </c>
      <c r="N469" s="253"/>
      <c r="P469" s="279">
        <v>231</v>
      </c>
      <c r="Q469" s="312"/>
      <c r="R469" s="497">
        <v>44593</v>
      </c>
      <c r="S469" s="498">
        <f t="shared" si="12"/>
        <v>41266.052861921213</v>
      </c>
      <c r="T469" s="258">
        <v>0</v>
      </c>
    </row>
    <row r="470" spans="1:20" x14ac:dyDescent="0.25">
      <c r="A470" s="492">
        <v>44625</v>
      </c>
      <c r="B470" s="252" t="s">
        <v>763</v>
      </c>
      <c r="C470" s="252" t="s">
        <v>764</v>
      </c>
      <c r="D470" s="252" t="s">
        <v>473</v>
      </c>
      <c r="E470" s="252" t="s">
        <v>548</v>
      </c>
      <c r="F470" s="252" t="s">
        <v>460</v>
      </c>
      <c r="G470" s="323">
        <v>41963.449212530322</v>
      </c>
      <c r="H470" s="253">
        <v>41266.052861921213</v>
      </c>
      <c r="I470" s="323">
        <v>0</v>
      </c>
      <c r="J470" s="323">
        <v>0</v>
      </c>
      <c r="K470" s="323">
        <v>0</v>
      </c>
      <c r="L470" s="323">
        <v>0</v>
      </c>
      <c r="M470" s="323">
        <v>41266.052861921213</v>
      </c>
      <c r="N470" s="253"/>
      <c r="P470" s="279">
        <v>231</v>
      </c>
      <c r="Q470" s="312"/>
      <c r="R470" s="497">
        <v>44621</v>
      </c>
      <c r="S470" s="498">
        <f t="shared" si="12"/>
        <v>41266.052861921213</v>
      </c>
      <c r="T470" s="258">
        <v>0</v>
      </c>
    </row>
    <row r="471" spans="1:20" x14ac:dyDescent="0.25">
      <c r="A471" s="492">
        <v>44656</v>
      </c>
      <c r="B471" s="252" t="s">
        <v>763</v>
      </c>
      <c r="C471" s="252" t="s">
        <v>764</v>
      </c>
      <c r="D471" s="252" t="s">
        <v>473</v>
      </c>
      <c r="E471" s="252" t="s">
        <v>549</v>
      </c>
      <c r="F471" s="252" t="s">
        <v>460</v>
      </c>
      <c r="G471" s="323">
        <v>41963.449212530322</v>
      </c>
      <c r="H471" s="253">
        <v>41266.052861921213</v>
      </c>
      <c r="I471" s="323">
        <v>0</v>
      </c>
      <c r="J471" s="323">
        <v>0</v>
      </c>
      <c r="K471" s="323">
        <v>0</v>
      </c>
      <c r="L471" s="323">
        <v>0</v>
      </c>
      <c r="M471" s="323">
        <v>41266.052861921213</v>
      </c>
      <c r="N471" s="253"/>
      <c r="P471" s="279">
        <v>231</v>
      </c>
      <c r="Q471" s="312"/>
      <c r="R471" s="497">
        <v>44652</v>
      </c>
      <c r="S471" s="498">
        <f t="shared" si="12"/>
        <v>41266.052861921213</v>
      </c>
      <c r="T471" s="258">
        <v>0</v>
      </c>
    </row>
    <row r="472" spans="1:20" x14ac:dyDescent="0.25">
      <c r="A472" s="492">
        <v>44686</v>
      </c>
      <c r="B472" s="252" t="s">
        <v>763</v>
      </c>
      <c r="C472" s="252" t="s">
        <v>764</v>
      </c>
      <c r="D472" s="252" t="s">
        <v>473</v>
      </c>
      <c r="E472" s="252" t="s">
        <v>550</v>
      </c>
      <c r="F472" s="252" t="s">
        <v>460</v>
      </c>
      <c r="G472" s="323">
        <v>41963.449212530322</v>
      </c>
      <c r="H472" s="253">
        <v>41266.052861921213</v>
      </c>
      <c r="I472" s="323">
        <v>0</v>
      </c>
      <c r="J472" s="323">
        <v>0</v>
      </c>
      <c r="K472" s="323">
        <v>0</v>
      </c>
      <c r="L472" s="323">
        <v>0</v>
      </c>
      <c r="M472" s="323">
        <v>41266.052861921213</v>
      </c>
      <c r="N472" s="253"/>
      <c r="P472" s="279">
        <v>231</v>
      </c>
      <c r="Q472" s="312"/>
      <c r="R472" s="497">
        <v>44682</v>
      </c>
      <c r="S472" s="498">
        <f t="shared" si="12"/>
        <v>41266.052861921213</v>
      </c>
      <c r="T472" s="258">
        <v>0</v>
      </c>
    </row>
    <row r="473" spans="1:20" x14ac:dyDescent="0.25">
      <c r="A473" s="492">
        <v>44717</v>
      </c>
      <c r="B473" s="252" t="s">
        <v>763</v>
      </c>
      <c r="C473" s="252" t="s">
        <v>764</v>
      </c>
      <c r="D473" s="252" t="s">
        <v>473</v>
      </c>
      <c r="E473" s="252" t="s">
        <v>551</v>
      </c>
      <c r="F473" s="252" t="s">
        <v>460</v>
      </c>
      <c r="G473" s="323">
        <v>41963.449212530322</v>
      </c>
      <c r="H473" s="253">
        <v>41266.052861921213</v>
      </c>
      <c r="I473" s="323">
        <v>0</v>
      </c>
      <c r="J473" s="323">
        <v>0</v>
      </c>
      <c r="K473" s="323">
        <v>0</v>
      </c>
      <c r="L473" s="323">
        <v>0</v>
      </c>
      <c r="M473" s="323">
        <v>41266.052861921213</v>
      </c>
      <c r="N473" s="253"/>
      <c r="P473" s="279">
        <v>231</v>
      </c>
      <c r="Q473" s="312"/>
      <c r="R473" s="497">
        <v>44713</v>
      </c>
      <c r="S473" s="498">
        <f t="shared" si="12"/>
        <v>41266.052861921213</v>
      </c>
      <c r="T473" s="258">
        <v>0</v>
      </c>
    </row>
    <row r="474" spans="1:20" x14ac:dyDescent="0.25">
      <c r="A474" s="492">
        <v>44747</v>
      </c>
      <c r="B474" s="252" t="s">
        <v>763</v>
      </c>
      <c r="C474" s="252" t="s">
        <v>764</v>
      </c>
      <c r="D474" s="252" t="s">
        <v>473</v>
      </c>
      <c r="E474" s="252" t="s">
        <v>552</v>
      </c>
      <c r="F474" s="252" t="s">
        <v>460</v>
      </c>
      <c r="G474" s="323">
        <v>41963.449212530322</v>
      </c>
      <c r="H474" s="253">
        <v>41266.052861921213</v>
      </c>
      <c r="I474" s="323">
        <v>0</v>
      </c>
      <c r="J474" s="323">
        <v>0</v>
      </c>
      <c r="K474" s="323">
        <v>0</v>
      </c>
      <c r="L474" s="323">
        <v>0</v>
      </c>
      <c r="M474" s="323">
        <v>41266.052861921213</v>
      </c>
      <c r="N474" s="253"/>
      <c r="P474" s="279">
        <v>231</v>
      </c>
      <c r="Q474" s="312"/>
      <c r="R474" s="497">
        <v>44743</v>
      </c>
      <c r="S474" s="498">
        <f t="shared" si="12"/>
        <v>41266.052861921213</v>
      </c>
      <c r="T474" s="258">
        <v>0</v>
      </c>
    </row>
    <row r="475" spans="1:20" x14ac:dyDescent="0.25">
      <c r="A475" s="492">
        <v>44778</v>
      </c>
      <c r="B475" s="252" t="s">
        <v>763</v>
      </c>
      <c r="C475" s="252" t="s">
        <v>764</v>
      </c>
      <c r="D475" s="252" t="s">
        <v>473</v>
      </c>
      <c r="E475" s="252" t="s">
        <v>553</v>
      </c>
      <c r="F475" s="252" t="s">
        <v>460</v>
      </c>
      <c r="G475" s="323">
        <v>41963.449212530322</v>
      </c>
      <c r="H475" s="253">
        <v>41266.052861921213</v>
      </c>
      <c r="I475" s="323">
        <v>0</v>
      </c>
      <c r="J475" s="323">
        <v>0</v>
      </c>
      <c r="K475" s="323">
        <v>0</v>
      </c>
      <c r="L475" s="323">
        <v>0</v>
      </c>
      <c r="M475" s="323">
        <v>41266.052861921213</v>
      </c>
      <c r="N475" s="253"/>
      <c r="P475" s="279">
        <v>231</v>
      </c>
      <c r="Q475" s="312"/>
      <c r="R475" s="497">
        <v>44774</v>
      </c>
      <c r="S475" s="498">
        <f t="shared" si="12"/>
        <v>41266.052861921213</v>
      </c>
      <c r="T475" s="258">
        <v>0</v>
      </c>
    </row>
    <row r="476" spans="1:20" x14ac:dyDescent="0.25">
      <c r="A476" s="492">
        <v>44783</v>
      </c>
      <c r="B476" s="252" t="s">
        <v>763</v>
      </c>
      <c r="C476" s="252" t="s">
        <v>764</v>
      </c>
      <c r="D476" s="252" t="s">
        <v>471</v>
      </c>
      <c r="E476" s="252" t="s">
        <v>482</v>
      </c>
      <c r="F476" s="252" t="s">
        <v>460</v>
      </c>
      <c r="G476" s="323">
        <v>356689.31830650778</v>
      </c>
      <c r="H476" s="253">
        <v>350761.44932633027</v>
      </c>
      <c r="I476" s="323">
        <v>0</v>
      </c>
      <c r="J476" s="323">
        <v>0</v>
      </c>
      <c r="K476" s="323">
        <v>0</v>
      </c>
      <c r="L476" s="323">
        <v>0</v>
      </c>
      <c r="M476" s="323">
        <v>350761.44932633027</v>
      </c>
      <c r="N476" s="253"/>
      <c r="P476" s="279">
        <v>231</v>
      </c>
      <c r="Q476" s="312"/>
      <c r="R476" s="497">
        <v>44774</v>
      </c>
      <c r="S476" s="498">
        <f t="shared" si="12"/>
        <v>350761.44932633027</v>
      </c>
      <c r="T476" s="258">
        <v>0</v>
      </c>
    </row>
    <row r="477" spans="1:20" x14ac:dyDescent="0.25">
      <c r="A477" s="492">
        <v>44809</v>
      </c>
      <c r="B477" s="252" t="s">
        <v>763</v>
      </c>
      <c r="C477" s="252" t="s">
        <v>764</v>
      </c>
      <c r="D477" s="252" t="s">
        <v>473</v>
      </c>
      <c r="E477" s="252" t="s">
        <v>554</v>
      </c>
      <c r="F477" s="252" t="s">
        <v>460</v>
      </c>
      <c r="G477" s="323">
        <v>41963.449212530322</v>
      </c>
      <c r="H477" s="253">
        <v>41266.052861921213</v>
      </c>
      <c r="I477" s="323">
        <v>0</v>
      </c>
      <c r="J477" s="323">
        <v>0</v>
      </c>
      <c r="K477" s="323">
        <v>0</v>
      </c>
      <c r="L477" s="323">
        <v>0</v>
      </c>
      <c r="M477" s="323">
        <v>41266.052861921213</v>
      </c>
      <c r="N477" s="253"/>
      <c r="P477" s="279">
        <v>231</v>
      </c>
      <c r="Q477" s="312"/>
      <c r="R477" s="497">
        <v>44805</v>
      </c>
      <c r="S477" s="498">
        <f t="shared" si="12"/>
        <v>41266.052861921213</v>
      </c>
      <c r="T477" s="258">
        <v>0</v>
      </c>
    </row>
    <row r="478" spans="1:20" x14ac:dyDescent="0.25">
      <c r="A478" s="492">
        <v>44839</v>
      </c>
      <c r="B478" s="252" t="s">
        <v>763</v>
      </c>
      <c r="C478" s="252" t="s">
        <v>764</v>
      </c>
      <c r="D478" s="252" t="s">
        <v>473</v>
      </c>
      <c r="E478" s="252" t="s">
        <v>555</v>
      </c>
      <c r="F478" s="252" t="s">
        <v>460</v>
      </c>
      <c r="G478" s="323">
        <v>41963.449212530322</v>
      </c>
      <c r="H478" s="253">
        <v>41266.052861921213</v>
      </c>
      <c r="I478" s="323">
        <v>0</v>
      </c>
      <c r="J478" s="323">
        <v>0</v>
      </c>
      <c r="K478" s="323">
        <v>0</v>
      </c>
      <c r="L478" s="323">
        <v>0</v>
      </c>
      <c r="M478" s="323">
        <v>41266.052861921213</v>
      </c>
      <c r="N478" s="253"/>
      <c r="P478" s="279">
        <v>231</v>
      </c>
      <c r="Q478" s="312"/>
      <c r="R478" s="497">
        <v>44835</v>
      </c>
      <c r="S478" s="498">
        <f t="shared" si="12"/>
        <v>41266.052861921213</v>
      </c>
      <c r="T478" s="258">
        <v>0</v>
      </c>
    </row>
    <row r="479" spans="1:20" x14ac:dyDescent="0.25">
      <c r="A479" s="492">
        <v>44870</v>
      </c>
      <c r="B479" s="252" t="s">
        <v>763</v>
      </c>
      <c r="C479" s="252" t="s">
        <v>764</v>
      </c>
      <c r="D479" s="252" t="s">
        <v>473</v>
      </c>
      <c r="E479" s="252" t="s">
        <v>556</v>
      </c>
      <c r="F479" s="252" t="s">
        <v>460</v>
      </c>
      <c r="G479" s="323">
        <v>41963.449212530322</v>
      </c>
      <c r="H479" s="253">
        <v>41266.052861921213</v>
      </c>
      <c r="I479" s="323">
        <v>0</v>
      </c>
      <c r="J479" s="323">
        <v>0</v>
      </c>
      <c r="K479" s="323">
        <v>0</v>
      </c>
      <c r="L479" s="323">
        <v>0</v>
      </c>
      <c r="M479" s="323">
        <v>41266.052861921213</v>
      </c>
      <c r="N479" s="253"/>
      <c r="P479" s="279">
        <v>231</v>
      </c>
      <c r="Q479" s="312"/>
      <c r="R479" s="497">
        <v>44866</v>
      </c>
      <c r="S479" s="498">
        <f t="shared" si="12"/>
        <v>41266.052861921213</v>
      </c>
      <c r="T479" s="258">
        <v>0</v>
      </c>
    </row>
    <row r="480" spans="1:20" x14ac:dyDescent="0.25">
      <c r="A480" s="492">
        <v>44900</v>
      </c>
      <c r="B480" s="252" t="s">
        <v>763</v>
      </c>
      <c r="C480" s="252" t="s">
        <v>764</v>
      </c>
      <c r="D480" s="252" t="s">
        <v>473</v>
      </c>
      <c r="E480" s="252" t="s">
        <v>557</v>
      </c>
      <c r="F480" s="252" t="s">
        <v>460</v>
      </c>
      <c r="G480" s="323">
        <v>41963.449212530322</v>
      </c>
      <c r="H480" s="253">
        <v>41266.052861921213</v>
      </c>
      <c r="I480" s="323">
        <v>0</v>
      </c>
      <c r="J480" s="323">
        <v>0</v>
      </c>
      <c r="K480" s="323">
        <v>0</v>
      </c>
      <c r="L480" s="323">
        <v>0</v>
      </c>
      <c r="M480" s="323">
        <v>41266.052861921213</v>
      </c>
      <c r="N480" s="253"/>
      <c r="P480" s="279">
        <v>231</v>
      </c>
      <c r="Q480" s="312"/>
      <c r="R480" s="497">
        <v>44896</v>
      </c>
      <c r="S480" s="498">
        <f t="shared" si="12"/>
        <v>41266.052861921213</v>
      </c>
      <c r="T480" s="258">
        <v>0</v>
      </c>
    </row>
    <row r="481" spans="1:20" x14ac:dyDescent="0.25">
      <c r="A481" s="492">
        <v>44931</v>
      </c>
      <c r="B481" s="252" t="s">
        <v>763</v>
      </c>
      <c r="C481" s="252" t="s">
        <v>764</v>
      </c>
      <c r="D481" s="252" t="s">
        <v>473</v>
      </c>
      <c r="E481" s="252" t="s">
        <v>558</v>
      </c>
      <c r="F481" s="252" t="s">
        <v>460</v>
      </c>
      <c r="G481" s="323">
        <v>41963.449212530322</v>
      </c>
      <c r="H481" s="253">
        <v>41266.052861921213</v>
      </c>
      <c r="I481" s="323">
        <v>0</v>
      </c>
      <c r="J481" s="323">
        <v>0</v>
      </c>
      <c r="K481" s="323">
        <v>0</v>
      </c>
      <c r="L481" s="323">
        <v>0</v>
      </c>
      <c r="M481" s="323">
        <v>41266.052861921213</v>
      </c>
      <c r="N481" s="253"/>
      <c r="P481" s="279">
        <v>231</v>
      </c>
      <c r="Q481" s="312"/>
      <c r="R481" s="497">
        <v>44927</v>
      </c>
      <c r="S481" s="498">
        <f t="shared" si="12"/>
        <v>41266.052861921213</v>
      </c>
      <c r="T481" s="258">
        <v>0</v>
      </c>
    </row>
    <row r="482" spans="1:20" x14ac:dyDescent="0.25">
      <c r="A482" s="492">
        <v>44962</v>
      </c>
      <c r="B482" s="252" t="s">
        <v>763</v>
      </c>
      <c r="C482" s="252" t="s">
        <v>764</v>
      </c>
      <c r="D482" s="252" t="s">
        <v>473</v>
      </c>
      <c r="E482" s="252" t="s">
        <v>559</v>
      </c>
      <c r="F482" s="252" t="s">
        <v>460</v>
      </c>
      <c r="G482" s="323">
        <v>41963.449212530322</v>
      </c>
      <c r="H482" s="253">
        <v>41266.052861921213</v>
      </c>
      <c r="I482" s="323">
        <v>0</v>
      </c>
      <c r="J482" s="323">
        <v>0</v>
      </c>
      <c r="K482" s="323">
        <v>0</v>
      </c>
      <c r="L482" s="323">
        <v>0</v>
      </c>
      <c r="M482" s="323">
        <v>41266.052861921213</v>
      </c>
      <c r="N482" s="253"/>
      <c r="P482" s="279">
        <v>231</v>
      </c>
      <c r="Q482" s="312"/>
      <c r="R482" s="497">
        <v>44958</v>
      </c>
      <c r="S482" s="498">
        <f t="shared" si="12"/>
        <v>41266.052861921213</v>
      </c>
      <c r="T482" s="258">
        <v>0</v>
      </c>
    </row>
    <row r="483" spans="1:20" x14ac:dyDescent="0.25">
      <c r="A483" s="492">
        <v>44990</v>
      </c>
      <c r="B483" s="252" t="s">
        <v>763</v>
      </c>
      <c r="C483" s="252" t="s">
        <v>764</v>
      </c>
      <c r="D483" s="252" t="s">
        <v>473</v>
      </c>
      <c r="E483" s="252" t="s">
        <v>560</v>
      </c>
      <c r="F483" s="252" t="s">
        <v>460</v>
      </c>
      <c r="G483" s="323">
        <v>41963.449212530322</v>
      </c>
      <c r="H483" s="253">
        <v>41266.052861921213</v>
      </c>
      <c r="I483" s="323">
        <v>0</v>
      </c>
      <c r="J483" s="323">
        <v>0</v>
      </c>
      <c r="K483" s="323">
        <v>0</v>
      </c>
      <c r="L483" s="323">
        <v>0</v>
      </c>
      <c r="M483" s="323">
        <v>41266.052861921213</v>
      </c>
      <c r="N483" s="253"/>
      <c r="P483" s="279">
        <v>231</v>
      </c>
      <c r="Q483" s="312"/>
      <c r="R483" s="497">
        <v>44986</v>
      </c>
      <c r="S483" s="498">
        <f t="shared" si="12"/>
        <v>41266.052861921213</v>
      </c>
      <c r="T483" s="258">
        <v>0</v>
      </c>
    </row>
    <row r="484" spans="1:20" x14ac:dyDescent="0.25">
      <c r="A484" s="492">
        <v>45021</v>
      </c>
      <c r="B484" s="252" t="s">
        <v>763</v>
      </c>
      <c r="C484" s="252" t="s">
        <v>764</v>
      </c>
      <c r="D484" s="252" t="s">
        <v>467</v>
      </c>
      <c r="E484" s="252" t="s">
        <v>466</v>
      </c>
      <c r="F484" s="252" t="s">
        <v>460</v>
      </c>
      <c r="G484" s="323">
        <v>1049.0862303132581</v>
      </c>
      <c r="H484" s="253">
        <v>1031.65132154803</v>
      </c>
      <c r="I484" s="323">
        <v>0</v>
      </c>
      <c r="J484" s="323">
        <v>0</v>
      </c>
      <c r="K484" s="323">
        <v>0</v>
      </c>
      <c r="L484" s="323">
        <v>0</v>
      </c>
      <c r="M484" s="323">
        <v>1031.65132154803</v>
      </c>
      <c r="N484" s="253"/>
      <c r="P484" s="279">
        <v>231</v>
      </c>
      <c r="Q484" s="312"/>
      <c r="R484" s="497">
        <v>45017</v>
      </c>
      <c r="S484" s="498">
        <f t="shared" si="12"/>
        <v>1031.65132154803</v>
      </c>
      <c r="T484" s="258">
        <v>0</v>
      </c>
    </row>
    <row r="485" spans="1:20" x14ac:dyDescent="0.25">
      <c r="A485" s="492">
        <v>45021</v>
      </c>
      <c r="B485" s="252" t="s">
        <v>763</v>
      </c>
      <c r="C485" s="252" t="s">
        <v>764</v>
      </c>
      <c r="D485" s="252" t="s">
        <v>473</v>
      </c>
      <c r="E485" s="252" t="s">
        <v>561</v>
      </c>
      <c r="F485" s="252" t="s">
        <v>460</v>
      </c>
      <c r="G485" s="323">
        <v>41963.449212530322</v>
      </c>
      <c r="H485" s="253">
        <v>41266.052861921213</v>
      </c>
      <c r="I485" s="323">
        <v>0</v>
      </c>
      <c r="J485" s="323">
        <v>0</v>
      </c>
      <c r="K485" s="323">
        <v>0</v>
      </c>
      <c r="L485" s="323">
        <v>0</v>
      </c>
      <c r="M485" s="323">
        <v>41266.052861921213</v>
      </c>
      <c r="N485" s="253"/>
      <c r="P485" s="279">
        <v>231</v>
      </c>
      <c r="Q485" s="312"/>
      <c r="R485" s="497">
        <v>45017</v>
      </c>
      <c r="S485" s="498">
        <f t="shared" si="12"/>
        <v>41266.052861921213</v>
      </c>
      <c r="T485" s="258">
        <v>0</v>
      </c>
    </row>
    <row r="486" spans="1:20" x14ac:dyDescent="0.25">
      <c r="A486" s="492">
        <v>45021</v>
      </c>
      <c r="B486" s="252" t="s">
        <v>763</v>
      </c>
      <c r="C486" s="252" t="s">
        <v>764</v>
      </c>
      <c r="D486" s="252" t="s">
        <v>465</v>
      </c>
      <c r="E486" s="252" t="s">
        <v>466</v>
      </c>
      <c r="F486" s="252" t="s">
        <v>460</v>
      </c>
      <c r="G486" s="323">
        <v>3188173.053921991</v>
      </c>
      <c r="H486" s="253">
        <v>3135188.3661844642</v>
      </c>
      <c r="I486" s="323">
        <v>0</v>
      </c>
      <c r="J486" s="323">
        <v>0</v>
      </c>
      <c r="K486" s="323">
        <v>0</v>
      </c>
      <c r="L486" s="323">
        <v>0</v>
      </c>
      <c r="M486" s="323">
        <v>3135188.3661844642</v>
      </c>
      <c r="N486" s="253"/>
      <c r="P486" s="279">
        <v>231</v>
      </c>
      <c r="Q486" s="312"/>
      <c r="R486" s="497">
        <v>45017</v>
      </c>
      <c r="S486" s="498">
        <f t="shared" si="12"/>
        <v>3135188.3661844642</v>
      </c>
      <c r="T486" s="258">
        <v>0</v>
      </c>
    </row>
    <row r="487" spans="1:20" x14ac:dyDescent="0.25">
      <c r="A487" s="492">
        <v>44181</v>
      </c>
      <c r="B487" s="252" t="s">
        <v>765</v>
      </c>
      <c r="C487" s="252" t="s">
        <v>766</v>
      </c>
      <c r="D487" s="252" t="s">
        <v>473</v>
      </c>
      <c r="E487" s="252" t="s">
        <v>532</v>
      </c>
      <c r="F487" s="252" t="s">
        <v>460</v>
      </c>
      <c r="G487" s="323">
        <v>12064.49164860247</v>
      </c>
      <c r="H487" s="253">
        <v>11863.99019780235</v>
      </c>
      <c r="I487" s="323">
        <v>0</v>
      </c>
      <c r="J487" s="323">
        <v>0</v>
      </c>
      <c r="K487" s="323">
        <v>0</v>
      </c>
      <c r="L487" s="323">
        <v>0</v>
      </c>
      <c r="M487" s="323">
        <v>11863.99019780235</v>
      </c>
      <c r="N487" s="253"/>
      <c r="P487" s="279">
        <v>232</v>
      </c>
      <c r="Q487" s="312"/>
      <c r="R487" s="497">
        <v>44166</v>
      </c>
      <c r="S487" s="498">
        <f t="shared" si="12"/>
        <v>11863.99019780235</v>
      </c>
      <c r="T487" s="258">
        <v>0</v>
      </c>
    </row>
    <row r="488" spans="1:20" x14ac:dyDescent="0.25">
      <c r="A488" s="492">
        <v>44212</v>
      </c>
      <c r="B488" s="252" t="s">
        <v>765</v>
      </c>
      <c r="C488" s="252" t="s">
        <v>766</v>
      </c>
      <c r="D488" s="252" t="s">
        <v>473</v>
      </c>
      <c r="E488" s="252" t="s">
        <v>533</v>
      </c>
      <c r="F488" s="252" t="s">
        <v>460</v>
      </c>
      <c r="G488" s="323">
        <v>12064.49164860247</v>
      </c>
      <c r="H488" s="253">
        <v>11863.99019780235</v>
      </c>
      <c r="I488" s="323">
        <v>0</v>
      </c>
      <c r="J488" s="323">
        <v>0</v>
      </c>
      <c r="K488" s="323">
        <v>0</v>
      </c>
      <c r="L488" s="323">
        <v>0</v>
      </c>
      <c r="M488" s="323">
        <v>11863.99019780235</v>
      </c>
      <c r="N488" s="253"/>
      <c r="P488" s="279">
        <v>232</v>
      </c>
      <c r="Q488" s="312"/>
      <c r="R488" s="497">
        <v>44197</v>
      </c>
      <c r="S488" s="498">
        <f t="shared" si="12"/>
        <v>11863.99019780235</v>
      </c>
      <c r="T488" s="258">
        <v>0</v>
      </c>
    </row>
    <row r="489" spans="1:20" x14ac:dyDescent="0.25">
      <c r="A489" s="492">
        <v>44243</v>
      </c>
      <c r="B489" s="252" t="s">
        <v>765</v>
      </c>
      <c r="C489" s="252" t="s">
        <v>766</v>
      </c>
      <c r="D489" s="252" t="s">
        <v>473</v>
      </c>
      <c r="E489" s="252" t="s">
        <v>535</v>
      </c>
      <c r="F489" s="252" t="s">
        <v>460</v>
      </c>
      <c r="G489" s="323">
        <v>12064.49164860247</v>
      </c>
      <c r="H489" s="253">
        <v>11863.99019780235</v>
      </c>
      <c r="I489" s="323">
        <v>0</v>
      </c>
      <c r="J489" s="323">
        <v>0</v>
      </c>
      <c r="K489" s="323">
        <v>0</v>
      </c>
      <c r="L489" s="323">
        <v>0</v>
      </c>
      <c r="M489" s="323">
        <v>11863.99019780235</v>
      </c>
      <c r="N489" s="253"/>
      <c r="P489" s="279">
        <v>232</v>
      </c>
      <c r="Q489" s="312"/>
      <c r="R489" s="497">
        <v>44228</v>
      </c>
      <c r="S489" s="498">
        <f t="shared" si="12"/>
        <v>11863.99019780235</v>
      </c>
      <c r="T489" s="258">
        <v>0</v>
      </c>
    </row>
    <row r="490" spans="1:20" x14ac:dyDescent="0.25">
      <c r="A490" s="492">
        <v>44271</v>
      </c>
      <c r="B490" s="252" t="s">
        <v>765</v>
      </c>
      <c r="C490" s="252" t="s">
        <v>766</v>
      </c>
      <c r="D490" s="252" t="s">
        <v>473</v>
      </c>
      <c r="E490" s="252" t="s">
        <v>536</v>
      </c>
      <c r="F490" s="252" t="s">
        <v>460</v>
      </c>
      <c r="G490" s="323">
        <v>12064.49164860247</v>
      </c>
      <c r="H490" s="253">
        <v>11863.99019780235</v>
      </c>
      <c r="I490" s="323">
        <v>0</v>
      </c>
      <c r="J490" s="323">
        <v>0</v>
      </c>
      <c r="K490" s="323">
        <v>0</v>
      </c>
      <c r="L490" s="323">
        <v>0</v>
      </c>
      <c r="M490" s="323">
        <v>11863.99019780235</v>
      </c>
      <c r="N490" s="253"/>
      <c r="P490" s="279">
        <v>232</v>
      </c>
      <c r="Q490" s="312"/>
      <c r="R490" s="497">
        <v>44256</v>
      </c>
      <c r="S490" s="498">
        <f t="shared" si="12"/>
        <v>11863.99019780235</v>
      </c>
      <c r="T490" s="258">
        <v>0</v>
      </c>
    </row>
    <row r="491" spans="1:20" x14ac:dyDescent="0.25">
      <c r="A491" s="492">
        <v>44302</v>
      </c>
      <c r="B491" s="252" t="s">
        <v>765</v>
      </c>
      <c r="C491" s="252" t="s">
        <v>766</v>
      </c>
      <c r="D491" s="252" t="s">
        <v>473</v>
      </c>
      <c r="E491" s="252" t="s">
        <v>537</v>
      </c>
      <c r="F491" s="252" t="s">
        <v>460</v>
      </c>
      <c r="G491" s="323">
        <v>12064.49164860247</v>
      </c>
      <c r="H491" s="253">
        <v>11863.99019780235</v>
      </c>
      <c r="I491" s="323">
        <v>0</v>
      </c>
      <c r="J491" s="323">
        <v>0</v>
      </c>
      <c r="K491" s="323">
        <v>0</v>
      </c>
      <c r="L491" s="323">
        <v>0</v>
      </c>
      <c r="M491" s="323">
        <v>11863.99019780235</v>
      </c>
      <c r="N491" s="253"/>
      <c r="P491" s="279">
        <v>232</v>
      </c>
      <c r="Q491" s="312"/>
      <c r="R491" s="497">
        <v>44287</v>
      </c>
      <c r="S491" s="498">
        <f t="shared" si="12"/>
        <v>11863.99019780235</v>
      </c>
      <c r="T491" s="258">
        <v>0</v>
      </c>
    </row>
    <row r="492" spans="1:20" x14ac:dyDescent="0.25">
      <c r="A492" s="492">
        <v>44332</v>
      </c>
      <c r="B492" s="252" t="s">
        <v>765</v>
      </c>
      <c r="C492" s="252" t="s">
        <v>766</v>
      </c>
      <c r="D492" s="252" t="s">
        <v>473</v>
      </c>
      <c r="E492" s="252" t="s">
        <v>538</v>
      </c>
      <c r="F492" s="252" t="s">
        <v>460</v>
      </c>
      <c r="G492" s="323">
        <v>12064.49164860247</v>
      </c>
      <c r="H492" s="253">
        <v>11863.99019780235</v>
      </c>
      <c r="I492" s="323">
        <v>0</v>
      </c>
      <c r="J492" s="323">
        <v>0</v>
      </c>
      <c r="K492" s="323">
        <v>0</v>
      </c>
      <c r="L492" s="323">
        <v>0</v>
      </c>
      <c r="M492" s="323">
        <v>11863.99019780235</v>
      </c>
      <c r="N492" s="253"/>
      <c r="P492" s="279">
        <v>232</v>
      </c>
      <c r="Q492" s="312"/>
      <c r="R492" s="497">
        <v>44317</v>
      </c>
      <c r="S492" s="498">
        <f t="shared" si="12"/>
        <v>11863.99019780235</v>
      </c>
      <c r="T492" s="258">
        <v>0</v>
      </c>
    </row>
    <row r="493" spans="1:20" x14ac:dyDescent="0.25">
      <c r="A493" s="492">
        <v>44363</v>
      </c>
      <c r="B493" s="252" t="s">
        <v>765</v>
      </c>
      <c r="C493" s="252" t="s">
        <v>766</v>
      </c>
      <c r="D493" s="252" t="s">
        <v>473</v>
      </c>
      <c r="E493" s="252" t="s">
        <v>539</v>
      </c>
      <c r="F493" s="252" t="s">
        <v>460</v>
      </c>
      <c r="G493" s="323">
        <v>12064.49164860247</v>
      </c>
      <c r="H493" s="253">
        <v>11863.99019780235</v>
      </c>
      <c r="I493" s="323">
        <v>0</v>
      </c>
      <c r="J493" s="323">
        <v>0</v>
      </c>
      <c r="K493" s="323">
        <v>0</v>
      </c>
      <c r="L493" s="323">
        <v>0</v>
      </c>
      <c r="M493" s="323">
        <v>11863.99019780235</v>
      </c>
      <c r="N493" s="253"/>
      <c r="P493" s="279">
        <v>232</v>
      </c>
      <c r="Q493" s="312"/>
      <c r="R493" s="497">
        <v>44348</v>
      </c>
      <c r="S493" s="498">
        <f t="shared" si="12"/>
        <v>11863.99019780235</v>
      </c>
      <c r="T493" s="258">
        <v>0</v>
      </c>
    </row>
    <row r="494" spans="1:20" x14ac:dyDescent="0.25">
      <c r="A494" s="492">
        <v>44393</v>
      </c>
      <c r="B494" s="252" t="s">
        <v>765</v>
      </c>
      <c r="C494" s="252" t="s">
        <v>766</v>
      </c>
      <c r="D494" s="252" t="s">
        <v>473</v>
      </c>
      <c r="E494" s="252" t="s">
        <v>540</v>
      </c>
      <c r="F494" s="252" t="s">
        <v>460</v>
      </c>
      <c r="G494" s="323">
        <v>12064.49164860247</v>
      </c>
      <c r="H494" s="253">
        <v>11863.99019780235</v>
      </c>
      <c r="I494" s="323">
        <v>0</v>
      </c>
      <c r="J494" s="323">
        <v>0</v>
      </c>
      <c r="K494" s="323">
        <v>0</v>
      </c>
      <c r="L494" s="323">
        <v>0</v>
      </c>
      <c r="M494" s="323">
        <v>11863.99019780235</v>
      </c>
      <c r="N494" s="253"/>
      <c r="P494" s="279">
        <v>232</v>
      </c>
      <c r="Q494" s="312"/>
      <c r="R494" s="497">
        <v>44378</v>
      </c>
      <c r="S494" s="498">
        <f t="shared" si="12"/>
        <v>11863.99019780235</v>
      </c>
      <c r="T494" s="258">
        <v>0</v>
      </c>
    </row>
    <row r="495" spans="1:20" x14ac:dyDescent="0.25">
      <c r="A495" s="492">
        <v>44424</v>
      </c>
      <c r="B495" s="252" t="s">
        <v>765</v>
      </c>
      <c r="C495" s="252" t="s">
        <v>766</v>
      </c>
      <c r="D495" s="252" t="s">
        <v>473</v>
      </c>
      <c r="E495" s="252" t="s">
        <v>541</v>
      </c>
      <c r="F495" s="252" t="s">
        <v>460</v>
      </c>
      <c r="G495" s="323">
        <v>12064.49164860247</v>
      </c>
      <c r="H495" s="253">
        <v>11863.99019780235</v>
      </c>
      <c r="I495" s="323">
        <v>0</v>
      </c>
      <c r="J495" s="323">
        <v>0</v>
      </c>
      <c r="K495" s="323">
        <v>0</v>
      </c>
      <c r="L495" s="323">
        <v>0</v>
      </c>
      <c r="M495" s="323">
        <v>11863.99019780235</v>
      </c>
      <c r="N495" s="253"/>
      <c r="P495" s="279">
        <v>232</v>
      </c>
      <c r="Q495" s="312"/>
      <c r="R495" s="497">
        <v>44409</v>
      </c>
      <c r="S495" s="498">
        <f t="shared" si="12"/>
        <v>11863.99019780235</v>
      </c>
      <c r="T495" s="258">
        <v>0</v>
      </c>
    </row>
    <row r="496" spans="1:20" x14ac:dyDescent="0.25">
      <c r="A496" s="492">
        <v>44424</v>
      </c>
      <c r="B496" s="252" t="s">
        <v>765</v>
      </c>
      <c r="C496" s="252" t="s">
        <v>766</v>
      </c>
      <c r="D496" s="252" t="s">
        <v>471</v>
      </c>
      <c r="E496" s="252" t="s">
        <v>472</v>
      </c>
      <c r="F496" s="252" t="s">
        <v>460</v>
      </c>
      <c r="G496" s="323">
        <v>818287.25964434131</v>
      </c>
      <c r="H496" s="253">
        <v>804688.03080746369</v>
      </c>
      <c r="I496" s="323">
        <v>0</v>
      </c>
      <c r="J496" s="323">
        <v>0</v>
      </c>
      <c r="K496" s="323">
        <v>0</v>
      </c>
      <c r="L496" s="323">
        <v>0</v>
      </c>
      <c r="M496" s="323">
        <v>804688.03080746369</v>
      </c>
      <c r="N496" s="253"/>
      <c r="P496" s="279">
        <v>232</v>
      </c>
      <c r="Q496" s="312"/>
      <c r="R496" s="497">
        <v>44409</v>
      </c>
      <c r="S496" s="498">
        <f t="shared" si="12"/>
        <v>804688.03080746369</v>
      </c>
      <c r="T496" s="258">
        <v>0</v>
      </c>
    </row>
    <row r="497" spans="1:20" x14ac:dyDescent="0.25">
      <c r="A497" s="492">
        <v>44455</v>
      </c>
      <c r="B497" s="252" t="s">
        <v>765</v>
      </c>
      <c r="C497" s="252" t="s">
        <v>766</v>
      </c>
      <c r="D497" s="252" t="s">
        <v>473</v>
      </c>
      <c r="E497" s="252" t="s">
        <v>542</v>
      </c>
      <c r="F497" s="252" t="s">
        <v>460</v>
      </c>
      <c r="G497" s="323">
        <v>12064.49164860247</v>
      </c>
      <c r="H497" s="253">
        <v>11863.99019780235</v>
      </c>
      <c r="I497" s="323">
        <v>0</v>
      </c>
      <c r="J497" s="323">
        <v>0</v>
      </c>
      <c r="K497" s="323">
        <v>0</v>
      </c>
      <c r="L497" s="323">
        <v>0</v>
      </c>
      <c r="M497" s="323">
        <v>11863.99019780235</v>
      </c>
      <c r="N497" s="253"/>
      <c r="P497" s="279">
        <v>232</v>
      </c>
      <c r="Q497" s="312"/>
      <c r="R497" s="497">
        <v>44440</v>
      </c>
      <c r="S497" s="498">
        <f t="shared" si="12"/>
        <v>11863.99019780235</v>
      </c>
      <c r="T497" s="258">
        <v>0</v>
      </c>
    </row>
    <row r="498" spans="1:20" x14ac:dyDescent="0.25">
      <c r="A498" s="492">
        <v>44485</v>
      </c>
      <c r="B498" s="252" t="s">
        <v>765</v>
      </c>
      <c r="C498" s="252" t="s">
        <v>766</v>
      </c>
      <c r="D498" s="252" t="s">
        <v>473</v>
      </c>
      <c r="E498" s="252" t="s">
        <v>543</v>
      </c>
      <c r="F498" s="252" t="s">
        <v>460</v>
      </c>
      <c r="G498" s="323">
        <v>12064.49164860247</v>
      </c>
      <c r="H498" s="253">
        <v>11863.99019780235</v>
      </c>
      <c r="I498" s="323">
        <v>0</v>
      </c>
      <c r="J498" s="323">
        <v>0</v>
      </c>
      <c r="K498" s="323">
        <v>0</v>
      </c>
      <c r="L498" s="323">
        <v>0</v>
      </c>
      <c r="M498" s="323">
        <v>11863.99019780235</v>
      </c>
      <c r="N498" s="253"/>
      <c r="P498" s="279">
        <v>232</v>
      </c>
      <c r="Q498" s="312"/>
      <c r="R498" s="497">
        <v>44470</v>
      </c>
      <c r="S498" s="498">
        <f t="shared" si="12"/>
        <v>11863.99019780235</v>
      </c>
      <c r="T498" s="258">
        <v>0</v>
      </c>
    </row>
    <row r="499" spans="1:20" x14ac:dyDescent="0.25">
      <c r="A499" s="492">
        <v>44516</v>
      </c>
      <c r="B499" s="252" t="s">
        <v>765</v>
      </c>
      <c r="C499" s="252" t="s">
        <v>766</v>
      </c>
      <c r="D499" s="252" t="s">
        <v>473</v>
      </c>
      <c r="E499" s="252" t="s">
        <v>544</v>
      </c>
      <c r="F499" s="252" t="s">
        <v>460</v>
      </c>
      <c r="G499" s="323">
        <v>12064.49164860247</v>
      </c>
      <c r="H499" s="253">
        <v>11863.99019780235</v>
      </c>
      <c r="I499" s="323">
        <v>0</v>
      </c>
      <c r="J499" s="323">
        <v>0</v>
      </c>
      <c r="K499" s="323">
        <v>0</v>
      </c>
      <c r="L499" s="323">
        <v>0</v>
      </c>
      <c r="M499" s="323">
        <v>11863.99019780235</v>
      </c>
      <c r="N499" s="253"/>
      <c r="P499" s="279">
        <v>232</v>
      </c>
      <c r="Q499" s="312"/>
      <c r="R499" s="497">
        <v>44501</v>
      </c>
      <c r="S499" s="498">
        <f t="shared" si="12"/>
        <v>11863.99019780235</v>
      </c>
      <c r="T499" s="258">
        <v>0</v>
      </c>
    </row>
    <row r="500" spans="1:20" x14ac:dyDescent="0.25">
      <c r="A500" s="492">
        <v>44546</v>
      </c>
      <c r="B500" s="252" t="s">
        <v>765</v>
      </c>
      <c r="C500" s="252" t="s">
        <v>766</v>
      </c>
      <c r="D500" s="252" t="s">
        <v>473</v>
      </c>
      <c r="E500" s="252" t="s">
        <v>545</v>
      </c>
      <c r="F500" s="252" t="s">
        <v>460</v>
      </c>
      <c r="G500" s="323">
        <v>12064.49164860247</v>
      </c>
      <c r="H500" s="253">
        <v>11863.99019780235</v>
      </c>
      <c r="I500" s="323">
        <v>0</v>
      </c>
      <c r="J500" s="323">
        <v>0</v>
      </c>
      <c r="K500" s="323">
        <v>0</v>
      </c>
      <c r="L500" s="323">
        <v>0</v>
      </c>
      <c r="M500" s="323">
        <v>11863.99019780235</v>
      </c>
      <c r="N500" s="253"/>
      <c r="P500" s="279">
        <v>232</v>
      </c>
      <c r="Q500" s="312"/>
      <c r="R500" s="497">
        <v>44531</v>
      </c>
      <c r="S500" s="498">
        <f t="shared" si="12"/>
        <v>11863.99019780235</v>
      </c>
      <c r="T500" s="258">
        <v>0</v>
      </c>
    </row>
    <row r="501" spans="1:20" x14ac:dyDescent="0.25">
      <c r="A501" s="492">
        <v>44577</v>
      </c>
      <c r="B501" s="252" t="s">
        <v>765</v>
      </c>
      <c r="C501" s="252" t="s">
        <v>766</v>
      </c>
      <c r="D501" s="252" t="s">
        <v>473</v>
      </c>
      <c r="E501" s="252" t="s">
        <v>546</v>
      </c>
      <c r="F501" s="252" t="s">
        <v>460</v>
      </c>
      <c r="G501" s="323">
        <v>12064.49164860247</v>
      </c>
      <c r="H501" s="253">
        <v>11863.99019780235</v>
      </c>
      <c r="I501" s="323">
        <v>0</v>
      </c>
      <c r="J501" s="323">
        <v>0</v>
      </c>
      <c r="K501" s="323">
        <v>0</v>
      </c>
      <c r="L501" s="323">
        <v>0</v>
      </c>
      <c r="M501" s="323">
        <v>11863.99019780235</v>
      </c>
      <c r="N501" s="253"/>
      <c r="P501" s="279">
        <v>232</v>
      </c>
      <c r="Q501" s="312"/>
      <c r="R501" s="497">
        <v>44562</v>
      </c>
      <c r="S501" s="498">
        <f t="shared" si="12"/>
        <v>11863.99019780235</v>
      </c>
      <c r="T501" s="258">
        <v>0</v>
      </c>
    </row>
    <row r="502" spans="1:20" x14ac:dyDescent="0.25">
      <c r="A502" s="492">
        <v>44608</v>
      </c>
      <c r="B502" s="252" t="s">
        <v>765</v>
      </c>
      <c r="C502" s="252" t="s">
        <v>766</v>
      </c>
      <c r="D502" s="252" t="s">
        <v>473</v>
      </c>
      <c r="E502" s="252" t="s">
        <v>547</v>
      </c>
      <c r="F502" s="252" t="s">
        <v>460</v>
      </c>
      <c r="G502" s="323">
        <v>12064.49164860247</v>
      </c>
      <c r="H502" s="253">
        <v>11863.99019780235</v>
      </c>
      <c r="I502" s="323">
        <v>0</v>
      </c>
      <c r="J502" s="323">
        <v>0</v>
      </c>
      <c r="K502" s="323">
        <v>0</v>
      </c>
      <c r="L502" s="323">
        <v>0</v>
      </c>
      <c r="M502" s="323">
        <v>11863.99019780235</v>
      </c>
      <c r="N502" s="253"/>
      <c r="P502" s="279">
        <v>232</v>
      </c>
      <c r="Q502" s="312"/>
      <c r="R502" s="497">
        <v>44593</v>
      </c>
      <c r="S502" s="498">
        <f t="shared" si="12"/>
        <v>11863.99019780235</v>
      </c>
      <c r="T502" s="258">
        <v>0</v>
      </c>
    </row>
    <row r="503" spans="1:20" x14ac:dyDescent="0.25">
      <c r="A503" s="492">
        <v>44636</v>
      </c>
      <c r="B503" s="252" t="s">
        <v>765</v>
      </c>
      <c r="C503" s="252" t="s">
        <v>766</v>
      </c>
      <c r="D503" s="252" t="s">
        <v>473</v>
      </c>
      <c r="E503" s="252" t="s">
        <v>548</v>
      </c>
      <c r="F503" s="252" t="s">
        <v>460</v>
      </c>
      <c r="G503" s="323">
        <v>12064.49164860247</v>
      </c>
      <c r="H503" s="253">
        <v>11863.99019780235</v>
      </c>
      <c r="I503" s="323">
        <v>0</v>
      </c>
      <c r="J503" s="323">
        <v>0</v>
      </c>
      <c r="K503" s="323">
        <v>0</v>
      </c>
      <c r="L503" s="323">
        <v>0</v>
      </c>
      <c r="M503" s="323">
        <v>11863.99019780235</v>
      </c>
      <c r="N503" s="253"/>
      <c r="P503" s="279">
        <v>232</v>
      </c>
      <c r="Q503" s="312"/>
      <c r="R503" s="497">
        <v>44621</v>
      </c>
      <c r="S503" s="498">
        <f t="shared" si="12"/>
        <v>11863.99019780235</v>
      </c>
      <c r="T503" s="258">
        <v>0</v>
      </c>
    </row>
    <row r="504" spans="1:20" x14ac:dyDescent="0.25">
      <c r="A504" s="492">
        <v>44667</v>
      </c>
      <c r="B504" s="252" t="s">
        <v>765</v>
      </c>
      <c r="C504" s="252" t="s">
        <v>766</v>
      </c>
      <c r="D504" s="252" t="s">
        <v>473</v>
      </c>
      <c r="E504" s="252" t="s">
        <v>549</v>
      </c>
      <c r="F504" s="252" t="s">
        <v>460</v>
      </c>
      <c r="G504" s="323">
        <v>12064.49164860247</v>
      </c>
      <c r="H504" s="253">
        <v>11863.99019780235</v>
      </c>
      <c r="I504" s="323">
        <v>0</v>
      </c>
      <c r="J504" s="323">
        <v>0</v>
      </c>
      <c r="K504" s="323">
        <v>0</v>
      </c>
      <c r="L504" s="323">
        <v>0</v>
      </c>
      <c r="M504" s="323">
        <v>11863.99019780235</v>
      </c>
      <c r="N504" s="253"/>
      <c r="P504" s="279">
        <v>232</v>
      </c>
      <c r="Q504" s="312"/>
      <c r="R504" s="497">
        <v>44652</v>
      </c>
      <c r="S504" s="498">
        <f t="shared" si="12"/>
        <v>11863.99019780235</v>
      </c>
      <c r="T504" s="258">
        <v>0</v>
      </c>
    </row>
    <row r="505" spans="1:20" x14ac:dyDescent="0.25">
      <c r="A505" s="492">
        <v>44697</v>
      </c>
      <c r="B505" s="252" t="s">
        <v>765</v>
      </c>
      <c r="C505" s="252" t="s">
        <v>766</v>
      </c>
      <c r="D505" s="252" t="s">
        <v>473</v>
      </c>
      <c r="E505" s="252" t="s">
        <v>550</v>
      </c>
      <c r="F505" s="252" t="s">
        <v>460</v>
      </c>
      <c r="G505" s="323">
        <v>12064.49164860247</v>
      </c>
      <c r="H505" s="253">
        <v>11863.99019780235</v>
      </c>
      <c r="I505" s="323">
        <v>0</v>
      </c>
      <c r="J505" s="323">
        <v>0</v>
      </c>
      <c r="K505" s="323">
        <v>0</v>
      </c>
      <c r="L505" s="323">
        <v>0</v>
      </c>
      <c r="M505" s="323">
        <v>11863.99019780235</v>
      </c>
      <c r="N505" s="253"/>
      <c r="P505" s="279">
        <v>232</v>
      </c>
      <c r="Q505" s="312"/>
      <c r="R505" s="497">
        <v>44682</v>
      </c>
      <c r="S505" s="498">
        <f t="shared" si="12"/>
        <v>11863.99019780235</v>
      </c>
      <c r="T505" s="258">
        <v>0</v>
      </c>
    </row>
    <row r="506" spans="1:20" x14ac:dyDescent="0.25">
      <c r="A506" s="492">
        <v>44728</v>
      </c>
      <c r="B506" s="252" t="s">
        <v>765</v>
      </c>
      <c r="C506" s="252" t="s">
        <v>766</v>
      </c>
      <c r="D506" s="252" t="s">
        <v>473</v>
      </c>
      <c r="E506" s="252" t="s">
        <v>551</v>
      </c>
      <c r="F506" s="252" t="s">
        <v>460</v>
      </c>
      <c r="G506" s="323">
        <v>12064.49164860247</v>
      </c>
      <c r="H506" s="253">
        <v>11863.99019780235</v>
      </c>
      <c r="I506" s="323">
        <v>0</v>
      </c>
      <c r="J506" s="323">
        <v>0</v>
      </c>
      <c r="K506" s="323">
        <v>0</v>
      </c>
      <c r="L506" s="323">
        <v>0</v>
      </c>
      <c r="M506" s="323">
        <v>11863.99019780235</v>
      </c>
      <c r="N506" s="253"/>
      <c r="P506" s="279">
        <v>232</v>
      </c>
      <c r="Q506" s="312"/>
      <c r="R506" s="497">
        <v>44713</v>
      </c>
      <c r="S506" s="498">
        <f t="shared" si="12"/>
        <v>11863.99019780235</v>
      </c>
      <c r="T506" s="258">
        <v>0</v>
      </c>
    </row>
    <row r="507" spans="1:20" x14ac:dyDescent="0.25">
      <c r="A507" s="492">
        <v>44758</v>
      </c>
      <c r="B507" s="252" t="s">
        <v>765</v>
      </c>
      <c r="C507" s="252" t="s">
        <v>766</v>
      </c>
      <c r="D507" s="252" t="s">
        <v>473</v>
      </c>
      <c r="E507" s="252" t="s">
        <v>552</v>
      </c>
      <c r="F507" s="252" t="s">
        <v>460</v>
      </c>
      <c r="G507" s="323">
        <v>12064.49164860247</v>
      </c>
      <c r="H507" s="253">
        <v>11863.99019780235</v>
      </c>
      <c r="I507" s="323">
        <v>0</v>
      </c>
      <c r="J507" s="323">
        <v>0</v>
      </c>
      <c r="K507" s="323">
        <v>0</v>
      </c>
      <c r="L507" s="323">
        <v>0</v>
      </c>
      <c r="M507" s="323">
        <v>11863.99019780235</v>
      </c>
      <c r="P507" s="279">
        <v>232</v>
      </c>
      <c r="Q507" s="312"/>
      <c r="R507" s="497">
        <v>44743</v>
      </c>
      <c r="S507" s="498">
        <f t="shared" si="12"/>
        <v>11863.99019780235</v>
      </c>
      <c r="T507" s="258">
        <v>0</v>
      </c>
    </row>
    <row r="508" spans="1:20" x14ac:dyDescent="0.25">
      <c r="A508" s="492">
        <v>44789</v>
      </c>
      <c r="B508" s="252" t="s">
        <v>765</v>
      </c>
      <c r="C508" s="252" t="s">
        <v>766</v>
      </c>
      <c r="D508" s="252" t="s">
        <v>473</v>
      </c>
      <c r="E508" s="252" t="s">
        <v>553</v>
      </c>
      <c r="F508" s="252" t="s">
        <v>460</v>
      </c>
      <c r="G508" s="323">
        <v>12064.49164860247</v>
      </c>
      <c r="H508" s="253">
        <v>11863.99019780235</v>
      </c>
      <c r="I508" s="323">
        <v>0</v>
      </c>
      <c r="J508" s="323">
        <v>0</v>
      </c>
      <c r="K508" s="323">
        <v>0</v>
      </c>
      <c r="L508" s="323">
        <v>0</v>
      </c>
      <c r="M508" s="323">
        <v>11863.99019780235</v>
      </c>
      <c r="P508" s="279">
        <v>232</v>
      </c>
      <c r="Q508" s="312"/>
      <c r="R508" s="497">
        <v>44774</v>
      </c>
      <c r="S508" s="498">
        <f t="shared" si="12"/>
        <v>11863.99019780235</v>
      </c>
      <c r="T508" s="258">
        <v>0</v>
      </c>
    </row>
    <row r="509" spans="1:20" x14ac:dyDescent="0.25">
      <c r="A509" s="492">
        <v>44789</v>
      </c>
      <c r="B509" s="252" t="s">
        <v>765</v>
      </c>
      <c r="C509" s="252" t="s">
        <v>766</v>
      </c>
      <c r="D509" s="252" t="s">
        <v>471</v>
      </c>
      <c r="E509" s="252" t="s">
        <v>482</v>
      </c>
      <c r="F509" s="252" t="s">
        <v>460</v>
      </c>
      <c r="G509" s="323">
        <v>818287.25964434131</v>
      </c>
      <c r="H509" s="253">
        <v>804688.03080746369</v>
      </c>
      <c r="I509" s="323">
        <v>0</v>
      </c>
      <c r="J509" s="323">
        <v>0</v>
      </c>
      <c r="K509" s="323">
        <v>0</v>
      </c>
      <c r="L509" s="323">
        <v>0</v>
      </c>
      <c r="M509" s="323">
        <v>804688.03080746369</v>
      </c>
      <c r="P509" s="279">
        <v>232</v>
      </c>
      <c r="Q509" s="312"/>
      <c r="R509" s="497">
        <v>44774</v>
      </c>
      <c r="S509" s="498">
        <f t="shared" si="12"/>
        <v>804688.03080746369</v>
      </c>
      <c r="T509" s="258">
        <v>0</v>
      </c>
    </row>
    <row r="510" spans="1:20" x14ac:dyDescent="0.25">
      <c r="A510" s="492">
        <v>44820</v>
      </c>
      <c r="B510" s="252" t="s">
        <v>765</v>
      </c>
      <c r="C510" s="252" t="s">
        <v>766</v>
      </c>
      <c r="D510" s="252" t="s">
        <v>473</v>
      </c>
      <c r="E510" s="252" t="s">
        <v>554</v>
      </c>
      <c r="F510" s="252" t="s">
        <v>460</v>
      </c>
      <c r="G510" s="323">
        <v>12064.49164860247</v>
      </c>
      <c r="H510" s="253">
        <v>11863.99019780235</v>
      </c>
      <c r="I510" s="323">
        <v>0</v>
      </c>
      <c r="J510" s="323">
        <v>0</v>
      </c>
      <c r="K510" s="323">
        <v>0</v>
      </c>
      <c r="L510" s="323">
        <v>0</v>
      </c>
      <c r="M510" s="323">
        <v>11863.99019780235</v>
      </c>
      <c r="P510" s="279">
        <v>232</v>
      </c>
      <c r="Q510" s="312"/>
      <c r="R510" s="497">
        <v>44805</v>
      </c>
      <c r="S510" s="498">
        <f t="shared" si="12"/>
        <v>11863.99019780235</v>
      </c>
      <c r="T510" s="258">
        <v>0</v>
      </c>
    </row>
    <row r="511" spans="1:20" x14ac:dyDescent="0.25">
      <c r="A511" s="492">
        <v>44850</v>
      </c>
      <c r="B511" s="252" t="s">
        <v>765</v>
      </c>
      <c r="C511" s="252" t="s">
        <v>766</v>
      </c>
      <c r="D511" s="252" t="s">
        <v>473</v>
      </c>
      <c r="E511" s="252" t="s">
        <v>555</v>
      </c>
      <c r="F511" s="252" t="s">
        <v>460</v>
      </c>
      <c r="G511" s="323">
        <v>12064.49164860247</v>
      </c>
      <c r="H511" s="253">
        <v>11863.99019780235</v>
      </c>
      <c r="I511" s="323">
        <v>0</v>
      </c>
      <c r="J511" s="323">
        <v>0</v>
      </c>
      <c r="K511" s="323">
        <v>0</v>
      </c>
      <c r="L511" s="323">
        <v>0</v>
      </c>
      <c r="M511" s="323">
        <v>11863.99019780235</v>
      </c>
      <c r="P511" s="279">
        <v>232</v>
      </c>
      <c r="Q511" s="312"/>
      <c r="R511" s="497">
        <v>44835</v>
      </c>
      <c r="S511" s="498">
        <f t="shared" si="12"/>
        <v>11863.99019780235</v>
      </c>
      <c r="T511" s="258">
        <v>0</v>
      </c>
    </row>
    <row r="512" spans="1:20" x14ac:dyDescent="0.25">
      <c r="A512" s="492">
        <v>44881</v>
      </c>
      <c r="B512" s="252" t="s">
        <v>765</v>
      </c>
      <c r="C512" s="252" t="s">
        <v>766</v>
      </c>
      <c r="D512" s="252" t="s">
        <v>473</v>
      </c>
      <c r="E512" s="252" t="s">
        <v>556</v>
      </c>
      <c r="F512" s="252" t="s">
        <v>460</v>
      </c>
      <c r="G512" s="323">
        <v>12064.49164860247</v>
      </c>
      <c r="H512" s="253">
        <v>11863.99019780235</v>
      </c>
      <c r="I512" s="323">
        <v>0</v>
      </c>
      <c r="J512" s="323">
        <v>0</v>
      </c>
      <c r="K512" s="323">
        <v>0</v>
      </c>
      <c r="L512" s="323">
        <v>0</v>
      </c>
      <c r="M512" s="323">
        <v>11863.99019780235</v>
      </c>
      <c r="P512" s="279">
        <v>232</v>
      </c>
      <c r="Q512" s="312"/>
      <c r="R512" s="497">
        <v>44866</v>
      </c>
      <c r="S512" s="498">
        <f t="shared" si="12"/>
        <v>11863.99019780235</v>
      </c>
      <c r="T512" s="258">
        <v>0</v>
      </c>
    </row>
    <row r="513" spans="1:20" x14ac:dyDescent="0.25">
      <c r="A513" s="492">
        <v>44911</v>
      </c>
      <c r="B513" s="252" t="s">
        <v>765</v>
      </c>
      <c r="C513" s="252" t="s">
        <v>766</v>
      </c>
      <c r="D513" s="252" t="s">
        <v>473</v>
      </c>
      <c r="E513" s="252" t="s">
        <v>557</v>
      </c>
      <c r="F513" s="252" t="s">
        <v>460</v>
      </c>
      <c r="G513" s="323">
        <v>12064.49164860247</v>
      </c>
      <c r="H513" s="253">
        <v>11863.99019780235</v>
      </c>
      <c r="I513" s="323">
        <v>0</v>
      </c>
      <c r="J513" s="323">
        <v>0</v>
      </c>
      <c r="K513" s="323">
        <v>0</v>
      </c>
      <c r="L513" s="323">
        <v>0</v>
      </c>
      <c r="M513" s="323">
        <v>11863.99019780235</v>
      </c>
      <c r="P513" s="279">
        <v>232</v>
      </c>
      <c r="Q513" s="312"/>
      <c r="R513" s="497">
        <v>44896</v>
      </c>
      <c r="S513" s="498">
        <f t="shared" si="12"/>
        <v>11863.99019780235</v>
      </c>
      <c r="T513" s="258">
        <v>0</v>
      </c>
    </row>
    <row r="514" spans="1:20" x14ac:dyDescent="0.25">
      <c r="A514" s="492">
        <v>44942</v>
      </c>
      <c r="B514" s="252" t="s">
        <v>765</v>
      </c>
      <c r="C514" s="252" t="s">
        <v>766</v>
      </c>
      <c r="D514" s="252" t="s">
        <v>473</v>
      </c>
      <c r="E514" s="252" t="s">
        <v>558</v>
      </c>
      <c r="F514" s="252" t="s">
        <v>460</v>
      </c>
      <c r="G514" s="323">
        <v>12064.49164860247</v>
      </c>
      <c r="H514" s="253">
        <v>11863.99019780235</v>
      </c>
      <c r="I514" s="323">
        <v>0</v>
      </c>
      <c r="J514" s="323">
        <v>0</v>
      </c>
      <c r="K514" s="323">
        <v>0</v>
      </c>
      <c r="L514" s="323">
        <v>0</v>
      </c>
      <c r="M514" s="323">
        <v>11863.99019780235</v>
      </c>
      <c r="P514" s="279">
        <v>232</v>
      </c>
      <c r="Q514" s="312"/>
      <c r="R514" s="497">
        <v>44927</v>
      </c>
      <c r="S514" s="498">
        <f t="shared" si="12"/>
        <v>11863.99019780235</v>
      </c>
      <c r="T514" s="258">
        <v>0</v>
      </c>
    </row>
    <row r="515" spans="1:20" x14ac:dyDescent="0.25">
      <c r="A515" s="492">
        <v>44973</v>
      </c>
      <c r="B515" s="252" t="s">
        <v>765</v>
      </c>
      <c r="C515" s="252" t="s">
        <v>766</v>
      </c>
      <c r="D515" s="252" t="s">
        <v>473</v>
      </c>
      <c r="E515" s="252" t="s">
        <v>559</v>
      </c>
      <c r="F515" s="252" t="s">
        <v>460</v>
      </c>
      <c r="G515" s="323">
        <v>12064.49164860247</v>
      </c>
      <c r="H515" s="253">
        <v>11863.99019780235</v>
      </c>
      <c r="I515" s="323">
        <v>0</v>
      </c>
      <c r="J515" s="323">
        <v>0</v>
      </c>
      <c r="K515" s="323">
        <v>0</v>
      </c>
      <c r="L515" s="323">
        <v>0</v>
      </c>
      <c r="M515" s="323">
        <v>11863.99019780235</v>
      </c>
      <c r="P515" s="279">
        <v>232</v>
      </c>
      <c r="Q515" s="312"/>
      <c r="R515" s="497">
        <v>44958</v>
      </c>
      <c r="S515" s="498">
        <f t="shared" si="12"/>
        <v>11863.99019780235</v>
      </c>
      <c r="T515" s="258">
        <v>0</v>
      </c>
    </row>
    <row r="516" spans="1:20" x14ac:dyDescent="0.25">
      <c r="A516" s="492">
        <v>45001</v>
      </c>
      <c r="B516" s="252" t="s">
        <v>765</v>
      </c>
      <c r="C516" s="252" t="s">
        <v>766</v>
      </c>
      <c r="D516" s="252" t="s">
        <v>473</v>
      </c>
      <c r="E516" s="252" t="s">
        <v>560</v>
      </c>
      <c r="F516" s="252" t="s">
        <v>460</v>
      </c>
      <c r="G516" s="323">
        <v>12064.49164860247</v>
      </c>
      <c r="H516" s="253">
        <v>11863.99019780235</v>
      </c>
      <c r="I516" s="323">
        <v>0</v>
      </c>
      <c r="J516" s="323">
        <v>0</v>
      </c>
      <c r="K516" s="323">
        <v>0</v>
      </c>
      <c r="L516" s="323">
        <v>0</v>
      </c>
      <c r="M516" s="323">
        <v>11863.99019780235</v>
      </c>
      <c r="P516" s="279">
        <v>232</v>
      </c>
      <c r="Q516" s="312"/>
      <c r="R516" s="497">
        <v>44986</v>
      </c>
      <c r="S516" s="498">
        <f t="shared" si="12"/>
        <v>11863.99019780235</v>
      </c>
      <c r="T516" s="258">
        <v>0</v>
      </c>
    </row>
    <row r="517" spans="1:20" x14ac:dyDescent="0.25">
      <c r="A517" s="492">
        <v>45021</v>
      </c>
      <c r="B517" s="252" t="s">
        <v>765</v>
      </c>
      <c r="C517" s="252" t="s">
        <v>766</v>
      </c>
      <c r="D517" s="252" t="s">
        <v>465</v>
      </c>
      <c r="E517" s="252" t="s">
        <v>466</v>
      </c>
      <c r="F517" s="252" t="s">
        <v>460</v>
      </c>
      <c r="G517" s="323">
        <v>2087681.5983233829</v>
      </c>
      <c r="H517" s="253">
        <v>2052986.1298805799</v>
      </c>
      <c r="I517" s="323">
        <v>0</v>
      </c>
      <c r="J517" s="323">
        <v>0</v>
      </c>
      <c r="K517" s="323">
        <v>0</v>
      </c>
      <c r="L517" s="323">
        <v>0</v>
      </c>
      <c r="M517" s="323">
        <v>2052986.1298805799</v>
      </c>
      <c r="P517" s="279">
        <v>232</v>
      </c>
      <c r="Q517" s="312"/>
      <c r="R517" s="497">
        <v>45017</v>
      </c>
      <c r="S517" s="498">
        <f t="shared" si="12"/>
        <v>2052986.1298805799</v>
      </c>
      <c r="T517" s="258">
        <v>0</v>
      </c>
    </row>
    <row r="518" spans="1:20" x14ac:dyDescent="0.25">
      <c r="A518" s="492">
        <v>45032</v>
      </c>
      <c r="B518" s="252" t="s">
        <v>765</v>
      </c>
      <c r="C518" s="252" t="s">
        <v>766</v>
      </c>
      <c r="D518" s="252" t="s">
        <v>473</v>
      </c>
      <c r="E518" s="252" t="s">
        <v>561</v>
      </c>
      <c r="F518" s="252" t="s">
        <v>460</v>
      </c>
      <c r="G518" s="323">
        <v>12064.49164860247</v>
      </c>
      <c r="H518" s="253">
        <v>11863.99019780235</v>
      </c>
      <c r="I518" s="323">
        <v>0</v>
      </c>
      <c r="J518" s="323">
        <v>0</v>
      </c>
      <c r="K518" s="323">
        <v>0</v>
      </c>
      <c r="L518" s="323">
        <v>0</v>
      </c>
      <c r="M518" s="323">
        <v>11863.99019780235</v>
      </c>
      <c r="P518" s="279">
        <v>232</v>
      </c>
      <c r="Q518" s="312"/>
      <c r="R518" s="497">
        <v>45017</v>
      </c>
      <c r="S518" s="498">
        <f t="shared" si="12"/>
        <v>11863.99019780235</v>
      </c>
      <c r="T518" s="258">
        <v>0</v>
      </c>
    </row>
    <row r="519" spans="1:20" x14ac:dyDescent="0.25">
      <c r="A519" s="492">
        <v>45143</v>
      </c>
      <c r="B519" s="252" t="s">
        <v>765</v>
      </c>
      <c r="C519" s="252" t="s">
        <v>766</v>
      </c>
      <c r="D519" s="252" t="s">
        <v>467</v>
      </c>
      <c r="E519" s="252" t="s">
        <v>466</v>
      </c>
      <c r="F519" s="252" t="s">
        <v>460</v>
      </c>
      <c r="G519" s="323">
        <v>1049.0862303132581</v>
      </c>
      <c r="H519" s="253">
        <v>1031.65132154803</v>
      </c>
      <c r="I519" s="323">
        <v>0</v>
      </c>
      <c r="J519" s="323">
        <v>0</v>
      </c>
      <c r="K519" s="323">
        <v>0</v>
      </c>
      <c r="L519" s="323">
        <v>0</v>
      </c>
      <c r="M519" s="323">
        <v>1031.65132154803</v>
      </c>
      <c r="P519" s="279">
        <v>232</v>
      </c>
      <c r="Q519" s="312"/>
      <c r="R519" s="497">
        <v>45139</v>
      </c>
      <c r="S519" s="498">
        <f t="shared" si="12"/>
        <v>1031.65132154803</v>
      </c>
      <c r="T519" s="258">
        <v>0</v>
      </c>
    </row>
    <row r="520" spans="1:20" x14ac:dyDescent="0.25">
      <c r="A520" s="63"/>
      <c r="B520" s="63"/>
      <c r="C520" s="63"/>
      <c r="D520" s="63"/>
      <c r="E520" s="63"/>
      <c r="F520" s="63"/>
      <c r="G520" s="320">
        <v>57264464.568582997</v>
      </c>
      <c r="H520" s="320">
        <v>56312882.584989607</v>
      </c>
      <c r="I520" s="320">
        <v>0</v>
      </c>
      <c r="J520" s="320">
        <v>0</v>
      </c>
      <c r="K520" s="320">
        <v>0</v>
      </c>
      <c r="L520" s="320">
        <v>0</v>
      </c>
      <c r="M520" s="320">
        <v>56312882.584989607</v>
      </c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>
    <tabColor rgb="FFFFC000"/>
  </sheetPr>
  <dimension ref="B1:BN50"/>
  <sheetViews>
    <sheetView showGridLines="0" topLeftCell="E1" zoomScaleNormal="100" workbookViewId="0">
      <selection activeCell="F27" sqref="F27"/>
    </sheetView>
  </sheetViews>
  <sheetFormatPr defaultRowHeight="15" x14ac:dyDescent="0.25"/>
  <cols>
    <col min="1" max="1" width="3.7109375" style="10" customWidth="1"/>
    <col min="2" max="2" width="10.85546875" style="10" bestFit="1" customWidth="1"/>
    <col min="3" max="3" width="7.28515625" style="10" bestFit="1" customWidth="1"/>
    <col min="4" max="4" width="8.85546875" style="10" bestFit="1" customWidth="1"/>
    <col min="5" max="5" width="10.85546875" style="10" bestFit="1" customWidth="1"/>
    <col min="6" max="6" width="11.28515625" style="10" bestFit="1" customWidth="1"/>
    <col min="7" max="7" width="3.7109375" style="10" customWidth="1"/>
    <col min="8" max="8" width="8.85546875" style="186" customWidth="1"/>
    <col min="9" max="9" width="52.7109375" style="186" bestFit="1" customWidth="1"/>
    <col min="10" max="10" width="7" style="186" bestFit="1" customWidth="1"/>
    <col min="11" max="11" width="30" style="186" bestFit="1" customWidth="1"/>
    <col min="12" max="12" width="10.5703125" style="186" bestFit="1" customWidth="1"/>
    <col min="13" max="13" width="14.140625" style="186" bestFit="1" customWidth="1"/>
    <col min="14" max="14" width="12.7109375" style="186" bestFit="1" customWidth="1"/>
    <col min="15" max="15" width="5.85546875" style="10" bestFit="1" customWidth="1"/>
    <col min="16" max="16" width="11.28515625" style="10" bestFit="1" customWidth="1"/>
    <col min="17" max="17" width="17.85546875" style="10" bestFit="1" customWidth="1"/>
    <col min="18" max="21" width="8.7109375" style="10" bestFit="1" customWidth="1"/>
    <col min="22" max="46" width="7.85546875" style="10" bestFit="1" customWidth="1"/>
    <col min="47" max="47" width="10" style="10" bestFit="1" customWidth="1"/>
    <col min="48" max="54" width="7.85546875" style="10" bestFit="1" customWidth="1"/>
    <col min="55" max="57" width="9.140625" style="10" customWidth="1"/>
    <col min="58" max="58" width="12.42578125" style="10" bestFit="1" customWidth="1"/>
    <col min="59" max="59" width="9.140625" style="10" customWidth="1"/>
    <col min="60" max="60" width="11" style="10" bestFit="1" customWidth="1"/>
    <col min="61" max="61" width="9.140625" style="10" customWidth="1"/>
    <col min="62" max="62" width="12.42578125" style="10" bestFit="1" customWidth="1"/>
    <col min="63" max="63" width="9.140625" style="10" customWidth="1"/>
    <col min="64" max="64" width="10" style="10" bestFit="1" customWidth="1"/>
    <col min="65" max="65" width="9.140625" style="10" customWidth="1"/>
    <col min="66" max="66" width="11.28515625" style="10" bestFit="1" customWidth="1"/>
    <col min="67" max="258" width="9.140625" style="10" customWidth="1"/>
    <col min="259" max="259" width="8.85546875" style="10" customWidth="1"/>
    <col min="260" max="260" width="32.7109375" style="10" bestFit="1" customWidth="1"/>
    <col min="261" max="261" width="7" style="10" bestFit="1" customWidth="1"/>
    <col min="262" max="262" width="30" style="10" bestFit="1" customWidth="1"/>
    <col min="263" max="263" width="10.5703125" style="10" bestFit="1" customWidth="1"/>
    <col min="264" max="264" width="14.140625" style="10" bestFit="1" customWidth="1"/>
    <col min="265" max="265" width="12.7109375" style="10" bestFit="1" customWidth="1"/>
    <col min="266" max="266" width="5.85546875" style="10" bestFit="1" customWidth="1"/>
    <col min="267" max="267" width="11.28515625" style="10" bestFit="1" customWidth="1"/>
    <col min="268" max="268" width="17.85546875" style="10" bestFit="1" customWidth="1"/>
    <col min="269" max="272" width="8.7109375" style="10" bestFit="1" customWidth="1"/>
    <col min="273" max="307" width="7.85546875" style="10" bestFit="1" customWidth="1"/>
    <col min="308" max="514" width="9.140625" style="10" customWidth="1"/>
    <col min="515" max="515" width="8.85546875" style="10" customWidth="1"/>
    <col min="516" max="516" width="32.7109375" style="10" bestFit="1" customWidth="1"/>
    <col min="517" max="517" width="7" style="10" bestFit="1" customWidth="1"/>
    <col min="518" max="518" width="30" style="10" bestFit="1" customWidth="1"/>
    <col min="519" max="519" width="10.5703125" style="10" bestFit="1" customWidth="1"/>
    <col min="520" max="520" width="14.140625" style="10" bestFit="1" customWidth="1"/>
    <col min="521" max="521" width="12.7109375" style="10" bestFit="1" customWidth="1"/>
    <col min="522" max="522" width="5.85546875" style="10" bestFit="1" customWidth="1"/>
    <col min="523" max="523" width="11.28515625" style="10" bestFit="1" customWidth="1"/>
    <col min="524" max="524" width="17.85546875" style="10" bestFit="1" customWidth="1"/>
    <col min="525" max="528" width="8.7109375" style="10" bestFit="1" customWidth="1"/>
    <col min="529" max="563" width="7.85546875" style="10" bestFit="1" customWidth="1"/>
    <col min="564" max="770" width="9.140625" style="10" customWidth="1"/>
    <col min="771" max="771" width="8.85546875" style="10" customWidth="1"/>
    <col min="772" max="772" width="32.7109375" style="10" bestFit="1" customWidth="1"/>
    <col min="773" max="773" width="7" style="10" bestFit="1" customWidth="1"/>
    <col min="774" max="774" width="30" style="10" bestFit="1" customWidth="1"/>
    <col min="775" max="775" width="10.5703125" style="10" bestFit="1" customWidth="1"/>
    <col min="776" max="776" width="14.140625" style="10" bestFit="1" customWidth="1"/>
    <col min="777" max="777" width="12.7109375" style="10" bestFit="1" customWidth="1"/>
    <col min="778" max="778" width="5.85546875" style="10" bestFit="1" customWidth="1"/>
    <col min="779" max="779" width="11.28515625" style="10" bestFit="1" customWidth="1"/>
    <col min="780" max="780" width="17.85546875" style="10" bestFit="1" customWidth="1"/>
    <col min="781" max="784" width="8.7109375" style="10" bestFit="1" customWidth="1"/>
    <col min="785" max="819" width="7.85546875" style="10" bestFit="1" customWidth="1"/>
    <col min="820" max="1026" width="9.140625" style="10" customWidth="1"/>
    <col min="1027" max="1027" width="8.85546875" style="10" customWidth="1"/>
    <col min="1028" max="1028" width="32.7109375" style="10" bestFit="1" customWidth="1"/>
    <col min="1029" max="1029" width="7" style="10" bestFit="1" customWidth="1"/>
    <col min="1030" max="1030" width="30" style="10" bestFit="1" customWidth="1"/>
    <col min="1031" max="1031" width="10.5703125" style="10" bestFit="1" customWidth="1"/>
    <col min="1032" max="1032" width="14.140625" style="10" bestFit="1" customWidth="1"/>
    <col min="1033" max="1033" width="12.7109375" style="10" bestFit="1" customWidth="1"/>
    <col min="1034" max="1034" width="5.85546875" style="10" bestFit="1" customWidth="1"/>
    <col min="1035" max="1035" width="11.28515625" style="10" bestFit="1" customWidth="1"/>
    <col min="1036" max="1036" width="17.85546875" style="10" bestFit="1" customWidth="1"/>
    <col min="1037" max="1040" width="8.7109375" style="10" bestFit="1" customWidth="1"/>
    <col min="1041" max="1075" width="7.85546875" style="10" bestFit="1" customWidth="1"/>
    <col min="1076" max="1282" width="9.140625" style="10" customWidth="1"/>
    <col min="1283" max="1283" width="8.85546875" style="10" customWidth="1"/>
    <col min="1284" max="1284" width="32.7109375" style="10" bestFit="1" customWidth="1"/>
    <col min="1285" max="1285" width="7" style="10" bestFit="1" customWidth="1"/>
    <col min="1286" max="1286" width="30" style="10" bestFit="1" customWidth="1"/>
    <col min="1287" max="1287" width="10.5703125" style="10" bestFit="1" customWidth="1"/>
    <col min="1288" max="1288" width="14.140625" style="10" bestFit="1" customWidth="1"/>
    <col min="1289" max="1289" width="12.7109375" style="10" bestFit="1" customWidth="1"/>
    <col min="1290" max="1290" width="5.85546875" style="10" bestFit="1" customWidth="1"/>
    <col min="1291" max="1291" width="11.28515625" style="10" bestFit="1" customWidth="1"/>
    <col min="1292" max="1292" width="17.85546875" style="10" bestFit="1" customWidth="1"/>
    <col min="1293" max="1296" width="8.7109375" style="10" bestFit="1" customWidth="1"/>
    <col min="1297" max="1331" width="7.85546875" style="10" bestFit="1" customWidth="1"/>
    <col min="1332" max="1538" width="9.140625" style="10" customWidth="1"/>
    <col min="1539" max="1539" width="8.85546875" style="10" customWidth="1"/>
    <col min="1540" max="1540" width="32.7109375" style="10" bestFit="1" customWidth="1"/>
    <col min="1541" max="1541" width="7" style="10" bestFit="1" customWidth="1"/>
    <col min="1542" max="1542" width="30" style="10" bestFit="1" customWidth="1"/>
    <col min="1543" max="1543" width="10.5703125" style="10" bestFit="1" customWidth="1"/>
    <col min="1544" max="1544" width="14.140625" style="10" bestFit="1" customWidth="1"/>
    <col min="1545" max="1545" width="12.7109375" style="10" bestFit="1" customWidth="1"/>
    <col min="1546" max="1546" width="5.85546875" style="10" bestFit="1" customWidth="1"/>
    <col min="1547" max="1547" width="11.28515625" style="10" bestFit="1" customWidth="1"/>
    <col min="1548" max="1548" width="17.85546875" style="10" bestFit="1" customWidth="1"/>
    <col min="1549" max="1552" width="8.7109375" style="10" bestFit="1" customWidth="1"/>
    <col min="1553" max="1587" width="7.85546875" style="10" bestFit="1" customWidth="1"/>
    <col min="1588" max="1794" width="9.140625" style="10" customWidth="1"/>
    <col min="1795" max="1795" width="8.85546875" style="10" customWidth="1"/>
    <col min="1796" max="1796" width="32.7109375" style="10" bestFit="1" customWidth="1"/>
    <col min="1797" max="1797" width="7" style="10" bestFit="1" customWidth="1"/>
    <col min="1798" max="1798" width="30" style="10" bestFit="1" customWidth="1"/>
    <col min="1799" max="1799" width="10.5703125" style="10" bestFit="1" customWidth="1"/>
    <col min="1800" max="1800" width="14.140625" style="10" bestFit="1" customWidth="1"/>
    <col min="1801" max="1801" width="12.7109375" style="10" bestFit="1" customWidth="1"/>
    <col min="1802" max="1802" width="5.85546875" style="10" bestFit="1" customWidth="1"/>
    <col min="1803" max="1803" width="11.28515625" style="10" bestFit="1" customWidth="1"/>
    <col min="1804" max="1804" width="17.85546875" style="10" bestFit="1" customWidth="1"/>
    <col min="1805" max="1808" width="8.7109375" style="10" bestFit="1" customWidth="1"/>
    <col min="1809" max="1843" width="7.85546875" style="10" bestFit="1" customWidth="1"/>
    <col min="1844" max="2050" width="9.140625" style="10" customWidth="1"/>
    <col min="2051" max="2051" width="8.85546875" style="10" customWidth="1"/>
    <col min="2052" max="2052" width="32.7109375" style="10" bestFit="1" customWidth="1"/>
    <col min="2053" max="2053" width="7" style="10" bestFit="1" customWidth="1"/>
    <col min="2054" max="2054" width="30" style="10" bestFit="1" customWidth="1"/>
    <col min="2055" max="2055" width="10.5703125" style="10" bestFit="1" customWidth="1"/>
    <col min="2056" max="2056" width="14.140625" style="10" bestFit="1" customWidth="1"/>
    <col min="2057" max="2057" width="12.7109375" style="10" bestFit="1" customWidth="1"/>
    <col min="2058" max="2058" width="5.85546875" style="10" bestFit="1" customWidth="1"/>
    <col min="2059" max="2059" width="11.28515625" style="10" bestFit="1" customWidth="1"/>
    <col min="2060" max="2060" width="17.85546875" style="10" bestFit="1" customWidth="1"/>
    <col min="2061" max="2064" width="8.7109375" style="10" bestFit="1" customWidth="1"/>
    <col min="2065" max="2099" width="7.85546875" style="10" bestFit="1" customWidth="1"/>
    <col min="2100" max="2306" width="9.140625" style="10" customWidth="1"/>
    <col min="2307" max="2307" width="8.85546875" style="10" customWidth="1"/>
    <col min="2308" max="2308" width="32.7109375" style="10" bestFit="1" customWidth="1"/>
    <col min="2309" max="2309" width="7" style="10" bestFit="1" customWidth="1"/>
    <col min="2310" max="2310" width="30" style="10" bestFit="1" customWidth="1"/>
    <col min="2311" max="2311" width="10.5703125" style="10" bestFit="1" customWidth="1"/>
    <col min="2312" max="2312" width="14.140625" style="10" bestFit="1" customWidth="1"/>
    <col min="2313" max="2313" width="12.7109375" style="10" bestFit="1" customWidth="1"/>
    <col min="2314" max="2314" width="5.85546875" style="10" bestFit="1" customWidth="1"/>
    <col min="2315" max="2315" width="11.28515625" style="10" bestFit="1" customWidth="1"/>
    <col min="2316" max="2316" width="17.85546875" style="10" bestFit="1" customWidth="1"/>
    <col min="2317" max="2320" width="8.7109375" style="10" bestFit="1" customWidth="1"/>
    <col min="2321" max="2355" width="7.85546875" style="10" bestFit="1" customWidth="1"/>
    <col min="2356" max="2562" width="9.140625" style="10" customWidth="1"/>
    <col min="2563" max="2563" width="8.85546875" style="10" customWidth="1"/>
    <col min="2564" max="2564" width="32.7109375" style="10" bestFit="1" customWidth="1"/>
    <col min="2565" max="2565" width="7" style="10" bestFit="1" customWidth="1"/>
    <col min="2566" max="2566" width="30" style="10" bestFit="1" customWidth="1"/>
    <col min="2567" max="2567" width="10.5703125" style="10" bestFit="1" customWidth="1"/>
    <col min="2568" max="2568" width="14.140625" style="10" bestFit="1" customWidth="1"/>
    <col min="2569" max="2569" width="12.7109375" style="10" bestFit="1" customWidth="1"/>
    <col min="2570" max="2570" width="5.85546875" style="10" bestFit="1" customWidth="1"/>
    <col min="2571" max="2571" width="11.28515625" style="10" bestFit="1" customWidth="1"/>
    <col min="2572" max="2572" width="17.85546875" style="10" bestFit="1" customWidth="1"/>
    <col min="2573" max="2576" width="8.7109375" style="10" bestFit="1" customWidth="1"/>
    <col min="2577" max="2611" width="7.85546875" style="10" bestFit="1" customWidth="1"/>
    <col min="2612" max="2818" width="9.140625" style="10" customWidth="1"/>
    <col min="2819" max="2819" width="8.85546875" style="10" customWidth="1"/>
    <col min="2820" max="2820" width="32.7109375" style="10" bestFit="1" customWidth="1"/>
    <col min="2821" max="2821" width="7" style="10" bestFit="1" customWidth="1"/>
    <col min="2822" max="2822" width="30" style="10" bestFit="1" customWidth="1"/>
    <col min="2823" max="2823" width="10.5703125" style="10" bestFit="1" customWidth="1"/>
    <col min="2824" max="2824" width="14.140625" style="10" bestFit="1" customWidth="1"/>
    <col min="2825" max="2825" width="12.7109375" style="10" bestFit="1" customWidth="1"/>
    <col min="2826" max="2826" width="5.85546875" style="10" bestFit="1" customWidth="1"/>
    <col min="2827" max="2827" width="11.28515625" style="10" bestFit="1" customWidth="1"/>
    <col min="2828" max="2828" width="17.85546875" style="10" bestFit="1" customWidth="1"/>
    <col min="2829" max="2832" width="8.7109375" style="10" bestFit="1" customWidth="1"/>
    <col min="2833" max="2867" width="7.85546875" style="10" bestFit="1" customWidth="1"/>
    <col min="2868" max="3074" width="9.140625" style="10" customWidth="1"/>
    <col min="3075" max="3075" width="8.85546875" style="10" customWidth="1"/>
    <col min="3076" max="3076" width="32.7109375" style="10" bestFit="1" customWidth="1"/>
    <col min="3077" max="3077" width="7" style="10" bestFit="1" customWidth="1"/>
    <col min="3078" max="3078" width="30" style="10" bestFit="1" customWidth="1"/>
    <col min="3079" max="3079" width="10.5703125" style="10" bestFit="1" customWidth="1"/>
    <col min="3080" max="3080" width="14.140625" style="10" bestFit="1" customWidth="1"/>
    <col min="3081" max="3081" width="12.7109375" style="10" bestFit="1" customWidth="1"/>
    <col min="3082" max="3082" width="5.85546875" style="10" bestFit="1" customWidth="1"/>
    <col min="3083" max="3083" width="11.28515625" style="10" bestFit="1" customWidth="1"/>
    <col min="3084" max="3084" width="17.85546875" style="10" bestFit="1" customWidth="1"/>
    <col min="3085" max="3088" width="8.7109375" style="10" bestFit="1" customWidth="1"/>
    <col min="3089" max="3123" width="7.85546875" style="10" bestFit="1" customWidth="1"/>
    <col min="3124" max="3330" width="9.140625" style="10" customWidth="1"/>
    <col min="3331" max="3331" width="8.85546875" style="10" customWidth="1"/>
    <col min="3332" max="3332" width="32.7109375" style="10" bestFit="1" customWidth="1"/>
    <col min="3333" max="3333" width="7" style="10" bestFit="1" customWidth="1"/>
    <col min="3334" max="3334" width="30" style="10" bestFit="1" customWidth="1"/>
    <col min="3335" max="3335" width="10.5703125" style="10" bestFit="1" customWidth="1"/>
    <col min="3336" max="3336" width="14.140625" style="10" bestFit="1" customWidth="1"/>
    <col min="3337" max="3337" width="12.7109375" style="10" bestFit="1" customWidth="1"/>
    <col min="3338" max="3338" width="5.85546875" style="10" bestFit="1" customWidth="1"/>
    <col min="3339" max="3339" width="11.28515625" style="10" bestFit="1" customWidth="1"/>
    <col min="3340" max="3340" width="17.85546875" style="10" bestFit="1" customWidth="1"/>
    <col min="3341" max="3344" width="8.7109375" style="10" bestFit="1" customWidth="1"/>
    <col min="3345" max="3379" width="7.85546875" style="10" bestFit="1" customWidth="1"/>
    <col min="3380" max="3586" width="9.140625" style="10" customWidth="1"/>
    <col min="3587" max="3587" width="8.85546875" style="10" customWidth="1"/>
    <col min="3588" max="3588" width="32.7109375" style="10" bestFit="1" customWidth="1"/>
    <col min="3589" max="3589" width="7" style="10" bestFit="1" customWidth="1"/>
    <col min="3590" max="3590" width="30" style="10" bestFit="1" customWidth="1"/>
    <col min="3591" max="3591" width="10.5703125" style="10" bestFit="1" customWidth="1"/>
    <col min="3592" max="3592" width="14.140625" style="10" bestFit="1" customWidth="1"/>
    <col min="3593" max="3593" width="12.7109375" style="10" bestFit="1" customWidth="1"/>
    <col min="3594" max="3594" width="5.85546875" style="10" bestFit="1" customWidth="1"/>
    <col min="3595" max="3595" width="11.28515625" style="10" bestFit="1" customWidth="1"/>
    <col min="3596" max="3596" width="17.85546875" style="10" bestFit="1" customWidth="1"/>
    <col min="3597" max="3600" width="8.7109375" style="10" bestFit="1" customWidth="1"/>
    <col min="3601" max="3635" width="7.85546875" style="10" bestFit="1" customWidth="1"/>
    <col min="3636" max="3842" width="9.140625" style="10" customWidth="1"/>
    <col min="3843" max="3843" width="8.85546875" style="10" customWidth="1"/>
    <col min="3844" max="3844" width="32.7109375" style="10" bestFit="1" customWidth="1"/>
    <col min="3845" max="3845" width="7" style="10" bestFit="1" customWidth="1"/>
    <col min="3846" max="3846" width="30" style="10" bestFit="1" customWidth="1"/>
    <col min="3847" max="3847" width="10.5703125" style="10" bestFit="1" customWidth="1"/>
    <col min="3848" max="3848" width="14.140625" style="10" bestFit="1" customWidth="1"/>
    <col min="3849" max="3849" width="12.7109375" style="10" bestFit="1" customWidth="1"/>
    <col min="3850" max="3850" width="5.85546875" style="10" bestFit="1" customWidth="1"/>
    <col min="3851" max="3851" width="11.28515625" style="10" bestFit="1" customWidth="1"/>
    <col min="3852" max="3852" width="17.85546875" style="10" bestFit="1" customWidth="1"/>
    <col min="3853" max="3856" width="8.7109375" style="10" bestFit="1" customWidth="1"/>
    <col min="3857" max="3891" width="7.85546875" style="10" bestFit="1" customWidth="1"/>
    <col min="3892" max="4098" width="9.140625" style="10" customWidth="1"/>
    <col min="4099" max="4099" width="8.85546875" style="10" customWidth="1"/>
    <col min="4100" max="4100" width="32.7109375" style="10" bestFit="1" customWidth="1"/>
    <col min="4101" max="4101" width="7" style="10" bestFit="1" customWidth="1"/>
    <col min="4102" max="4102" width="30" style="10" bestFit="1" customWidth="1"/>
    <col min="4103" max="4103" width="10.5703125" style="10" bestFit="1" customWidth="1"/>
    <col min="4104" max="4104" width="14.140625" style="10" bestFit="1" customWidth="1"/>
    <col min="4105" max="4105" width="12.7109375" style="10" bestFit="1" customWidth="1"/>
    <col min="4106" max="4106" width="5.85546875" style="10" bestFit="1" customWidth="1"/>
    <col min="4107" max="4107" width="11.28515625" style="10" bestFit="1" customWidth="1"/>
    <col min="4108" max="4108" width="17.85546875" style="10" bestFit="1" customWidth="1"/>
    <col min="4109" max="4112" width="8.7109375" style="10" bestFit="1" customWidth="1"/>
    <col min="4113" max="4147" width="7.85546875" style="10" bestFit="1" customWidth="1"/>
    <col min="4148" max="4354" width="9.140625" style="10" customWidth="1"/>
    <col min="4355" max="4355" width="8.85546875" style="10" customWidth="1"/>
    <col min="4356" max="4356" width="32.7109375" style="10" bestFit="1" customWidth="1"/>
    <col min="4357" max="4357" width="7" style="10" bestFit="1" customWidth="1"/>
    <col min="4358" max="4358" width="30" style="10" bestFit="1" customWidth="1"/>
    <col min="4359" max="4359" width="10.5703125" style="10" bestFit="1" customWidth="1"/>
    <col min="4360" max="4360" width="14.140625" style="10" bestFit="1" customWidth="1"/>
    <col min="4361" max="4361" width="12.7109375" style="10" bestFit="1" customWidth="1"/>
    <col min="4362" max="4362" width="5.85546875" style="10" bestFit="1" customWidth="1"/>
    <col min="4363" max="4363" width="11.28515625" style="10" bestFit="1" customWidth="1"/>
    <col min="4364" max="4364" width="17.85546875" style="10" bestFit="1" customWidth="1"/>
    <col min="4365" max="4368" width="8.7109375" style="10" bestFit="1" customWidth="1"/>
    <col min="4369" max="4403" width="7.85546875" style="10" bestFit="1" customWidth="1"/>
    <col min="4404" max="4610" width="9.140625" style="10" customWidth="1"/>
    <col min="4611" max="4611" width="8.85546875" style="10" customWidth="1"/>
    <col min="4612" max="4612" width="32.7109375" style="10" bestFit="1" customWidth="1"/>
    <col min="4613" max="4613" width="7" style="10" bestFit="1" customWidth="1"/>
    <col min="4614" max="4614" width="30" style="10" bestFit="1" customWidth="1"/>
    <col min="4615" max="4615" width="10.5703125" style="10" bestFit="1" customWidth="1"/>
    <col min="4616" max="4616" width="14.140625" style="10" bestFit="1" customWidth="1"/>
    <col min="4617" max="4617" width="12.7109375" style="10" bestFit="1" customWidth="1"/>
    <col min="4618" max="4618" width="5.85546875" style="10" bestFit="1" customWidth="1"/>
    <col min="4619" max="4619" width="11.28515625" style="10" bestFit="1" customWidth="1"/>
    <col min="4620" max="4620" width="17.85546875" style="10" bestFit="1" customWidth="1"/>
    <col min="4621" max="4624" width="8.7109375" style="10" bestFit="1" customWidth="1"/>
    <col min="4625" max="4659" width="7.85546875" style="10" bestFit="1" customWidth="1"/>
    <col min="4660" max="4866" width="9.140625" style="10" customWidth="1"/>
    <col min="4867" max="4867" width="8.85546875" style="10" customWidth="1"/>
    <col min="4868" max="4868" width="32.7109375" style="10" bestFit="1" customWidth="1"/>
    <col min="4869" max="4869" width="7" style="10" bestFit="1" customWidth="1"/>
    <col min="4870" max="4870" width="30" style="10" bestFit="1" customWidth="1"/>
    <col min="4871" max="4871" width="10.5703125" style="10" bestFit="1" customWidth="1"/>
    <col min="4872" max="4872" width="14.140625" style="10" bestFit="1" customWidth="1"/>
    <col min="4873" max="4873" width="12.7109375" style="10" bestFit="1" customWidth="1"/>
    <col min="4874" max="4874" width="5.85546875" style="10" bestFit="1" customWidth="1"/>
    <col min="4875" max="4875" width="11.28515625" style="10" bestFit="1" customWidth="1"/>
    <col min="4876" max="4876" width="17.85546875" style="10" bestFit="1" customWidth="1"/>
    <col min="4877" max="4880" width="8.7109375" style="10" bestFit="1" customWidth="1"/>
    <col min="4881" max="4915" width="7.85546875" style="10" bestFit="1" customWidth="1"/>
    <col min="4916" max="5122" width="9.140625" style="10" customWidth="1"/>
    <col min="5123" max="5123" width="8.85546875" style="10" customWidth="1"/>
    <col min="5124" max="5124" width="32.7109375" style="10" bestFit="1" customWidth="1"/>
    <col min="5125" max="5125" width="7" style="10" bestFit="1" customWidth="1"/>
    <col min="5126" max="5126" width="30" style="10" bestFit="1" customWidth="1"/>
    <col min="5127" max="5127" width="10.5703125" style="10" bestFit="1" customWidth="1"/>
    <col min="5128" max="5128" width="14.140625" style="10" bestFit="1" customWidth="1"/>
    <col min="5129" max="5129" width="12.7109375" style="10" bestFit="1" customWidth="1"/>
    <col min="5130" max="5130" width="5.85546875" style="10" bestFit="1" customWidth="1"/>
    <col min="5131" max="5131" width="11.28515625" style="10" bestFit="1" customWidth="1"/>
    <col min="5132" max="5132" width="17.85546875" style="10" bestFit="1" customWidth="1"/>
    <col min="5133" max="5136" width="8.7109375" style="10" bestFit="1" customWidth="1"/>
    <col min="5137" max="5171" width="7.85546875" style="10" bestFit="1" customWidth="1"/>
    <col min="5172" max="5378" width="9.140625" style="10" customWidth="1"/>
    <col min="5379" max="5379" width="8.85546875" style="10" customWidth="1"/>
    <col min="5380" max="5380" width="32.7109375" style="10" bestFit="1" customWidth="1"/>
    <col min="5381" max="5381" width="7" style="10" bestFit="1" customWidth="1"/>
    <col min="5382" max="5382" width="30" style="10" bestFit="1" customWidth="1"/>
    <col min="5383" max="5383" width="10.5703125" style="10" bestFit="1" customWidth="1"/>
    <col min="5384" max="5384" width="14.140625" style="10" bestFit="1" customWidth="1"/>
    <col min="5385" max="5385" width="12.7109375" style="10" bestFit="1" customWidth="1"/>
    <col min="5386" max="5386" width="5.85546875" style="10" bestFit="1" customWidth="1"/>
    <col min="5387" max="5387" width="11.28515625" style="10" bestFit="1" customWidth="1"/>
    <col min="5388" max="5388" width="17.85546875" style="10" bestFit="1" customWidth="1"/>
    <col min="5389" max="5392" width="8.7109375" style="10" bestFit="1" customWidth="1"/>
    <col min="5393" max="5427" width="7.85546875" style="10" bestFit="1" customWidth="1"/>
    <col min="5428" max="5634" width="9.140625" style="10" customWidth="1"/>
    <col min="5635" max="5635" width="8.85546875" style="10" customWidth="1"/>
    <col min="5636" max="5636" width="32.7109375" style="10" bestFit="1" customWidth="1"/>
    <col min="5637" max="5637" width="7" style="10" bestFit="1" customWidth="1"/>
    <col min="5638" max="5638" width="30" style="10" bestFit="1" customWidth="1"/>
    <col min="5639" max="5639" width="10.5703125" style="10" bestFit="1" customWidth="1"/>
    <col min="5640" max="5640" width="14.140625" style="10" bestFit="1" customWidth="1"/>
    <col min="5641" max="5641" width="12.7109375" style="10" bestFit="1" customWidth="1"/>
    <col min="5642" max="5642" width="5.85546875" style="10" bestFit="1" customWidth="1"/>
    <col min="5643" max="5643" width="11.28515625" style="10" bestFit="1" customWidth="1"/>
    <col min="5644" max="5644" width="17.85546875" style="10" bestFit="1" customWidth="1"/>
    <col min="5645" max="5648" width="8.7109375" style="10" bestFit="1" customWidth="1"/>
    <col min="5649" max="5683" width="7.85546875" style="10" bestFit="1" customWidth="1"/>
    <col min="5684" max="5890" width="9.140625" style="10" customWidth="1"/>
    <col min="5891" max="5891" width="8.85546875" style="10" customWidth="1"/>
    <col min="5892" max="5892" width="32.7109375" style="10" bestFit="1" customWidth="1"/>
    <col min="5893" max="5893" width="7" style="10" bestFit="1" customWidth="1"/>
    <col min="5894" max="5894" width="30" style="10" bestFit="1" customWidth="1"/>
    <col min="5895" max="5895" width="10.5703125" style="10" bestFit="1" customWidth="1"/>
    <col min="5896" max="5896" width="14.140625" style="10" bestFit="1" customWidth="1"/>
    <col min="5897" max="5897" width="12.7109375" style="10" bestFit="1" customWidth="1"/>
    <col min="5898" max="5898" width="5.85546875" style="10" bestFit="1" customWidth="1"/>
    <col min="5899" max="5899" width="11.28515625" style="10" bestFit="1" customWidth="1"/>
    <col min="5900" max="5900" width="17.85546875" style="10" bestFit="1" customWidth="1"/>
    <col min="5901" max="5904" width="8.7109375" style="10" bestFit="1" customWidth="1"/>
    <col min="5905" max="5939" width="7.85546875" style="10" bestFit="1" customWidth="1"/>
    <col min="5940" max="6146" width="9.140625" style="10" customWidth="1"/>
    <col min="6147" max="6147" width="8.85546875" style="10" customWidth="1"/>
    <col min="6148" max="6148" width="32.7109375" style="10" bestFit="1" customWidth="1"/>
    <col min="6149" max="6149" width="7" style="10" bestFit="1" customWidth="1"/>
    <col min="6150" max="6150" width="30" style="10" bestFit="1" customWidth="1"/>
    <col min="6151" max="6151" width="10.5703125" style="10" bestFit="1" customWidth="1"/>
    <col min="6152" max="6152" width="14.140625" style="10" bestFit="1" customWidth="1"/>
    <col min="6153" max="6153" width="12.7109375" style="10" bestFit="1" customWidth="1"/>
    <col min="6154" max="6154" width="5.85546875" style="10" bestFit="1" customWidth="1"/>
    <col min="6155" max="6155" width="11.28515625" style="10" bestFit="1" customWidth="1"/>
    <col min="6156" max="6156" width="17.85546875" style="10" bestFit="1" customWidth="1"/>
    <col min="6157" max="6160" width="8.7109375" style="10" bestFit="1" customWidth="1"/>
    <col min="6161" max="6195" width="7.85546875" style="10" bestFit="1" customWidth="1"/>
    <col min="6196" max="6402" width="9.140625" style="10" customWidth="1"/>
    <col min="6403" max="6403" width="8.85546875" style="10" customWidth="1"/>
    <col min="6404" max="6404" width="32.7109375" style="10" bestFit="1" customWidth="1"/>
    <col min="6405" max="6405" width="7" style="10" bestFit="1" customWidth="1"/>
    <col min="6406" max="6406" width="30" style="10" bestFit="1" customWidth="1"/>
    <col min="6407" max="6407" width="10.5703125" style="10" bestFit="1" customWidth="1"/>
    <col min="6408" max="6408" width="14.140625" style="10" bestFit="1" customWidth="1"/>
    <col min="6409" max="6409" width="12.7109375" style="10" bestFit="1" customWidth="1"/>
    <col min="6410" max="6410" width="5.85546875" style="10" bestFit="1" customWidth="1"/>
    <col min="6411" max="6411" width="11.28515625" style="10" bestFit="1" customWidth="1"/>
    <col min="6412" max="6412" width="17.85546875" style="10" bestFit="1" customWidth="1"/>
    <col min="6413" max="6416" width="8.7109375" style="10" bestFit="1" customWidth="1"/>
    <col min="6417" max="6451" width="7.85546875" style="10" bestFit="1" customWidth="1"/>
    <col min="6452" max="6658" width="9.140625" style="10" customWidth="1"/>
    <col min="6659" max="6659" width="8.85546875" style="10" customWidth="1"/>
    <col min="6660" max="6660" width="32.7109375" style="10" bestFit="1" customWidth="1"/>
    <col min="6661" max="6661" width="7" style="10" bestFit="1" customWidth="1"/>
    <col min="6662" max="6662" width="30" style="10" bestFit="1" customWidth="1"/>
    <col min="6663" max="6663" width="10.5703125" style="10" bestFit="1" customWidth="1"/>
    <col min="6664" max="6664" width="14.140625" style="10" bestFit="1" customWidth="1"/>
    <col min="6665" max="6665" width="12.7109375" style="10" bestFit="1" customWidth="1"/>
    <col min="6666" max="6666" width="5.85546875" style="10" bestFit="1" customWidth="1"/>
    <col min="6667" max="6667" width="11.28515625" style="10" bestFit="1" customWidth="1"/>
    <col min="6668" max="6668" width="17.85546875" style="10" bestFit="1" customWidth="1"/>
    <col min="6669" max="6672" width="8.7109375" style="10" bestFit="1" customWidth="1"/>
    <col min="6673" max="6707" width="7.85546875" style="10" bestFit="1" customWidth="1"/>
    <col min="6708" max="6914" width="9.140625" style="10" customWidth="1"/>
    <col min="6915" max="6915" width="8.85546875" style="10" customWidth="1"/>
    <col min="6916" max="6916" width="32.7109375" style="10" bestFit="1" customWidth="1"/>
    <col min="6917" max="6917" width="7" style="10" bestFit="1" customWidth="1"/>
    <col min="6918" max="6918" width="30" style="10" bestFit="1" customWidth="1"/>
    <col min="6919" max="6919" width="10.5703125" style="10" bestFit="1" customWidth="1"/>
    <col min="6920" max="6920" width="14.140625" style="10" bestFit="1" customWidth="1"/>
    <col min="6921" max="6921" width="12.7109375" style="10" bestFit="1" customWidth="1"/>
    <col min="6922" max="6922" width="5.85546875" style="10" bestFit="1" customWidth="1"/>
    <col min="6923" max="6923" width="11.28515625" style="10" bestFit="1" customWidth="1"/>
    <col min="6924" max="6924" width="17.85546875" style="10" bestFit="1" customWidth="1"/>
    <col min="6925" max="6928" width="8.7109375" style="10" bestFit="1" customWidth="1"/>
    <col min="6929" max="6963" width="7.85546875" style="10" bestFit="1" customWidth="1"/>
    <col min="6964" max="7170" width="9.140625" style="10" customWidth="1"/>
    <col min="7171" max="7171" width="8.85546875" style="10" customWidth="1"/>
    <col min="7172" max="7172" width="32.7109375" style="10" bestFit="1" customWidth="1"/>
    <col min="7173" max="7173" width="7" style="10" bestFit="1" customWidth="1"/>
    <col min="7174" max="7174" width="30" style="10" bestFit="1" customWidth="1"/>
    <col min="7175" max="7175" width="10.5703125" style="10" bestFit="1" customWidth="1"/>
    <col min="7176" max="7176" width="14.140625" style="10" bestFit="1" customWidth="1"/>
    <col min="7177" max="7177" width="12.7109375" style="10" bestFit="1" customWidth="1"/>
    <col min="7178" max="7178" width="5.85546875" style="10" bestFit="1" customWidth="1"/>
    <col min="7179" max="7179" width="11.28515625" style="10" bestFit="1" customWidth="1"/>
    <col min="7180" max="7180" width="17.85546875" style="10" bestFit="1" customWidth="1"/>
    <col min="7181" max="7184" width="8.7109375" style="10" bestFit="1" customWidth="1"/>
    <col min="7185" max="7219" width="7.85546875" style="10" bestFit="1" customWidth="1"/>
    <col min="7220" max="7426" width="9.140625" style="10" customWidth="1"/>
    <col min="7427" max="7427" width="8.85546875" style="10" customWidth="1"/>
    <col min="7428" max="7428" width="32.7109375" style="10" bestFit="1" customWidth="1"/>
    <col min="7429" max="7429" width="7" style="10" bestFit="1" customWidth="1"/>
    <col min="7430" max="7430" width="30" style="10" bestFit="1" customWidth="1"/>
    <col min="7431" max="7431" width="10.5703125" style="10" bestFit="1" customWidth="1"/>
    <col min="7432" max="7432" width="14.140625" style="10" bestFit="1" customWidth="1"/>
    <col min="7433" max="7433" width="12.7109375" style="10" bestFit="1" customWidth="1"/>
    <col min="7434" max="7434" width="5.85546875" style="10" bestFit="1" customWidth="1"/>
    <col min="7435" max="7435" width="11.28515625" style="10" bestFit="1" customWidth="1"/>
    <col min="7436" max="7436" width="17.85546875" style="10" bestFit="1" customWidth="1"/>
    <col min="7437" max="7440" width="8.7109375" style="10" bestFit="1" customWidth="1"/>
    <col min="7441" max="7475" width="7.85546875" style="10" bestFit="1" customWidth="1"/>
    <col min="7476" max="7682" width="9.140625" style="10" customWidth="1"/>
    <col min="7683" max="7683" width="8.85546875" style="10" customWidth="1"/>
    <col min="7684" max="7684" width="32.7109375" style="10" bestFit="1" customWidth="1"/>
    <col min="7685" max="7685" width="7" style="10" bestFit="1" customWidth="1"/>
    <col min="7686" max="7686" width="30" style="10" bestFit="1" customWidth="1"/>
    <col min="7687" max="7687" width="10.5703125" style="10" bestFit="1" customWidth="1"/>
    <col min="7688" max="7688" width="14.140625" style="10" bestFit="1" customWidth="1"/>
    <col min="7689" max="7689" width="12.7109375" style="10" bestFit="1" customWidth="1"/>
    <col min="7690" max="7690" width="5.85546875" style="10" bestFit="1" customWidth="1"/>
    <col min="7691" max="7691" width="11.28515625" style="10" bestFit="1" customWidth="1"/>
    <col min="7692" max="7692" width="17.85546875" style="10" bestFit="1" customWidth="1"/>
    <col min="7693" max="7696" width="8.7109375" style="10" bestFit="1" customWidth="1"/>
    <col min="7697" max="7731" width="7.85546875" style="10" bestFit="1" customWidth="1"/>
    <col min="7732" max="7938" width="9.140625" style="10" customWidth="1"/>
    <col min="7939" max="7939" width="8.85546875" style="10" customWidth="1"/>
    <col min="7940" max="7940" width="32.7109375" style="10" bestFit="1" customWidth="1"/>
    <col min="7941" max="7941" width="7" style="10" bestFit="1" customWidth="1"/>
    <col min="7942" max="7942" width="30" style="10" bestFit="1" customWidth="1"/>
    <col min="7943" max="7943" width="10.5703125" style="10" bestFit="1" customWidth="1"/>
    <col min="7944" max="7944" width="14.140625" style="10" bestFit="1" customWidth="1"/>
    <col min="7945" max="7945" width="12.7109375" style="10" bestFit="1" customWidth="1"/>
    <col min="7946" max="7946" width="5.85546875" style="10" bestFit="1" customWidth="1"/>
    <col min="7947" max="7947" width="11.28515625" style="10" bestFit="1" customWidth="1"/>
    <col min="7948" max="7948" width="17.85546875" style="10" bestFit="1" customWidth="1"/>
    <col min="7949" max="7952" width="8.7109375" style="10" bestFit="1" customWidth="1"/>
    <col min="7953" max="7987" width="7.85546875" style="10" bestFit="1" customWidth="1"/>
    <col min="7988" max="8194" width="9.140625" style="10" customWidth="1"/>
    <col min="8195" max="8195" width="8.85546875" style="10" customWidth="1"/>
    <col min="8196" max="8196" width="32.7109375" style="10" bestFit="1" customWidth="1"/>
    <col min="8197" max="8197" width="7" style="10" bestFit="1" customWidth="1"/>
    <col min="8198" max="8198" width="30" style="10" bestFit="1" customWidth="1"/>
    <col min="8199" max="8199" width="10.5703125" style="10" bestFit="1" customWidth="1"/>
    <col min="8200" max="8200" width="14.140625" style="10" bestFit="1" customWidth="1"/>
    <col min="8201" max="8201" width="12.7109375" style="10" bestFit="1" customWidth="1"/>
    <col min="8202" max="8202" width="5.85546875" style="10" bestFit="1" customWidth="1"/>
    <col min="8203" max="8203" width="11.28515625" style="10" bestFit="1" customWidth="1"/>
    <col min="8204" max="8204" width="17.85546875" style="10" bestFit="1" customWidth="1"/>
    <col min="8205" max="8208" width="8.7109375" style="10" bestFit="1" customWidth="1"/>
    <col min="8209" max="8243" width="7.85546875" style="10" bestFit="1" customWidth="1"/>
    <col min="8244" max="8450" width="9.140625" style="10" customWidth="1"/>
    <col min="8451" max="8451" width="8.85546875" style="10" customWidth="1"/>
    <col min="8452" max="8452" width="32.7109375" style="10" bestFit="1" customWidth="1"/>
    <col min="8453" max="8453" width="7" style="10" bestFit="1" customWidth="1"/>
    <col min="8454" max="8454" width="30" style="10" bestFit="1" customWidth="1"/>
    <col min="8455" max="8455" width="10.5703125" style="10" bestFit="1" customWidth="1"/>
    <col min="8456" max="8456" width="14.140625" style="10" bestFit="1" customWidth="1"/>
    <col min="8457" max="8457" width="12.7109375" style="10" bestFit="1" customWidth="1"/>
    <col min="8458" max="8458" width="5.85546875" style="10" bestFit="1" customWidth="1"/>
    <col min="8459" max="8459" width="11.28515625" style="10" bestFit="1" customWidth="1"/>
    <col min="8460" max="8460" width="17.85546875" style="10" bestFit="1" customWidth="1"/>
    <col min="8461" max="8464" width="8.7109375" style="10" bestFit="1" customWidth="1"/>
    <col min="8465" max="8499" width="7.85546875" style="10" bestFit="1" customWidth="1"/>
    <col min="8500" max="8706" width="9.140625" style="10" customWidth="1"/>
    <col min="8707" max="8707" width="8.85546875" style="10" customWidth="1"/>
    <col min="8708" max="8708" width="32.7109375" style="10" bestFit="1" customWidth="1"/>
    <col min="8709" max="8709" width="7" style="10" bestFit="1" customWidth="1"/>
    <col min="8710" max="8710" width="30" style="10" bestFit="1" customWidth="1"/>
    <col min="8711" max="8711" width="10.5703125" style="10" bestFit="1" customWidth="1"/>
    <col min="8712" max="8712" width="14.140625" style="10" bestFit="1" customWidth="1"/>
    <col min="8713" max="8713" width="12.7109375" style="10" bestFit="1" customWidth="1"/>
    <col min="8714" max="8714" width="5.85546875" style="10" bestFit="1" customWidth="1"/>
    <col min="8715" max="8715" width="11.28515625" style="10" bestFit="1" customWidth="1"/>
    <col min="8716" max="8716" width="17.85546875" style="10" bestFit="1" customWidth="1"/>
    <col min="8717" max="8720" width="8.7109375" style="10" bestFit="1" customWidth="1"/>
    <col min="8721" max="8755" width="7.85546875" style="10" bestFit="1" customWidth="1"/>
    <col min="8756" max="8962" width="9.140625" style="10" customWidth="1"/>
    <col min="8963" max="8963" width="8.85546875" style="10" customWidth="1"/>
    <col min="8964" max="8964" width="32.7109375" style="10" bestFit="1" customWidth="1"/>
    <col min="8965" max="8965" width="7" style="10" bestFit="1" customWidth="1"/>
    <col min="8966" max="8966" width="30" style="10" bestFit="1" customWidth="1"/>
    <col min="8967" max="8967" width="10.5703125" style="10" bestFit="1" customWidth="1"/>
    <col min="8968" max="8968" width="14.140625" style="10" bestFit="1" customWidth="1"/>
    <col min="8969" max="8969" width="12.7109375" style="10" bestFit="1" customWidth="1"/>
    <col min="8970" max="8970" width="5.85546875" style="10" bestFit="1" customWidth="1"/>
    <col min="8971" max="8971" width="11.28515625" style="10" bestFit="1" customWidth="1"/>
    <col min="8972" max="8972" width="17.85546875" style="10" bestFit="1" customWidth="1"/>
    <col min="8973" max="8976" width="8.7109375" style="10" bestFit="1" customWidth="1"/>
    <col min="8977" max="9011" width="7.85546875" style="10" bestFit="1" customWidth="1"/>
    <col min="9012" max="9218" width="9.140625" style="10" customWidth="1"/>
    <col min="9219" max="9219" width="8.85546875" style="10" customWidth="1"/>
    <col min="9220" max="9220" width="32.7109375" style="10" bestFit="1" customWidth="1"/>
    <col min="9221" max="9221" width="7" style="10" bestFit="1" customWidth="1"/>
    <col min="9222" max="9222" width="30" style="10" bestFit="1" customWidth="1"/>
    <col min="9223" max="9223" width="10.5703125" style="10" bestFit="1" customWidth="1"/>
    <col min="9224" max="9224" width="14.140625" style="10" bestFit="1" customWidth="1"/>
    <col min="9225" max="9225" width="12.7109375" style="10" bestFit="1" customWidth="1"/>
    <col min="9226" max="9226" width="5.85546875" style="10" bestFit="1" customWidth="1"/>
    <col min="9227" max="9227" width="11.28515625" style="10" bestFit="1" customWidth="1"/>
    <col min="9228" max="9228" width="17.85546875" style="10" bestFit="1" customWidth="1"/>
    <col min="9229" max="9232" width="8.7109375" style="10" bestFit="1" customWidth="1"/>
    <col min="9233" max="9267" width="7.85546875" style="10" bestFit="1" customWidth="1"/>
    <col min="9268" max="9474" width="9.140625" style="10" customWidth="1"/>
    <col min="9475" max="9475" width="8.85546875" style="10" customWidth="1"/>
    <col min="9476" max="9476" width="32.7109375" style="10" bestFit="1" customWidth="1"/>
    <col min="9477" max="9477" width="7" style="10" bestFit="1" customWidth="1"/>
    <col min="9478" max="9478" width="30" style="10" bestFit="1" customWidth="1"/>
    <col min="9479" max="9479" width="10.5703125" style="10" bestFit="1" customWidth="1"/>
    <col min="9480" max="9480" width="14.140625" style="10" bestFit="1" customWidth="1"/>
    <col min="9481" max="9481" width="12.7109375" style="10" bestFit="1" customWidth="1"/>
    <col min="9482" max="9482" width="5.85546875" style="10" bestFit="1" customWidth="1"/>
    <col min="9483" max="9483" width="11.28515625" style="10" bestFit="1" customWidth="1"/>
    <col min="9484" max="9484" width="17.85546875" style="10" bestFit="1" customWidth="1"/>
    <col min="9485" max="9488" width="8.7109375" style="10" bestFit="1" customWidth="1"/>
    <col min="9489" max="9523" width="7.85546875" style="10" bestFit="1" customWidth="1"/>
    <col min="9524" max="9730" width="9.140625" style="10" customWidth="1"/>
    <col min="9731" max="9731" width="8.85546875" style="10" customWidth="1"/>
    <col min="9732" max="9732" width="32.7109375" style="10" bestFit="1" customWidth="1"/>
    <col min="9733" max="9733" width="7" style="10" bestFit="1" customWidth="1"/>
    <col min="9734" max="9734" width="30" style="10" bestFit="1" customWidth="1"/>
    <col min="9735" max="9735" width="10.5703125" style="10" bestFit="1" customWidth="1"/>
    <col min="9736" max="9736" width="14.140625" style="10" bestFit="1" customWidth="1"/>
    <col min="9737" max="9737" width="12.7109375" style="10" bestFit="1" customWidth="1"/>
    <col min="9738" max="9738" width="5.85546875" style="10" bestFit="1" customWidth="1"/>
    <col min="9739" max="9739" width="11.28515625" style="10" bestFit="1" customWidth="1"/>
    <col min="9740" max="9740" width="17.85546875" style="10" bestFit="1" customWidth="1"/>
    <col min="9741" max="9744" width="8.7109375" style="10" bestFit="1" customWidth="1"/>
    <col min="9745" max="9779" width="7.85546875" style="10" bestFit="1" customWidth="1"/>
    <col min="9780" max="9986" width="9.140625" style="10" customWidth="1"/>
    <col min="9987" max="9987" width="8.85546875" style="10" customWidth="1"/>
    <col min="9988" max="9988" width="32.7109375" style="10" bestFit="1" customWidth="1"/>
    <col min="9989" max="9989" width="7" style="10" bestFit="1" customWidth="1"/>
    <col min="9990" max="9990" width="30" style="10" bestFit="1" customWidth="1"/>
    <col min="9991" max="9991" width="10.5703125" style="10" bestFit="1" customWidth="1"/>
    <col min="9992" max="9992" width="14.140625" style="10" bestFit="1" customWidth="1"/>
    <col min="9993" max="9993" width="12.7109375" style="10" bestFit="1" customWidth="1"/>
    <col min="9994" max="9994" width="5.85546875" style="10" bestFit="1" customWidth="1"/>
    <col min="9995" max="9995" width="11.28515625" style="10" bestFit="1" customWidth="1"/>
    <col min="9996" max="9996" width="17.85546875" style="10" bestFit="1" customWidth="1"/>
    <col min="9997" max="10000" width="8.7109375" style="10" bestFit="1" customWidth="1"/>
    <col min="10001" max="10035" width="7.85546875" style="10" bestFit="1" customWidth="1"/>
    <col min="10036" max="10242" width="9.140625" style="10" customWidth="1"/>
    <col min="10243" max="10243" width="8.85546875" style="10" customWidth="1"/>
    <col min="10244" max="10244" width="32.7109375" style="10" bestFit="1" customWidth="1"/>
    <col min="10245" max="10245" width="7" style="10" bestFit="1" customWidth="1"/>
    <col min="10246" max="10246" width="30" style="10" bestFit="1" customWidth="1"/>
    <col min="10247" max="10247" width="10.5703125" style="10" bestFit="1" customWidth="1"/>
    <col min="10248" max="10248" width="14.140625" style="10" bestFit="1" customWidth="1"/>
    <col min="10249" max="10249" width="12.7109375" style="10" bestFit="1" customWidth="1"/>
    <col min="10250" max="10250" width="5.85546875" style="10" bestFit="1" customWidth="1"/>
    <col min="10251" max="10251" width="11.28515625" style="10" bestFit="1" customWidth="1"/>
    <col min="10252" max="10252" width="17.85546875" style="10" bestFit="1" customWidth="1"/>
    <col min="10253" max="10256" width="8.7109375" style="10" bestFit="1" customWidth="1"/>
    <col min="10257" max="10291" width="7.85546875" style="10" bestFit="1" customWidth="1"/>
    <col min="10292" max="10498" width="9.140625" style="10" customWidth="1"/>
    <col min="10499" max="10499" width="8.85546875" style="10" customWidth="1"/>
    <col min="10500" max="10500" width="32.7109375" style="10" bestFit="1" customWidth="1"/>
    <col min="10501" max="10501" width="7" style="10" bestFit="1" customWidth="1"/>
    <col min="10502" max="10502" width="30" style="10" bestFit="1" customWidth="1"/>
    <col min="10503" max="10503" width="10.5703125" style="10" bestFit="1" customWidth="1"/>
    <col min="10504" max="10504" width="14.140625" style="10" bestFit="1" customWidth="1"/>
    <col min="10505" max="10505" width="12.7109375" style="10" bestFit="1" customWidth="1"/>
    <col min="10506" max="10506" width="5.85546875" style="10" bestFit="1" customWidth="1"/>
    <col min="10507" max="10507" width="11.28515625" style="10" bestFit="1" customWidth="1"/>
    <col min="10508" max="10508" width="17.85546875" style="10" bestFit="1" customWidth="1"/>
    <col min="10509" max="10512" width="8.7109375" style="10" bestFit="1" customWidth="1"/>
    <col min="10513" max="10547" width="7.85546875" style="10" bestFit="1" customWidth="1"/>
    <col min="10548" max="10754" width="9.140625" style="10" customWidth="1"/>
    <col min="10755" max="10755" width="8.85546875" style="10" customWidth="1"/>
    <col min="10756" max="10756" width="32.7109375" style="10" bestFit="1" customWidth="1"/>
    <col min="10757" max="10757" width="7" style="10" bestFit="1" customWidth="1"/>
    <col min="10758" max="10758" width="30" style="10" bestFit="1" customWidth="1"/>
    <col min="10759" max="10759" width="10.5703125" style="10" bestFit="1" customWidth="1"/>
    <col min="10760" max="10760" width="14.140625" style="10" bestFit="1" customWidth="1"/>
    <col min="10761" max="10761" width="12.7109375" style="10" bestFit="1" customWidth="1"/>
    <col min="10762" max="10762" width="5.85546875" style="10" bestFit="1" customWidth="1"/>
    <col min="10763" max="10763" width="11.28515625" style="10" bestFit="1" customWidth="1"/>
    <col min="10764" max="10764" width="17.85546875" style="10" bestFit="1" customWidth="1"/>
    <col min="10765" max="10768" width="8.7109375" style="10" bestFit="1" customWidth="1"/>
    <col min="10769" max="10803" width="7.85546875" style="10" bestFit="1" customWidth="1"/>
    <col min="10804" max="11010" width="9.140625" style="10" customWidth="1"/>
    <col min="11011" max="11011" width="8.85546875" style="10" customWidth="1"/>
    <col min="11012" max="11012" width="32.7109375" style="10" bestFit="1" customWidth="1"/>
    <col min="11013" max="11013" width="7" style="10" bestFit="1" customWidth="1"/>
    <col min="11014" max="11014" width="30" style="10" bestFit="1" customWidth="1"/>
    <col min="11015" max="11015" width="10.5703125" style="10" bestFit="1" customWidth="1"/>
    <col min="11016" max="11016" width="14.140625" style="10" bestFit="1" customWidth="1"/>
    <col min="11017" max="11017" width="12.7109375" style="10" bestFit="1" customWidth="1"/>
    <col min="11018" max="11018" width="5.85546875" style="10" bestFit="1" customWidth="1"/>
    <col min="11019" max="11019" width="11.28515625" style="10" bestFit="1" customWidth="1"/>
    <col min="11020" max="11020" width="17.85546875" style="10" bestFit="1" customWidth="1"/>
    <col min="11021" max="11024" width="8.7109375" style="10" bestFit="1" customWidth="1"/>
    <col min="11025" max="11059" width="7.85546875" style="10" bestFit="1" customWidth="1"/>
    <col min="11060" max="11266" width="9.140625" style="10" customWidth="1"/>
    <col min="11267" max="11267" width="8.85546875" style="10" customWidth="1"/>
    <col min="11268" max="11268" width="32.7109375" style="10" bestFit="1" customWidth="1"/>
    <col min="11269" max="11269" width="7" style="10" bestFit="1" customWidth="1"/>
    <col min="11270" max="11270" width="30" style="10" bestFit="1" customWidth="1"/>
    <col min="11271" max="11271" width="10.5703125" style="10" bestFit="1" customWidth="1"/>
    <col min="11272" max="11272" width="14.140625" style="10" bestFit="1" customWidth="1"/>
    <col min="11273" max="11273" width="12.7109375" style="10" bestFit="1" customWidth="1"/>
    <col min="11274" max="11274" width="5.85546875" style="10" bestFit="1" customWidth="1"/>
    <col min="11275" max="11275" width="11.28515625" style="10" bestFit="1" customWidth="1"/>
    <col min="11276" max="11276" width="17.85546875" style="10" bestFit="1" customWidth="1"/>
    <col min="11277" max="11280" width="8.7109375" style="10" bestFit="1" customWidth="1"/>
    <col min="11281" max="11315" width="7.85546875" style="10" bestFit="1" customWidth="1"/>
    <col min="11316" max="11522" width="9.140625" style="10" customWidth="1"/>
    <col min="11523" max="11523" width="8.85546875" style="10" customWidth="1"/>
    <col min="11524" max="11524" width="32.7109375" style="10" bestFit="1" customWidth="1"/>
    <col min="11525" max="11525" width="7" style="10" bestFit="1" customWidth="1"/>
    <col min="11526" max="11526" width="30" style="10" bestFit="1" customWidth="1"/>
    <col min="11527" max="11527" width="10.5703125" style="10" bestFit="1" customWidth="1"/>
    <col min="11528" max="11528" width="14.140625" style="10" bestFit="1" customWidth="1"/>
    <col min="11529" max="11529" width="12.7109375" style="10" bestFit="1" customWidth="1"/>
    <col min="11530" max="11530" width="5.85546875" style="10" bestFit="1" customWidth="1"/>
    <col min="11531" max="11531" width="11.28515625" style="10" bestFit="1" customWidth="1"/>
    <col min="11532" max="11532" width="17.85546875" style="10" bestFit="1" customWidth="1"/>
    <col min="11533" max="11536" width="8.7109375" style="10" bestFit="1" customWidth="1"/>
    <col min="11537" max="11571" width="7.85546875" style="10" bestFit="1" customWidth="1"/>
    <col min="11572" max="11778" width="9.140625" style="10" customWidth="1"/>
    <col min="11779" max="11779" width="8.85546875" style="10" customWidth="1"/>
    <col min="11780" max="11780" width="32.7109375" style="10" bestFit="1" customWidth="1"/>
    <col min="11781" max="11781" width="7" style="10" bestFit="1" customWidth="1"/>
    <col min="11782" max="11782" width="30" style="10" bestFit="1" customWidth="1"/>
    <col min="11783" max="11783" width="10.5703125" style="10" bestFit="1" customWidth="1"/>
    <col min="11784" max="11784" width="14.140625" style="10" bestFit="1" customWidth="1"/>
    <col min="11785" max="11785" width="12.7109375" style="10" bestFit="1" customWidth="1"/>
    <col min="11786" max="11786" width="5.85546875" style="10" bestFit="1" customWidth="1"/>
    <col min="11787" max="11787" width="11.28515625" style="10" bestFit="1" customWidth="1"/>
    <col min="11788" max="11788" width="17.85546875" style="10" bestFit="1" customWidth="1"/>
    <col min="11789" max="11792" width="8.7109375" style="10" bestFit="1" customWidth="1"/>
    <col min="11793" max="11827" width="7.85546875" style="10" bestFit="1" customWidth="1"/>
    <col min="11828" max="12034" width="9.140625" style="10" customWidth="1"/>
    <col min="12035" max="12035" width="8.85546875" style="10" customWidth="1"/>
    <col min="12036" max="12036" width="32.7109375" style="10" bestFit="1" customWidth="1"/>
    <col min="12037" max="12037" width="7" style="10" bestFit="1" customWidth="1"/>
    <col min="12038" max="12038" width="30" style="10" bestFit="1" customWidth="1"/>
    <col min="12039" max="12039" width="10.5703125" style="10" bestFit="1" customWidth="1"/>
    <col min="12040" max="12040" width="14.140625" style="10" bestFit="1" customWidth="1"/>
    <col min="12041" max="12041" width="12.7109375" style="10" bestFit="1" customWidth="1"/>
    <col min="12042" max="12042" width="5.85546875" style="10" bestFit="1" customWidth="1"/>
    <col min="12043" max="12043" width="11.28515625" style="10" bestFit="1" customWidth="1"/>
    <col min="12044" max="12044" width="17.85546875" style="10" bestFit="1" customWidth="1"/>
    <col min="12045" max="12048" width="8.7109375" style="10" bestFit="1" customWidth="1"/>
    <col min="12049" max="12083" width="7.85546875" style="10" bestFit="1" customWidth="1"/>
    <col min="12084" max="12290" width="9.140625" style="10" customWidth="1"/>
    <col min="12291" max="12291" width="8.85546875" style="10" customWidth="1"/>
    <col min="12292" max="12292" width="32.7109375" style="10" bestFit="1" customWidth="1"/>
    <col min="12293" max="12293" width="7" style="10" bestFit="1" customWidth="1"/>
    <col min="12294" max="12294" width="30" style="10" bestFit="1" customWidth="1"/>
    <col min="12295" max="12295" width="10.5703125" style="10" bestFit="1" customWidth="1"/>
    <col min="12296" max="12296" width="14.140625" style="10" bestFit="1" customWidth="1"/>
    <col min="12297" max="12297" width="12.7109375" style="10" bestFit="1" customWidth="1"/>
    <col min="12298" max="12298" width="5.85546875" style="10" bestFit="1" customWidth="1"/>
    <col min="12299" max="12299" width="11.28515625" style="10" bestFit="1" customWidth="1"/>
    <col min="12300" max="12300" width="17.85546875" style="10" bestFit="1" customWidth="1"/>
    <col min="12301" max="12304" width="8.7109375" style="10" bestFit="1" customWidth="1"/>
    <col min="12305" max="12339" width="7.85546875" style="10" bestFit="1" customWidth="1"/>
    <col min="12340" max="12546" width="9.140625" style="10" customWidth="1"/>
    <col min="12547" max="12547" width="8.85546875" style="10" customWidth="1"/>
    <col min="12548" max="12548" width="32.7109375" style="10" bestFit="1" customWidth="1"/>
    <col min="12549" max="12549" width="7" style="10" bestFit="1" customWidth="1"/>
    <col min="12550" max="12550" width="30" style="10" bestFit="1" customWidth="1"/>
    <col min="12551" max="12551" width="10.5703125" style="10" bestFit="1" customWidth="1"/>
    <col min="12552" max="12552" width="14.140625" style="10" bestFit="1" customWidth="1"/>
    <col min="12553" max="12553" width="12.7109375" style="10" bestFit="1" customWidth="1"/>
    <col min="12554" max="12554" width="5.85546875" style="10" bestFit="1" customWidth="1"/>
    <col min="12555" max="12555" width="11.28515625" style="10" bestFit="1" customWidth="1"/>
    <col min="12556" max="12556" width="17.85546875" style="10" bestFit="1" customWidth="1"/>
    <col min="12557" max="12560" width="8.7109375" style="10" bestFit="1" customWidth="1"/>
    <col min="12561" max="12595" width="7.85546875" style="10" bestFit="1" customWidth="1"/>
    <col min="12596" max="12802" width="9.140625" style="10" customWidth="1"/>
    <col min="12803" max="12803" width="8.85546875" style="10" customWidth="1"/>
    <col min="12804" max="12804" width="32.7109375" style="10" bestFit="1" customWidth="1"/>
    <col min="12805" max="12805" width="7" style="10" bestFit="1" customWidth="1"/>
    <col min="12806" max="12806" width="30" style="10" bestFit="1" customWidth="1"/>
    <col min="12807" max="12807" width="10.5703125" style="10" bestFit="1" customWidth="1"/>
    <col min="12808" max="12808" width="14.140625" style="10" bestFit="1" customWidth="1"/>
    <col min="12809" max="12809" width="12.7109375" style="10" bestFit="1" customWidth="1"/>
    <col min="12810" max="12810" width="5.85546875" style="10" bestFit="1" customWidth="1"/>
    <col min="12811" max="12811" width="11.28515625" style="10" bestFit="1" customWidth="1"/>
    <col min="12812" max="12812" width="17.85546875" style="10" bestFit="1" customWidth="1"/>
    <col min="12813" max="12816" width="8.7109375" style="10" bestFit="1" customWidth="1"/>
    <col min="12817" max="12851" width="7.85546875" style="10" bestFit="1" customWidth="1"/>
    <col min="12852" max="13058" width="9.140625" style="10" customWidth="1"/>
    <col min="13059" max="13059" width="8.85546875" style="10" customWidth="1"/>
    <col min="13060" max="13060" width="32.7109375" style="10" bestFit="1" customWidth="1"/>
    <col min="13061" max="13061" width="7" style="10" bestFit="1" customWidth="1"/>
    <col min="13062" max="13062" width="30" style="10" bestFit="1" customWidth="1"/>
    <col min="13063" max="13063" width="10.5703125" style="10" bestFit="1" customWidth="1"/>
    <col min="13064" max="13064" width="14.140625" style="10" bestFit="1" customWidth="1"/>
    <col min="13065" max="13065" width="12.7109375" style="10" bestFit="1" customWidth="1"/>
    <col min="13066" max="13066" width="5.85546875" style="10" bestFit="1" customWidth="1"/>
    <col min="13067" max="13067" width="11.28515625" style="10" bestFit="1" customWidth="1"/>
    <col min="13068" max="13068" width="17.85546875" style="10" bestFit="1" customWidth="1"/>
    <col min="13069" max="13072" width="8.7109375" style="10" bestFit="1" customWidth="1"/>
    <col min="13073" max="13107" width="7.85546875" style="10" bestFit="1" customWidth="1"/>
    <col min="13108" max="13314" width="9.140625" style="10" customWidth="1"/>
    <col min="13315" max="13315" width="8.85546875" style="10" customWidth="1"/>
    <col min="13316" max="13316" width="32.7109375" style="10" bestFit="1" customWidth="1"/>
    <col min="13317" max="13317" width="7" style="10" bestFit="1" customWidth="1"/>
    <col min="13318" max="13318" width="30" style="10" bestFit="1" customWidth="1"/>
    <col min="13319" max="13319" width="10.5703125" style="10" bestFit="1" customWidth="1"/>
    <col min="13320" max="13320" width="14.140625" style="10" bestFit="1" customWidth="1"/>
    <col min="13321" max="13321" width="12.7109375" style="10" bestFit="1" customWidth="1"/>
    <col min="13322" max="13322" width="5.85546875" style="10" bestFit="1" customWidth="1"/>
    <col min="13323" max="13323" width="11.28515625" style="10" bestFit="1" customWidth="1"/>
    <col min="13324" max="13324" width="17.85546875" style="10" bestFit="1" customWidth="1"/>
    <col min="13325" max="13328" width="8.7109375" style="10" bestFit="1" customWidth="1"/>
    <col min="13329" max="13363" width="7.85546875" style="10" bestFit="1" customWidth="1"/>
    <col min="13364" max="13570" width="9.140625" style="10" customWidth="1"/>
    <col min="13571" max="13571" width="8.85546875" style="10" customWidth="1"/>
    <col min="13572" max="13572" width="32.7109375" style="10" bestFit="1" customWidth="1"/>
    <col min="13573" max="13573" width="7" style="10" bestFit="1" customWidth="1"/>
    <col min="13574" max="13574" width="30" style="10" bestFit="1" customWidth="1"/>
    <col min="13575" max="13575" width="10.5703125" style="10" bestFit="1" customWidth="1"/>
    <col min="13576" max="13576" width="14.140625" style="10" bestFit="1" customWidth="1"/>
    <col min="13577" max="13577" width="12.7109375" style="10" bestFit="1" customWidth="1"/>
    <col min="13578" max="13578" width="5.85546875" style="10" bestFit="1" customWidth="1"/>
    <col min="13579" max="13579" width="11.28515625" style="10" bestFit="1" customWidth="1"/>
    <col min="13580" max="13580" width="17.85546875" style="10" bestFit="1" customWidth="1"/>
    <col min="13581" max="13584" width="8.7109375" style="10" bestFit="1" customWidth="1"/>
    <col min="13585" max="13619" width="7.85546875" style="10" bestFit="1" customWidth="1"/>
    <col min="13620" max="13826" width="9.140625" style="10" customWidth="1"/>
    <col min="13827" max="13827" width="8.85546875" style="10" customWidth="1"/>
    <col min="13828" max="13828" width="32.7109375" style="10" bestFit="1" customWidth="1"/>
    <col min="13829" max="13829" width="7" style="10" bestFit="1" customWidth="1"/>
    <col min="13830" max="13830" width="30" style="10" bestFit="1" customWidth="1"/>
    <col min="13831" max="13831" width="10.5703125" style="10" bestFit="1" customWidth="1"/>
    <col min="13832" max="13832" width="14.140625" style="10" bestFit="1" customWidth="1"/>
    <col min="13833" max="13833" width="12.7109375" style="10" bestFit="1" customWidth="1"/>
    <col min="13834" max="13834" width="5.85546875" style="10" bestFit="1" customWidth="1"/>
    <col min="13835" max="13835" width="11.28515625" style="10" bestFit="1" customWidth="1"/>
    <col min="13836" max="13836" width="17.85546875" style="10" bestFit="1" customWidth="1"/>
    <col min="13837" max="13840" width="8.7109375" style="10" bestFit="1" customWidth="1"/>
    <col min="13841" max="13875" width="7.85546875" style="10" bestFit="1" customWidth="1"/>
    <col min="13876" max="14082" width="9.140625" style="10" customWidth="1"/>
    <col min="14083" max="14083" width="8.85546875" style="10" customWidth="1"/>
    <col min="14084" max="14084" width="32.7109375" style="10" bestFit="1" customWidth="1"/>
    <col min="14085" max="14085" width="7" style="10" bestFit="1" customWidth="1"/>
    <col min="14086" max="14086" width="30" style="10" bestFit="1" customWidth="1"/>
    <col min="14087" max="14087" width="10.5703125" style="10" bestFit="1" customWidth="1"/>
    <col min="14088" max="14088" width="14.140625" style="10" bestFit="1" customWidth="1"/>
    <col min="14089" max="14089" width="12.7109375" style="10" bestFit="1" customWidth="1"/>
    <col min="14090" max="14090" width="5.85546875" style="10" bestFit="1" customWidth="1"/>
    <col min="14091" max="14091" width="11.28515625" style="10" bestFit="1" customWidth="1"/>
    <col min="14092" max="14092" width="17.85546875" style="10" bestFit="1" customWidth="1"/>
    <col min="14093" max="14096" width="8.7109375" style="10" bestFit="1" customWidth="1"/>
    <col min="14097" max="14131" width="7.85546875" style="10" bestFit="1" customWidth="1"/>
    <col min="14132" max="14338" width="9.140625" style="10" customWidth="1"/>
    <col min="14339" max="14339" width="8.85546875" style="10" customWidth="1"/>
    <col min="14340" max="14340" width="32.7109375" style="10" bestFit="1" customWidth="1"/>
    <col min="14341" max="14341" width="7" style="10" bestFit="1" customWidth="1"/>
    <col min="14342" max="14342" width="30" style="10" bestFit="1" customWidth="1"/>
    <col min="14343" max="14343" width="10.5703125" style="10" bestFit="1" customWidth="1"/>
    <col min="14344" max="14344" width="14.140625" style="10" bestFit="1" customWidth="1"/>
    <col min="14345" max="14345" width="12.7109375" style="10" bestFit="1" customWidth="1"/>
    <col min="14346" max="14346" width="5.85546875" style="10" bestFit="1" customWidth="1"/>
    <col min="14347" max="14347" width="11.28515625" style="10" bestFit="1" customWidth="1"/>
    <col min="14348" max="14348" width="17.85546875" style="10" bestFit="1" customWidth="1"/>
    <col min="14349" max="14352" width="8.7109375" style="10" bestFit="1" customWidth="1"/>
    <col min="14353" max="14387" width="7.85546875" style="10" bestFit="1" customWidth="1"/>
    <col min="14388" max="14594" width="9.140625" style="10" customWidth="1"/>
    <col min="14595" max="14595" width="8.85546875" style="10" customWidth="1"/>
    <col min="14596" max="14596" width="32.7109375" style="10" bestFit="1" customWidth="1"/>
    <col min="14597" max="14597" width="7" style="10" bestFit="1" customWidth="1"/>
    <col min="14598" max="14598" width="30" style="10" bestFit="1" customWidth="1"/>
    <col min="14599" max="14599" width="10.5703125" style="10" bestFit="1" customWidth="1"/>
    <col min="14600" max="14600" width="14.140625" style="10" bestFit="1" customWidth="1"/>
    <col min="14601" max="14601" width="12.7109375" style="10" bestFit="1" customWidth="1"/>
    <col min="14602" max="14602" width="5.85546875" style="10" bestFit="1" customWidth="1"/>
    <col min="14603" max="14603" width="11.28515625" style="10" bestFit="1" customWidth="1"/>
    <col min="14604" max="14604" width="17.85546875" style="10" bestFit="1" customWidth="1"/>
    <col min="14605" max="14608" width="8.7109375" style="10" bestFit="1" customWidth="1"/>
    <col min="14609" max="14643" width="7.85546875" style="10" bestFit="1" customWidth="1"/>
    <col min="14644" max="14850" width="9.140625" style="10" customWidth="1"/>
    <col min="14851" max="14851" width="8.85546875" style="10" customWidth="1"/>
    <col min="14852" max="14852" width="32.7109375" style="10" bestFit="1" customWidth="1"/>
    <col min="14853" max="14853" width="7" style="10" bestFit="1" customWidth="1"/>
    <col min="14854" max="14854" width="30" style="10" bestFit="1" customWidth="1"/>
    <col min="14855" max="14855" width="10.5703125" style="10" bestFit="1" customWidth="1"/>
    <col min="14856" max="14856" width="14.140625" style="10" bestFit="1" customWidth="1"/>
    <col min="14857" max="14857" width="12.7109375" style="10" bestFit="1" customWidth="1"/>
    <col min="14858" max="14858" width="5.85546875" style="10" bestFit="1" customWidth="1"/>
    <col min="14859" max="14859" width="11.28515625" style="10" bestFit="1" customWidth="1"/>
    <col min="14860" max="14860" width="17.85546875" style="10" bestFit="1" customWidth="1"/>
    <col min="14861" max="14864" width="8.7109375" style="10" bestFit="1" customWidth="1"/>
    <col min="14865" max="14899" width="7.85546875" style="10" bestFit="1" customWidth="1"/>
    <col min="14900" max="15106" width="9.140625" style="10" customWidth="1"/>
    <col min="15107" max="15107" width="8.85546875" style="10" customWidth="1"/>
    <col min="15108" max="15108" width="32.7109375" style="10" bestFit="1" customWidth="1"/>
    <col min="15109" max="15109" width="7" style="10" bestFit="1" customWidth="1"/>
    <col min="15110" max="15110" width="30" style="10" bestFit="1" customWidth="1"/>
    <col min="15111" max="15111" width="10.5703125" style="10" bestFit="1" customWidth="1"/>
    <col min="15112" max="15112" width="14.140625" style="10" bestFit="1" customWidth="1"/>
    <col min="15113" max="15113" width="12.7109375" style="10" bestFit="1" customWidth="1"/>
    <col min="15114" max="15114" width="5.85546875" style="10" bestFit="1" customWidth="1"/>
    <col min="15115" max="15115" width="11.28515625" style="10" bestFit="1" customWidth="1"/>
    <col min="15116" max="15116" width="17.85546875" style="10" bestFit="1" customWidth="1"/>
    <col min="15117" max="15120" width="8.7109375" style="10" bestFit="1" customWidth="1"/>
    <col min="15121" max="15155" width="7.85546875" style="10" bestFit="1" customWidth="1"/>
    <col min="15156" max="15362" width="9.140625" style="10" customWidth="1"/>
    <col min="15363" max="15363" width="8.85546875" style="10" customWidth="1"/>
    <col min="15364" max="15364" width="32.7109375" style="10" bestFit="1" customWidth="1"/>
    <col min="15365" max="15365" width="7" style="10" bestFit="1" customWidth="1"/>
    <col min="15366" max="15366" width="30" style="10" bestFit="1" customWidth="1"/>
    <col min="15367" max="15367" width="10.5703125" style="10" bestFit="1" customWidth="1"/>
    <col min="15368" max="15368" width="14.140625" style="10" bestFit="1" customWidth="1"/>
    <col min="15369" max="15369" width="12.7109375" style="10" bestFit="1" customWidth="1"/>
    <col min="15370" max="15370" width="5.85546875" style="10" bestFit="1" customWidth="1"/>
    <col min="15371" max="15371" width="11.28515625" style="10" bestFit="1" customWidth="1"/>
    <col min="15372" max="15372" width="17.85546875" style="10" bestFit="1" customWidth="1"/>
    <col min="15373" max="15376" width="8.7109375" style="10" bestFit="1" customWidth="1"/>
    <col min="15377" max="15411" width="7.85546875" style="10" bestFit="1" customWidth="1"/>
    <col min="15412" max="15618" width="9.140625" style="10" customWidth="1"/>
    <col min="15619" max="15619" width="8.85546875" style="10" customWidth="1"/>
    <col min="15620" max="15620" width="32.7109375" style="10" bestFit="1" customWidth="1"/>
    <col min="15621" max="15621" width="7" style="10" bestFit="1" customWidth="1"/>
    <col min="15622" max="15622" width="30" style="10" bestFit="1" customWidth="1"/>
    <col min="15623" max="15623" width="10.5703125" style="10" bestFit="1" customWidth="1"/>
    <col min="15624" max="15624" width="14.140625" style="10" bestFit="1" customWidth="1"/>
    <col min="15625" max="15625" width="12.7109375" style="10" bestFit="1" customWidth="1"/>
    <col min="15626" max="15626" width="5.85546875" style="10" bestFit="1" customWidth="1"/>
    <col min="15627" max="15627" width="11.28515625" style="10" bestFit="1" customWidth="1"/>
    <col min="15628" max="15628" width="17.85546875" style="10" bestFit="1" customWidth="1"/>
    <col min="15629" max="15632" width="8.7109375" style="10" bestFit="1" customWidth="1"/>
    <col min="15633" max="15667" width="7.85546875" style="10" bestFit="1" customWidth="1"/>
    <col min="15668" max="15874" width="9.140625" style="10" customWidth="1"/>
    <col min="15875" max="15875" width="8.85546875" style="10" customWidth="1"/>
    <col min="15876" max="15876" width="32.7109375" style="10" bestFit="1" customWidth="1"/>
    <col min="15877" max="15877" width="7" style="10" bestFit="1" customWidth="1"/>
    <col min="15878" max="15878" width="30" style="10" bestFit="1" customWidth="1"/>
    <col min="15879" max="15879" width="10.5703125" style="10" bestFit="1" customWidth="1"/>
    <col min="15880" max="15880" width="14.140625" style="10" bestFit="1" customWidth="1"/>
    <col min="15881" max="15881" width="12.7109375" style="10" bestFit="1" customWidth="1"/>
    <col min="15882" max="15882" width="5.85546875" style="10" bestFit="1" customWidth="1"/>
    <col min="15883" max="15883" width="11.28515625" style="10" bestFit="1" customWidth="1"/>
    <col min="15884" max="15884" width="17.85546875" style="10" bestFit="1" customWidth="1"/>
    <col min="15885" max="15888" width="8.7109375" style="10" bestFit="1" customWidth="1"/>
    <col min="15889" max="15923" width="7.85546875" style="10" bestFit="1" customWidth="1"/>
    <col min="15924" max="16130" width="9.140625" style="10" customWidth="1"/>
    <col min="16131" max="16131" width="8.85546875" style="10" customWidth="1"/>
    <col min="16132" max="16132" width="32.7109375" style="10" bestFit="1" customWidth="1"/>
    <col min="16133" max="16133" width="7" style="10" bestFit="1" customWidth="1"/>
    <col min="16134" max="16134" width="30" style="10" bestFit="1" customWidth="1"/>
    <col min="16135" max="16135" width="10.5703125" style="10" bestFit="1" customWidth="1"/>
    <col min="16136" max="16136" width="14.140625" style="10" bestFit="1" customWidth="1"/>
    <col min="16137" max="16137" width="12.7109375" style="10" bestFit="1" customWidth="1"/>
    <col min="16138" max="16138" width="5.85546875" style="10" bestFit="1" customWidth="1"/>
    <col min="16139" max="16139" width="11.28515625" style="10" bestFit="1" customWidth="1"/>
    <col min="16140" max="16140" width="17.85546875" style="10" bestFit="1" customWidth="1"/>
    <col min="16141" max="16144" width="8.7109375" style="10" bestFit="1" customWidth="1"/>
    <col min="16145" max="16179" width="7.85546875" style="10" bestFit="1" customWidth="1"/>
    <col min="16180" max="16384" width="9.140625" style="10" customWidth="1"/>
  </cols>
  <sheetData>
    <row r="1" spans="2:66" ht="20.25" customHeight="1" x14ac:dyDescent="0.2">
      <c r="H1" s="322" t="s">
        <v>767</v>
      </c>
      <c r="I1" s="244"/>
      <c r="J1" s="245"/>
      <c r="K1" s="260"/>
      <c r="L1" s="261"/>
      <c r="M1" s="262" t="s">
        <v>768</v>
      </c>
      <c r="N1" s="500">
        <v>44136</v>
      </c>
    </row>
    <row r="2" spans="2:66" ht="20.25" customHeight="1" x14ac:dyDescent="0.2">
      <c r="H2" s="245"/>
      <c r="I2" s="244"/>
      <c r="J2" s="245"/>
      <c r="K2" s="263"/>
      <c r="L2" s="263"/>
      <c r="M2" s="245"/>
      <c r="N2" s="10"/>
    </row>
    <row r="3" spans="2:66" x14ac:dyDescent="0.2">
      <c r="H3" s="246" t="s">
        <v>439</v>
      </c>
      <c r="I3" s="247" t="s">
        <v>440</v>
      </c>
      <c r="J3" s="245"/>
      <c r="K3" s="263"/>
      <c r="L3" s="263"/>
      <c r="M3" s="245"/>
      <c r="N3" s="10"/>
    </row>
    <row r="4" spans="2:66" x14ac:dyDescent="0.2">
      <c r="H4" s="248" t="s">
        <v>441</v>
      </c>
      <c r="I4" s="249" t="s">
        <v>410</v>
      </c>
      <c r="J4" s="245"/>
      <c r="K4" s="263"/>
      <c r="L4" s="263"/>
      <c r="M4" s="245"/>
      <c r="N4" s="10"/>
    </row>
    <row r="5" spans="2:66" ht="20.25" customHeight="1" x14ac:dyDescent="0.2">
      <c r="H5" s="264"/>
      <c r="I5" s="265"/>
      <c r="J5" s="245"/>
      <c r="K5" s="263"/>
      <c r="L5" s="263"/>
      <c r="M5" s="245"/>
      <c r="N5" s="10"/>
    </row>
    <row r="6" spans="2:66" ht="12.75" customHeight="1" thickBot="1" x14ac:dyDescent="0.25">
      <c r="B6" s="8" t="s">
        <v>304</v>
      </c>
      <c r="C6" s="8" t="s">
        <v>240</v>
      </c>
      <c r="D6" s="8" t="s">
        <v>239</v>
      </c>
      <c r="E6" s="8" t="s">
        <v>769</v>
      </c>
      <c r="F6" s="8" t="s">
        <v>770</v>
      </c>
      <c r="H6" s="266" t="s">
        <v>771</v>
      </c>
      <c r="I6" s="266" t="s">
        <v>772</v>
      </c>
      <c r="J6" s="266" t="s">
        <v>240</v>
      </c>
      <c r="K6" s="266" t="s">
        <v>773</v>
      </c>
      <c r="L6" s="266" t="s">
        <v>774</v>
      </c>
      <c r="M6" s="266" t="s">
        <v>775</v>
      </c>
      <c r="N6" s="266" t="s">
        <v>776</v>
      </c>
      <c r="O6" s="266" t="s">
        <v>777</v>
      </c>
      <c r="P6" s="266" t="s">
        <v>778</v>
      </c>
      <c r="Q6" s="266" t="s">
        <v>779</v>
      </c>
      <c r="R6" s="267">
        <v>44136</v>
      </c>
      <c r="S6" s="267">
        <v>44166</v>
      </c>
      <c r="T6" s="267">
        <v>44197</v>
      </c>
      <c r="U6" s="267">
        <v>44228</v>
      </c>
      <c r="V6" s="267">
        <v>44256</v>
      </c>
      <c r="W6" s="267">
        <v>44287</v>
      </c>
      <c r="X6" s="267">
        <v>44317</v>
      </c>
      <c r="Y6" s="267">
        <v>44348</v>
      </c>
      <c r="Z6" s="267">
        <v>44378</v>
      </c>
      <c r="AA6" s="267">
        <v>44409</v>
      </c>
      <c r="AB6" s="267">
        <v>44440</v>
      </c>
      <c r="AC6" s="267">
        <v>44470</v>
      </c>
      <c r="AD6" s="267">
        <v>44501</v>
      </c>
      <c r="AE6" s="267">
        <v>44531</v>
      </c>
      <c r="AF6" s="267">
        <v>44562</v>
      </c>
      <c r="AG6" s="267">
        <v>44593</v>
      </c>
      <c r="AH6" s="267">
        <v>44621</v>
      </c>
      <c r="AI6" s="267">
        <v>44652</v>
      </c>
      <c r="AJ6" s="267">
        <v>44682</v>
      </c>
      <c r="AK6" s="267">
        <v>44713</v>
      </c>
      <c r="AL6" s="267">
        <v>44743</v>
      </c>
      <c r="AM6" s="267">
        <v>44774</v>
      </c>
      <c r="AN6" s="267">
        <v>44805</v>
      </c>
      <c r="AO6" s="267">
        <v>44835</v>
      </c>
      <c r="AP6" s="267">
        <v>44866</v>
      </c>
      <c r="AQ6" s="267">
        <v>44896</v>
      </c>
      <c r="AR6" s="267">
        <v>44927</v>
      </c>
      <c r="AS6" s="267">
        <v>44958</v>
      </c>
      <c r="AT6" s="267">
        <v>44986</v>
      </c>
      <c r="AU6" s="267">
        <v>45017</v>
      </c>
      <c r="AV6" s="267">
        <v>45047</v>
      </c>
      <c r="AW6" s="267">
        <v>45078</v>
      </c>
      <c r="AX6" s="267">
        <v>45108</v>
      </c>
      <c r="AY6" s="267">
        <v>45139</v>
      </c>
      <c r="AZ6" s="267">
        <v>45170</v>
      </c>
      <c r="BA6" s="267">
        <v>45200</v>
      </c>
      <c r="BB6" s="267">
        <v>45231</v>
      </c>
      <c r="BC6" s="267">
        <v>45261</v>
      </c>
    </row>
    <row r="7" spans="2:66" ht="12" customHeight="1" x14ac:dyDescent="0.2">
      <c r="B7" s="2" t="str">
        <f t="shared" ref="B7:B27" si="0">LEFT(INT(RIGHT(J7, 3)), 1)</f>
        <v>1</v>
      </c>
      <c r="C7" s="9">
        <f t="shared" ref="C7:C27" si="1">INT(RIGHT(J7, 3))</f>
        <v>12</v>
      </c>
      <c r="D7" s="9" t="str">
        <f t="shared" ref="D7:D27" si="2">IF(C7&lt;100, "B-0"&amp;C7, "B-"&amp;C7)</f>
        <v>B-012</v>
      </c>
      <c r="E7" s="2">
        <f t="shared" ref="E7:E27" si="3">L7</f>
        <v>44004</v>
      </c>
      <c r="F7" s="12">
        <f t="shared" ref="F7:F27" si="4">M7</f>
        <v>3163500</v>
      </c>
      <c r="H7" s="296">
        <v>39</v>
      </c>
      <c r="I7" s="296" t="s">
        <v>410</v>
      </c>
      <c r="J7" s="296" t="s">
        <v>409</v>
      </c>
      <c r="K7" s="296" t="s">
        <v>780</v>
      </c>
      <c r="L7" s="297">
        <v>44004</v>
      </c>
      <c r="M7" s="298">
        <v>3163500</v>
      </c>
      <c r="N7" s="298">
        <v>3270482.5756767401</v>
      </c>
      <c r="O7" s="298">
        <v>67.33</v>
      </c>
      <c r="P7" s="298"/>
      <c r="Q7" s="298">
        <v>0</v>
      </c>
      <c r="R7" s="298"/>
      <c r="S7" s="298">
        <v>242947.18</v>
      </c>
      <c r="T7" s="298">
        <v>242947.18</v>
      </c>
      <c r="U7" s="298">
        <v>242947.18</v>
      </c>
      <c r="V7" s="298">
        <v>242947.18</v>
      </c>
      <c r="W7" s="298">
        <v>242947.18</v>
      </c>
      <c r="X7" s="298"/>
      <c r="Y7" s="298"/>
      <c r="Z7" s="298"/>
      <c r="AA7" s="298"/>
      <c r="AB7" s="298"/>
      <c r="AC7" s="298"/>
      <c r="AD7" s="298"/>
      <c r="AE7" s="298"/>
      <c r="AF7" s="298"/>
      <c r="AG7" s="298"/>
      <c r="AH7" s="298"/>
      <c r="AI7" s="298"/>
      <c r="AJ7" s="298"/>
      <c r="AK7" s="298"/>
      <c r="AL7" s="298"/>
      <c r="AM7" s="298"/>
      <c r="AN7" s="298"/>
      <c r="AO7" s="298"/>
      <c r="AP7" s="298"/>
      <c r="AQ7" s="298"/>
      <c r="AR7" s="298"/>
      <c r="AS7" s="298"/>
      <c r="AT7" s="298"/>
      <c r="AU7" s="298">
        <v>986262.17</v>
      </c>
      <c r="AV7" s="298"/>
      <c r="AW7" s="298"/>
      <c r="AX7" s="298">
        <v>1033.82</v>
      </c>
      <c r="AY7" s="298"/>
      <c r="AZ7" s="298"/>
      <c r="BA7" s="298"/>
      <c r="BB7" s="298"/>
      <c r="BC7" s="298"/>
    </row>
    <row r="8" spans="2:66" ht="12" customHeight="1" x14ac:dyDescent="0.2">
      <c r="B8" s="2" t="str">
        <f t="shared" si="0"/>
        <v>4</v>
      </c>
      <c r="C8" s="9">
        <f t="shared" si="1"/>
        <v>41</v>
      </c>
      <c r="D8" s="9" t="str">
        <f t="shared" si="2"/>
        <v>B-041</v>
      </c>
      <c r="E8" s="2">
        <f t="shared" si="3"/>
        <v>44055</v>
      </c>
      <c r="F8" s="12">
        <f t="shared" si="4"/>
        <v>2845250</v>
      </c>
      <c r="H8" s="296">
        <v>39</v>
      </c>
      <c r="I8" s="296" t="s">
        <v>410</v>
      </c>
      <c r="J8" s="296" t="s">
        <v>411</v>
      </c>
      <c r="K8" s="296" t="s">
        <v>781</v>
      </c>
      <c r="L8" s="297">
        <v>44055</v>
      </c>
      <c r="M8" s="298">
        <v>2845250</v>
      </c>
      <c r="N8" s="298">
        <v>2925942.9092349298</v>
      </c>
      <c r="O8" s="298">
        <v>96.66</v>
      </c>
      <c r="P8" s="298">
        <v>0</v>
      </c>
      <c r="Q8" s="298">
        <v>5141.8</v>
      </c>
      <c r="R8" s="298"/>
      <c r="S8" s="298">
        <v>30850.82</v>
      </c>
      <c r="T8" s="298">
        <v>10283.61</v>
      </c>
      <c r="U8" s="298"/>
      <c r="V8" s="298">
        <v>15682.5</v>
      </c>
      <c r="W8" s="298">
        <v>82268.850000000006</v>
      </c>
      <c r="X8" s="298">
        <v>10283.61</v>
      </c>
      <c r="Y8" s="298">
        <v>10283.61</v>
      </c>
      <c r="Z8" s="298">
        <v>524463.89</v>
      </c>
      <c r="AA8" s="298">
        <v>10283.61</v>
      </c>
      <c r="AB8" s="298">
        <v>10283.61</v>
      </c>
      <c r="AC8" s="298">
        <v>10283.61</v>
      </c>
      <c r="AD8" s="298">
        <v>10283.61</v>
      </c>
      <c r="AE8" s="298">
        <v>10283.61</v>
      </c>
      <c r="AF8" s="298">
        <v>20567.22</v>
      </c>
      <c r="AG8" s="298">
        <v>10283.61</v>
      </c>
      <c r="AH8" s="298">
        <v>10283.61</v>
      </c>
      <c r="AI8" s="298">
        <v>10283.61</v>
      </c>
      <c r="AJ8" s="298">
        <v>10283.61</v>
      </c>
      <c r="AK8" s="298">
        <v>10283.61</v>
      </c>
      <c r="AL8" s="298">
        <v>524463.89</v>
      </c>
      <c r="AM8" s="298">
        <v>10283.61</v>
      </c>
      <c r="AN8" s="298">
        <v>10283.61</v>
      </c>
      <c r="AO8" s="298">
        <v>10283.61</v>
      </c>
      <c r="AP8" s="298">
        <v>10283.61</v>
      </c>
      <c r="AQ8" s="298">
        <v>10283.61</v>
      </c>
      <c r="AR8" s="298">
        <v>10283.61</v>
      </c>
      <c r="AS8" s="298"/>
      <c r="AT8" s="298"/>
      <c r="AU8" s="298">
        <v>1433495.04</v>
      </c>
      <c r="AV8" s="298"/>
      <c r="AW8" s="298"/>
      <c r="AX8" s="298"/>
      <c r="AY8" s="298"/>
      <c r="AZ8" s="298">
        <v>1067.95</v>
      </c>
      <c r="BA8" s="298"/>
      <c r="BB8" s="298"/>
      <c r="BC8" s="298"/>
    </row>
    <row r="9" spans="2:66" ht="12" customHeight="1" x14ac:dyDescent="0.2">
      <c r="B9" s="2" t="str">
        <f t="shared" si="0"/>
        <v>5</v>
      </c>
      <c r="C9" s="9">
        <f t="shared" si="1"/>
        <v>52</v>
      </c>
      <c r="D9" s="9" t="str">
        <f t="shared" si="2"/>
        <v>B-052</v>
      </c>
      <c r="E9" s="2">
        <f t="shared" si="3"/>
        <v>44025</v>
      </c>
      <c r="F9" s="12">
        <f t="shared" si="4"/>
        <v>2850000</v>
      </c>
      <c r="H9" s="296">
        <v>39</v>
      </c>
      <c r="I9" s="296" t="s">
        <v>410</v>
      </c>
      <c r="J9" s="296" t="s">
        <v>413</v>
      </c>
      <c r="K9" s="296" t="s">
        <v>782</v>
      </c>
      <c r="L9" s="297">
        <v>44025</v>
      </c>
      <c r="M9" s="298">
        <v>2850000</v>
      </c>
      <c r="N9" s="298">
        <v>2940206.2664118898</v>
      </c>
      <c r="O9" s="298">
        <v>70.180000000000007</v>
      </c>
      <c r="P9" s="298"/>
      <c r="Q9" s="298">
        <v>0</v>
      </c>
      <c r="R9" s="298"/>
      <c r="S9" s="298"/>
      <c r="T9" s="298"/>
      <c r="U9" s="298"/>
      <c r="V9" s="298"/>
      <c r="W9" s="298"/>
      <c r="X9" s="298"/>
      <c r="Y9" s="298"/>
      <c r="Z9" s="298">
        <v>361077.96</v>
      </c>
      <c r="AA9" s="298"/>
      <c r="AB9" s="298"/>
      <c r="AC9" s="298"/>
      <c r="AD9" s="298"/>
      <c r="AE9" s="298">
        <v>361077.96</v>
      </c>
      <c r="AF9" s="298"/>
      <c r="AG9" s="298"/>
      <c r="AH9" s="298"/>
      <c r="AI9" s="298"/>
      <c r="AJ9" s="298"/>
      <c r="AK9" s="298"/>
      <c r="AL9" s="298">
        <v>361077.96</v>
      </c>
      <c r="AM9" s="298"/>
      <c r="AN9" s="298"/>
      <c r="AO9" s="298"/>
      <c r="AP9" s="298"/>
      <c r="AQ9" s="298">
        <v>361077.96</v>
      </c>
      <c r="AR9" s="298"/>
      <c r="AS9" s="298"/>
      <c r="AT9" s="298"/>
      <c r="AU9" s="298">
        <v>617959.14</v>
      </c>
      <c r="AV9" s="298"/>
      <c r="AW9" s="298"/>
      <c r="AX9" s="298"/>
      <c r="AY9" s="298">
        <v>1031.6500000000001</v>
      </c>
      <c r="AZ9" s="298"/>
      <c r="BA9" s="298"/>
      <c r="BB9" s="298"/>
      <c r="BC9" s="298"/>
    </row>
    <row r="10" spans="2:66" s="11" customFormat="1" ht="12" customHeight="1" x14ac:dyDescent="0.2">
      <c r="B10" s="2" t="str">
        <f t="shared" si="0"/>
        <v>7</v>
      </c>
      <c r="C10" s="9">
        <f t="shared" si="1"/>
        <v>72</v>
      </c>
      <c r="D10" s="9" t="str">
        <f t="shared" si="2"/>
        <v>B-072</v>
      </c>
      <c r="E10" s="2">
        <f t="shared" si="3"/>
        <v>44032</v>
      </c>
      <c r="F10" s="12">
        <f t="shared" si="4"/>
        <v>2880737</v>
      </c>
      <c r="H10" s="296">
        <v>39</v>
      </c>
      <c r="I10" s="296" t="s">
        <v>410</v>
      </c>
      <c r="J10" s="296" t="s">
        <v>415</v>
      </c>
      <c r="K10" s="296" t="s">
        <v>783</v>
      </c>
      <c r="L10" s="297">
        <v>44032</v>
      </c>
      <c r="M10" s="298">
        <v>2880737</v>
      </c>
      <c r="N10" s="298">
        <v>2971916.1330823102</v>
      </c>
      <c r="O10" s="298">
        <v>87.14</v>
      </c>
      <c r="P10" s="298">
        <v>0</v>
      </c>
      <c r="Q10" s="298">
        <v>18636.84</v>
      </c>
      <c r="R10" s="298"/>
      <c r="S10" s="298">
        <v>18636.84</v>
      </c>
      <c r="T10" s="298">
        <v>18636.84</v>
      </c>
      <c r="U10" s="298">
        <v>18636.84</v>
      </c>
      <c r="V10" s="298">
        <v>18636.84</v>
      </c>
      <c r="W10" s="298">
        <v>18636.84</v>
      </c>
      <c r="X10" s="298">
        <v>18636.84</v>
      </c>
      <c r="Y10" s="298">
        <v>18636.84</v>
      </c>
      <c r="Z10" s="298">
        <v>18636.84</v>
      </c>
      <c r="AA10" s="298">
        <v>18636.84</v>
      </c>
      <c r="AB10" s="298">
        <v>18636.84</v>
      </c>
      <c r="AC10" s="298">
        <v>18636.84</v>
      </c>
      <c r="AD10" s="298">
        <v>18636.84</v>
      </c>
      <c r="AE10" s="298">
        <v>18636.84</v>
      </c>
      <c r="AF10" s="298">
        <v>18636.84</v>
      </c>
      <c r="AG10" s="298">
        <v>18636.84</v>
      </c>
      <c r="AH10" s="298">
        <v>18636.84</v>
      </c>
      <c r="AI10" s="298">
        <v>18636.84</v>
      </c>
      <c r="AJ10" s="298">
        <v>18636.84</v>
      </c>
      <c r="AK10" s="298">
        <v>18636.84</v>
      </c>
      <c r="AL10" s="298">
        <v>18636.84</v>
      </c>
      <c r="AM10" s="298">
        <v>18636.84</v>
      </c>
      <c r="AN10" s="298">
        <v>18636.84</v>
      </c>
      <c r="AO10" s="298">
        <v>18636.84</v>
      </c>
      <c r="AP10" s="298">
        <v>18636.84</v>
      </c>
      <c r="AQ10" s="298">
        <v>18636.84</v>
      </c>
      <c r="AR10" s="298">
        <v>18636.84</v>
      </c>
      <c r="AS10" s="298">
        <v>18636.84</v>
      </c>
      <c r="AT10" s="298">
        <v>18636.84</v>
      </c>
      <c r="AU10" s="298">
        <v>2066996.99</v>
      </c>
      <c r="AV10" s="298"/>
      <c r="AW10" s="298"/>
      <c r="AX10" s="298"/>
      <c r="AY10" s="298">
        <v>1031.6500000000001</v>
      </c>
      <c r="AZ10" s="298"/>
      <c r="BA10" s="298"/>
      <c r="BB10" s="298"/>
      <c r="BC10" s="298"/>
      <c r="BJ10" s="325">
        <f>1.07^(1/12)-1</f>
        <v>5.6541453874052738E-3</v>
      </c>
    </row>
    <row r="11" spans="2:66" s="11" customFormat="1" ht="12" customHeight="1" x14ac:dyDescent="0.2">
      <c r="B11" s="2" t="str">
        <f t="shared" si="0"/>
        <v>8</v>
      </c>
      <c r="C11" s="9">
        <f t="shared" si="1"/>
        <v>82</v>
      </c>
      <c r="D11" s="9" t="str">
        <f t="shared" si="2"/>
        <v>B-082</v>
      </c>
      <c r="E11" s="2">
        <f t="shared" si="3"/>
        <v>44075</v>
      </c>
      <c r="F11" s="12">
        <f t="shared" si="4"/>
        <v>2911750</v>
      </c>
      <c r="H11" s="296">
        <v>39</v>
      </c>
      <c r="I11" s="296" t="s">
        <v>410</v>
      </c>
      <c r="J11" s="296" t="s">
        <v>416</v>
      </c>
      <c r="K11" s="296" t="s">
        <v>784</v>
      </c>
      <c r="L11" s="297">
        <v>44075</v>
      </c>
      <c r="M11" s="298">
        <v>2911750</v>
      </c>
      <c r="N11" s="298">
        <v>2969386.0427742102</v>
      </c>
      <c r="O11" s="298">
        <v>70.92</v>
      </c>
      <c r="P11" s="298">
        <v>0</v>
      </c>
      <c r="Q11" s="298">
        <v>245666.4</v>
      </c>
      <c r="R11" s="298"/>
      <c r="S11" s="298"/>
      <c r="T11" s="298"/>
      <c r="U11" s="298"/>
      <c r="V11" s="298"/>
      <c r="W11" s="298"/>
      <c r="X11" s="298"/>
      <c r="Y11" s="298"/>
      <c r="Z11" s="298"/>
      <c r="AA11" s="298"/>
      <c r="AB11" s="298"/>
      <c r="AC11" s="298"/>
      <c r="AD11" s="298">
        <v>254948.57</v>
      </c>
      <c r="AE11" s="298">
        <v>254948.57</v>
      </c>
      <c r="AF11" s="298"/>
      <c r="AG11" s="298"/>
      <c r="AH11" s="298"/>
      <c r="AI11" s="298"/>
      <c r="AJ11" s="298"/>
      <c r="AK11" s="298"/>
      <c r="AL11" s="298"/>
      <c r="AM11" s="298"/>
      <c r="AN11" s="298"/>
      <c r="AO11" s="298"/>
      <c r="AP11" s="298"/>
      <c r="AQ11" s="298"/>
      <c r="AR11" s="298"/>
      <c r="AS11" s="298"/>
      <c r="AT11" s="298"/>
      <c r="AU11" s="298">
        <v>1594958.28</v>
      </c>
      <c r="AV11" s="298"/>
      <c r="AW11" s="298"/>
      <c r="AX11" s="298"/>
      <c r="AY11" s="298"/>
      <c r="AZ11" s="298"/>
      <c r="BA11" s="298">
        <v>1019.79</v>
      </c>
      <c r="BB11" s="298"/>
      <c r="BC11" s="298"/>
      <c r="BL11" s="326">
        <f>SUM(BL13:BL50)</f>
        <v>3135000.0999999978</v>
      </c>
    </row>
    <row r="12" spans="2:66" ht="12" customHeight="1" x14ac:dyDescent="0.2">
      <c r="B12" s="2" t="str">
        <f t="shared" si="0"/>
        <v>9</v>
      </c>
      <c r="C12" s="9">
        <f t="shared" si="1"/>
        <v>92</v>
      </c>
      <c r="D12" s="9" t="str">
        <f t="shared" si="2"/>
        <v>B-092</v>
      </c>
      <c r="E12" s="2">
        <f t="shared" si="3"/>
        <v>44011</v>
      </c>
      <c r="F12" s="12">
        <f t="shared" si="4"/>
        <v>2878490</v>
      </c>
      <c r="H12" s="296">
        <v>39</v>
      </c>
      <c r="I12" s="296" t="s">
        <v>410</v>
      </c>
      <c r="J12" s="296" t="s">
        <v>417</v>
      </c>
      <c r="K12" s="296" t="s">
        <v>785</v>
      </c>
      <c r="L12" s="297">
        <v>44011</v>
      </c>
      <c r="M12" s="298">
        <v>2878490</v>
      </c>
      <c r="N12" s="298">
        <v>2975834.16761806</v>
      </c>
      <c r="O12" s="298">
        <v>91.71</v>
      </c>
      <c r="P12" s="298">
        <v>0</v>
      </c>
      <c r="Q12" s="298">
        <v>46521.8</v>
      </c>
      <c r="R12" s="298"/>
      <c r="S12" s="298">
        <v>46521.8</v>
      </c>
      <c r="T12" s="298">
        <v>220203.19</v>
      </c>
      <c r="U12" s="298">
        <v>46521.8</v>
      </c>
      <c r="V12" s="298">
        <v>46521.8</v>
      </c>
      <c r="W12" s="298">
        <v>46521.8</v>
      </c>
      <c r="X12" s="298">
        <v>46521.8</v>
      </c>
      <c r="Y12" s="298">
        <v>46521.8</v>
      </c>
      <c r="Z12" s="298">
        <v>220203.19</v>
      </c>
      <c r="AA12" s="298">
        <v>46521.8</v>
      </c>
      <c r="AB12" s="298">
        <v>46521.8</v>
      </c>
      <c r="AC12" s="298">
        <v>46521.8</v>
      </c>
      <c r="AD12" s="298">
        <v>46521.8</v>
      </c>
      <c r="AE12" s="298">
        <v>46521.8</v>
      </c>
      <c r="AF12" s="298">
        <v>220203.19</v>
      </c>
      <c r="AG12" s="298">
        <v>46521.8</v>
      </c>
      <c r="AH12" s="298">
        <v>46521.8</v>
      </c>
      <c r="AI12" s="298">
        <v>46521.8</v>
      </c>
      <c r="AJ12" s="298">
        <v>46521.8</v>
      </c>
      <c r="AK12" s="298">
        <v>46521.8</v>
      </c>
      <c r="AL12" s="298">
        <v>220203.19</v>
      </c>
      <c r="AM12" s="298">
        <v>46521.8</v>
      </c>
      <c r="AN12" s="298">
        <v>46521.8</v>
      </c>
      <c r="AO12" s="298">
        <v>46521.8</v>
      </c>
      <c r="AP12" s="298">
        <v>46521.8</v>
      </c>
      <c r="AQ12" s="298">
        <v>46521.8</v>
      </c>
      <c r="AR12" s="298">
        <v>220203.19</v>
      </c>
      <c r="AS12" s="298">
        <v>46521.8</v>
      </c>
      <c r="AT12" s="298">
        <v>46521.8</v>
      </c>
      <c r="AU12" s="298">
        <v>557227.79</v>
      </c>
      <c r="AV12" s="298"/>
      <c r="AW12" s="298"/>
      <c r="AX12" s="298">
        <v>1033.82</v>
      </c>
      <c r="AY12" s="298"/>
      <c r="AZ12" s="298"/>
      <c r="BA12" s="298"/>
      <c r="BB12" s="298"/>
      <c r="BC12" s="298"/>
    </row>
    <row r="13" spans="2:66" ht="12" customHeight="1" x14ac:dyDescent="0.2">
      <c r="B13" s="2" t="str">
        <f t="shared" si="0"/>
        <v>1</v>
      </c>
      <c r="C13" s="9">
        <f t="shared" si="1"/>
        <v>112</v>
      </c>
      <c r="D13" s="9" t="str">
        <f t="shared" si="2"/>
        <v>B-112</v>
      </c>
      <c r="E13" s="2">
        <f t="shared" si="3"/>
        <v>44021</v>
      </c>
      <c r="F13" s="12">
        <f t="shared" si="4"/>
        <v>3041520</v>
      </c>
      <c r="H13" s="296">
        <v>39</v>
      </c>
      <c r="I13" s="296" t="s">
        <v>410</v>
      </c>
      <c r="J13" s="296" t="s">
        <v>418</v>
      </c>
      <c r="K13" s="296" t="s">
        <v>786</v>
      </c>
      <c r="L13" s="297">
        <v>44021</v>
      </c>
      <c r="M13" s="298">
        <v>3041520</v>
      </c>
      <c r="N13" s="298">
        <v>3137788.1275147698</v>
      </c>
      <c r="O13" s="298">
        <v>94.23</v>
      </c>
      <c r="P13" s="298">
        <v>0</v>
      </c>
      <c r="Q13" s="298">
        <v>8072.67</v>
      </c>
      <c r="R13" s="298"/>
      <c r="S13" s="298">
        <v>8072.67</v>
      </c>
      <c r="T13" s="298">
        <v>8072.67</v>
      </c>
      <c r="U13" s="298">
        <v>8402.7999999999993</v>
      </c>
      <c r="V13" s="298">
        <v>16145.34</v>
      </c>
      <c r="W13" s="298">
        <v>16145.34</v>
      </c>
      <c r="X13" s="298">
        <v>16145.34</v>
      </c>
      <c r="Y13" s="298">
        <v>16145.34</v>
      </c>
      <c r="Z13" s="298">
        <v>16145.34</v>
      </c>
      <c r="AA13" s="298">
        <v>183272.85</v>
      </c>
      <c r="AB13" s="298">
        <v>16145.34</v>
      </c>
      <c r="AC13" s="298">
        <v>16145.34</v>
      </c>
      <c r="AD13" s="298">
        <v>16145.34</v>
      </c>
      <c r="AE13" s="298">
        <v>16145.34</v>
      </c>
      <c r="AF13" s="298">
        <v>16145.34</v>
      </c>
      <c r="AG13" s="298">
        <v>16145.34</v>
      </c>
      <c r="AH13" s="298">
        <v>16145.34</v>
      </c>
      <c r="AI13" s="298">
        <v>16145.34</v>
      </c>
      <c r="AJ13" s="298">
        <v>16145.34</v>
      </c>
      <c r="AK13" s="298">
        <v>16145.34</v>
      </c>
      <c r="AL13" s="298">
        <v>16145.34</v>
      </c>
      <c r="AM13" s="298">
        <v>183272.85</v>
      </c>
      <c r="AN13" s="298">
        <v>16145.34</v>
      </c>
      <c r="AO13" s="298">
        <v>16145.34</v>
      </c>
      <c r="AP13" s="298">
        <v>16145.34</v>
      </c>
      <c r="AQ13" s="298">
        <v>16145.34</v>
      </c>
      <c r="AR13" s="298">
        <v>16145.34</v>
      </c>
      <c r="AS13" s="298">
        <v>16145.34</v>
      </c>
      <c r="AT13" s="298">
        <v>16145.34</v>
      </c>
      <c r="AU13" s="298">
        <v>2193290.71</v>
      </c>
      <c r="AV13" s="298"/>
      <c r="AW13" s="298"/>
      <c r="AX13" s="298"/>
      <c r="AY13" s="298">
        <v>1031.6500000000001</v>
      </c>
      <c r="AZ13" s="298"/>
      <c r="BA13" s="298"/>
      <c r="BB13" s="298"/>
      <c r="BC13" s="298"/>
      <c r="BF13" s="501">
        <v>3162286.51403877</v>
      </c>
      <c r="BG13" s="10">
        <v>0.05</v>
      </c>
      <c r="BH13" s="501">
        <f t="shared" ref="BH13:BH48" si="5">BG13*$BF$13</f>
        <v>158114.32570193851</v>
      </c>
      <c r="BJ13" s="502">
        <f>NPV(BJ10, BH14:BH48)+BH13</f>
        <v>2703476.3212853028</v>
      </c>
      <c r="BL13" s="298">
        <v>634000</v>
      </c>
      <c r="BN13" s="324">
        <f>NPV(BJ10, BL14:BL50)+BL13</f>
        <v>2934662.0573268333</v>
      </c>
    </row>
    <row r="14" spans="2:66" ht="12" customHeight="1" x14ac:dyDescent="0.2">
      <c r="B14" s="2" t="str">
        <f t="shared" si="0"/>
        <v>1</v>
      </c>
      <c r="C14" s="9">
        <f t="shared" si="1"/>
        <v>122</v>
      </c>
      <c r="D14" s="9" t="str">
        <f t="shared" si="2"/>
        <v>B-122</v>
      </c>
      <c r="E14" s="2">
        <f t="shared" si="3"/>
        <v>44034</v>
      </c>
      <c r="F14" s="12">
        <f t="shared" si="4"/>
        <v>3214000</v>
      </c>
      <c r="H14" s="296">
        <v>39</v>
      </c>
      <c r="I14" s="296" t="s">
        <v>410</v>
      </c>
      <c r="J14" s="296" t="s">
        <v>419</v>
      </c>
      <c r="K14" s="296" t="s">
        <v>787</v>
      </c>
      <c r="L14" s="297">
        <v>44034</v>
      </c>
      <c r="M14" s="298">
        <v>3214000</v>
      </c>
      <c r="N14" s="298">
        <v>3315727.3474553698</v>
      </c>
      <c r="O14" s="298">
        <v>80.8</v>
      </c>
      <c r="P14" s="298">
        <v>0</v>
      </c>
      <c r="Q14" s="298">
        <v>4642.43</v>
      </c>
      <c r="R14" s="298"/>
      <c r="S14" s="298">
        <v>4642.43</v>
      </c>
      <c r="T14" s="298">
        <v>4642.43</v>
      </c>
      <c r="U14" s="298">
        <v>4642.43</v>
      </c>
      <c r="V14" s="298">
        <v>4642.43</v>
      </c>
      <c r="W14" s="298">
        <v>4642.43</v>
      </c>
      <c r="X14" s="298">
        <v>4642.43</v>
      </c>
      <c r="Y14" s="298">
        <v>4642.43</v>
      </c>
      <c r="Z14" s="298">
        <v>128440.59</v>
      </c>
      <c r="AA14" s="298">
        <v>4642.43</v>
      </c>
      <c r="AB14" s="298">
        <v>4642.43</v>
      </c>
      <c r="AC14" s="298">
        <v>4642.43</v>
      </c>
      <c r="AD14" s="298">
        <v>4642.43</v>
      </c>
      <c r="AE14" s="298">
        <v>4642.43</v>
      </c>
      <c r="AF14" s="298">
        <v>4642.43</v>
      </c>
      <c r="AG14" s="298">
        <v>4642.43</v>
      </c>
      <c r="AH14" s="298">
        <v>4642.43</v>
      </c>
      <c r="AI14" s="298">
        <v>4642.43</v>
      </c>
      <c r="AJ14" s="298">
        <v>4642.43</v>
      </c>
      <c r="AK14" s="298">
        <v>4642.43</v>
      </c>
      <c r="AL14" s="298">
        <v>128440.59</v>
      </c>
      <c r="AM14" s="298">
        <v>4642.43</v>
      </c>
      <c r="AN14" s="298">
        <v>4642.43</v>
      </c>
      <c r="AO14" s="298">
        <v>4642.43</v>
      </c>
      <c r="AP14" s="298">
        <v>4642.43</v>
      </c>
      <c r="AQ14" s="298">
        <v>4642.43</v>
      </c>
      <c r="AR14" s="298">
        <v>4642.43</v>
      </c>
      <c r="AS14" s="298">
        <v>4642.43</v>
      </c>
      <c r="AT14" s="298">
        <v>4642.43</v>
      </c>
      <c r="AU14" s="298">
        <v>2300582.4500000002</v>
      </c>
      <c r="AV14" s="298"/>
      <c r="AW14" s="298"/>
      <c r="AX14" s="298"/>
      <c r="AY14" s="298">
        <v>1031.6500000000001</v>
      </c>
      <c r="AZ14" s="298"/>
      <c r="BA14" s="298"/>
      <c r="BB14" s="298"/>
      <c r="BC14" s="298"/>
      <c r="BG14" s="10">
        <v>6.8965517241379318E-3</v>
      </c>
      <c r="BH14" s="501">
        <f t="shared" si="5"/>
        <v>21808.872510612211</v>
      </c>
      <c r="BL14" s="298">
        <v>86206.9</v>
      </c>
    </row>
    <row r="15" spans="2:66" ht="12" customHeight="1" x14ac:dyDescent="0.2">
      <c r="B15" s="2" t="str">
        <f t="shared" si="0"/>
        <v>1</v>
      </c>
      <c r="C15" s="9">
        <f t="shared" si="1"/>
        <v>132</v>
      </c>
      <c r="D15" s="9" t="str">
        <f t="shared" si="2"/>
        <v>B-132</v>
      </c>
      <c r="E15" s="2">
        <f t="shared" si="3"/>
        <v>44001</v>
      </c>
      <c r="F15" s="12">
        <f t="shared" si="4"/>
        <v>2778750</v>
      </c>
      <c r="H15" s="296">
        <v>39</v>
      </c>
      <c r="I15" s="296" t="s">
        <v>410</v>
      </c>
      <c r="J15" s="296" t="s">
        <v>420</v>
      </c>
      <c r="K15" s="296" t="s">
        <v>788</v>
      </c>
      <c r="L15" s="297">
        <v>44001</v>
      </c>
      <c r="M15" s="298">
        <v>2778750</v>
      </c>
      <c r="N15" s="298">
        <v>2872721.1813376802</v>
      </c>
      <c r="O15" s="298">
        <v>23.43</v>
      </c>
      <c r="P15" s="298"/>
      <c r="Q15" s="298">
        <v>0</v>
      </c>
      <c r="R15" s="298"/>
      <c r="S15" s="298"/>
      <c r="T15" s="298"/>
      <c r="U15" s="298"/>
      <c r="V15" s="298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8"/>
      <c r="AH15" s="298"/>
      <c r="AI15" s="298"/>
      <c r="AJ15" s="298"/>
      <c r="AK15" s="298"/>
      <c r="AL15" s="298"/>
      <c r="AM15" s="298"/>
      <c r="AN15" s="298"/>
      <c r="AO15" s="298"/>
      <c r="AP15" s="298"/>
      <c r="AQ15" s="298"/>
      <c r="AR15" s="298"/>
      <c r="AS15" s="298"/>
      <c r="AT15" s="298"/>
      <c r="AU15" s="298">
        <v>671981.56</v>
      </c>
      <c r="AV15" s="298"/>
      <c r="AW15" s="298"/>
      <c r="AX15" s="298">
        <v>1033.82</v>
      </c>
      <c r="AY15" s="298"/>
      <c r="AZ15" s="298"/>
      <c r="BA15" s="298"/>
      <c r="BB15" s="298"/>
      <c r="BC15" s="298"/>
      <c r="BG15" s="10">
        <v>6.8965517241379318E-3</v>
      </c>
      <c r="BH15" s="501">
        <f t="shared" si="5"/>
        <v>21808.872510612211</v>
      </c>
      <c r="BL15" s="298">
        <v>86206.9</v>
      </c>
    </row>
    <row r="16" spans="2:66" ht="12" customHeight="1" x14ac:dyDescent="0.2">
      <c r="B16" s="2" t="str">
        <f t="shared" si="0"/>
        <v>1</v>
      </c>
      <c r="C16" s="9">
        <f t="shared" si="1"/>
        <v>141</v>
      </c>
      <c r="D16" s="9" t="str">
        <f t="shared" si="2"/>
        <v>B-141</v>
      </c>
      <c r="E16" s="2">
        <f t="shared" si="3"/>
        <v>44044</v>
      </c>
      <c r="F16" s="12">
        <f t="shared" si="4"/>
        <v>2996300</v>
      </c>
      <c r="H16" s="296">
        <v>39</v>
      </c>
      <c r="I16" s="296" t="s">
        <v>410</v>
      </c>
      <c r="J16" s="296" t="s">
        <v>421</v>
      </c>
      <c r="K16" s="296" t="s">
        <v>789</v>
      </c>
      <c r="L16" s="297">
        <v>44044</v>
      </c>
      <c r="M16" s="298">
        <v>2996300</v>
      </c>
      <c r="N16" s="298">
        <v>3081276.77319765</v>
      </c>
      <c r="O16" s="298">
        <v>67.88</v>
      </c>
      <c r="P16" s="298">
        <v>0</v>
      </c>
      <c r="Q16" s="298">
        <v>20567.21</v>
      </c>
      <c r="R16" s="298"/>
      <c r="S16" s="298">
        <v>20567.21</v>
      </c>
      <c r="T16" s="298">
        <v>20567.21</v>
      </c>
      <c r="U16" s="298">
        <v>20567.21</v>
      </c>
      <c r="V16" s="298">
        <v>20567.21</v>
      </c>
      <c r="W16" s="298">
        <v>20567.21</v>
      </c>
      <c r="X16" s="298">
        <v>20567.21</v>
      </c>
      <c r="Y16" s="298">
        <v>20567.21</v>
      </c>
      <c r="Z16" s="298">
        <v>20567.21</v>
      </c>
      <c r="AA16" s="298">
        <v>20567.21</v>
      </c>
      <c r="AB16" s="298">
        <v>20567.21</v>
      </c>
      <c r="AC16" s="298">
        <v>200530.31</v>
      </c>
      <c r="AD16" s="298">
        <v>20567.21</v>
      </c>
      <c r="AE16" s="298">
        <v>20567.21</v>
      </c>
      <c r="AF16" s="298">
        <v>20567.21</v>
      </c>
      <c r="AG16" s="298">
        <v>20567.21</v>
      </c>
      <c r="AH16" s="298">
        <v>20567.21</v>
      </c>
      <c r="AI16" s="298">
        <v>20567.21</v>
      </c>
      <c r="AJ16" s="298">
        <v>20567.21</v>
      </c>
      <c r="AK16" s="298">
        <v>20567.21</v>
      </c>
      <c r="AL16" s="298">
        <v>20567.21</v>
      </c>
      <c r="AM16" s="298">
        <v>20567.21</v>
      </c>
      <c r="AN16" s="298">
        <v>20567.21</v>
      </c>
      <c r="AO16" s="298">
        <v>200530.31</v>
      </c>
      <c r="AP16" s="298">
        <v>20567.21</v>
      </c>
      <c r="AQ16" s="298">
        <v>20567.21</v>
      </c>
      <c r="AR16" s="298">
        <v>20567.21</v>
      </c>
      <c r="AS16" s="298">
        <v>20567.21</v>
      </c>
      <c r="AT16" s="298">
        <v>20567.21</v>
      </c>
      <c r="AU16" s="298">
        <v>1154848.92</v>
      </c>
      <c r="AV16" s="298"/>
      <c r="AW16" s="298"/>
      <c r="AX16" s="298"/>
      <c r="AY16" s="298"/>
      <c r="AZ16" s="298">
        <v>1028.3599999999999</v>
      </c>
      <c r="BA16" s="298"/>
      <c r="BB16" s="298"/>
      <c r="BC16" s="298"/>
      <c r="BG16" s="10">
        <v>6.8965517241379318E-3</v>
      </c>
      <c r="BH16" s="501">
        <f t="shared" si="5"/>
        <v>21808.872510612211</v>
      </c>
      <c r="BL16" s="298">
        <v>86206.9</v>
      </c>
    </row>
    <row r="17" spans="2:64" ht="12" customHeight="1" x14ac:dyDescent="0.2">
      <c r="B17" s="2" t="str">
        <f t="shared" si="0"/>
        <v>1</v>
      </c>
      <c r="C17" s="9">
        <f t="shared" si="1"/>
        <v>171</v>
      </c>
      <c r="D17" s="9" t="str">
        <f t="shared" si="2"/>
        <v>B-171</v>
      </c>
      <c r="E17" s="2">
        <f t="shared" si="3"/>
        <v>44153</v>
      </c>
      <c r="F17" s="12">
        <f t="shared" si="4"/>
        <v>3135000.1</v>
      </c>
      <c r="H17" s="296">
        <v>39</v>
      </c>
      <c r="I17" s="296" t="s">
        <v>410</v>
      </c>
      <c r="J17" s="296" t="s">
        <v>423</v>
      </c>
      <c r="K17" s="296" t="s">
        <v>790</v>
      </c>
      <c r="L17" s="297">
        <v>44153</v>
      </c>
      <c r="M17" s="298">
        <v>3135000.1</v>
      </c>
      <c r="N17" s="298">
        <v>3135000.1</v>
      </c>
      <c r="O17" s="298">
        <v>79.78</v>
      </c>
      <c r="P17" s="298">
        <v>0</v>
      </c>
      <c r="Q17" s="298">
        <v>634000</v>
      </c>
      <c r="R17" s="298"/>
      <c r="S17" s="298">
        <v>86206.9</v>
      </c>
      <c r="T17" s="298">
        <v>86206.9</v>
      </c>
      <c r="U17" s="298">
        <v>86206.9</v>
      </c>
      <c r="V17" s="298">
        <v>86206.9</v>
      </c>
      <c r="W17" s="298">
        <v>86206.9</v>
      </c>
      <c r="X17" s="298">
        <v>86206.9</v>
      </c>
      <c r="Y17" s="298">
        <v>86206.9</v>
      </c>
      <c r="Z17" s="298">
        <v>86206.9</v>
      </c>
      <c r="AA17" s="298">
        <v>86206.9</v>
      </c>
      <c r="AB17" s="298">
        <v>86206.9</v>
      </c>
      <c r="AC17" s="298">
        <v>86206.9</v>
      </c>
      <c r="AD17" s="298">
        <v>86206.9</v>
      </c>
      <c r="AE17" s="298">
        <v>86206.9</v>
      </c>
      <c r="AF17" s="298">
        <v>86206.9</v>
      </c>
      <c r="AG17" s="298">
        <v>86206.9</v>
      </c>
      <c r="AH17" s="298">
        <v>86206.9</v>
      </c>
      <c r="AI17" s="298">
        <v>86206.9</v>
      </c>
      <c r="AJ17" s="298">
        <v>86206.9</v>
      </c>
      <c r="AK17" s="298">
        <v>86206.9</v>
      </c>
      <c r="AL17" s="298">
        <v>86206.9</v>
      </c>
      <c r="AM17" s="298">
        <v>86206.9</v>
      </c>
      <c r="AN17" s="298">
        <v>86206.9</v>
      </c>
      <c r="AO17" s="298">
        <v>86206.9</v>
      </c>
      <c r="AP17" s="298">
        <v>86206.9</v>
      </c>
      <c r="AQ17" s="298">
        <v>86206.9</v>
      </c>
      <c r="AR17" s="298">
        <v>86206.9</v>
      </c>
      <c r="AS17" s="298">
        <v>86206.9</v>
      </c>
      <c r="AT17" s="298">
        <v>86206.9</v>
      </c>
      <c r="AU17" s="298">
        <v>86206.9</v>
      </c>
      <c r="AV17" s="298"/>
      <c r="AW17" s="298"/>
      <c r="AX17" s="298"/>
      <c r="AY17" s="298"/>
      <c r="AZ17" s="298"/>
      <c r="BA17" s="298"/>
      <c r="BB17" s="298"/>
      <c r="BC17" s="298">
        <v>1000</v>
      </c>
      <c r="BG17" s="10">
        <v>6.8965517241379318E-3</v>
      </c>
      <c r="BH17" s="501">
        <f t="shared" si="5"/>
        <v>21808.872510612211</v>
      </c>
      <c r="BL17" s="298">
        <v>86206.9</v>
      </c>
    </row>
    <row r="18" spans="2:64" ht="12" customHeight="1" x14ac:dyDescent="0.2">
      <c r="B18" s="2" t="str">
        <f t="shared" si="0"/>
        <v>1</v>
      </c>
      <c r="C18" s="9">
        <f t="shared" si="1"/>
        <v>172</v>
      </c>
      <c r="D18" s="9" t="str">
        <f t="shared" si="2"/>
        <v>B-172</v>
      </c>
      <c r="E18" s="2">
        <f t="shared" si="3"/>
        <v>44001</v>
      </c>
      <c r="F18" s="12">
        <f t="shared" si="4"/>
        <v>3228061</v>
      </c>
      <c r="H18" s="296">
        <v>39</v>
      </c>
      <c r="I18" s="296" t="s">
        <v>410</v>
      </c>
      <c r="J18" s="296" t="s">
        <v>424</v>
      </c>
      <c r="K18" s="296" t="s">
        <v>791</v>
      </c>
      <c r="L18" s="297">
        <v>44001</v>
      </c>
      <c r="M18" s="298">
        <v>3228061</v>
      </c>
      <c r="N18" s="298">
        <v>3337226.8859559498</v>
      </c>
      <c r="O18" s="298">
        <v>91.9</v>
      </c>
      <c r="P18" s="298">
        <v>0</v>
      </c>
      <c r="Q18" s="298">
        <v>33167.300000000003</v>
      </c>
      <c r="R18" s="298"/>
      <c r="S18" s="298">
        <v>33167.300000000003</v>
      </c>
      <c r="T18" s="298">
        <v>33167.300000000003</v>
      </c>
      <c r="U18" s="298">
        <v>33167.300000000003</v>
      </c>
      <c r="V18" s="298">
        <v>33167.300000000003</v>
      </c>
      <c r="W18" s="298">
        <v>33167.300000000003</v>
      </c>
      <c r="X18" s="298">
        <v>33167.300000000003</v>
      </c>
      <c r="Y18" s="298">
        <v>33167.300000000003</v>
      </c>
      <c r="Z18" s="298">
        <v>33167.300000000003</v>
      </c>
      <c r="AA18" s="298">
        <v>33167.300000000003</v>
      </c>
      <c r="AB18" s="298">
        <v>33167.300000000003</v>
      </c>
      <c r="AC18" s="298">
        <v>33167.300000000003</v>
      </c>
      <c r="AD18" s="298">
        <v>33167.300000000003</v>
      </c>
      <c r="AE18" s="298">
        <v>33167.300000000003</v>
      </c>
      <c r="AF18" s="298">
        <v>33167.300000000003</v>
      </c>
      <c r="AG18" s="298">
        <v>33167.300000000003</v>
      </c>
      <c r="AH18" s="298">
        <v>33167.300000000003</v>
      </c>
      <c r="AI18" s="298">
        <v>33167.300000000003</v>
      </c>
      <c r="AJ18" s="298">
        <v>33167.300000000003</v>
      </c>
      <c r="AK18" s="298">
        <v>33167.300000000003</v>
      </c>
      <c r="AL18" s="298">
        <v>33167.300000000003</v>
      </c>
      <c r="AM18" s="298">
        <v>33167.300000000003</v>
      </c>
      <c r="AN18" s="298">
        <v>33167.300000000003</v>
      </c>
      <c r="AO18" s="298">
        <v>33167.300000000003</v>
      </c>
      <c r="AP18" s="298">
        <v>33167.300000000003</v>
      </c>
      <c r="AQ18" s="298">
        <v>33167.300000000003</v>
      </c>
      <c r="AR18" s="298">
        <v>33167.300000000003</v>
      </c>
      <c r="AS18" s="298">
        <v>33167.300000000003</v>
      </c>
      <c r="AT18" s="298">
        <v>33167.300000000003</v>
      </c>
      <c r="AU18" s="298">
        <v>2138290.14</v>
      </c>
      <c r="AV18" s="298"/>
      <c r="AW18" s="298"/>
      <c r="AX18" s="298"/>
      <c r="AY18" s="298"/>
      <c r="AZ18" s="298"/>
      <c r="BA18" s="298"/>
      <c r="BB18" s="298"/>
      <c r="BC18" s="298"/>
      <c r="BG18" s="10">
        <v>6.8965517241379318E-3</v>
      </c>
      <c r="BH18" s="501">
        <f t="shared" si="5"/>
        <v>21808.872510612211</v>
      </c>
      <c r="BL18" s="298">
        <v>86206.9</v>
      </c>
    </row>
    <row r="19" spans="2:64" ht="12" customHeight="1" x14ac:dyDescent="0.2">
      <c r="B19" s="2" t="str">
        <f t="shared" si="0"/>
        <v>1</v>
      </c>
      <c r="C19" s="9">
        <f t="shared" si="1"/>
        <v>181</v>
      </c>
      <c r="D19" s="9" t="str">
        <f t="shared" si="2"/>
        <v>B-181</v>
      </c>
      <c r="E19" s="2">
        <f t="shared" si="3"/>
        <v>44075</v>
      </c>
      <c r="F19" s="12">
        <f t="shared" si="4"/>
        <v>2992500</v>
      </c>
      <c r="H19" s="296">
        <v>39</v>
      </c>
      <c r="I19" s="296" t="s">
        <v>410</v>
      </c>
      <c r="J19" s="296" t="s">
        <v>425</v>
      </c>
      <c r="K19" s="296" t="s">
        <v>792</v>
      </c>
      <c r="L19" s="297">
        <v>44075</v>
      </c>
      <c r="M19" s="298">
        <v>2992500</v>
      </c>
      <c r="N19" s="298">
        <v>3051734.4322149302</v>
      </c>
      <c r="O19" s="298">
        <v>78.53</v>
      </c>
      <c r="P19" s="298"/>
      <c r="Q19" s="298">
        <v>0</v>
      </c>
      <c r="R19" s="298"/>
      <c r="S19" s="298"/>
      <c r="T19" s="298"/>
      <c r="U19" s="298"/>
      <c r="V19" s="298">
        <v>152969.14000000001</v>
      </c>
      <c r="W19" s="298"/>
      <c r="X19" s="298"/>
      <c r="Y19" s="298"/>
      <c r="Z19" s="298"/>
      <c r="AA19" s="298"/>
      <c r="AB19" s="298"/>
      <c r="AC19" s="298">
        <v>407917.72</v>
      </c>
      <c r="AD19" s="298"/>
      <c r="AE19" s="298"/>
      <c r="AF19" s="298"/>
      <c r="AG19" s="298"/>
      <c r="AH19" s="298">
        <v>611876.57999999996</v>
      </c>
      <c r="AI19" s="298"/>
      <c r="AJ19" s="298"/>
      <c r="AK19" s="298"/>
      <c r="AL19" s="298"/>
      <c r="AM19" s="298"/>
      <c r="AN19" s="298"/>
      <c r="AO19" s="298">
        <v>509897.15</v>
      </c>
      <c r="AP19" s="298"/>
      <c r="AQ19" s="298"/>
      <c r="AR19" s="298"/>
      <c r="AS19" s="298"/>
      <c r="AT19" s="298"/>
      <c r="AU19" s="298">
        <v>712836.21</v>
      </c>
      <c r="AV19" s="298"/>
      <c r="AW19" s="298"/>
      <c r="AX19" s="298"/>
      <c r="AY19" s="298"/>
      <c r="AZ19" s="298"/>
      <c r="BA19" s="298">
        <v>1019.79</v>
      </c>
      <c r="BB19" s="298"/>
      <c r="BC19" s="298"/>
      <c r="BG19" s="10">
        <v>6.8965517241379318E-3</v>
      </c>
      <c r="BH19" s="501">
        <f t="shared" si="5"/>
        <v>21808.872510612211</v>
      </c>
      <c r="BL19" s="298">
        <v>86206.9</v>
      </c>
    </row>
    <row r="20" spans="2:64" ht="12" customHeight="1" x14ac:dyDescent="0.2">
      <c r="B20" s="2" t="str">
        <f t="shared" si="0"/>
        <v>1</v>
      </c>
      <c r="C20" s="9">
        <f t="shared" si="1"/>
        <v>191</v>
      </c>
      <c r="D20" s="9" t="str">
        <f t="shared" si="2"/>
        <v>B-191</v>
      </c>
      <c r="E20" s="2">
        <f t="shared" si="3"/>
        <v>44015</v>
      </c>
      <c r="F20" s="12">
        <f t="shared" si="4"/>
        <v>2859500</v>
      </c>
      <c r="H20" s="296">
        <v>39</v>
      </c>
      <c r="I20" s="296" t="s">
        <v>410</v>
      </c>
      <c r="J20" s="296" t="s">
        <v>426</v>
      </c>
      <c r="K20" s="296" t="s">
        <v>793</v>
      </c>
      <c r="L20" s="297">
        <v>44015</v>
      </c>
      <c r="M20" s="298">
        <v>2859500</v>
      </c>
      <c r="N20" s="298">
        <v>2950006.9539665901</v>
      </c>
      <c r="O20" s="298">
        <v>80.78</v>
      </c>
      <c r="P20" s="298"/>
      <c r="Q20" s="298">
        <v>0</v>
      </c>
      <c r="R20" s="298"/>
      <c r="S20" s="298">
        <v>670573.36</v>
      </c>
      <c r="T20" s="298"/>
      <c r="U20" s="298"/>
      <c r="V20" s="298"/>
      <c r="W20" s="298"/>
      <c r="X20" s="298"/>
      <c r="Y20" s="298">
        <v>670573.36</v>
      </c>
      <c r="Z20" s="298"/>
      <c r="AA20" s="298"/>
      <c r="AB20" s="298"/>
      <c r="AC20" s="298"/>
      <c r="AD20" s="298"/>
      <c r="AE20" s="298">
        <v>701522.9</v>
      </c>
      <c r="AF20" s="298"/>
      <c r="AG20" s="298"/>
      <c r="AH20" s="298"/>
      <c r="AI20" s="298"/>
      <c r="AJ20" s="298"/>
      <c r="AK20" s="298">
        <v>339413.28</v>
      </c>
      <c r="AL20" s="298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>
        <v>1031.6500000000001</v>
      </c>
      <c r="AZ20" s="298"/>
      <c r="BA20" s="298"/>
      <c r="BB20" s="298"/>
      <c r="BC20" s="298"/>
      <c r="BG20" s="10">
        <v>6.8965517241379318E-3</v>
      </c>
      <c r="BH20" s="501">
        <f t="shared" si="5"/>
        <v>21808.872510612211</v>
      </c>
      <c r="BL20" s="298">
        <v>86206.9</v>
      </c>
    </row>
    <row r="21" spans="2:64" ht="12" customHeight="1" x14ac:dyDescent="0.2">
      <c r="B21" s="2" t="str">
        <f t="shared" si="0"/>
        <v>1</v>
      </c>
      <c r="C21" s="9">
        <f t="shared" si="1"/>
        <v>192</v>
      </c>
      <c r="D21" s="9" t="str">
        <f t="shared" si="2"/>
        <v>B-192</v>
      </c>
      <c r="E21" s="2">
        <f t="shared" si="3"/>
        <v>44002</v>
      </c>
      <c r="F21" s="12">
        <f t="shared" si="4"/>
        <v>3087500.03</v>
      </c>
      <c r="H21" s="296">
        <v>39</v>
      </c>
      <c r="I21" s="296" t="s">
        <v>410</v>
      </c>
      <c r="J21" s="296" t="s">
        <v>427</v>
      </c>
      <c r="K21" s="296" t="s">
        <v>794</v>
      </c>
      <c r="L21" s="297">
        <v>44002</v>
      </c>
      <c r="M21" s="298">
        <v>3087500.03</v>
      </c>
      <c r="N21" s="298">
        <v>3191912.4547230699</v>
      </c>
      <c r="O21" s="298">
        <v>92.51</v>
      </c>
      <c r="P21" s="298">
        <v>0</v>
      </c>
      <c r="Q21" s="298">
        <v>17845.509999999998</v>
      </c>
      <c r="R21" s="298"/>
      <c r="S21" s="298">
        <v>17845.509999999998</v>
      </c>
      <c r="T21" s="298">
        <v>17845.509999999998</v>
      </c>
      <c r="U21" s="298">
        <v>17845.509999999998</v>
      </c>
      <c r="V21" s="298">
        <v>17845.509999999998</v>
      </c>
      <c r="W21" s="298">
        <v>17845.509999999998</v>
      </c>
      <c r="X21" s="298">
        <v>17845.509999999998</v>
      </c>
      <c r="Y21" s="298">
        <v>17845.509999999998</v>
      </c>
      <c r="Z21" s="298">
        <v>17845.509999999998</v>
      </c>
      <c r="AA21" s="298">
        <v>202249.17</v>
      </c>
      <c r="AB21" s="298">
        <v>17845.509999999998</v>
      </c>
      <c r="AC21" s="298">
        <v>17845.509999999998</v>
      </c>
      <c r="AD21" s="298">
        <v>17845.509999999998</v>
      </c>
      <c r="AE21" s="298">
        <v>17845.509999999998</v>
      </c>
      <c r="AF21" s="298">
        <v>17845.509999999998</v>
      </c>
      <c r="AG21" s="298">
        <v>17845.509999999998</v>
      </c>
      <c r="AH21" s="298">
        <v>17845.509999999998</v>
      </c>
      <c r="AI21" s="298">
        <v>17845.509999999998</v>
      </c>
      <c r="AJ21" s="298">
        <v>17845.509999999998</v>
      </c>
      <c r="AK21" s="298">
        <v>17845.509999999998</v>
      </c>
      <c r="AL21" s="298">
        <v>17845.509999999998</v>
      </c>
      <c r="AM21" s="298">
        <v>202249.17</v>
      </c>
      <c r="AN21" s="298">
        <v>17845.509999999998</v>
      </c>
      <c r="AO21" s="298">
        <v>17845.509999999998</v>
      </c>
      <c r="AP21" s="298">
        <v>17845.509999999998</v>
      </c>
      <c r="AQ21" s="298">
        <v>17845.509999999998</v>
      </c>
      <c r="AR21" s="298">
        <v>17845.509999999998</v>
      </c>
      <c r="AS21" s="298">
        <v>17845.509999999998</v>
      </c>
      <c r="AT21" s="298">
        <v>17845.509999999998</v>
      </c>
      <c r="AU21" s="298">
        <v>2083239.64</v>
      </c>
      <c r="AV21" s="298"/>
      <c r="AW21" s="298"/>
      <c r="AX21" s="298">
        <v>1033.82</v>
      </c>
      <c r="AY21" s="298"/>
      <c r="AZ21" s="298"/>
      <c r="BA21" s="298"/>
      <c r="BB21" s="298"/>
      <c r="BC21" s="298"/>
      <c r="BG21" s="10">
        <v>6.8965517241379318E-3</v>
      </c>
      <c r="BH21" s="501">
        <f t="shared" si="5"/>
        <v>21808.872510612211</v>
      </c>
      <c r="BL21" s="298">
        <v>86206.9</v>
      </c>
    </row>
    <row r="22" spans="2:64" ht="12" customHeight="1" x14ac:dyDescent="0.2">
      <c r="B22" s="2" t="str">
        <f t="shared" si="0"/>
        <v>2</v>
      </c>
      <c r="C22" s="9">
        <f t="shared" si="1"/>
        <v>201</v>
      </c>
      <c r="D22" s="9" t="str">
        <f t="shared" si="2"/>
        <v>B-201</v>
      </c>
      <c r="E22" s="2">
        <f t="shared" si="3"/>
        <v>44056</v>
      </c>
      <c r="F22" s="12">
        <f t="shared" si="4"/>
        <v>3422750</v>
      </c>
      <c r="H22" s="296">
        <v>39</v>
      </c>
      <c r="I22" s="296" t="s">
        <v>410</v>
      </c>
      <c r="J22" s="296" t="s">
        <v>428</v>
      </c>
      <c r="K22" s="296" t="s">
        <v>795</v>
      </c>
      <c r="L22" s="297">
        <v>44056</v>
      </c>
      <c r="M22" s="298">
        <v>3422750</v>
      </c>
      <c r="N22" s="298">
        <v>3519821.1378908199</v>
      </c>
      <c r="O22" s="298">
        <v>92.99</v>
      </c>
      <c r="P22" s="298">
        <v>0</v>
      </c>
      <c r="Q22" s="298">
        <v>61701.63</v>
      </c>
      <c r="R22" s="298"/>
      <c r="S22" s="298">
        <v>19281.759999999998</v>
      </c>
      <c r="T22" s="298">
        <v>19281.759999999998</v>
      </c>
      <c r="U22" s="298">
        <v>19281.759999999998</v>
      </c>
      <c r="V22" s="298">
        <v>19281.759999999998</v>
      </c>
      <c r="W22" s="298">
        <v>19281.759999999998</v>
      </c>
      <c r="X22" s="298">
        <v>183819.45</v>
      </c>
      <c r="Y22" s="298">
        <v>19281.759999999998</v>
      </c>
      <c r="Z22" s="298">
        <v>19281.759999999998</v>
      </c>
      <c r="AA22" s="298">
        <v>19281.759999999998</v>
      </c>
      <c r="AB22" s="298">
        <v>19281.759999999998</v>
      </c>
      <c r="AC22" s="298">
        <v>19281.759999999998</v>
      </c>
      <c r="AD22" s="298">
        <v>19281.759999999998</v>
      </c>
      <c r="AE22" s="298">
        <v>19281.759999999998</v>
      </c>
      <c r="AF22" s="298">
        <v>19281.759999999998</v>
      </c>
      <c r="AG22" s="298">
        <v>19281.759999999998</v>
      </c>
      <c r="AH22" s="298">
        <v>19281.759999999998</v>
      </c>
      <c r="AI22" s="298">
        <v>111834.21</v>
      </c>
      <c r="AJ22" s="298">
        <v>19281.759999999998</v>
      </c>
      <c r="AK22" s="298">
        <v>183819.45</v>
      </c>
      <c r="AL22" s="298">
        <v>19281.759999999998</v>
      </c>
      <c r="AM22" s="298">
        <v>19281.759999999998</v>
      </c>
      <c r="AN22" s="298">
        <v>19281.759999999998</v>
      </c>
      <c r="AO22" s="298">
        <v>19281.759999999998</v>
      </c>
      <c r="AP22" s="298">
        <v>19281.759999999998</v>
      </c>
      <c r="AQ22" s="298">
        <v>19281.759999999998</v>
      </c>
      <c r="AR22" s="298">
        <v>19281.759999999998</v>
      </c>
      <c r="AS22" s="298">
        <v>19281.759999999998</v>
      </c>
      <c r="AT22" s="298">
        <v>19281.759999999998</v>
      </c>
      <c r="AU22" s="298">
        <v>2310469.11</v>
      </c>
      <c r="AV22" s="298"/>
      <c r="AW22" s="298"/>
      <c r="AX22" s="298"/>
      <c r="AY22" s="298"/>
      <c r="AZ22" s="298">
        <v>1028.3599999999999</v>
      </c>
      <c r="BA22" s="298"/>
      <c r="BB22" s="298"/>
      <c r="BC22" s="298"/>
      <c r="BG22" s="10">
        <v>6.8965517241379318E-3</v>
      </c>
      <c r="BH22" s="501">
        <f t="shared" si="5"/>
        <v>21808.872510612211</v>
      </c>
      <c r="BL22" s="298">
        <v>86206.9</v>
      </c>
    </row>
    <row r="23" spans="2:64" ht="12" customHeight="1" x14ac:dyDescent="0.2">
      <c r="B23" s="2" t="str">
        <f t="shared" si="0"/>
        <v>2</v>
      </c>
      <c r="C23" s="9">
        <f t="shared" si="1"/>
        <v>211</v>
      </c>
      <c r="D23" s="9" t="str">
        <f t="shared" si="2"/>
        <v>B-211</v>
      </c>
      <c r="E23" s="2">
        <f t="shared" si="3"/>
        <v>44033</v>
      </c>
      <c r="F23" s="12">
        <f t="shared" si="4"/>
        <v>2921250</v>
      </c>
      <c r="H23" s="296">
        <v>39</v>
      </c>
      <c r="I23" s="296" t="s">
        <v>410</v>
      </c>
      <c r="J23" s="296" t="s">
        <v>429</v>
      </c>
      <c r="K23" s="296" t="s">
        <v>796</v>
      </c>
      <c r="L23" s="297">
        <v>44033</v>
      </c>
      <c r="M23" s="298">
        <v>2921250</v>
      </c>
      <c r="N23" s="298">
        <v>3013711.4230721798</v>
      </c>
      <c r="O23" s="298">
        <v>67.64</v>
      </c>
      <c r="P23" s="298">
        <v>0</v>
      </c>
      <c r="Q23" s="298">
        <v>25791.279999999999</v>
      </c>
      <c r="R23" s="298"/>
      <c r="S23" s="298">
        <v>25791.279999999999</v>
      </c>
      <c r="T23" s="298">
        <v>438451.81</v>
      </c>
      <c r="U23" s="298">
        <v>25791.279999999999</v>
      </c>
      <c r="V23" s="298">
        <v>25791.279999999999</v>
      </c>
      <c r="W23" s="298">
        <v>25791.279999999999</v>
      </c>
      <c r="X23" s="298">
        <v>25791.279999999999</v>
      </c>
      <c r="Y23" s="298">
        <v>25791.279999999999</v>
      </c>
      <c r="Z23" s="298">
        <v>25791.279999999999</v>
      </c>
      <c r="AA23" s="298">
        <v>25791.279999999999</v>
      </c>
      <c r="AB23" s="298">
        <v>25791.279999999999</v>
      </c>
      <c r="AC23" s="298">
        <v>25791.279999999999</v>
      </c>
      <c r="AD23" s="298">
        <v>25791.279999999999</v>
      </c>
      <c r="AE23" s="298">
        <v>25791.279999999999</v>
      </c>
      <c r="AF23" s="298">
        <v>438451.81</v>
      </c>
      <c r="AG23" s="298">
        <v>25791.279999999999</v>
      </c>
      <c r="AH23" s="298">
        <v>25791.279999999999</v>
      </c>
      <c r="AI23" s="298">
        <v>25791.279999999999</v>
      </c>
      <c r="AJ23" s="298">
        <v>25791.279999999999</v>
      </c>
      <c r="AK23" s="298">
        <v>25791.279999999999</v>
      </c>
      <c r="AL23" s="298">
        <v>25791.279999999999</v>
      </c>
      <c r="AM23" s="298">
        <v>25791.279999999999</v>
      </c>
      <c r="AN23" s="298">
        <v>25791.279999999999</v>
      </c>
      <c r="AO23" s="298">
        <v>25791.279999999999</v>
      </c>
      <c r="AP23" s="298">
        <v>25791.279999999999</v>
      </c>
      <c r="AQ23" s="298">
        <v>25791.279999999999</v>
      </c>
      <c r="AR23" s="298">
        <v>438451.81</v>
      </c>
      <c r="AS23" s="298">
        <v>25791.279999999999</v>
      </c>
      <c r="AT23" s="298">
        <v>25791.279999999999</v>
      </c>
      <c r="AU23" s="298">
        <v>25791.279999999999</v>
      </c>
      <c r="AV23" s="298">
        <v>25791.279999999999</v>
      </c>
      <c r="AW23" s="298">
        <v>25791.279999999999</v>
      </c>
      <c r="AX23" s="298"/>
      <c r="AY23" s="298">
        <v>1031.6500000000001</v>
      </c>
      <c r="AZ23" s="298"/>
      <c r="BA23" s="298"/>
      <c r="BB23" s="298"/>
      <c r="BC23" s="298"/>
      <c r="BG23" s="10">
        <v>6.8965517241379318E-3</v>
      </c>
      <c r="BH23" s="501">
        <f t="shared" si="5"/>
        <v>21808.872510612211</v>
      </c>
      <c r="BL23" s="298">
        <v>86206.9</v>
      </c>
    </row>
    <row r="24" spans="2:64" ht="12" customHeight="1" x14ac:dyDescent="0.2">
      <c r="B24" s="2" t="str">
        <f t="shared" si="0"/>
        <v>2</v>
      </c>
      <c r="C24" s="9">
        <f t="shared" si="1"/>
        <v>212</v>
      </c>
      <c r="D24" s="9" t="str">
        <f t="shared" si="2"/>
        <v>B-212</v>
      </c>
      <c r="E24" s="2">
        <f t="shared" si="3"/>
        <v>44001</v>
      </c>
      <c r="F24" s="12">
        <f t="shared" si="4"/>
        <v>3111250.44</v>
      </c>
      <c r="H24" s="296">
        <v>39</v>
      </c>
      <c r="I24" s="296" t="s">
        <v>410</v>
      </c>
      <c r="J24" s="296" t="s">
        <v>430</v>
      </c>
      <c r="K24" s="296" t="s">
        <v>797</v>
      </c>
      <c r="L24" s="297">
        <v>44001</v>
      </c>
      <c r="M24" s="298">
        <v>3111250.44</v>
      </c>
      <c r="N24" s="298">
        <v>3216466.0510784299</v>
      </c>
      <c r="O24" s="298">
        <v>92.49</v>
      </c>
      <c r="P24" s="298">
        <v>0</v>
      </c>
      <c r="Q24" s="298">
        <v>18004.080000000002</v>
      </c>
      <c r="R24" s="298"/>
      <c r="S24" s="298">
        <v>18004.080000000002</v>
      </c>
      <c r="T24" s="298">
        <v>18004.080000000002</v>
      </c>
      <c r="U24" s="298">
        <v>18004.080000000002</v>
      </c>
      <c r="V24" s="298">
        <v>18004.080000000002</v>
      </c>
      <c r="W24" s="298">
        <v>18004.080000000002</v>
      </c>
      <c r="X24" s="298">
        <v>18004.080000000002</v>
      </c>
      <c r="Y24" s="298">
        <v>18004.080000000002</v>
      </c>
      <c r="Z24" s="298">
        <v>18004.080000000002</v>
      </c>
      <c r="AA24" s="298">
        <v>146197.49</v>
      </c>
      <c r="AB24" s="298">
        <v>18004.080000000002</v>
      </c>
      <c r="AC24" s="298">
        <v>18004.080000000002</v>
      </c>
      <c r="AD24" s="298">
        <v>18004.080000000002</v>
      </c>
      <c r="AE24" s="298">
        <v>18004.080000000002</v>
      </c>
      <c r="AF24" s="298">
        <v>18004.080000000002</v>
      </c>
      <c r="AG24" s="298">
        <v>18004.080000000002</v>
      </c>
      <c r="AH24" s="298">
        <v>18004.080000000002</v>
      </c>
      <c r="AI24" s="298">
        <v>18004.080000000002</v>
      </c>
      <c r="AJ24" s="298">
        <v>18004.080000000002</v>
      </c>
      <c r="AK24" s="298">
        <v>18004.080000000002</v>
      </c>
      <c r="AL24" s="298">
        <v>18004.080000000002</v>
      </c>
      <c r="AM24" s="298">
        <v>146197.49</v>
      </c>
      <c r="AN24" s="298">
        <v>18004.080000000002</v>
      </c>
      <c r="AO24" s="298">
        <v>948440.09</v>
      </c>
      <c r="AP24" s="298">
        <v>18004.080000000002</v>
      </c>
      <c r="AQ24" s="298">
        <v>18004.080000000002</v>
      </c>
      <c r="AR24" s="298">
        <v>18004.080000000002</v>
      </c>
      <c r="AS24" s="298">
        <v>18004.080000000002</v>
      </c>
      <c r="AT24" s="298">
        <v>18004.080000000002</v>
      </c>
      <c r="AU24" s="298">
        <v>1283003.4099999999</v>
      </c>
      <c r="AV24" s="298"/>
      <c r="AW24" s="298"/>
      <c r="AX24" s="298">
        <v>1033.82</v>
      </c>
      <c r="AY24" s="298"/>
      <c r="AZ24" s="298"/>
      <c r="BA24" s="298"/>
      <c r="BB24" s="298"/>
      <c r="BC24" s="298"/>
      <c r="BG24" s="10">
        <v>6.8965517241379318E-3</v>
      </c>
      <c r="BH24" s="501">
        <f t="shared" si="5"/>
        <v>21808.872510612211</v>
      </c>
      <c r="BL24" s="298">
        <v>86206.9</v>
      </c>
    </row>
    <row r="25" spans="2:64" ht="12" customHeight="1" x14ac:dyDescent="0.2">
      <c r="B25" s="2" t="str">
        <f t="shared" si="0"/>
        <v>2</v>
      </c>
      <c r="C25" s="9">
        <f t="shared" si="1"/>
        <v>221</v>
      </c>
      <c r="D25" s="9" t="str">
        <f t="shared" si="2"/>
        <v>B-221</v>
      </c>
      <c r="E25" s="2">
        <f t="shared" si="3"/>
        <v>44020</v>
      </c>
      <c r="F25" s="12">
        <f t="shared" si="4"/>
        <v>3116000</v>
      </c>
      <c r="H25" s="296">
        <v>39</v>
      </c>
      <c r="I25" s="296" t="s">
        <v>410</v>
      </c>
      <c r="J25" s="296" t="s">
        <v>431</v>
      </c>
      <c r="K25" s="296" t="s">
        <v>798</v>
      </c>
      <c r="L25" s="297">
        <v>44020</v>
      </c>
      <c r="M25" s="298">
        <v>3116000</v>
      </c>
      <c r="N25" s="298">
        <v>3214625.5179436598</v>
      </c>
      <c r="O25" s="298">
        <v>88.58</v>
      </c>
      <c r="P25" s="298">
        <v>0</v>
      </c>
      <c r="Q25" s="298">
        <v>4126.6099999999997</v>
      </c>
      <c r="R25" s="298"/>
      <c r="S25" s="298">
        <v>4126.6099999999997</v>
      </c>
      <c r="T25" s="298">
        <v>4126.6099999999997</v>
      </c>
      <c r="U25" s="298">
        <v>4126.6099999999997</v>
      </c>
      <c r="V25" s="298">
        <v>4126.6099999999997</v>
      </c>
      <c r="W25" s="298">
        <v>4126.6099999999997</v>
      </c>
      <c r="X25" s="298">
        <v>4126.6099999999997</v>
      </c>
      <c r="Y25" s="298">
        <v>917138.03</v>
      </c>
      <c r="Z25" s="298">
        <v>4126.6099999999997</v>
      </c>
      <c r="AA25" s="298">
        <v>4126.6099999999997</v>
      </c>
      <c r="AB25" s="298">
        <v>4126.6099999999997</v>
      </c>
      <c r="AC25" s="298">
        <v>4126.6099999999997</v>
      </c>
      <c r="AD25" s="298">
        <v>4126.6099999999997</v>
      </c>
      <c r="AE25" s="298">
        <v>4126.6099999999997</v>
      </c>
      <c r="AF25" s="298">
        <v>4126.6099999999997</v>
      </c>
      <c r="AG25" s="298">
        <v>4126.6099999999997</v>
      </c>
      <c r="AH25" s="298">
        <v>4126.6099999999997</v>
      </c>
      <c r="AI25" s="298">
        <v>4126.6099999999997</v>
      </c>
      <c r="AJ25" s="298">
        <v>4126.6099999999997</v>
      </c>
      <c r="AK25" s="298">
        <v>917138.03</v>
      </c>
      <c r="AL25" s="298">
        <v>4126.6099999999997</v>
      </c>
      <c r="AM25" s="298">
        <v>4126.6099999999997</v>
      </c>
      <c r="AN25" s="298">
        <v>4126.6099999999997</v>
      </c>
      <c r="AO25" s="298">
        <v>4126.6099999999997</v>
      </c>
      <c r="AP25" s="298">
        <v>4126.6099999999997</v>
      </c>
      <c r="AQ25" s="298">
        <v>4126.6099999999997</v>
      </c>
      <c r="AR25" s="298">
        <v>4126.6099999999997</v>
      </c>
      <c r="AS25" s="298"/>
      <c r="AT25" s="298"/>
      <c r="AU25" s="298">
        <v>913011.42</v>
      </c>
      <c r="AV25" s="298"/>
      <c r="AW25" s="298"/>
      <c r="AX25" s="298"/>
      <c r="AY25" s="298">
        <v>1031.6500000000001</v>
      </c>
      <c r="AZ25" s="298"/>
      <c r="BA25" s="298"/>
      <c r="BB25" s="298"/>
      <c r="BC25" s="298"/>
      <c r="BG25" s="10">
        <v>6.8965517241379318E-3</v>
      </c>
      <c r="BH25" s="501">
        <f t="shared" si="5"/>
        <v>21808.872510612211</v>
      </c>
      <c r="BL25" s="298">
        <v>86206.9</v>
      </c>
    </row>
    <row r="26" spans="2:64" ht="12" customHeight="1" x14ac:dyDescent="0.2">
      <c r="B26" s="2" t="str">
        <f t="shared" si="0"/>
        <v>2</v>
      </c>
      <c r="C26" s="9">
        <f t="shared" si="1"/>
        <v>231</v>
      </c>
      <c r="D26" s="9" t="str">
        <f t="shared" si="2"/>
        <v>B-231</v>
      </c>
      <c r="E26" s="2">
        <f t="shared" si="3"/>
        <v>44040</v>
      </c>
      <c r="F26" s="12">
        <f t="shared" si="4"/>
        <v>5319980</v>
      </c>
      <c r="H26" s="296">
        <v>39</v>
      </c>
      <c r="I26" s="296" t="s">
        <v>410</v>
      </c>
      <c r="J26" s="296" t="s">
        <v>432</v>
      </c>
      <c r="K26" s="296" t="s">
        <v>799</v>
      </c>
      <c r="L26" s="297">
        <v>44040</v>
      </c>
      <c r="M26" s="298">
        <v>5319980</v>
      </c>
      <c r="N26" s="298">
        <v>5488364.3976090904</v>
      </c>
      <c r="O26" s="298">
        <v>90.23</v>
      </c>
      <c r="P26" s="298">
        <v>0</v>
      </c>
      <c r="Q26" s="298">
        <v>122390.67</v>
      </c>
      <c r="R26" s="298"/>
      <c r="S26" s="298">
        <v>0</v>
      </c>
      <c r="T26" s="298">
        <v>0</v>
      </c>
      <c r="U26" s="298">
        <v>41266.050000000003</v>
      </c>
      <c r="V26" s="298">
        <v>41266.050000000003</v>
      </c>
      <c r="W26" s="298">
        <v>41266.050000000003</v>
      </c>
      <c r="X26" s="298">
        <v>41266.050000000003</v>
      </c>
      <c r="Y26" s="298">
        <v>41266.050000000003</v>
      </c>
      <c r="Z26" s="298">
        <v>41266.050000000003</v>
      </c>
      <c r="AA26" s="298">
        <v>392027.5</v>
      </c>
      <c r="AB26" s="298">
        <v>41266.050000000003</v>
      </c>
      <c r="AC26" s="298">
        <v>41266.050000000003</v>
      </c>
      <c r="AD26" s="298">
        <v>41266.050000000003</v>
      </c>
      <c r="AE26" s="298">
        <v>41266.050000000003</v>
      </c>
      <c r="AF26" s="298">
        <v>41266.050000000003</v>
      </c>
      <c r="AG26" s="298">
        <v>41266.050000000003</v>
      </c>
      <c r="AH26" s="298">
        <v>41266.050000000003</v>
      </c>
      <c r="AI26" s="298">
        <v>41266.050000000003</v>
      </c>
      <c r="AJ26" s="298">
        <v>41266.050000000003</v>
      </c>
      <c r="AK26" s="298">
        <v>41266.050000000003</v>
      </c>
      <c r="AL26" s="298">
        <v>41266.050000000003</v>
      </c>
      <c r="AM26" s="298">
        <v>392027.5</v>
      </c>
      <c r="AN26" s="298">
        <v>41266.050000000003</v>
      </c>
      <c r="AO26" s="298">
        <v>41266.050000000003</v>
      </c>
      <c r="AP26" s="298">
        <v>41266.050000000003</v>
      </c>
      <c r="AQ26" s="298">
        <v>41266.050000000003</v>
      </c>
      <c r="AR26" s="298">
        <v>41266.050000000003</v>
      </c>
      <c r="AS26" s="298">
        <v>41266.050000000003</v>
      </c>
      <c r="AT26" s="298">
        <v>41266.050000000003</v>
      </c>
      <c r="AU26" s="298">
        <v>3177486.07</v>
      </c>
      <c r="AV26" s="298"/>
      <c r="AW26" s="298"/>
      <c r="AX26" s="298"/>
      <c r="AY26" s="298"/>
      <c r="AZ26" s="298"/>
      <c r="BA26" s="298"/>
      <c r="BB26" s="298"/>
      <c r="BC26" s="298"/>
      <c r="BG26" s="10">
        <v>6.8965517241379318E-3</v>
      </c>
      <c r="BH26" s="501">
        <f t="shared" si="5"/>
        <v>21808.872510612211</v>
      </c>
      <c r="BL26" s="298">
        <v>86206.9</v>
      </c>
    </row>
    <row r="27" spans="2:64" ht="12.75" customHeight="1" thickBot="1" x14ac:dyDescent="0.25">
      <c r="B27" s="2" t="str">
        <f t="shared" si="0"/>
        <v>2</v>
      </c>
      <c r="C27" s="9">
        <f t="shared" si="1"/>
        <v>232</v>
      </c>
      <c r="D27" s="9" t="str">
        <f t="shared" si="2"/>
        <v>B-232</v>
      </c>
      <c r="E27" s="2">
        <f t="shared" si="3"/>
        <v>44022</v>
      </c>
      <c r="F27" s="12">
        <f t="shared" si="4"/>
        <v>5126200</v>
      </c>
      <c r="H27" s="296">
        <v>39</v>
      </c>
      <c r="I27" s="296" t="s">
        <v>410</v>
      </c>
      <c r="J27" s="296" t="s">
        <v>433</v>
      </c>
      <c r="K27" s="296" t="s">
        <v>800</v>
      </c>
      <c r="L27" s="297">
        <v>44022</v>
      </c>
      <c r="M27" s="298">
        <v>5126200</v>
      </c>
      <c r="N27" s="298">
        <v>5288451.0045195101</v>
      </c>
      <c r="O27" s="298">
        <v>75.78</v>
      </c>
      <c r="P27" s="298">
        <v>0</v>
      </c>
      <c r="Q27" s="298">
        <v>11863.99</v>
      </c>
      <c r="R27" s="298"/>
      <c r="S27" s="298">
        <v>11863.99</v>
      </c>
      <c r="T27" s="298">
        <v>11863.99</v>
      </c>
      <c r="U27" s="298">
        <v>11863.99</v>
      </c>
      <c r="V27" s="298">
        <v>11863.99</v>
      </c>
      <c r="W27" s="298">
        <v>11863.99</v>
      </c>
      <c r="X27" s="298">
        <v>11863.99</v>
      </c>
      <c r="Y27" s="298">
        <v>11863.99</v>
      </c>
      <c r="Z27" s="298">
        <v>11863.99</v>
      </c>
      <c r="AA27" s="298">
        <v>816552.02</v>
      </c>
      <c r="AB27" s="298">
        <v>11863.99</v>
      </c>
      <c r="AC27" s="298">
        <v>11863.99</v>
      </c>
      <c r="AD27" s="298">
        <v>11863.99</v>
      </c>
      <c r="AE27" s="298">
        <v>11863.99</v>
      </c>
      <c r="AF27" s="298">
        <v>11863.99</v>
      </c>
      <c r="AG27" s="298">
        <v>11863.99</v>
      </c>
      <c r="AH27" s="298">
        <v>11863.99</v>
      </c>
      <c r="AI27" s="298">
        <v>11863.99</v>
      </c>
      <c r="AJ27" s="298">
        <v>11863.99</v>
      </c>
      <c r="AK27" s="298">
        <v>11863.99</v>
      </c>
      <c r="AL27" s="298">
        <v>11863.99</v>
      </c>
      <c r="AM27" s="298">
        <v>816552.02</v>
      </c>
      <c r="AN27" s="298">
        <v>11863.99</v>
      </c>
      <c r="AO27" s="298">
        <v>11863.99</v>
      </c>
      <c r="AP27" s="298">
        <v>11863.99</v>
      </c>
      <c r="AQ27" s="298">
        <v>11863.99</v>
      </c>
      <c r="AR27" s="298">
        <v>11863.99</v>
      </c>
      <c r="AS27" s="298">
        <v>11863.99</v>
      </c>
      <c r="AT27" s="298">
        <v>11863.99</v>
      </c>
      <c r="AU27" s="298">
        <v>2064850.12</v>
      </c>
      <c r="AV27" s="298"/>
      <c r="AW27" s="298"/>
      <c r="AX27" s="298"/>
      <c r="AY27" s="298">
        <v>1031.6500000000001</v>
      </c>
      <c r="AZ27" s="298"/>
      <c r="BA27" s="298"/>
      <c r="BB27" s="298"/>
      <c r="BC27" s="298"/>
      <c r="BG27" s="10">
        <v>6.8965517241379318E-3</v>
      </c>
      <c r="BH27" s="501">
        <f t="shared" si="5"/>
        <v>21808.872510612211</v>
      </c>
      <c r="BL27" s="298">
        <v>86206.9</v>
      </c>
    </row>
    <row r="28" spans="2:64" ht="12.75" customHeight="1" thickBot="1" x14ac:dyDescent="0.25">
      <c r="H28" s="10"/>
      <c r="I28" s="10"/>
      <c r="J28" s="10"/>
      <c r="K28" s="10"/>
      <c r="L28" s="269"/>
      <c r="M28" s="270"/>
      <c r="N28" s="10"/>
      <c r="P28" s="299">
        <v>0</v>
      </c>
      <c r="Q28" s="299">
        <v>1278140.22</v>
      </c>
      <c r="R28" s="299">
        <v>0</v>
      </c>
      <c r="BG28" s="10">
        <v>6.8965517241379318E-3</v>
      </c>
      <c r="BH28" s="501">
        <f t="shared" si="5"/>
        <v>21808.872510612211</v>
      </c>
      <c r="BL28" s="298">
        <v>86206.9</v>
      </c>
    </row>
    <row r="29" spans="2:64" x14ac:dyDescent="0.25">
      <c r="BG29" s="10">
        <v>6.8965517241379318E-3</v>
      </c>
      <c r="BH29" s="501">
        <f t="shared" si="5"/>
        <v>21808.872510612211</v>
      </c>
      <c r="BL29" s="298">
        <v>86206.9</v>
      </c>
    </row>
    <row r="30" spans="2:64" x14ac:dyDescent="0.25">
      <c r="BG30" s="10">
        <v>6.8965517241379318E-3</v>
      </c>
      <c r="BH30" s="501">
        <f t="shared" si="5"/>
        <v>21808.872510612211</v>
      </c>
      <c r="BL30" s="298">
        <v>86206.9</v>
      </c>
    </row>
    <row r="31" spans="2:64" x14ac:dyDescent="0.25">
      <c r="BG31" s="10">
        <v>6.8965517241379318E-3</v>
      </c>
      <c r="BH31" s="501">
        <f t="shared" si="5"/>
        <v>21808.872510612211</v>
      </c>
      <c r="BL31" s="298">
        <v>86206.9</v>
      </c>
    </row>
    <row r="32" spans="2:64" x14ac:dyDescent="0.25">
      <c r="BG32" s="10">
        <v>6.8965517241379318E-3</v>
      </c>
      <c r="BH32" s="501">
        <f t="shared" si="5"/>
        <v>21808.872510612211</v>
      </c>
      <c r="BL32" s="298">
        <v>86206.9</v>
      </c>
    </row>
    <row r="33" spans="59:64" x14ac:dyDescent="0.25">
      <c r="BG33" s="10">
        <v>6.8965517241379318E-3</v>
      </c>
      <c r="BH33" s="501">
        <f t="shared" si="5"/>
        <v>21808.872510612211</v>
      </c>
      <c r="BL33" s="298">
        <v>86206.9</v>
      </c>
    </row>
    <row r="34" spans="59:64" x14ac:dyDescent="0.25">
      <c r="BG34" s="10">
        <v>6.8965517241379318E-3</v>
      </c>
      <c r="BH34" s="501">
        <f t="shared" si="5"/>
        <v>21808.872510612211</v>
      </c>
      <c r="BL34" s="298">
        <v>86206.9</v>
      </c>
    </row>
    <row r="35" spans="59:64" x14ac:dyDescent="0.25">
      <c r="BG35" s="10">
        <v>6.8965517241379318E-3</v>
      </c>
      <c r="BH35" s="501">
        <f t="shared" si="5"/>
        <v>21808.872510612211</v>
      </c>
      <c r="BL35" s="298">
        <v>86206.9</v>
      </c>
    </row>
    <row r="36" spans="59:64" x14ac:dyDescent="0.25">
      <c r="BG36" s="10">
        <v>6.8965517241379318E-3</v>
      </c>
      <c r="BH36" s="501">
        <f t="shared" si="5"/>
        <v>21808.872510612211</v>
      </c>
      <c r="BL36" s="298">
        <v>86206.9</v>
      </c>
    </row>
    <row r="37" spans="59:64" x14ac:dyDescent="0.25">
      <c r="BG37" s="10">
        <v>6.8965517241379318E-3</v>
      </c>
      <c r="BH37" s="501">
        <f t="shared" si="5"/>
        <v>21808.872510612211</v>
      </c>
      <c r="BL37" s="298">
        <v>86206.9</v>
      </c>
    </row>
    <row r="38" spans="59:64" x14ac:dyDescent="0.25">
      <c r="BG38" s="10">
        <v>6.8965517241379318E-3</v>
      </c>
      <c r="BH38" s="501">
        <f t="shared" si="5"/>
        <v>21808.872510612211</v>
      </c>
      <c r="BL38" s="298">
        <v>86206.9</v>
      </c>
    </row>
    <row r="39" spans="59:64" x14ac:dyDescent="0.25">
      <c r="BG39" s="10">
        <v>6.8965517241379318E-3</v>
      </c>
      <c r="BH39" s="501">
        <f t="shared" si="5"/>
        <v>21808.872510612211</v>
      </c>
      <c r="BL39" s="298">
        <v>86206.9</v>
      </c>
    </row>
    <row r="40" spans="59:64" x14ac:dyDescent="0.25">
      <c r="BG40" s="10">
        <v>6.8965517241379318E-3</v>
      </c>
      <c r="BH40" s="501">
        <f t="shared" si="5"/>
        <v>21808.872510612211</v>
      </c>
      <c r="BL40" s="298">
        <v>86206.9</v>
      </c>
    </row>
    <row r="41" spans="59:64" x14ac:dyDescent="0.25">
      <c r="BG41" s="10">
        <v>6.8965517241379318E-3</v>
      </c>
      <c r="BH41" s="501">
        <f t="shared" si="5"/>
        <v>21808.872510612211</v>
      </c>
      <c r="BL41" s="298">
        <v>86206.9</v>
      </c>
    </row>
    <row r="42" spans="59:64" x14ac:dyDescent="0.25">
      <c r="BG42" s="10">
        <v>6.8965517241379318E-3</v>
      </c>
      <c r="BH42" s="501">
        <f t="shared" si="5"/>
        <v>21808.872510612211</v>
      </c>
      <c r="BL42" s="298">
        <v>86206.9</v>
      </c>
    </row>
    <row r="43" spans="59:64" x14ac:dyDescent="0.25">
      <c r="BG43" s="10">
        <v>0</v>
      </c>
      <c r="BH43" s="501">
        <f t="shared" si="5"/>
        <v>0</v>
      </c>
      <c r="BL43" s="298"/>
    </row>
    <row r="44" spans="59:64" x14ac:dyDescent="0.25">
      <c r="BG44" s="10">
        <v>0</v>
      </c>
      <c r="BH44" s="501">
        <f t="shared" si="5"/>
        <v>0</v>
      </c>
      <c r="BL44" s="298"/>
    </row>
    <row r="45" spans="59:64" x14ac:dyDescent="0.25">
      <c r="BG45" s="10">
        <v>0.1875</v>
      </c>
      <c r="BH45" s="501">
        <f t="shared" si="5"/>
        <v>592928.7213822694</v>
      </c>
      <c r="BL45" s="298"/>
    </row>
    <row r="46" spans="59:64" x14ac:dyDescent="0.25">
      <c r="BG46" s="10">
        <v>0.1875</v>
      </c>
      <c r="BH46" s="501">
        <f t="shared" si="5"/>
        <v>592928.7213822694</v>
      </c>
      <c r="BL46" s="298"/>
    </row>
    <row r="47" spans="59:64" x14ac:dyDescent="0.25">
      <c r="BG47" s="10">
        <v>0.1875</v>
      </c>
      <c r="BH47" s="501">
        <f t="shared" si="5"/>
        <v>592928.7213822694</v>
      </c>
      <c r="BL47" s="298"/>
    </row>
    <row r="48" spans="59:64" x14ac:dyDescent="0.25">
      <c r="BG48" s="10">
        <v>0.1875</v>
      </c>
      <c r="BH48" s="501">
        <f t="shared" si="5"/>
        <v>592928.7213822694</v>
      </c>
      <c r="BL48" s="298"/>
    </row>
    <row r="49" spans="64:64" x14ac:dyDescent="0.25">
      <c r="BL49" s="298"/>
    </row>
    <row r="50" spans="64:64" x14ac:dyDescent="0.25">
      <c r="BL50" s="298">
        <v>1000</v>
      </c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B1:M22"/>
  <sheetViews>
    <sheetView showGridLines="0" zoomScaleNormal="100" workbookViewId="0">
      <selection activeCell="L9" sqref="L9"/>
    </sheetView>
  </sheetViews>
  <sheetFormatPr defaultRowHeight="12" x14ac:dyDescent="0.2"/>
  <cols>
    <col min="1" max="1" width="3.7109375" style="10" customWidth="1"/>
    <col min="2" max="2" width="10.85546875" style="10" bestFit="1" customWidth="1"/>
    <col min="3" max="3" width="7.28515625" style="10" bestFit="1" customWidth="1"/>
    <col min="4" max="4" width="8.85546875" style="10" bestFit="1" customWidth="1"/>
    <col min="5" max="5" width="10.85546875" style="10" bestFit="1" customWidth="1"/>
    <col min="6" max="6" width="11.28515625" style="10" bestFit="1" customWidth="1"/>
    <col min="7" max="7" width="3.7109375" style="10" customWidth="1"/>
    <col min="8" max="10" width="9.140625" style="10" customWidth="1"/>
    <col min="11" max="11" width="30.7109375" style="10" bestFit="1" customWidth="1"/>
    <col min="12" max="12" width="11.28515625" style="10" bestFit="1" customWidth="1"/>
    <col min="13" max="210" width="9.140625" style="10" customWidth="1"/>
    <col min="211" max="211" width="8.85546875" style="10" customWidth="1"/>
    <col min="212" max="212" width="32.7109375" style="10" bestFit="1" customWidth="1"/>
    <col min="213" max="213" width="7" style="10" bestFit="1" customWidth="1"/>
    <col min="214" max="214" width="30" style="10" bestFit="1" customWidth="1"/>
    <col min="215" max="215" width="10.5703125" style="10" bestFit="1" customWidth="1"/>
    <col min="216" max="216" width="14.140625" style="10" bestFit="1" customWidth="1"/>
    <col min="217" max="217" width="12.7109375" style="10" bestFit="1" customWidth="1"/>
    <col min="218" max="218" width="5.85546875" style="10" bestFit="1" customWidth="1"/>
    <col min="219" max="219" width="11.28515625" style="10" bestFit="1" customWidth="1"/>
    <col min="220" max="220" width="17.85546875" style="10" bestFit="1" customWidth="1"/>
    <col min="221" max="224" width="8.7109375" style="10" bestFit="1" customWidth="1"/>
    <col min="225" max="259" width="7.85546875" style="10" bestFit="1" customWidth="1"/>
    <col min="260" max="466" width="9.140625" style="10" customWidth="1"/>
    <col min="467" max="467" width="8.85546875" style="10" customWidth="1"/>
    <col min="468" max="468" width="32.7109375" style="10" bestFit="1" customWidth="1"/>
    <col min="469" max="469" width="7" style="10" bestFit="1" customWidth="1"/>
    <col min="470" max="470" width="30" style="10" bestFit="1" customWidth="1"/>
    <col min="471" max="471" width="10.5703125" style="10" bestFit="1" customWidth="1"/>
    <col min="472" max="472" width="14.140625" style="10" bestFit="1" customWidth="1"/>
    <col min="473" max="473" width="12.7109375" style="10" bestFit="1" customWidth="1"/>
    <col min="474" max="474" width="5.85546875" style="10" bestFit="1" customWidth="1"/>
    <col min="475" max="475" width="11.28515625" style="10" bestFit="1" customWidth="1"/>
    <col min="476" max="476" width="17.85546875" style="10" bestFit="1" customWidth="1"/>
    <col min="477" max="480" width="8.7109375" style="10" bestFit="1" customWidth="1"/>
    <col min="481" max="515" width="7.85546875" style="10" bestFit="1" customWidth="1"/>
    <col min="516" max="722" width="9.140625" style="10" customWidth="1"/>
    <col min="723" max="723" width="8.85546875" style="10" customWidth="1"/>
    <col min="724" max="724" width="32.7109375" style="10" bestFit="1" customWidth="1"/>
    <col min="725" max="725" width="7" style="10" bestFit="1" customWidth="1"/>
    <col min="726" max="726" width="30" style="10" bestFit="1" customWidth="1"/>
    <col min="727" max="727" width="10.5703125" style="10" bestFit="1" customWidth="1"/>
    <col min="728" max="728" width="14.140625" style="10" bestFit="1" customWidth="1"/>
    <col min="729" max="729" width="12.7109375" style="10" bestFit="1" customWidth="1"/>
    <col min="730" max="730" width="5.85546875" style="10" bestFit="1" customWidth="1"/>
    <col min="731" max="731" width="11.28515625" style="10" bestFit="1" customWidth="1"/>
    <col min="732" max="732" width="17.85546875" style="10" bestFit="1" customWidth="1"/>
    <col min="733" max="736" width="8.7109375" style="10" bestFit="1" customWidth="1"/>
    <col min="737" max="771" width="7.85546875" style="10" bestFit="1" customWidth="1"/>
    <col min="772" max="978" width="9.140625" style="10" customWidth="1"/>
    <col min="979" max="979" width="8.85546875" style="10" customWidth="1"/>
    <col min="980" max="980" width="32.7109375" style="10" bestFit="1" customWidth="1"/>
    <col min="981" max="981" width="7" style="10" bestFit="1" customWidth="1"/>
    <col min="982" max="982" width="30" style="10" bestFit="1" customWidth="1"/>
    <col min="983" max="983" width="10.5703125" style="10" bestFit="1" customWidth="1"/>
    <col min="984" max="984" width="14.140625" style="10" bestFit="1" customWidth="1"/>
    <col min="985" max="985" width="12.7109375" style="10" bestFit="1" customWidth="1"/>
    <col min="986" max="986" width="5.85546875" style="10" bestFit="1" customWidth="1"/>
    <col min="987" max="987" width="11.28515625" style="10" bestFit="1" customWidth="1"/>
    <col min="988" max="988" width="17.85546875" style="10" bestFit="1" customWidth="1"/>
    <col min="989" max="992" width="8.7109375" style="10" bestFit="1" customWidth="1"/>
    <col min="993" max="1027" width="7.85546875" style="10" bestFit="1" customWidth="1"/>
    <col min="1028" max="1234" width="9.140625" style="10" customWidth="1"/>
    <col min="1235" max="1235" width="8.85546875" style="10" customWidth="1"/>
    <col min="1236" max="1236" width="32.7109375" style="10" bestFit="1" customWidth="1"/>
    <col min="1237" max="1237" width="7" style="10" bestFit="1" customWidth="1"/>
    <col min="1238" max="1238" width="30" style="10" bestFit="1" customWidth="1"/>
    <col min="1239" max="1239" width="10.5703125" style="10" bestFit="1" customWidth="1"/>
    <col min="1240" max="1240" width="14.140625" style="10" bestFit="1" customWidth="1"/>
    <col min="1241" max="1241" width="12.7109375" style="10" bestFit="1" customWidth="1"/>
    <col min="1242" max="1242" width="5.85546875" style="10" bestFit="1" customWidth="1"/>
    <col min="1243" max="1243" width="11.28515625" style="10" bestFit="1" customWidth="1"/>
    <col min="1244" max="1244" width="17.85546875" style="10" bestFit="1" customWidth="1"/>
    <col min="1245" max="1248" width="8.7109375" style="10" bestFit="1" customWidth="1"/>
    <col min="1249" max="1283" width="7.85546875" style="10" bestFit="1" customWidth="1"/>
    <col min="1284" max="1490" width="9.140625" style="10" customWidth="1"/>
    <col min="1491" max="1491" width="8.85546875" style="10" customWidth="1"/>
    <col min="1492" max="1492" width="32.7109375" style="10" bestFit="1" customWidth="1"/>
    <col min="1493" max="1493" width="7" style="10" bestFit="1" customWidth="1"/>
    <col min="1494" max="1494" width="30" style="10" bestFit="1" customWidth="1"/>
    <col min="1495" max="1495" width="10.5703125" style="10" bestFit="1" customWidth="1"/>
    <col min="1496" max="1496" width="14.140625" style="10" bestFit="1" customWidth="1"/>
    <col min="1497" max="1497" width="12.7109375" style="10" bestFit="1" customWidth="1"/>
    <col min="1498" max="1498" width="5.85546875" style="10" bestFit="1" customWidth="1"/>
    <col min="1499" max="1499" width="11.28515625" style="10" bestFit="1" customWidth="1"/>
    <col min="1500" max="1500" width="17.85546875" style="10" bestFit="1" customWidth="1"/>
    <col min="1501" max="1504" width="8.7109375" style="10" bestFit="1" customWidth="1"/>
    <col min="1505" max="1539" width="7.85546875" style="10" bestFit="1" customWidth="1"/>
    <col min="1540" max="1746" width="9.140625" style="10" customWidth="1"/>
    <col min="1747" max="1747" width="8.85546875" style="10" customWidth="1"/>
    <col min="1748" max="1748" width="32.7109375" style="10" bestFit="1" customWidth="1"/>
    <col min="1749" max="1749" width="7" style="10" bestFit="1" customWidth="1"/>
    <col min="1750" max="1750" width="30" style="10" bestFit="1" customWidth="1"/>
    <col min="1751" max="1751" width="10.5703125" style="10" bestFit="1" customWidth="1"/>
    <col min="1752" max="1752" width="14.140625" style="10" bestFit="1" customWidth="1"/>
    <col min="1753" max="1753" width="12.7109375" style="10" bestFit="1" customWidth="1"/>
    <col min="1754" max="1754" width="5.85546875" style="10" bestFit="1" customWidth="1"/>
    <col min="1755" max="1755" width="11.28515625" style="10" bestFit="1" customWidth="1"/>
    <col min="1756" max="1756" width="17.85546875" style="10" bestFit="1" customWidth="1"/>
    <col min="1757" max="1760" width="8.7109375" style="10" bestFit="1" customWidth="1"/>
    <col min="1761" max="1795" width="7.85546875" style="10" bestFit="1" customWidth="1"/>
    <col min="1796" max="2002" width="9.140625" style="10" customWidth="1"/>
    <col min="2003" max="2003" width="8.85546875" style="10" customWidth="1"/>
    <col min="2004" max="2004" width="32.7109375" style="10" bestFit="1" customWidth="1"/>
    <col min="2005" max="2005" width="7" style="10" bestFit="1" customWidth="1"/>
    <col min="2006" max="2006" width="30" style="10" bestFit="1" customWidth="1"/>
    <col min="2007" max="2007" width="10.5703125" style="10" bestFit="1" customWidth="1"/>
    <col min="2008" max="2008" width="14.140625" style="10" bestFit="1" customWidth="1"/>
    <col min="2009" max="2009" width="12.7109375" style="10" bestFit="1" customWidth="1"/>
    <col min="2010" max="2010" width="5.85546875" style="10" bestFit="1" customWidth="1"/>
    <col min="2011" max="2011" width="11.28515625" style="10" bestFit="1" customWidth="1"/>
    <col min="2012" max="2012" width="17.85546875" style="10" bestFit="1" customWidth="1"/>
    <col min="2013" max="2016" width="8.7109375" style="10" bestFit="1" customWidth="1"/>
    <col min="2017" max="2051" width="7.85546875" style="10" bestFit="1" customWidth="1"/>
    <col min="2052" max="2258" width="9.140625" style="10" customWidth="1"/>
    <col min="2259" max="2259" width="8.85546875" style="10" customWidth="1"/>
    <col min="2260" max="2260" width="32.7109375" style="10" bestFit="1" customWidth="1"/>
    <col min="2261" max="2261" width="7" style="10" bestFit="1" customWidth="1"/>
    <col min="2262" max="2262" width="30" style="10" bestFit="1" customWidth="1"/>
    <col min="2263" max="2263" width="10.5703125" style="10" bestFit="1" customWidth="1"/>
    <col min="2264" max="2264" width="14.140625" style="10" bestFit="1" customWidth="1"/>
    <col min="2265" max="2265" width="12.7109375" style="10" bestFit="1" customWidth="1"/>
    <col min="2266" max="2266" width="5.85546875" style="10" bestFit="1" customWidth="1"/>
    <col min="2267" max="2267" width="11.28515625" style="10" bestFit="1" customWidth="1"/>
    <col min="2268" max="2268" width="17.85546875" style="10" bestFit="1" customWidth="1"/>
    <col min="2269" max="2272" width="8.7109375" style="10" bestFit="1" customWidth="1"/>
    <col min="2273" max="2307" width="7.85546875" style="10" bestFit="1" customWidth="1"/>
    <col min="2308" max="2514" width="9.140625" style="10" customWidth="1"/>
    <col min="2515" max="2515" width="8.85546875" style="10" customWidth="1"/>
    <col min="2516" max="2516" width="32.7109375" style="10" bestFit="1" customWidth="1"/>
    <col min="2517" max="2517" width="7" style="10" bestFit="1" customWidth="1"/>
    <col min="2518" max="2518" width="30" style="10" bestFit="1" customWidth="1"/>
    <col min="2519" max="2519" width="10.5703125" style="10" bestFit="1" customWidth="1"/>
    <col min="2520" max="2520" width="14.140625" style="10" bestFit="1" customWidth="1"/>
    <col min="2521" max="2521" width="12.7109375" style="10" bestFit="1" customWidth="1"/>
    <col min="2522" max="2522" width="5.85546875" style="10" bestFit="1" customWidth="1"/>
    <col min="2523" max="2523" width="11.28515625" style="10" bestFit="1" customWidth="1"/>
    <col min="2524" max="2524" width="17.85546875" style="10" bestFit="1" customWidth="1"/>
    <col min="2525" max="2528" width="8.7109375" style="10" bestFit="1" customWidth="1"/>
    <col min="2529" max="2563" width="7.85546875" style="10" bestFit="1" customWidth="1"/>
    <col min="2564" max="2770" width="9.140625" style="10" customWidth="1"/>
    <col min="2771" max="2771" width="8.85546875" style="10" customWidth="1"/>
    <col min="2772" max="2772" width="32.7109375" style="10" bestFit="1" customWidth="1"/>
    <col min="2773" max="2773" width="7" style="10" bestFit="1" customWidth="1"/>
    <col min="2774" max="2774" width="30" style="10" bestFit="1" customWidth="1"/>
    <col min="2775" max="2775" width="10.5703125" style="10" bestFit="1" customWidth="1"/>
    <col min="2776" max="2776" width="14.140625" style="10" bestFit="1" customWidth="1"/>
    <col min="2777" max="2777" width="12.7109375" style="10" bestFit="1" customWidth="1"/>
    <col min="2778" max="2778" width="5.85546875" style="10" bestFit="1" customWidth="1"/>
    <col min="2779" max="2779" width="11.28515625" style="10" bestFit="1" customWidth="1"/>
    <col min="2780" max="2780" width="17.85546875" style="10" bestFit="1" customWidth="1"/>
    <col min="2781" max="2784" width="8.7109375" style="10" bestFit="1" customWidth="1"/>
    <col min="2785" max="2819" width="7.85546875" style="10" bestFit="1" customWidth="1"/>
    <col min="2820" max="3026" width="9.140625" style="10" customWidth="1"/>
    <col min="3027" max="3027" width="8.85546875" style="10" customWidth="1"/>
    <col min="3028" max="3028" width="32.7109375" style="10" bestFit="1" customWidth="1"/>
    <col min="3029" max="3029" width="7" style="10" bestFit="1" customWidth="1"/>
    <col min="3030" max="3030" width="30" style="10" bestFit="1" customWidth="1"/>
    <col min="3031" max="3031" width="10.5703125" style="10" bestFit="1" customWidth="1"/>
    <col min="3032" max="3032" width="14.140625" style="10" bestFit="1" customWidth="1"/>
    <col min="3033" max="3033" width="12.7109375" style="10" bestFit="1" customWidth="1"/>
    <col min="3034" max="3034" width="5.85546875" style="10" bestFit="1" customWidth="1"/>
    <col min="3035" max="3035" width="11.28515625" style="10" bestFit="1" customWidth="1"/>
    <col min="3036" max="3036" width="17.85546875" style="10" bestFit="1" customWidth="1"/>
    <col min="3037" max="3040" width="8.7109375" style="10" bestFit="1" customWidth="1"/>
    <col min="3041" max="3075" width="7.85546875" style="10" bestFit="1" customWidth="1"/>
    <col min="3076" max="3282" width="9.140625" style="10" customWidth="1"/>
    <col min="3283" max="3283" width="8.85546875" style="10" customWidth="1"/>
    <col min="3284" max="3284" width="32.7109375" style="10" bestFit="1" customWidth="1"/>
    <col min="3285" max="3285" width="7" style="10" bestFit="1" customWidth="1"/>
    <col min="3286" max="3286" width="30" style="10" bestFit="1" customWidth="1"/>
    <col min="3287" max="3287" width="10.5703125" style="10" bestFit="1" customWidth="1"/>
    <col min="3288" max="3288" width="14.140625" style="10" bestFit="1" customWidth="1"/>
    <col min="3289" max="3289" width="12.7109375" style="10" bestFit="1" customWidth="1"/>
    <col min="3290" max="3290" width="5.85546875" style="10" bestFit="1" customWidth="1"/>
    <col min="3291" max="3291" width="11.28515625" style="10" bestFit="1" customWidth="1"/>
    <col min="3292" max="3292" width="17.85546875" style="10" bestFit="1" customWidth="1"/>
    <col min="3293" max="3296" width="8.7109375" style="10" bestFit="1" customWidth="1"/>
    <col min="3297" max="3331" width="7.85546875" style="10" bestFit="1" customWidth="1"/>
    <col min="3332" max="3538" width="9.140625" style="10" customWidth="1"/>
    <col min="3539" max="3539" width="8.85546875" style="10" customWidth="1"/>
    <col min="3540" max="3540" width="32.7109375" style="10" bestFit="1" customWidth="1"/>
    <col min="3541" max="3541" width="7" style="10" bestFit="1" customWidth="1"/>
    <col min="3542" max="3542" width="30" style="10" bestFit="1" customWidth="1"/>
    <col min="3543" max="3543" width="10.5703125" style="10" bestFit="1" customWidth="1"/>
    <col min="3544" max="3544" width="14.140625" style="10" bestFit="1" customWidth="1"/>
    <col min="3545" max="3545" width="12.7109375" style="10" bestFit="1" customWidth="1"/>
    <col min="3546" max="3546" width="5.85546875" style="10" bestFit="1" customWidth="1"/>
    <col min="3547" max="3547" width="11.28515625" style="10" bestFit="1" customWidth="1"/>
    <col min="3548" max="3548" width="17.85546875" style="10" bestFit="1" customWidth="1"/>
    <col min="3549" max="3552" width="8.7109375" style="10" bestFit="1" customWidth="1"/>
    <col min="3553" max="3587" width="7.85546875" style="10" bestFit="1" customWidth="1"/>
    <col min="3588" max="3794" width="9.140625" style="10" customWidth="1"/>
    <col min="3795" max="3795" width="8.85546875" style="10" customWidth="1"/>
    <col min="3796" max="3796" width="32.7109375" style="10" bestFit="1" customWidth="1"/>
    <col min="3797" max="3797" width="7" style="10" bestFit="1" customWidth="1"/>
    <col min="3798" max="3798" width="30" style="10" bestFit="1" customWidth="1"/>
    <col min="3799" max="3799" width="10.5703125" style="10" bestFit="1" customWidth="1"/>
    <col min="3800" max="3800" width="14.140625" style="10" bestFit="1" customWidth="1"/>
    <col min="3801" max="3801" width="12.7109375" style="10" bestFit="1" customWidth="1"/>
    <col min="3802" max="3802" width="5.85546875" style="10" bestFit="1" customWidth="1"/>
    <col min="3803" max="3803" width="11.28515625" style="10" bestFit="1" customWidth="1"/>
    <col min="3804" max="3804" width="17.85546875" style="10" bestFit="1" customWidth="1"/>
    <col min="3805" max="3808" width="8.7109375" style="10" bestFit="1" customWidth="1"/>
    <col min="3809" max="3843" width="7.85546875" style="10" bestFit="1" customWidth="1"/>
    <col min="3844" max="4050" width="9.140625" style="10" customWidth="1"/>
    <col min="4051" max="4051" width="8.85546875" style="10" customWidth="1"/>
    <col min="4052" max="4052" width="32.7109375" style="10" bestFit="1" customWidth="1"/>
    <col min="4053" max="4053" width="7" style="10" bestFit="1" customWidth="1"/>
    <col min="4054" max="4054" width="30" style="10" bestFit="1" customWidth="1"/>
    <col min="4055" max="4055" width="10.5703125" style="10" bestFit="1" customWidth="1"/>
    <col min="4056" max="4056" width="14.140625" style="10" bestFit="1" customWidth="1"/>
    <col min="4057" max="4057" width="12.7109375" style="10" bestFit="1" customWidth="1"/>
    <col min="4058" max="4058" width="5.85546875" style="10" bestFit="1" customWidth="1"/>
    <col min="4059" max="4059" width="11.28515625" style="10" bestFit="1" customWidth="1"/>
    <col min="4060" max="4060" width="17.85546875" style="10" bestFit="1" customWidth="1"/>
    <col min="4061" max="4064" width="8.7109375" style="10" bestFit="1" customWidth="1"/>
    <col min="4065" max="4099" width="7.85546875" style="10" bestFit="1" customWidth="1"/>
    <col min="4100" max="4306" width="9.140625" style="10" customWidth="1"/>
    <col min="4307" max="4307" width="8.85546875" style="10" customWidth="1"/>
    <col min="4308" max="4308" width="32.7109375" style="10" bestFit="1" customWidth="1"/>
    <col min="4309" max="4309" width="7" style="10" bestFit="1" customWidth="1"/>
    <col min="4310" max="4310" width="30" style="10" bestFit="1" customWidth="1"/>
    <col min="4311" max="4311" width="10.5703125" style="10" bestFit="1" customWidth="1"/>
    <col min="4312" max="4312" width="14.140625" style="10" bestFit="1" customWidth="1"/>
    <col min="4313" max="4313" width="12.7109375" style="10" bestFit="1" customWidth="1"/>
    <col min="4314" max="4314" width="5.85546875" style="10" bestFit="1" customWidth="1"/>
    <col min="4315" max="4315" width="11.28515625" style="10" bestFit="1" customWidth="1"/>
    <col min="4316" max="4316" width="17.85546875" style="10" bestFit="1" customWidth="1"/>
    <col min="4317" max="4320" width="8.7109375" style="10" bestFit="1" customWidth="1"/>
    <col min="4321" max="4355" width="7.85546875" style="10" bestFit="1" customWidth="1"/>
    <col min="4356" max="4562" width="9.140625" style="10" customWidth="1"/>
    <col min="4563" max="4563" width="8.85546875" style="10" customWidth="1"/>
    <col min="4564" max="4564" width="32.7109375" style="10" bestFit="1" customWidth="1"/>
    <col min="4565" max="4565" width="7" style="10" bestFit="1" customWidth="1"/>
    <col min="4566" max="4566" width="30" style="10" bestFit="1" customWidth="1"/>
    <col min="4567" max="4567" width="10.5703125" style="10" bestFit="1" customWidth="1"/>
    <col min="4568" max="4568" width="14.140625" style="10" bestFit="1" customWidth="1"/>
    <col min="4569" max="4569" width="12.7109375" style="10" bestFit="1" customWidth="1"/>
    <col min="4570" max="4570" width="5.85546875" style="10" bestFit="1" customWidth="1"/>
    <col min="4571" max="4571" width="11.28515625" style="10" bestFit="1" customWidth="1"/>
    <col min="4572" max="4572" width="17.85546875" style="10" bestFit="1" customWidth="1"/>
    <col min="4573" max="4576" width="8.7109375" style="10" bestFit="1" customWidth="1"/>
    <col min="4577" max="4611" width="7.85546875" style="10" bestFit="1" customWidth="1"/>
    <col min="4612" max="4818" width="9.140625" style="10" customWidth="1"/>
    <col min="4819" max="4819" width="8.85546875" style="10" customWidth="1"/>
    <col min="4820" max="4820" width="32.7109375" style="10" bestFit="1" customWidth="1"/>
    <col min="4821" max="4821" width="7" style="10" bestFit="1" customWidth="1"/>
    <col min="4822" max="4822" width="30" style="10" bestFit="1" customWidth="1"/>
    <col min="4823" max="4823" width="10.5703125" style="10" bestFit="1" customWidth="1"/>
    <col min="4824" max="4824" width="14.140625" style="10" bestFit="1" customWidth="1"/>
    <col min="4825" max="4825" width="12.7109375" style="10" bestFit="1" customWidth="1"/>
    <col min="4826" max="4826" width="5.85546875" style="10" bestFit="1" customWidth="1"/>
    <col min="4827" max="4827" width="11.28515625" style="10" bestFit="1" customWidth="1"/>
    <col min="4828" max="4828" width="17.85546875" style="10" bestFit="1" customWidth="1"/>
    <col min="4829" max="4832" width="8.7109375" style="10" bestFit="1" customWidth="1"/>
    <col min="4833" max="4867" width="7.85546875" style="10" bestFit="1" customWidth="1"/>
    <col min="4868" max="5074" width="9.140625" style="10" customWidth="1"/>
    <col min="5075" max="5075" width="8.85546875" style="10" customWidth="1"/>
    <col min="5076" max="5076" width="32.7109375" style="10" bestFit="1" customWidth="1"/>
    <col min="5077" max="5077" width="7" style="10" bestFit="1" customWidth="1"/>
    <col min="5078" max="5078" width="30" style="10" bestFit="1" customWidth="1"/>
    <col min="5079" max="5079" width="10.5703125" style="10" bestFit="1" customWidth="1"/>
    <col min="5080" max="5080" width="14.140625" style="10" bestFit="1" customWidth="1"/>
    <col min="5081" max="5081" width="12.7109375" style="10" bestFit="1" customWidth="1"/>
    <col min="5082" max="5082" width="5.85546875" style="10" bestFit="1" customWidth="1"/>
    <col min="5083" max="5083" width="11.28515625" style="10" bestFit="1" customWidth="1"/>
    <col min="5084" max="5084" width="17.85546875" style="10" bestFit="1" customWidth="1"/>
    <col min="5085" max="5088" width="8.7109375" style="10" bestFit="1" customWidth="1"/>
    <col min="5089" max="5123" width="7.85546875" style="10" bestFit="1" customWidth="1"/>
    <col min="5124" max="5330" width="9.140625" style="10" customWidth="1"/>
    <col min="5331" max="5331" width="8.85546875" style="10" customWidth="1"/>
    <col min="5332" max="5332" width="32.7109375" style="10" bestFit="1" customWidth="1"/>
    <col min="5333" max="5333" width="7" style="10" bestFit="1" customWidth="1"/>
    <col min="5334" max="5334" width="30" style="10" bestFit="1" customWidth="1"/>
    <col min="5335" max="5335" width="10.5703125" style="10" bestFit="1" customWidth="1"/>
    <col min="5336" max="5336" width="14.140625" style="10" bestFit="1" customWidth="1"/>
    <col min="5337" max="5337" width="12.7109375" style="10" bestFit="1" customWidth="1"/>
    <col min="5338" max="5338" width="5.85546875" style="10" bestFit="1" customWidth="1"/>
    <col min="5339" max="5339" width="11.28515625" style="10" bestFit="1" customWidth="1"/>
    <col min="5340" max="5340" width="17.85546875" style="10" bestFit="1" customWidth="1"/>
    <col min="5341" max="5344" width="8.7109375" style="10" bestFit="1" customWidth="1"/>
    <col min="5345" max="5379" width="7.85546875" style="10" bestFit="1" customWidth="1"/>
    <col min="5380" max="5586" width="9.140625" style="10" customWidth="1"/>
    <col min="5587" max="5587" width="8.85546875" style="10" customWidth="1"/>
    <col min="5588" max="5588" width="32.7109375" style="10" bestFit="1" customWidth="1"/>
    <col min="5589" max="5589" width="7" style="10" bestFit="1" customWidth="1"/>
    <col min="5590" max="5590" width="30" style="10" bestFit="1" customWidth="1"/>
    <col min="5591" max="5591" width="10.5703125" style="10" bestFit="1" customWidth="1"/>
    <col min="5592" max="5592" width="14.140625" style="10" bestFit="1" customWidth="1"/>
    <col min="5593" max="5593" width="12.7109375" style="10" bestFit="1" customWidth="1"/>
    <col min="5594" max="5594" width="5.85546875" style="10" bestFit="1" customWidth="1"/>
    <col min="5595" max="5595" width="11.28515625" style="10" bestFit="1" customWidth="1"/>
    <col min="5596" max="5596" width="17.85546875" style="10" bestFit="1" customWidth="1"/>
    <col min="5597" max="5600" width="8.7109375" style="10" bestFit="1" customWidth="1"/>
    <col min="5601" max="5635" width="7.85546875" style="10" bestFit="1" customWidth="1"/>
    <col min="5636" max="5842" width="9.140625" style="10" customWidth="1"/>
    <col min="5843" max="5843" width="8.85546875" style="10" customWidth="1"/>
    <col min="5844" max="5844" width="32.7109375" style="10" bestFit="1" customWidth="1"/>
    <col min="5845" max="5845" width="7" style="10" bestFit="1" customWidth="1"/>
    <col min="5846" max="5846" width="30" style="10" bestFit="1" customWidth="1"/>
    <col min="5847" max="5847" width="10.5703125" style="10" bestFit="1" customWidth="1"/>
    <col min="5848" max="5848" width="14.140625" style="10" bestFit="1" customWidth="1"/>
    <col min="5849" max="5849" width="12.7109375" style="10" bestFit="1" customWidth="1"/>
    <col min="5850" max="5850" width="5.85546875" style="10" bestFit="1" customWidth="1"/>
    <col min="5851" max="5851" width="11.28515625" style="10" bestFit="1" customWidth="1"/>
    <col min="5852" max="5852" width="17.85546875" style="10" bestFit="1" customWidth="1"/>
    <col min="5853" max="5856" width="8.7109375" style="10" bestFit="1" customWidth="1"/>
    <col min="5857" max="5891" width="7.85546875" style="10" bestFit="1" customWidth="1"/>
    <col min="5892" max="6098" width="9.140625" style="10" customWidth="1"/>
    <col min="6099" max="6099" width="8.85546875" style="10" customWidth="1"/>
    <col min="6100" max="6100" width="32.7109375" style="10" bestFit="1" customWidth="1"/>
    <col min="6101" max="6101" width="7" style="10" bestFit="1" customWidth="1"/>
    <col min="6102" max="6102" width="30" style="10" bestFit="1" customWidth="1"/>
    <col min="6103" max="6103" width="10.5703125" style="10" bestFit="1" customWidth="1"/>
    <col min="6104" max="6104" width="14.140625" style="10" bestFit="1" customWidth="1"/>
    <col min="6105" max="6105" width="12.7109375" style="10" bestFit="1" customWidth="1"/>
    <col min="6106" max="6106" width="5.85546875" style="10" bestFit="1" customWidth="1"/>
    <col min="6107" max="6107" width="11.28515625" style="10" bestFit="1" customWidth="1"/>
    <col min="6108" max="6108" width="17.85546875" style="10" bestFit="1" customWidth="1"/>
    <col min="6109" max="6112" width="8.7109375" style="10" bestFit="1" customWidth="1"/>
    <col min="6113" max="6147" width="7.85546875" style="10" bestFit="1" customWidth="1"/>
    <col min="6148" max="6354" width="9.140625" style="10" customWidth="1"/>
    <col min="6355" max="6355" width="8.85546875" style="10" customWidth="1"/>
    <col min="6356" max="6356" width="32.7109375" style="10" bestFit="1" customWidth="1"/>
    <col min="6357" max="6357" width="7" style="10" bestFit="1" customWidth="1"/>
    <col min="6358" max="6358" width="30" style="10" bestFit="1" customWidth="1"/>
    <col min="6359" max="6359" width="10.5703125" style="10" bestFit="1" customWidth="1"/>
    <col min="6360" max="6360" width="14.140625" style="10" bestFit="1" customWidth="1"/>
    <col min="6361" max="6361" width="12.7109375" style="10" bestFit="1" customWidth="1"/>
    <col min="6362" max="6362" width="5.85546875" style="10" bestFit="1" customWidth="1"/>
    <col min="6363" max="6363" width="11.28515625" style="10" bestFit="1" customWidth="1"/>
    <col min="6364" max="6364" width="17.85546875" style="10" bestFit="1" customWidth="1"/>
    <col min="6365" max="6368" width="8.7109375" style="10" bestFit="1" customWidth="1"/>
    <col min="6369" max="6403" width="7.85546875" style="10" bestFit="1" customWidth="1"/>
    <col min="6404" max="6610" width="9.140625" style="10" customWidth="1"/>
    <col min="6611" max="6611" width="8.85546875" style="10" customWidth="1"/>
    <col min="6612" max="6612" width="32.7109375" style="10" bestFit="1" customWidth="1"/>
    <col min="6613" max="6613" width="7" style="10" bestFit="1" customWidth="1"/>
    <col min="6614" max="6614" width="30" style="10" bestFit="1" customWidth="1"/>
    <col min="6615" max="6615" width="10.5703125" style="10" bestFit="1" customWidth="1"/>
    <col min="6616" max="6616" width="14.140625" style="10" bestFit="1" customWidth="1"/>
    <col min="6617" max="6617" width="12.7109375" style="10" bestFit="1" customWidth="1"/>
    <col min="6618" max="6618" width="5.85546875" style="10" bestFit="1" customWidth="1"/>
    <col min="6619" max="6619" width="11.28515625" style="10" bestFit="1" customWidth="1"/>
    <col min="6620" max="6620" width="17.85546875" style="10" bestFit="1" customWidth="1"/>
    <col min="6621" max="6624" width="8.7109375" style="10" bestFit="1" customWidth="1"/>
    <col min="6625" max="6659" width="7.85546875" style="10" bestFit="1" customWidth="1"/>
    <col min="6660" max="6866" width="9.140625" style="10" customWidth="1"/>
    <col min="6867" max="6867" width="8.85546875" style="10" customWidth="1"/>
    <col min="6868" max="6868" width="32.7109375" style="10" bestFit="1" customWidth="1"/>
    <col min="6869" max="6869" width="7" style="10" bestFit="1" customWidth="1"/>
    <col min="6870" max="6870" width="30" style="10" bestFit="1" customWidth="1"/>
    <col min="6871" max="6871" width="10.5703125" style="10" bestFit="1" customWidth="1"/>
    <col min="6872" max="6872" width="14.140625" style="10" bestFit="1" customWidth="1"/>
    <col min="6873" max="6873" width="12.7109375" style="10" bestFit="1" customWidth="1"/>
    <col min="6874" max="6874" width="5.85546875" style="10" bestFit="1" customWidth="1"/>
    <col min="6875" max="6875" width="11.28515625" style="10" bestFit="1" customWidth="1"/>
    <col min="6876" max="6876" width="17.85546875" style="10" bestFit="1" customWidth="1"/>
    <col min="6877" max="6880" width="8.7109375" style="10" bestFit="1" customWidth="1"/>
    <col min="6881" max="6915" width="7.85546875" style="10" bestFit="1" customWidth="1"/>
    <col min="6916" max="7122" width="9.140625" style="10" customWidth="1"/>
    <col min="7123" max="7123" width="8.85546875" style="10" customWidth="1"/>
    <col min="7124" max="7124" width="32.7109375" style="10" bestFit="1" customWidth="1"/>
    <col min="7125" max="7125" width="7" style="10" bestFit="1" customWidth="1"/>
    <col min="7126" max="7126" width="30" style="10" bestFit="1" customWidth="1"/>
    <col min="7127" max="7127" width="10.5703125" style="10" bestFit="1" customWidth="1"/>
    <col min="7128" max="7128" width="14.140625" style="10" bestFit="1" customWidth="1"/>
    <col min="7129" max="7129" width="12.7109375" style="10" bestFit="1" customWidth="1"/>
    <col min="7130" max="7130" width="5.85546875" style="10" bestFit="1" customWidth="1"/>
    <col min="7131" max="7131" width="11.28515625" style="10" bestFit="1" customWidth="1"/>
    <col min="7132" max="7132" width="17.85546875" style="10" bestFit="1" customWidth="1"/>
    <col min="7133" max="7136" width="8.7109375" style="10" bestFit="1" customWidth="1"/>
    <col min="7137" max="7171" width="7.85546875" style="10" bestFit="1" customWidth="1"/>
    <col min="7172" max="7378" width="9.140625" style="10" customWidth="1"/>
    <col min="7379" max="7379" width="8.85546875" style="10" customWidth="1"/>
    <col min="7380" max="7380" width="32.7109375" style="10" bestFit="1" customWidth="1"/>
    <col min="7381" max="7381" width="7" style="10" bestFit="1" customWidth="1"/>
    <col min="7382" max="7382" width="30" style="10" bestFit="1" customWidth="1"/>
    <col min="7383" max="7383" width="10.5703125" style="10" bestFit="1" customWidth="1"/>
    <col min="7384" max="7384" width="14.140625" style="10" bestFit="1" customWidth="1"/>
    <col min="7385" max="7385" width="12.7109375" style="10" bestFit="1" customWidth="1"/>
    <col min="7386" max="7386" width="5.85546875" style="10" bestFit="1" customWidth="1"/>
    <col min="7387" max="7387" width="11.28515625" style="10" bestFit="1" customWidth="1"/>
    <col min="7388" max="7388" width="17.85546875" style="10" bestFit="1" customWidth="1"/>
    <col min="7389" max="7392" width="8.7109375" style="10" bestFit="1" customWidth="1"/>
    <col min="7393" max="7427" width="7.85546875" style="10" bestFit="1" customWidth="1"/>
    <col min="7428" max="7634" width="9.140625" style="10" customWidth="1"/>
    <col min="7635" max="7635" width="8.85546875" style="10" customWidth="1"/>
    <col min="7636" max="7636" width="32.7109375" style="10" bestFit="1" customWidth="1"/>
    <col min="7637" max="7637" width="7" style="10" bestFit="1" customWidth="1"/>
    <col min="7638" max="7638" width="30" style="10" bestFit="1" customWidth="1"/>
    <col min="7639" max="7639" width="10.5703125" style="10" bestFit="1" customWidth="1"/>
    <col min="7640" max="7640" width="14.140625" style="10" bestFit="1" customWidth="1"/>
    <col min="7641" max="7641" width="12.7109375" style="10" bestFit="1" customWidth="1"/>
    <col min="7642" max="7642" width="5.85546875" style="10" bestFit="1" customWidth="1"/>
    <col min="7643" max="7643" width="11.28515625" style="10" bestFit="1" customWidth="1"/>
    <col min="7644" max="7644" width="17.85546875" style="10" bestFit="1" customWidth="1"/>
    <col min="7645" max="7648" width="8.7109375" style="10" bestFit="1" customWidth="1"/>
    <col min="7649" max="7683" width="7.85546875" style="10" bestFit="1" customWidth="1"/>
    <col min="7684" max="7890" width="9.140625" style="10" customWidth="1"/>
    <col min="7891" max="7891" width="8.85546875" style="10" customWidth="1"/>
    <col min="7892" max="7892" width="32.7109375" style="10" bestFit="1" customWidth="1"/>
    <col min="7893" max="7893" width="7" style="10" bestFit="1" customWidth="1"/>
    <col min="7894" max="7894" width="30" style="10" bestFit="1" customWidth="1"/>
    <col min="7895" max="7895" width="10.5703125" style="10" bestFit="1" customWidth="1"/>
    <col min="7896" max="7896" width="14.140625" style="10" bestFit="1" customWidth="1"/>
    <col min="7897" max="7897" width="12.7109375" style="10" bestFit="1" customWidth="1"/>
    <col min="7898" max="7898" width="5.85546875" style="10" bestFit="1" customWidth="1"/>
    <col min="7899" max="7899" width="11.28515625" style="10" bestFit="1" customWidth="1"/>
    <col min="7900" max="7900" width="17.85546875" style="10" bestFit="1" customWidth="1"/>
    <col min="7901" max="7904" width="8.7109375" style="10" bestFit="1" customWidth="1"/>
    <col min="7905" max="7939" width="7.85546875" style="10" bestFit="1" customWidth="1"/>
    <col min="7940" max="8146" width="9.140625" style="10" customWidth="1"/>
    <col min="8147" max="8147" width="8.85546875" style="10" customWidth="1"/>
    <col min="8148" max="8148" width="32.7109375" style="10" bestFit="1" customWidth="1"/>
    <col min="8149" max="8149" width="7" style="10" bestFit="1" customWidth="1"/>
    <col min="8150" max="8150" width="30" style="10" bestFit="1" customWidth="1"/>
    <col min="8151" max="8151" width="10.5703125" style="10" bestFit="1" customWidth="1"/>
    <col min="8152" max="8152" width="14.140625" style="10" bestFit="1" customWidth="1"/>
    <col min="8153" max="8153" width="12.7109375" style="10" bestFit="1" customWidth="1"/>
    <col min="8154" max="8154" width="5.85546875" style="10" bestFit="1" customWidth="1"/>
    <col min="8155" max="8155" width="11.28515625" style="10" bestFit="1" customWidth="1"/>
    <col min="8156" max="8156" width="17.85546875" style="10" bestFit="1" customWidth="1"/>
    <col min="8157" max="8160" width="8.7109375" style="10" bestFit="1" customWidth="1"/>
    <col min="8161" max="8195" width="7.85546875" style="10" bestFit="1" customWidth="1"/>
    <col min="8196" max="8402" width="9.140625" style="10" customWidth="1"/>
    <col min="8403" max="8403" width="8.85546875" style="10" customWidth="1"/>
    <col min="8404" max="8404" width="32.7109375" style="10" bestFit="1" customWidth="1"/>
    <col min="8405" max="8405" width="7" style="10" bestFit="1" customWidth="1"/>
    <col min="8406" max="8406" width="30" style="10" bestFit="1" customWidth="1"/>
    <col min="8407" max="8407" width="10.5703125" style="10" bestFit="1" customWidth="1"/>
    <col min="8408" max="8408" width="14.140625" style="10" bestFit="1" customWidth="1"/>
    <col min="8409" max="8409" width="12.7109375" style="10" bestFit="1" customWidth="1"/>
    <col min="8410" max="8410" width="5.85546875" style="10" bestFit="1" customWidth="1"/>
    <col min="8411" max="8411" width="11.28515625" style="10" bestFit="1" customWidth="1"/>
    <col min="8412" max="8412" width="17.85546875" style="10" bestFit="1" customWidth="1"/>
    <col min="8413" max="8416" width="8.7109375" style="10" bestFit="1" customWidth="1"/>
    <col min="8417" max="8451" width="7.85546875" style="10" bestFit="1" customWidth="1"/>
    <col min="8452" max="8658" width="9.140625" style="10" customWidth="1"/>
    <col min="8659" max="8659" width="8.85546875" style="10" customWidth="1"/>
    <col min="8660" max="8660" width="32.7109375" style="10" bestFit="1" customWidth="1"/>
    <col min="8661" max="8661" width="7" style="10" bestFit="1" customWidth="1"/>
    <col min="8662" max="8662" width="30" style="10" bestFit="1" customWidth="1"/>
    <col min="8663" max="8663" width="10.5703125" style="10" bestFit="1" customWidth="1"/>
    <col min="8664" max="8664" width="14.140625" style="10" bestFit="1" customWidth="1"/>
    <col min="8665" max="8665" width="12.7109375" style="10" bestFit="1" customWidth="1"/>
    <col min="8666" max="8666" width="5.85546875" style="10" bestFit="1" customWidth="1"/>
    <col min="8667" max="8667" width="11.28515625" style="10" bestFit="1" customWidth="1"/>
    <col min="8668" max="8668" width="17.85546875" style="10" bestFit="1" customWidth="1"/>
    <col min="8669" max="8672" width="8.7109375" style="10" bestFit="1" customWidth="1"/>
    <col min="8673" max="8707" width="7.85546875" style="10" bestFit="1" customWidth="1"/>
    <col min="8708" max="8914" width="9.140625" style="10" customWidth="1"/>
    <col min="8915" max="8915" width="8.85546875" style="10" customWidth="1"/>
    <col min="8916" max="8916" width="32.7109375" style="10" bestFit="1" customWidth="1"/>
    <col min="8917" max="8917" width="7" style="10" bestFit="1" customWidth="1"/>
    <col min="8918" max="8918" width="30" style="10" bestFit="1" customWidth="1"/>
    <col min="8919" max="8919" width="10.5703125" style="10" bestFit="1" customWidth="1"/>
    <col min="8920" max="8920" width="14.140625" style="10" bestFit="1" customWidth="1"/>
    <col min="8921" max="8921" width="12.7109375" style="10" bestFit="1" customWidth="1"/>
    <col min="8922" max="8922" width="5.85546875" style="10" bestFit="1" customWidth="1"/>
    <col min="8923" max="8923" width="11.28515625" style="10" bestFit="1" customWidth="1"/>
    <col min="8924" max="8924" width="17.85546875" style="10" bestFit="1" customWidth="1"/>
    <col min="8925" max="8928" width="8.7109375" style="10" bestFit="1" customWidth="1"/>
    <col min="8929" max="8963" width="7.85546875" style="10" bestFit="1" customWidth="1"/>
    <col min="8964" max="9170" width="9.140625" style="10" customWidth="1"/>
    <col min="9171" max="9171" width="8.85546875" style="10" customWidth="1"/>
    <col min="9172" max="9172" width="32.7109375" style="10" bestFit="1" customWidth="1"/>
    <col min="9173" max="9173" width="7" style="10" bestFit="1" customWidth="1"/>
    <col min="9174" max="9174" width="30" style="10" bestFit="1" customWidth="1"/>
    <col min="9175" max="9175" width="10.5703125" style="10" bestFit="1" customWidth="1"/>
    <col min="9176" max="9176" width="14.140625" style="10" bestFit="1" customWidth="1"/>
    <col min="9177" max="9177" width="12.7109375" style="10" bestFit="1" customWidth="1"/>
    <col min="9178" max="9178" width="5.85546875" style="10" bestFit="1" customWidth="1"/>
    <col min="9179" max="9179" width="11.28515625" style="10" bestFit="1" customWidth="1"/>
    <col min="9180" max="9180" width="17.85546875" style="10" bestFit="1" customWidth="1"/>
    <col min="9181" max="9184" width="8.7109375" style="10" bestFit="1" customWidth="1"/>
    <col min="9185" max="9219" width="7.85546875" style="10" bestFit="1" customWidth="1"/>
    <col min="9220" max="9426" width="9.140625" style="10" customWidth="1"/>
    <col min="9427" max="9427" width="8.85546875" style="10" customWidth="1"/>
    <col min="9428" max="9428" width="32.7109375" style="10" bestFit="1" customWidth="1"/>
    <col min="9429" max="9429" width="7" style="10" bestFit="1" customWidth="1"/>
    <col min="9430" max="9430" width="30" style="10" bestFit="1" customWidth="1"/>
    <col min="9431" max="9431" width="10.5703125" style="10" bestFit="1" customWidth="1"/>
    <col min="9432" max="9432" width="14.140625" style="10" bestFit="1" customWidth="1"/>
    <col min="9433" max="9433" width="12.7109375" style="10" bestFit="1" customWidth="1"/>
    <col min="9434" max="9434" width="5.85546875" style="10" bestFit="1" customWidth="1"/>
    <col min="9435" max="9435" width="11.28515625" style="10" bestFit="1" customWidth="1"/>
    <col min="9436" max="9436" width="17.85546875" style="10" bestFit="1" customWidth="1"/>
    <col min="9437" max="9440" width="8.7109375" style="10" bestFit="1" customWidth="1"/>
    <col min="9441" max="9475" width="7.85546875" style="10" bestFit="1" customWidth="1"/>
    <col min="9476" max="9682" width="9.140625" style="10" customWidth="1"/>
    <col min="9683" max="9683" width="8.85546875" style="10" customWidth="1"/>
    <col min="9684" max="9684" width="32.7109375" style="10" bestFit="1" customWidth="1"/>
    <col min="9685" max="9685" width="7" style="10" bestFit="1" customWidth="1"/>
    <col min="9686" max="9686" width="30" style="10" bestFit="1" customWidth="1"/>
    <col min="9687" max="9687" width="10.5703125" style="10" bestFit="1" customWidth="1"/>
    <col min="9688" max="9688" width="14.140625" style="10" bestFit="1" customWidth="1"/>
    <col min="9689" max="9689" width="12.7109375" style="10" bestFit="1" customWidth="1"/>
    <col min="9690" max="9690" width="5.85546875" style="10" bestFit="1" customWidth="1"/>
    <col min="9691" max="9691" width="11.28515625" style="10" bestFit="1" customWidth="1"/>
    <col min="9692" max="9692" width="17.85546875" style="10" bestFit="1" customWidth="1"/>
    <col min="9693" max="9696" width="8.7109375" style="10" bestFit="1" customWidth="1"/>
    <col min="9697" max="9731" width="7.85546875" style="10" bestFit="1" customWidth="1"/>
    <col min="9732" max="9938" width="9.140625" style="10" customWidth="1"/>
    <col min="9939" max="9939" width="8.85546875" style="10" customWidth="1"/>
    <col min="9940" max="9940" width="32.7109375" style="10" bestFit="1" customWidth="1"/>
    <col min="9941" max="9941" width="7" style="10" bestFit="1" customWidth="1"/>
    <col min="9942" max="9942" width="30" style="10" bestFit="1" customWidth="1"/>
    <col min="9943" max="9943" width="10.5703125" style="10" bestFit="1" customWidth="1"/>
    <col min="9944" max="9944" width="14.140625" style="10" bestFit="1" customWidth="1"/>
    <col min="9945" max="9945" width="12.7109375" style="10" bestFit="1" customWidth="1"/>
    <col min="9946" max="9946" width="5.85546875" style="10" bestFit="1" customWidth="1"/>
    <col min="9947" max="9947" width="11.28515625" style="10" bestFit="1" customWidth="1"/>
    <col min="9948" max="9948" width="17.85546875" style="10" bestFit="1" customWidth="1"/>
    <col min="9949" max="9952" width="8.7109375" style="10" bestFit="1" customWidth="1"/>
    <col min="9953" max="9987" width="7.85546875" style="10" bestFit="1" customWidth="1"/>
    <col min="9988" max="10194" width="9.140625" style="10" customWidth="1"/>
    <col min="10195" max="10195" width="8.85546875" style="10" customWidth="1"/>
    <col min="10196" max="10196" width="32.7109375" style="10" bestFit="1" customWidth="1"/>
    <col min="10197" max="10197" width="7" style="10" bestFit="1" customWidth="1"/>
    <col min="10198" max="10198" width="30" style="10" bestFit="1" customWidth="1"/>
    <col min="10199" max="10199" width="10.5703125" style="10" bestFit="1" customWidth="1"/>
    <col min="10200" max="10200" width="14.140625" style="10" bestFit="1" customWidth="1"/>
    <col min="10201" max="10201" width="12.7109375" style="10" bestFit="1" customWidth="1"/>
    <col min="10202" max="10202" width="5.85546875" style="10" bestFit="1" customWidth="1"/>
    <col min="10203" max="10203" width="11.28515625" style="10" bestFit="1" customWidth="1"/>
    <col min="10204" max="10204" width="17.85546875" style="10" bestFit="1" customWidth="1"/>
    <col min="10205" max="10208" width="8.7109375" style="10" bestFit="1" customWidth="1"/>
    <col min="10209" max="10243" width="7.85546875" style="10" bestFit="1" customWidth="1"/>
    <col min="10244" max="10450" width="9.140625" style="10" customWidth="1"/>
    <col min="10451" max="10451" width="8.85546875" style="10" customWidth="1"/>
    <col min="10452" max="10452" width="32.7109375" style="10" bestFit="1" customWidth="1"/>
    <col min="10453" max="10453" width="7" style="10" bestFit="1" customWidth="1"/>
    <col min="10454" max="10454" width="30" style="10" bestFit="1" customWidth="1"/>
    <col min="10455" max="10455" width="10.5703125" style="10" bestFit="1" customWidth="1"/>
    <col min="10456" max="10456" width="14.140625" style="10" bestFit="1" customWidth="1"/>
    <col min="10457" max="10457" width="12.7109375" style="10" bestFit="1" customWidth="1"/>
    <col min="10458" max="10458" width="5.85546875" style="10" bestFit="1" customWidth="1"/>
    <col min="10459" max="10459" width="11.28515625" style="10" bestFit="1" customWidth="1"/>
    <col min="10460" max="10460" width="17.85546875" style="10" bestFit="1" customWidth="1"/>
    <col min="10461" max="10464" width="8.7109375" style="10" bestFit="1" customWidth="1"/>
    <col min="10465" max="10499" width="7.85546875" style="10" bestFit="1" customWidth="1"/>
    <col min="10500" max="10706" width="9.140625" style="10" customWidth="1"/>
    <col min="10707" max="10707" width="8.85546875" style="10" customWidth="1"/>
    <col min="10708" max="10708" width="32.7109375" style="10" bestFit="1" customWidth="1"/>
    <col min="10709" max="10709" width="7" style="10" bestFit="1" customWidth="1"/>
    <col min="10710" max="10710" width="30" style="10" bestFit="1" customWidth="1"/>
    <col min="10711" max="10711" width="10.5703125" style="10" bestFit="1" customWidth="1"/>
    <col min="10712" max="10712" width="14.140625" style="10" bestFit="1" customWidth="1"/>
    <col min="10713" max="10713" width="12.7109375" style="10" bestFit="1" customWidth="1"/>
    <col min="10714" max="10714" width="5.85546875" style="10" bestFit="1" customWidth="1"/>
    <col min="10715" max="10715" width="11.28515625" style="10" bestFit="1" customWidth="1"/>
    <col min="10716" max="10716" width="17.85546875" style="10" bestFit="1" customWidth="1"/>
    <col min="10717" max="10720" width="8.7109375" style="10" bestFit="1" customWidth="1"/>
    <col min="10721" max="10755" width="7.85546875" style="10" bestFit="1" customWidth="1"/>
    <col min="10756" max="10962" width="9.140625" style="10" customWidth="1"/>
    <col min="10963" max="10963" width="8.85546875" style="10" customWidth="1"/>
    <col min="10964" max="10964" width="32.7109375" style="10" bestFit="1" customWidth="1"/>
    <col min="10965" max="10965" width="7" style="10" bestFit="1" customWidth="1"/>
    <col min="10966" max="10966" width="30" style="10" bestFit="1" customWidth="1"/>
    <col min="10967" max="10967" width="10.5703125" style="10" bestFit="1" customWidth="1"/>
    <col min="10968" max="10968" width="14.140625" style="10" bestFit="1" customWidth="1"/>
    <col min="10969" max="10969" width="12.7109375" style="10" bestFit="1" customWidth="1"/>
    <col min="10970" max="10970" width="5.85546875" style="10" bestFit="1" customWidth="1"/>
    <col min="10971" max="10971" width="11.28515625" style="10" bestFit="1" customWidth="1"/>
    <col min="10972" max="10972" width="17.85546875" style="10" bestFit="1" customWidth="1"/>
    <col min="10973" max="10976" width="8.7109375" style="10" bestFit="1" customWidth="1"/>
    <col min="10977" max="11011" width="7.85546875" style="10" bestFit="1" customWidth="1"/>
    <col min="11012" max="11218" width="9.140625" style="10" customWidth="1"/>
    <col min="11219" max="11219" width="8.85546875" style="10" customWidth="1"/>
    <col min="11220" max="11220" width="32.7109375" style="10" bestFit="1" customWidth="1"/>
    <col min="11221" max="11221" width="7" style="10" bestFit="1" customWidth="1"/>
    <col min="11222" max="11222" width="30" style="10" bestFit="1" customWidth="1"/>
    <col min="11223" max="11223" width="10.5703125" style="10" bestFit="1" customWidth="1"/>
    <col min="11224" max="11224" width="14.140625" style="10" bestFit="1" customWidth="1"/>
    <col min="11225" max="11225" width="12.7109375" style="10" bestFit="1" customWidth="1"/>
    <col min="11226" max="11226" width="5.85546875" style="10" bestFit="1" customWidth="1"/>
    <col min="11227" max="11227" width="11.28515625" style="10" bestFit="1" customWidth="1"/>
    <col min="11228" max="11228" width="17.85546875" style="10" bestFit="1" customWidth="1"/>
    <col min="11229" max="11232" width="8.7109375" style="10" bestFit="1" customWidth="1"/>
    <col min="11233" max="11267" width="7.85546875" style="10" bestFit="1" customWidth="1"/>
    <col min="11268" max="11474" width="9.140625" style="10" customWidth="1"/>
    <col min="11475" max="11475" width="8.85546875" style="10" customWidth="1"/>
    <col min="11476" max="11476" width="32.7109375" style="10" bestFit="1" customWidth="1"/>
    <col min="11477" max="11477" width="7" style="10" bestFit="1" customWidth="1"/>
    <col min="11478" max="11478" width="30" style="10" bestFit="1" customWidth="1"/>
    <col min="11479" max="11479" width="10.5703125" style="10" bestFit="1" customWidth="1"/>
    <col min="11480" max="11480" width="14.140625" style="10" bestFit="1" customWidth="1"/>
    <col min="11481" max="11481" width="12.7109375" style="10" bestFit="1" customWidth="1"/>
    <col min="11482" max="11482" width="5.85546875" style="10" bestFit="1" customWidth="1"/>
    <col min="11483" max="11483" width="11.28515625" style="10" bestFit="1" customWidth="1"/>
    <col min="11484" max="11484" width="17.85546875" style="10" bestFit="1" customWidth="1"/>
    <col min="11485" max="11488" width="8.7109375" style="10" bestFit="1" customWidth="1"/>
    <col min="11489" max="11523" width="7.85546875" style="10" bestFit="1" customWidth="1"/>
    <col min="11524" max="11730" width="9.140625" style="10" customWidth="1"/>
    <col min="11731" max="11731" width="8.85546875" style="10" customWidth="1"/>
    <col min="11732" max="11732" width="32.7109375" style="10" bestFit="1" customWidth="1"/>
    <col min="11733" max="11733" width="7" style="10" bestFit="1" customWidth="1"/>
    <col min="11734" max="11734" width="30" style="10" bestFit="1" customWidth="1"/>
    <col min="11735" max="11735" width="10.5703125" style="10" bestFit="1" customWidth="1"/>
    <col min="11736" max="11736" width="14.140625" style="10" bestFit="1" customWidth="1"/>
    <col min="11737" max="11737" width="12.7109375" style="10" bestFit="1" customWidth="1"/>
    <col min="11738" max="11738" width="5.85546875" style="10" bestFit="1" customWidth="1"/>
    <col min="11739" max="11739" width="11.28515625" style="10" bestFit="1" customWidth="1"/>
    <col min="11740" max="11740" width="17.85546875" style="10" bestFit="1" customWidth="1"/>
    <col min="11741" max="11744" width="8.7109375" style="10" bestFit="1" customWidth="1"/>
    <col min="11745" max="11779" width="7.85546875" style="10" bestFit="1" customWidth="1"/>
    <col min="11780" max="11986" width="9.140625" style="10" customWidth="1"/>
    <col min="11987" max="11987" width="8.85546875" style="10" customWidth="1"/>
    <col min="11988" max="11988" width="32.7109375" style="10" bestFit="1" customWidth="1"/>
    <col min="11989" max="11989" width="7" style="10" bestFit="1" customWidth="1"/>
    <col min="11990" max="11990" width="30" style="10" bestFit="1" customWidth="1"/>
    <col min="11991" max="11991" width="10.5703125" style="10" bestFit="1" customWidth="1"/>
    <col min="11992" max="11992" width="14.140625" style="10" bestFit="1" customWidth="1"/>
    <col min="11993" max="11993" width="12.7109375" style="10" bestFit="1" customWidth="1"/>
    <col min="11994" max="11994" width="5.85546875" style="10" bestFit="1" customWidth="1"/>
    <col min="11995" max="11995" width="11.28515625" style="10" bestFit="1" customWidth="1"/>
    <col min="11996" max="11996" width="17.85546875" style="10" bestFit="1" customWidth="1"/>
    <col min="11997" max="12000" width="8.7109375" style="10" bestFit="1" customWidth="1"/>
    <col min="12001" max="12035" width="7.85546875" style="10" bestFit="1" customWidth="1"/>
    <col min="12036" max="12242" width="9.140625" style="10" customWidth="1"/>
    <col min="12243" max="12243" width="8.85546875" style="10" customWidth="1"/>
    <col min="12244" max="12244" width="32.7109375" style="10" bestFit="1" customWidth="1"/>
    <col min="12245" max="12245" width="7" style="10" bestFit="1" customWidth="1"/>
    <col min="12246" max="12246" width="30" style="10" bestFit="1" customWidth="1"/>
    <col min="12247" max="12247" width="10.5703125" style="10" bestFit="1" customWidth="1"/>
    <col min="12248" max="12248" width="14.140625" style="10" bestFit="1" customWidth="1"/>
    <col min="12249" max="12249" width="12.7109375" style="10" bestFit="1" customWidth="1"/>
    <col min="12250" max="12250" width="5.85546875" style="10" bestFit="1" customWidth="1"/>
    <col min="12251" max="12251" width="11.28515625" style="10" bestFit="1" customWidth="1"/>
    <col min="12252" max="12252" width="17.85546875" style="10" bestFit="1" customWidth="1"/>
    <col min="12253" max="12256" width="8.7109375" style="10" bestFit="1" customWidth="1"/>
    <col min="12257" max="12291" width="7.85546875" style="10" bestFit="1" customWidth="1"/>
    <col min="12292" max="12498" width="9.140625" style="10" customWidth="1"/>
    <col min="12499" max="12499" width="8.85546875" style="10" customWidth="1"/>
    <col min="12500" max="12500" width="32.7109375" style="10" bestFit="1" customWidth="1"/>
    <col min="12501" max="12501" width="7" style="10" bestFit="1" customWidth="1"/>
    <col min="12502" max="12502" width="30" style="10" bestFit="1" customWidth="1"/>
    <col min="12503" max="12503" width="10.5703125" style="10" bestFit="1" customWidth="1"/>
    <col min="12504" max="12504" width="14.140625" style="10" bestFit="1" customWidth="1"/>
    <col min="12505" max="12505" width="12.7109375" style="10" bestFit="1" customWidth="1"/>
    <col min="12506" max="12506" width="5.85546875" style="10" bestFit="1" customWidth="1"/>
    <col min="12507" max="12507" width="11.28515625" style="10" bestFit="1" customWidth="1"/>
    <col min="12508" max="12508" width="17.85546875" style="10" bestFit="1" customWidth="1"/>
    <col min="12509" max="12512" width="8.7109375" style="10" bestFit="1" customWidth="1"/>
    <col min="12513" max="12547" width="7.85546875" style="10" bestFit="1" customWidth="1"/>
    <col min="12548" max="12754" width="9.140625" style="10" customWidth="1"/>
    <col min="12755" max="12755" width="8.85546875" style="10" customWidth="1"/>
    <col min="12756" max="12756" width="32.7109375" style="10" bestFit="1" customWidth="1"/>
    <col min="12757" max="12757" width="7" style="10" bestFit="1" customWidth="1"/>
    <col min="12758" max="12758" width="30" style="10" bestFit="1" customWidth="1"/>
    <col min="12759" max="12759" width="10.5703125" style="10" bestFit="1" customWidth="1"/>
    <col min="12760" max="12760" width="14.140625" style="10" bestFit="1" customWidth="1"/>
    <col min="12761" max="12761" width="12.7109375" style="10" bestFit="1" customWidth="1"/>
    <col min="12762" max="12762" width="5.85546875" style="10" bestFit="1" customWidth="1"/>
    <col min="12763" max="12763" width="11.28515625" style="10" bestFit="1" customWidth="1"/>
    <col min="12764" max="12764" width="17.85546875" style="10" bestFit="1" customWidth="1"/>
    <col min="12765" max="12768" width="8.7109375" style="10" bestFit="1" customWidth="1"/>
    <col min="12769" max="12803" width="7.85546875" style="10" bestFit="1" customWidth="1"/>
    <col min="12804" max="13010" width="9.140625" style="10" customWidth="1"/>
    <col min="13011" max="13011" width="8.85546875" style="10" customWidth="1"/>
    <col min="13012" max="13012" width="32.7109375" style="10" bestFit="1" customWidth="1"/>
    <col min="13013" max="13013" width="7" style="10" bestFit="1" customWidth="1"/>
    <col min="13014" max="13014" width="30" style="10" bestFit="1" customWidth="1"/>
    <col min="13015" max="13015" width="10.5703125" style="10" bestFit="1" customWidth="1"/>
    <col min="13016" max="13016" width="14.140625" style="10" bestFit="1" customWidth="1"/>
    <col min="13017" max="13017" width="12.7109375" style="10" bestFit="1" customWidth="1"/>
    <col min="13018" max="13018" width="5.85546875" style="10" bestFit="1" customWidth="1"/>
    <col min="13019" max="13019" width="11.28515625" style="10" bestFit="1" customWidth="1"/>
    <col min="13020" max="13020" width="17.85546875" style="10" bestFit="1" customWidth="1"/>
    <col min="13021" max="13024" width="8.7109375" style="10" bestFit="1" customWidth="1"/>
    <col min="13025" max="13059" width="7.85546875" style="10" bestFit="1" customWidth="1"/>
    <col min="13060" max="13266" width="9.140625" style="10" customWidth="1"/>
    <col min="13267" max="13267" width="8.85546875" style="10" customWidth="1"/>
    <col min="13268" max="13268" width="32.7109375" style="10" bestFit="1" customWidth="1"/>
    <col min="13269" max="13269" width="7" style="10" bestFit="1" customWidth="1"/>
    <col min="13270" max="13270" width="30" style="10" bestFit="1" customWidth="1"/>
    <col min="13271" max="13271" width="10.5703125" style="10" bestFit="1" customWidth="1"/>
    <col min="13272" max="13272" width="14.140625" style="10" bestFit="1" customWidth="1"/>
    <col min="13273" max="13273" width="12.7109375" style="10" bestFit="1" customWidth="1"/>
    <col min="13274" max="13274" width="5.85546875" style="10" bestFit="1" customWidth="1"/>
    <col min="13275" max="13275" width="11.28515625" style="10" bestFit="1" customWidth="1"/>
    <col min="13276" max="13276" width="17.85546875" style="10" bestFit="1" customWidth="1"/>
    <col min="13277" max="13280" width="8.7109375" style="10" bestFit="1" customWidth="1"/>
    <col min="13281" max="13315" width="7.85546875" style="10" bestFit="1" customWidth="1"/>
    <col min="13316" max="13522" width="9.140625" style="10" customWidth="1"/>
    <col min="13523" max="13523" width="8.85546875" style="10" customWidth="1"/>
    <col min="13524" max="13524" width="32.7109375" style="10" bestFit="1" customWidth="1"/>
    <col min="13525" max="13525" width="7" style="10" bestFit="1" customWidth="1"/>
    <col min="13526" max="13526" width="30" style="10" bestFit="1" customWidth="1"/>
    <col min="13527" max="13527" width="10.5703125" style="10" bestFit="1" customWidth="1"/>
    <col min="13528" max="13528" width="14.140625" style="10" bestFit="1" customWidth="1"/>
    <col min="13529" max="13529" width="12.7109375" style="10" bestFit="1" customWidth="1"/>
    <col min="13530" max="13530" width="5.85546875" style="10" bestFit="1" customWidth="1"/>
    <col min="13531" max="13531" width="11.28515625" style="10" bestFit="1" customWidth="1"/>
    <col min="13532" max="13532" width="17.85546875" style="10" bestFit="1" customWidth="1"/>
    <col min="13533" max="13536" width="8.7109375" style="10" bestFit="1" customWidth="1"/>
    <col min="13537" max="13571" width="7.85546875" style="10" bestFit="1" customWidth="1"/>
    <col min="13572" max="13778" width="9.140625" style="10" customWidth="1"/>
    <col min="13779" max="13779" width="8.85546875" style="10" customWidth="1"/>
    <col min="13780" max="13780" width="32.7109375" style="10" bestFit="1" customWidth="1"/>
    <col min="13781" max="13781" width="7" style="10" bestFit="1" customWidth="1"/>
    <col min="13782" max="13782" width="30" style="10" bestFit="1" customWidth="1"/>
    <col min="13783" max="13783" width="10.5703125" style="10" bestFit="1" customWidth="1"/>
    <col min="13784" max="13784" width="14.140625" style="10" bestFit="1" customWidth="1"/>
    <col min="13785" max="13785" width="12.7109375" style="10" bestFit="1" customWidth="1"/>
    <col min="13786" max="13786" width="5.85546875" style="10" bestFit="1" customWidth="1"/>
    <col min="13787" max="13787" width="11.28515625" style="10" bestFit="1" customWidth="1"/>
    <col min="13788" max="13788" width="17.85546875" style="10" bestFit="1" customWidth="1"/>
    <col min="13789" max="13792" width="8.7109375" style="10" bestFit="1" customWidth="1"/>
    <col min="13793" max="13827" width="7.85546875" style="10" bestFit="1" customWidth="1"/>
    <col min="13828" max="14034" width="9.140625" style="10" customWidth="1"/>
    <col min="14035" max="14035" width="8.85546875" style="10" customWidth="1"/>
    <col min="14036" max="14036" width="32.7109375" style="10" bestFit="1" customWidth="1"/>
    <col min="14037" max="14037" width="7" style="10" bestFit="1" customWidth="1"/>
    <col min="14038" max="14038" width="30" style="10" bestFit="1" customWidth="1"/>
    <col min="14039" max="14039" width="10.5703125" style="10" bestFit="1" customWidth="1"/>
    <col min="14040" max="14040" width="14.140625" style="10" bestFit="1" customWidth="1"/>
    <col min="14041" max="14041" width="12.7109375" style="10" bestFit="1" customWidth="1"/>
    <col min="14042" max="14042" width="5.85546875" style="10" bestFit="1" customWidth="1"/>
    <col min="14043" max="14043" width="11.28515625" style="10" bestFit="1" customWidth="1"/>
    <col min="14044" max="14044" width="17.85546875" style="10" bestFit="1" customWidth="1"/>
    <col min="14045" max="14048" width="8.7109375" style="10" bestFit="1" customWidth="1"/>
    <col min="14049" max="14083" width="7.85546875" style="10" bestFit="1" customWidth="1"/>
    <col min="14084" max="14290" width="9.140625" style="10" customWidth="1"/>
    <col min="14291" max="14291" width="8.85546875" style="10" customWidth="1"/>
    <col min="14292" max="14292" width="32.7109375" style="10" bestFit="1" customWidth="1"/>
    <col min="14293" max="14293" width="7" style="10" bestFit="1" customWidth="1"/>
    <col min="14294" max="14294" width="30" style="10" bestFit="1" customWidth="1"/>
    <col min="14295" max="14295" width="10.5703125" style="10" bestFit="1" customWidth="1"/>
    <col min="14296" max="14296" width="14.140625" style="10" bestFit="1" customWidth="1"/>
    <col min="14297" max="14297" width="12.7109375" style="10" bestFit="1" customWidth="1"/>
    <col min="14298" max="14298" width="5.85546875" style="10" bestFit="1" customWidth="1"/>
    <col min="14299" max="14299" width="11.28515625" style="10" bestFit="1" customWidth="1"/>
    <col min="14300" max="14300" width="17.85546875" style="10" bestFit="1" customWidth="1"/>
    <col min="14301" max="14304" width="8.7109375" style="10" bestFit="1" customWidth="1"/>
    <col min="14305" max="14339" width="7.85546875" style="10" bestFit="1" customWidth="1"/>
    <col min="14340" max="14546" width="9.140625" style="10" customWidth="1"/>
    <col min="14547" max="14547" width="8.85546875" style="10" customWidth="1"/>
    <col min="14548" max="14548" width="32.7109375" style="10" bestFit="1" customWidth="1"/>
    <col min="14549" max="14549" width="7" style="10" bestFit="1" customWidth="1"/>
    <col min="14550" max="14550" width="30" style="10" bestFit="1" customWidth="1"/>
    <col min="14551" max="14551" width="10.5703125" style="10" bestFit="1" customWidth="1"/>
    <col min="14552" max="14552" width="14.140625" style="10" bestFit="1" customWidth="1"/>
    <col min="14553" max="14553" width="12.7109375" style="10" bestFit="1" customWidth="1"/>
    <col min="14554" max="14554" width="5.85546875" style="10" bestFit="1" customWidth="1"/>
    <col min="14555" max="14555" width="11.28515625" style="10" bestFit="1" customWidth="1"/>
    <col min="14556" max="14556" width="17.85546875" style="10" bestFit="1" customWidth="1"/>
    <col min="14557" max="14560" width="8.7109375" style="10" bestFit="1" customWidth="1"/>
    <col min="14561" max="14595" width="7.85546875" style="10" bestFit="1" customWidth="1"/>
    <col min="14596" max="14802" width="9.140625" style="10" customWidth="1"/>
    <col min="14803" max="14803" width="8.85546875" style="10" customWidth="1"/>
    <col min="14804" max="14804" width="32.7109375" style="10" bestFit="1" customWidth="1"/>
    <col min="14805" max="14805" width="7" style="10" bestFit="1" customWidth="1"/>
    <col min="14806" max="14806" width="30" style="10" bestFit="1" customWidth="1"/>
    <col min="14807" max="14807" width="10.5703125" style="10" bestFit="1" customWidth="1"/>
    <col min="14808" max="14808" width="14.140625" style="10" bestFit="1" customWidth="1"/>
    <col min="14809" max="14809" width="12.7109375" style="10" bestFit="1" customWidth="1"/>
    <col min="14810" max="14810" width="5.85546875" style="10" bestFit="1" customWidth="1"/>
    <col min="14811" max="14811" width="11.28515625" style="10" bestFit="1" customWidth="1"/>
    <col min="14812" max="14812" width="17.85546875" style="10" bestFit="1" customWidth="1"/>
    <col min="14813" max="14816" width="8.7109375" style="10" bestFit="1" customWidth="1"/>
    <col min="14817" max="14851" width="7.85546875" style="10" bestFit="1" customWidth="1"/>
    <col min="14852" max="15058" width="9.140625" style="10" customWidth="1"/>
    <col min="15059" max="15059" width="8.85546875" style="10" customWidth="1"/>
    <col min="15060" max="15060" width="32.7109375" style="10" bestFit="1" customWidth="1"/>
    <col min="15061" max="15061" width="7" style="10" bestFit="1" customWidth="1"/>
    <col min="15062" max="15062" width="30" style="10" bestFit="1" customWidth="1"/>
    <col min="15063" max="15063" width="10.5703125" style="10" bestFit="1" customWidth="1"/>
    <col min="15064" max="15064" width="14.140625" style="10" bestFit="1" customWidth="1"/>
    <col min="15065" max="15065" width="12.7109375" style="10" bestFit="1" customWidth="1"/>
    <col min="15066" max="15066" width="5.85546875" style="10" bestFit="1" customWidth="1"/>
    <col min="15067" max="15067" width="11.28515625" style="10" bestFit="1" customWidth="1"/>
    <col min="15068" max="15068" width="17.85546875" style="10" bestFit="1" customWidth="1"/>
    <col min="15069" max="15072" width="8.7109375" style="10" bestFit="1" customWidth="1"/>
    <col min="15073" max="15107" width="7.85546875" style="10" bestFit="1" customWidth="1"/>
    <col min="15108" max="15314" width="9.140625" style="10" customWidth="1"/>
    <col min="15315" max="15315" width="8.85546875" style="10" customWidth="1"/>
    <col min="15316" max="15316" width="32.7109375" style="10" bestFit="1" customWidth="1"/>
    <col min="15317" max="15317" width="7" style="10" bestFit="1" customWidth="1"/>
    <col min="15318" max="15318" width="30" style="10" bestFit="1" customWidth="1"/>
    <col min="15319" max="15319" width="10.5703125" style="10" bestFit="1" customWidth="1"/>
    <col min="15320" max="15320" width="14.140625" style="10" bestFit="1" customWidth="1"/>
    <col min="15321" max="15321" width="12.7109375" style="10" bestFit="1" customWidth="1"/>
    <col min="15322" max="15322" width="5.85546875" style="10" bestFit="1" customWidth="1"/>
    <col min="15323" max="15323" width="11.28515625" style="10" bestFit="1" customWidth="1"/>
    <col min="15324" max="15324" width="17.85546875" style="10" bestFit="1" customWidth="1"/>
    <col min="15325" max="15328" width="8.7109375" style="10" bestFit="1" customWidth="1"/>
    <col min="15329" max="15363" width="7.85546875" style="10" bestFit="1" customWidth="1"/>
    <col min="15364" max="15570" width="9.140625" style="10" customWidth="1"/>
    <col min="15571" max="15571" width="8.85546875" style="10" customWidth="1"/>
    <col min="15572" max="15572" width="32.7109375" style="10" bestFit="1" customWidth="1"/>
    <col min="15573" max="15573" width="7" style="10" bestFit="1" customWidth="1"/>
    <col min="15574" max="15574" width="30" style="10" bestFit="1" customWidth="1"/>
    <col min="15575" max="15575" width="10.5703125" style="10" bestFit="1" customWidth="1"/>
    <col min="15576" max="15576" width="14.140625" style="10" bestFit="1" customWidth="1"/>
    <col min="15577" max="15577" width="12.7109375" style="10" bestFit="1" customWidth="1"/>
    <col min="15578" max="15578" width="5.85546875" style="10" bestFit="1" customWidth="1"/>
    <col min="15579" max="15579" width="11.28515625" style="10" bestFit="1" customWidth="1"/>
    <col min="15580" max="15580" width="17.85546875" style="10" bestFit="1" customWidth="1"/>
    <col min="15581" max="15584" width="8.7109375" style="10" bestFit="1" customWidth="1"/>
    <col min="15585" max="15619" width="7.85546875" style="10" bestFit="1" customWidth="1"/>
    <col min="15620" max="15826" width="9.140625" style="10" customWidth="1"/>
    <col min="15827" max="15827" width="8.85546875" style="10" customWidth="1"/>
    <col min="15828" max="15828" width="32.7109375" style="10" bestFit="1" customWidth="1"/>
    <col min="15829" max="15829" width="7" style="10" bestFit="1" customWidth="1"/>
    <col min="15830" max="15830" width="30" style="10" bestFit="1" customWidth="1"/>
    <col min="15831" max="15831" width="10.5703125" style="10" bestFit="1" customWidth="1"/>
    <col min="15832" max="15832" width="14.140625" style="10" bestFit="1" customWidth="1"/>
    <col min="15833" max="15833" width="12.7109375" style="10" bestFit="1" customWidth="1"/>
    <col min="15834" max="15834" width="5.85546875" style="10" bestFit="1" customWidth="1"/>
    <col min="15835" max="15835" width="11.28515625" style="10" bestFit="1" customWidth="1"/>
    <col min="15836" max="15836" width="17.85546875" style="10" bestFit="1" customWidth="1"/>
    <col min="15837" max="15840" width="8.7109375" style="10" bestFit="1" customWidth="1"/>
    <col min="15841" max="15875" width="7.85546875" style="10" bestFit="1" customWidth="1"/>
    <col min="15876" max="16082" width="9.140625" style="10" customWidth="1"/>
    <col min="16083" max="16083" width="8.85546875" style="10" customWidth="1"/>
    <col min="16084" max="16084" width="32.7109375" style="10" bestFit="1" customWidth="1"/>
    <col min="16085" max="16085" width="7" style="10" bestFit="1" customWidth="1"/>
    <col min="16086" max="16086" width="30" style="10" bestFit="1" customWidth="1"/>
    <col min="16087" max="16087" width="10.5703125" style="10" bestFit="1" customWidth="1"/>
    <col min="16088" max="16088" width="14.140625" style="10" bestFit="1" customWidth="1"/>
    <col min="16089" max="16089" width="12.7109375" style="10" bestFit="1" customWidth="1"/>
    <col min="16090" max="16090" width="5.85546875" style="10" bestFit="1" customWidth="1"/>
    <col min="16091" max="16091" width="11.28515625" style="10" bestFit="1" customWidth="1"/>
    <col min="16092" max="16092" width="17.85546875" style="10" bestFit="1" customWidth="1"/>
    <col min="16093" max="16096" width="8.7109375" style="10" bestFit="1" customWidth="1"/>
    <col min="16097" max="16131" width="7.85546875" style="10" bestFit="1" customWidth="1"/>
    <col min="16132" max="16384" width="9.140625" style="10" customWidth="1"/>
  </cols>
  <sheetData>
    <row r="1" spans="2:13" ht="20.25" customHeight="1" x14ac:dyDescent="0.2">
      <c r="H1" s="292" t="s">
        <v>801</v>
      </c>
      <c r="I1" s="281"/>
      <c r="J1" s="281"/>
      <c r="K1" s="281"/>
      <c r="L1" s="503">
        <v>44136</v>
      </c>
      <c r="M1" s="281"/>
    </row>
    <row r="2" spans="2:13" ht="20.25" customHeight="1" x14ac:dyDescent="0.2">
      <c r="H2" s="281"/>
      <c r="I2" s="281"/>
      <c r="J2" s="281"/>
      <c r="K2" s="281"/>
      <c r="L2" s="282"/>
      <c r="M2" s="281"/>
    </row>
    <row r="3" spans="2:13" ht="20.25" customHeight="1" x14ac:dyDescent="0.2">
      <c r="H3" s="246" t="s">
        <v>439</v>
      </c>
      <c r="I3" s="247" t="s">
        <v>440</v>
      </c>
      <c r="J3" s="281"/>
      <c r="K3" s="281"/>
      <c r="L3" s="282"/>
      <c r="M3" s="281"/>
    </row>
    <row r="4" spans="2:13" ht="15" customHeight="1" x14ac:dyDescent="0.2">
      <c r="H4" s="248" t="s">
        <v>441</v>
      </c>
      <c r="I4" s="249" t="s">
        <v>410</v>
      </c>
      <c r="J4" s="284"/>
      <c r="K4" s="284"/>
      <c r="L4" s="283"/>
      <c r="M4" s="284"/>
    </row>
    <row r="5" spans="2:13" ht="15" customHeight="1" x14ac:dyDescent="0.2">
      <c r="H5" s="285"/>
      <c r="I5" s="286"/>
      <c r="J5" s="300"/>
      <c r="K5" s="300"/>
      <c r="L5" s="283"/>
      <c r="M5" s="284"/>
    </row>
    <row r="6" spans="2:13" ht="13.5" customHeight="1" thickBot="1" x14ac:dyDescent="0.25">
      <c r="B6" s="8" t="s">
        <v>304</v>
      </c>
      <c r="C6" s="8" t="s">
        <v>240</v>
      </c>
      <c r="D6" s="8" t="s">
        <v>239</v>
      </c>
      <c r="E6" s="8" t="s">
        <v>769</v>
      </c>
      <c r="F6" s="8" t="s">
        <v>770</v>
      </c>
      <c r="H6" s="285" t="s">
        <v>240</v>
      </c>
      <c r="I6" s="285" t="s">
        <v>802</v>
      </c>
      <c r="J6" s="285" t="s">
        <v>803</v>
      </c>
      <c r="K6" s="285" t="s">
        <v>443</v>
      </c>
      <c r="L6" s="287" t="s">
        <v>804</v>
      </c>
      <c r="M6" s="285" t="s">
        <v>805</v>
      </c>
    </row>
    <row r="7" spans="2:13" ht="12.75" customHeight="1" x14ac:dyDescent="0.2">
      <c r="B7" s="2" t="str">
        <f>LEFT(INT(RIGHT(H7, 3)), 1)</f>
        <v>6</v>
      </c>
      <c r="C7" s="9">
        <f>INT(RIGHT(H7, 3))</f>
        <v>62</v>
      </c>
      <c r="D7" s="9" t="str">
        <f>IF(C7&lt;100, "B-0"&amp;C7, "B-"&amp;C7)</f>
        <v>B-062</v>
      </c>
      <c r="E7" s="2">
        <f>I7</f>
        <v>44027</v>
      </c>
      <c r="F7" s="12">
        <f>L7</f>
        <v>2800000</v>
      </c>
      <c r="H7" s="288" t="s">
        <v>414</v>
      </c>
      <c r="I7" s="504">
        <v>44027</v>
      </c>
      <c r="J7" s="289">
        <v>44029</v>
      </c>
      <c r="K7" s="288" t="s">
        <v>806</v>
      </c>
      <c r="L7" s="290">
        <v>2800000</v>
      </c>
      <c r="M7" s="268" t="s">
        <v>807</v>
      </c>
    </row>
    <row r="8" spans="2:13" ht="12.75" customHeight="1" x14ac:dyDescent="0.2">
      <c r="B8" s="2" t="str">
        <f>LEFT(INT(RIGHT(H8, 3)), 1)</f>
        <v>1</v>
      </c>
      <c r="C8" s="9">
        <f>INT(RIGHT(H8, 3))</f>
        <v>151</v>
      </c>
      <c r="D8" s="9" t="str">
        <f>IF(C8&lt;100, "B-0"&amp;C8, "B-"&amp;C8)</f>
        <v>B-151</v>
      </c>
      <c r="E8" s="2">
        <f>I8</f>
        <v>44109</v>
      </c>
      <c r="F8" s="12">
        <f>L8</f>
        <v>2802500</v>
      </c>
      <c r="H8" s="288" t="s">
        <v>422</v>
      </c>
      <c r="I8" s="504">
        <v>44109</v>
      </c>
      <c r="J8" s="289">
        <v>44111</v>
      </c>
      <c r="K8" s="288" t="s">
        <v>808</v>
      </c>
      <c r="L8" s="290">
        <v>2802500</v>
      </c>
      <c r="M8" s="268" t="s">
        <v>807</v>
      </c>
    </row>
    <row r="9" spans="2:13" ht="15" customHeight="1" x14ac:dyDescent="0.2">
      <c r="B9" s="2"/>
      <c r="C9" s="9"/>
      <c r="D9" s="9"/>
      <c r="E9" s="2"/>
      <c r="F9" s="12"/>
      <c r="H9" s="286"/>
      <c r="I9" s="286"/>
      <c r="J9" s="247" t="s">
        <v>809</v>
      </c>
      <c r="K9" s="321">
        <v>2</v>
      </c>
      <c r="L9" s="291">
        <v>5602500</v>
      </c>
      <c r="M9" s="286"/>
    </row>
    <row r="10" spans="2:13" s="11" customFormat="1" x14ac:dyDescent="0.2">
      <c r="B10" s="2"/>
      <c r="C10" s="9"/>
      <c r="D10" s="9"/>
      <c r="E10" s="2"/>
      <c r="F10" s="12"/>
    </row>
    <row r="11" spans="2:13" s="11" customFormat="1" x14ac:dyDescent="0.2">
      <c r="B11" s="2"/>
      <c r="C11" s="9"/>
      <c r="D11" s="9"/>
      <c r="E11" s="2"/>
      <c r="F11" s="12"/>
    </row>
    <row r="12" spans="2:13" x14ac:dyDescent="0.2">
      <c r="B12" s="2"/>
      <c r="C12" s="9"/>
      <c r="D12" s="9"/>
      <c r="E12" s="2"/>
      <c r="F12" s="12"/>
    </row>
    <row r="13" spans="2:13" x14ac:dyDescent="0.2">
      <c r="B13" s="2"/>
      <c r="C13" s="9"/>
      <c r="D13" s="9"/>
      <c r="E13" s="2"/>
      <c r="F13" s="12"/>
    </row>
    <row r="14" spans="2:13" x14ac:dyDescent="0.2">
      <c r="B14" s="2"/>
      <c r="C14" s="9"/>
      <c r="D14" s="9"/>
      <c r="E14" s="2"/>
      <c r="F14" s="12"/>
    </row>
    <row r="15" spans="2:13" x14ac:dyDescent="0.2">
      <c r="B15" s="2"/>
      <c r="C15" s="9"/>
      <c r="D15" s="9"/>
      <c r="E15" s="2"/>
      <c r="F15" s="12"/>
    </row>
    <row r="16" spans="2:13" x14ac:dyDescent="0.2">
      <c r="B16" s="2"/>
      <c r="C16" s="9"/>
      <c r="D16" s="9"/>
      <c r="E16" s="2"/>
      <c r="F16" s="12"/>
    </row>
    <row r="17" spans="2:6" x14ac:dyDescent="0.2">
      <c r="B17" s="2"/>
      <c r="C17" s="9"/>
      <c r="D17" s="9"/>
      <c r="E17" s="2"/>
      <c r="F17" s="12"/>
    </row>
    <row r="18" spans="2:6" x14ac:dyDescent="0.2">
      <c r="B18" s="2"/>
      <c r="C18" s="9"/>
      <c r="D18" s="9"/>
      <c r="E18" s="2"/>
      <c r="F18" s="12"/>
    </row>
    <row r="19" spans="2:6" x14ac:dyDescent="0.2">
      <c r="B19" s="2"/>
      <c r="C19" s="9"/>
      <c r="D19" s="9"/>
      <c r="E19" s="2"/>
      <c r="F19" s="12"/>
    </row>
    <row r="20" spans="2:6" x14ac:dyDescent="0.2">
      <c r="B20" s="2"/>
      <c r="C20" s="9"/>
      <c r="D20" s="9"/>
      <c r="E20" s="2"/>
      <c r="F20" s="12"/>
    </row>
    <row r="21" spans="2:6" x14ac:dyDescent="0.2">
      <c r="B21" s="2"/>
      <c r="C21" s="9"/>
      <c r="D21" s="9"/>
      <c r="E21" s="2"/>
      <c r="F21" s="12"/>
    </row>
    <row r="22" spans="2:6" x14ac:dyDescent="0.2">
      <c r="B22" s="2"/>
      <c r="C22" s="9"/>
      <c r="D22" s="9"/>
      <c r="E22" s="2"/>
      <c r="F22" s="12"/>
    </row>
  </sheetData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BT375"/>
  <sheetViews>
    <sheetView showGridLines="0" topLeftCell="A14" workbookViewId="0">
      <selection activeCell="BG161" sqref="BG161"/>
    </sheetView>
  </sheetViews>
  <sheetFormatPr defaultRowHeight="15" x14ac:dyDescent="0.25"/>
  <cols>
    <col min="1" max="1" width="2.28515625" style="186" customWidth="1"/>
    <col min="2" max="2" width="2.7109375" style="186" customWidth="1"/>
    <col min="3" max="3" width="33.42578125" style="186" bestFit="1" customWidth="1"/>
    <col min="4" max="4" width="2.5703125" style="186" customWidth="1"/>
    <col min="5" max="5" width="13.5703125" style="186" bestFit="1" customWidth="1"/>
    <col min="6" max="6" width="15.28515625" style="186" bestFit="1" customWidth="1"/>
    <col min="7" max="7" width="14.5703125" style="186" bestFit="1" customWidth="1"/>
    <col min="8" max="8" width="19.140625" style="186" bestFit="1" customWidth="1"/>
    <col min="9" max="9" width="14.85546875" style="186" customWidth="1"/>
    <col min="10" max="10" width="2.140625" style="186" customWidth="1"/>
    <col min="11" max="12" width="14.28515625" style="186" bestFit="1" customWidth="1"/>
    <col min="13" max="13" width="27.5703125" style="186" bestFit="1" customWidth="1"/>
    <col min="14" max="14" width="15" style="186" customWidth="1"/>
    <col min="15" max="16" width="13.5703125" style="186" customWidth="1"/>
    <col min="17" max="17" width="16.85546875" style="186" customWidth="1"/>
    <col min="18" max="18" width="14.7109375" style="186" customWidth="1"/>
    <col min="19" max="19" width="14.5703125" style="186" customWidth="1"/>
    <col min="20" max="20" width="2.5703125" style="186" customWidth="1"/>
    <col min="21" max="21" width="15.28515625" style="186" customWidth="1"/>
    <col min="22" max="22" width="22" style="186" bestFit="1" customWidth="1"/>
    <col min="23" max="24" width="22" style="186" customWidth="1"/>
    <col min="25" max="25" width="20.140625" style="186" bestFit="1" customWidth="1"/>
    <col min="26" max="26" width="26.28515625" style="186" bestFit="1" customWidth="1"/>
    <col min="27" max="27" width="16" style="186" bestFit="1" customWidth="1"/>
    <col min="28" max="28" width="20.42578125" style="186" bestFit="1" customWidth="1"/>
    <col min="29" max="29" width="12.7109375" style="186" customWidth="1"/>
    <col min="30" max="30" width="30.7109375" style="186" bestFit="1" customWidth="1"/>
    <col min="31" max="31" width="12.7109375" style="186" customWidth="1"/>
    <col min="32" max="32" width="2.7109375" style="186" customWidth="1"/>
    <col min="33" max="34" width="15.42578125" style="186" customWidth="1"/>
    <col min="35" max="36" width="14.85546875" style="186" customWidth="1"/>
    <col min="37" max="37" width="12.7109375" style="186" customWidth="1"/>
    <col min="38" max="38" width="2.7109375" style="186" customWidth="1"/>
    <col min="39" max="46" width="15.42578125" style="186" customWidth="1"/>
    <col min="47" max="47" width="12.7109375" style="186" customWidth="1"/>
    <col min="48" max="48" width="2.7109375" style="186" customWidth="1"/>
    <col min="49" max="49" width="15.7109375" style="186" customWidth="1"/>
    <col min="50" max="50" width="18.5703125" style="186" customWidth="1"/>
    <col min="51" max="51" width="2.7109375" style="186" customWidth="1"/>
    <col min="52" max="53" width="11.28515625" style="186" bestFit="1" customWidth="1"/>
    <col min="59" max="59" width="13.140625" style="186" bestFit="1" customWidth="1"/>
    <col min="60" max="60" width="22" style="186" bestFit="1" customWidth="1"/>
    <col min="61" max="61" width="9.7109375" style="186" bestFit="1" customWidth="1"/>
    <col min="62" max="62" width="26.28515625" style="186" bestFit="1" customWidth="1"/>
    <col min="63" max="63" width="27.5703125" style="186" bestFit="1" customWidth="1"/>
    <col min="64" max="64" width="16" style="186" bestFit="1" customWidth="1"/>
    <col min="65" max="65" width="15.28515625" style="186" bestFit="1" customWidth="1"/>
    <col min="66" max="67" width="14.7109375" style="186" bestFit="1" customWidth="1"/>
    <col min="69" max="69" width="13.140625" style="186" bestFit="1" customWidth="1"/>
    <col min="70" max="70" width="29.42578125" style="186" bestFit="1" customWidth="1"/>
    <col min="71" max="71" width="9.140625" style="186" bestFit="1" customWidth="1"/>
    <col min="72" max="72" width="12.5703125" style="186" bestFit="1" customWidth="1"/>
  </cols>
  <sheetData>
    <row r="1" spans="2:72" ht="15.75" customHeight="1" thickBot="1" x14ac:dyDescent="0.3"/>
    <row r="2" spans="2:72" x14ac:dyDescent="0.25">
      <c r="C2" s="621" t="s">
        <v>810</v>
      </c>
      <c r="D2" s="622"/>
      <c r="E2" s="622"/>
      <c r="F2" s="622"/>
      <c r="G2" s="623"/>
    </row>
    <row r="3" spans="2:72" x14ac:dyDescent="0.25">
      <c r="C3" s="624"/>
      <c r="D3" s="599"/>
      <c r="E3" s="599"/>
      <c r="F3" s="599"/>
      <c r="G3" s="605"/>
      <c r="L3" s="336"/>
      <c r="M3" s="486"/>
    </row>
    <row r="4" spans="2:72" ht="15.75" customHeight="1" thickBot="1" x14ac:dyDescent="0.3">
      <c r="C4" s="603"/>
      <c r="D4" s="625"/>
      <c r="E4" s="625"/>
      <c r="F4" s="625"/>
      <c r="G4" s="626"/>
    </row>
    <row r="5" spans="2:72" ht="15.75" customHeight="1" thickBot="1" x14ac:dyDescent="0.3"/>
    <row r="6" spans="2:72" ht="15.75" customHeight="1" thickBot="1" x14ac:dyDescent="0.3">
      <c r="C6" s="159" t="s">
        <v>811</v>
      </c>
      <c r="D6" s="160"/>
      <c r="E6" s="161" t="s">
        <v>180</v>
      </c>
      <c r="F6" s="162" t="s">
        <v>186</v>
      </c>
      <c r="G6" s="163" t="s">
        <v>186</v>
      </c>
      <c r="H6" s="162" t="s">
        <v>11</v>
      </c>
      <c r="I6" s="162"/>
      <c r="J6" s="162"/>
      <c r="K6" s="162" t="s">
        <v>812</v>
      </c>
      <c r="L6" s="162" t="s">
        <v>117</v>
      </c>
      <c r="M6" s="162" t="s">
        <v>13</v>
      </c>
      <c r="N6" s="162" t="s">
        <v>15</v>
      </c>
      <c r="O6" s="162" t="s">
        <v>15</v>
      </c>
      <c r="P6" s="162" t="s">
        <v>15</v>
      </c>
      <c r="Q6" s="162" t="s">
        <v>15</v>
      </c>
      <c r="R6" s="162" t="s">
        <v>15</v>
      </c>
      <c r="S6" s="162"/>
      <c r="T6" s="162"/>
      <c r="U6" s="162" t="s">
        <v>15</v>
      </c>
      <c r="V6" s="162" t="s">
        <v>185</v>
      </c>
      <c r="W6" s="162" t="s">
        <v>185</v>
      </c>
      <c r="X6" s="162" t="s">
        <v>185</v>
      </c>
      <c r="Y6" s="162" t="s">
        <v>20</v>
      </c>
      <c r="Z6" s="162" t="s">
        <v>17</v>
      </c>
      <c r="AA6" s="162" t="s">
        <v>20</v>
      </c>
      <c r="AB6" s="162" t="s">
        <v>20</v>
      </c>
      <c r="AC6" s="162" t="s">
        <v>11</v>
      </c>
      <c r="AD6" s="162" t="s">
        <v>25</v>
      </c>
      <c r="AE6" s="162"/>
      <c r="AF6" s="162"/>
      <c r="AG6" s="162" t="s">
        <v>465</v>
      </c>
      <c r="AH6" s="162" t="s">
        <v>465</v>
      </c>
      <c r="AI6" s="162" t="s">
        <v>465</v>
      </c>
      <c r="AJ6" s="162" t="s">
        <v>465</v>
      </c>
      <c r="AK6" s="162"/>
      <c r="AL6" s="162"/>
      <c r="AM6" s="162" t="s">
        <v>194</v>
      </c>
      <c r="AN6" s="162" t="s">
        <v>194</v>
      </c>
      <c r="AO6" s="162" t="s">
        <v>194</v>
      </c>
      <c r="AP6" s="162" t="s">
        <v>194</v>
      </c>
      <c r="AQ6" s="162" t="s">
        <v>195</v>
      </c>
      <c r="AR6" s="162" t="s">
        <v>195</v>
      </c>
      <c r="AS6" s="162" t="s">
        <v>195</v>
      </c>
      <c r="AT6" s="162" t="s">
        <v>195</v>
      </c>
      <c r="AU6" s="162"/>
      <c r="AV6" s="162"/>
      <c r="AW6" s="162"/>
      <c r="AX6" s="162"/>
      <c r="AY6" s="162"/>
      <c r="AZ6" s="162" t="s">
        <v>190</v>
      </c>
      <c r="BA6" s="164" t="s">
        <v>191</v>
      </c>
      <c r="BD6" s="161" t="s">
        <v>180</v>
      </c>
      <c r="BE6" s="161" t="s">
        <v>11</v>
      </c>
      <c r="BF6" s="162" t="s">
        <v>117</v>
      </c>
      <c r="BG6" s="163" t="s">
        <v>15</v>
      </c>
      <c r="BH6" s="162" t="s">
        <v>185</v>
      </c>
      <c r="BI6" s="162" t="s">
        <v>14</v>
      </c>
      <c r="BJ6" s="162" t="s">
        <v>17</v>
      </c>
      <c r="BK6" s="162" t="s">
        <v>13</v>
      </c>
      <c r="BL6" s="162" t="s">
        <v>20</v>
      </c>
      <c r="BM6" s="162" t="s">
        <v>186</v>
      </c>
      <c r="BN6" s="162" t="s">
        <v>465</v>
      </c>
      <c r="BO6" s="162" t="s">
        <v>465</v>
      </c>
      <c r="BP6" s="162" t="s">
        <v>190</v>
      </c>
      <c r="BQ6" s="162" t="s">
        <v>191</v>
      </c>
      <c r="BR6" s="162" t="s">
        <v>25</v>
      </c>
      <c r="BS6" s="162" t="s">
        <v>194</v>
      </c>
      <c r="BT6" s="162" t="s">
        <v>195</v>
      </c>
    </row>
    <row r="8" spans="2:72" ht="15.75" customHeight="1" thickBot="1" x14ac:dyDescent="0.3">
      <c r="B8" s="165" t="s">
        <v>813</v>
      </c>
      <c r="C8" s="166"/>
      <c r="D8" s="166"/>
      <c r="E8" s="166" t="s">
        <v>814</v>
      </c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/>
      <c r="BA8"/>
    </row>
    <row r="9" spans="2:72" x14ac:dyDescent="0.25">
      <c r="B9" s="144"/>
      <c r="C9" s="168"/>
      <c r="D9" s="505"/>
      <c r="E9" s="168"/>
      <c r="F9" s="168"/>
      <c r="G9" s="168"/>
      <c r="H9" s="168"/>
      <c r="I9" s="168"/>
      <c r="J9" s="505"/>
      <c r="K9" s="506"/>
      <c r="L9" s="506"/>
      <c r="M9" s="506"/>
      <c r="N9" s="506"/>
      <c r="O9" s="506"/>
      <c r="P9" s="506"/>
      <c r="Q9" s="506"/>
      <c r="R9" s="506"/>
      <c r="S9" s="506"/>
      <c r="T9" s="505"/>
      <c r="U9" s="506"/>
      <c r="V9" s="506"/>
      <c r="W9" s="506"/>
      <c r="X9" s="506"/>
      <c r="Y9" s="506"/>
      <c r="Z9" s="506"/>
      <c r="AA9" s="506"/>
      <c r="AB9" s="506"/>
      <c r="AC9" s="506"/>
      <c r="AD9" s="506"/>
      <c r="AE9" s="506"/>
      <c r="AF9" s="505"/>
      <c r="AG9" s="506"/>
      <c r="AH9" s="506"/>
      <c r="AI9" s="506"/>
      <c r="AJ9" s="506"/>
      <c r="AK9" s="506"/>
      <c r="AL9" s="505"/>
      <c r="AM9" s="505"/>
      <c r="AN9" s="505"/>
      <c r="AO9" s="505"/>
      <c r="AP9" s="505"/>
      <c r="AQ9" s="505"/>
      <c r="AR9" s="505"/>
      <c r="AS9" s="505"/>
      <c r="AT9" s="505"/>
      <c r="AU9" s="505"/>
      <c r="AV9" s="505"/>
      <c r="AW9" s="505"/>
      <c r="AX9" s="505"/>
      <c r="AY9" s="169"/>
      <c r="AZ9"/>
      <c r="BA9"/>
    </row>
    <row r="10" spans="2:72" x14ac:dyDescent="0.25">
      <c r="B10" s="145"/>
      <c r="C10" s="507">
        <v>43191</v>
      </c>
      <c r="D10" s="508"/>
      <c r="E10" s="170" t="s">
        <v>815</v>
      </c>
      <c r="F10" s="167"/>
      <c r="G10" s="167"/>
      <c r="H10" s="167"/>
      <c r="I10" s="167"/>
      <c r="J10" s="508"/>
      <c r="K10" s="170" t="s">
        <v>816</v>
      </c>
      <c r="L10" s="509"/>
      <c r="M10" s="509"/>
      <c r="N10" s="509"/>
      <c r="O10" s="509"/>
      <c r="P10" s="509"/>
      <c r="Q10" s="509"/>
      <c r="R10" s="509"/>
      <c r="S10" s="509"/>
      <c r="T10" s="508"/>
      <c r="U10" s="170" t="s">
        <v>817</v>
      </c>
      <c r="V10" s="170"/>
      <c r="W10" s="170"/>
      <c r="X10" s="170"/>
      <c r="Y10" s="170"/>
      <c r="Z10" s="509"/>
      <c r="AA10" s="509"/>
      <c r="AB10" s="509"/>
      <c r="AC10" s="509"/>
      <c r="AD10" s="509"/>
      <c r="AE10" s="509"/>
      <c r="AF10" s="508"/>
      <c r="AG10" s="170" t="s">
        <v>818</v>
      </c>
      <c r="AH10" s="170"/>
      <c r="AI10" s="509"/>
      <c r="AJ10" s="509"/>
      <c r="AK10" s="509"/>
      <c r="AL10" s="508"/>
      <c r="AM10" s="170" t="s">
        <v>819</v>
      </c>
      <c r="AN10" s="508"/>
      <c r="AO10" s="508"/>
      <c r="AP10" s="508"/>
      <c r="AQ10" s="508"/>
      <c r="AR10" s="508"/>
      <c r="AS10" s="508"/>
      <c r="AT10" s="508"/>
      <c r="AU10" s="508"/>
      <c r="AV10" s="510"/>
      <c r="AW10" s="170" t="s">
        <v>820</v>
      </c>
      <c r="AX10" s="510"/>
      <c r="AY10" s="171"/>
    </row>
    <row r="11" spans="2:72" ht="15" customHeight="1" x14ac:dyDescent="0.25">
      <c r="B11" s="145"/>
      <c r="C11" s="511">
        <v>43983</v>
      </c>
      <c r="D11" s="512"/>
      <c r="E11" s="613" t="s">
        <v>821</v>
      </c>
      <c r="F11" s="613" t="s">
        <v>822</v>
      </c>
      <c r="G11" s="613" t="s">
        <v>823</v>
      </c>
      <c r="H11" s="613" t="s">
        <v>824</v>
      </c>
      <c r="I11" s="618" t="s">
        <v>27</v>
      </c>
      <c r="J11" s="512"/>
      <c r="K11" s="620" t="s">
        <v>190</v>
      </c>
      <c r="L11" s="172" t="s">
        <v>117</v>
      </c>
      <c r="M11" s="172"/>
      <c r="N11" s="613" t="s">
        <v>825</v>
      </c>
      <c r="O11" s="613" t="s">
        <v>826</v>
      </c>
      <c r="P11" s="613" t="s">
        <v>827</v>
      </c>
      <c r="Q11" s="613" t="s">
        <v>828</v>
      </c>
      <c r="R11" s="613" t="s">
        <v>829</v>
      </c>
      <c r="S11" s="618" t="s">
        <v>27</v>
      </c>
      <c r="T11" s="512"/>
      <c r="U11" s="613" t="s">
        <v>830</v>
      </c>
      <c r="V11" s="613" t="s">
        <v>16</v>
      </c>
      <c r="W11" s="617"/>
      <c r="X11" s="613" t="s">
        <v>831</v>
      </c>
      <c r="Y11" s="613" t="s">
        <v>832</v>
      </c>
      <c r="Z11" s="172" t="s">
        <v>833</v>
      </c>
      <c r="AA11" s="172"/>
      <c r="AB11" s="613" t="s">
        <v>834</v>
      </c>
      <c r="AC11" s="613" t="s">
        <v>835</v>
      </c>
      <c r="AD11" s="613" t="s">
        <v>836</v>
      </c>
      <c r="AE11" s="618" t="s">
        <v>27</v>
      </c>
      <c r="AF11" s="512"/>
      <c r="AG11" s="613" t="s">
        <v>837</v>
      </c>
      <c r="AH11" s="613" t="s">
        <v>838</v>
      </c>
      <c r="AI11" s="613" t="s">
        <v>839</v>
      </c>
      <c r="AJ11" s="329" t="s">
        <v>840</v>
      </c>
      <c r="AK11" s="618" t="s">
        <v>27</v>
      </c>
      <c r="AL11" s="512"/>
      <c r="AM11" s="172" t="s">
        <v>194</v>
      </c>
      <c r="AN11" s="172"/>
      <c r="AO11" s="172"/>
      <c r="AP11" s="172"/>
      <c r="AQ11" s="172" t="s">
        <v>195</v>
      </c>
      <c r="AR11" s="172"/>
      <c r="AS11" s="172"/>
      <c r="AT11" s="172"/>
      <c r="AU11" s="618" t="s">
        <v>27</v>
      </c>
      <c r="AV11" s="513"/>
      <c r="AW11" s="616" t="s">
        <v>841</v>
      </c>
      <c r="AX11" s="616" t="s">
        <v>842</v>
      </c>
      <c r="AY11" s="513"/>
      <c r="AZ11" s="613" t="s">
        <v>843</v>
      </c>
      <c r="BA11" s="617"/>
    </row>
    <row r="12" spans="2:72" x14ac:dyDescent="0.25">
      <c r="B12" s="145"/>
      <c r="C12" s="514">
        <v>44166</v>
      </c>
      <c r="D12" s="512"/>
      <c r="E12" s="614"/>
      <c r="F12" s="614"/>
      <c r="G12" s="614"/>
      <c r="H12" s="614"/>
      <c r="I12" s="614"/>
      <c r="J12" s="512"/>
      <c r="K12" s="614"/>
      <c r="L12" s="613" t="s">
        <v>844</v>
      </c>
      <c r="M12" s="613" t="s">
        <v>845</v>
      </c>
      <c r="N12" s="614"/>
      <c r="O12" s="614"/>
      <c r="P12" s="614"/>
      <c r="Q12" s="614"/>
      <c r="R12" s="614"/>
      <c r="S12" s="614"/>
      <c r="T12" s="512"/>
      <c r="U12" s="614"/>
      <c r="V12" s="619" t="s">
        <v>846</v>
      </c>
      <c r="W12" s="619" t="s">
        <v>847</v>
      </c>
      <c r="X12" s="614"/>
      <c r="Y12" s="614"/>
      <c r="Z12" s="613" t="s">
        <v>848</v>
      </c>
      <c r="AA12" s="613" t="s">
        <v>823</v>
      </c>
      <c r="AB12" s="614"/>
      <c r="AC12" s="614"/>
      <c r="AD12" s="614"/>
      <c r="AE12" s="614"/>
      <c r="AF12" s="512"/>
      <c r="AG12" s="614"/>
      <c r="AH12" s="614"/>
      <c r="AI12" s="614"/>
      <c r="AJ12" s="330" t="s">
        <v>849</v>
      </c>
      <c r="AK12" s="614"/>
      <c r="AL12" s="512"/>
      <c r="AM12" s="613" t="s">
        <v>850</v>
      </c>
      <c r="AN12" s="613" t="s">
        <v>851</v>
      </c>
      <c r="AO12" s="613" t="s">
        <v>852</v>
      </c>
      <c r="AP12" s="613" t="s">
        <v>853</v>
      </c>
      <c r="AQ12" s="613" t="s">
        <v>850</v>
      </c>
      <c r="AR12" s="613" t="s">
        <v>851</v>
      </c>
      <c r="AS12" s="613" t="s">
        <v>852</v>
      </c>
      <c r="AT12" s="613" t="s">
        <v>853</v>
      </c>
      <c r="AU12" s="614"/>
      <c r="AV12" s="513"/>
      <c r="AW12" s="614"/>
      <c r="AX12" s="614"/>
      <c r="AY12" s="513"/>
      <c r="AZ12" s="613" t="s">
        <v>190</v>
      </c>
      <c r="BA12" s="613" t="s">
        <v>191</v>
      </c>
    </row>
    <row r="13" spans="2:72" ht="15.75" customHeight="1" thickBot="1" x14ac:dyDescent="0.3">
      <c r="B13" s="145"/>
      <c r="C13" s="515">
        <v>45047</v>
      </c>
      <c r="D13" s="176"/>
      <c r="E13" s="614"/>
      <c r="F13" s="614"/>
      <c r="G13" s="614"/>
      <c r="H13" s="615"/>
      <c r="I13" s="614"/>
      <c r="J13" s="176"/>
      <c r="K13" s="614"/>
      <c r="L13" s="614"/>
      <c r="M13" s="615"/>
      <c r="N13" s="614"/>
      <c r="O13" s="614"/>
      <c r="P13" s="614"/>
      <c r="Q13" s="614"/>
      <c r="R13" s="614"/>
      <c r="S13" s="614"/>
      <c r="T13" s="176"/>
      <c r="U13" s="614"/>
      <c r="V13" s="614"/>
      <c r="W13" s="614"/>
      <c r="X13" s="614"/>
      <c r="Y13" s="614"/>
      <c r="Z13" s="615"/>
      <c r="AA13" s="614"/>
      <c r="AB13" s="614"/>
      <c r="AC13" s="615"/>
      <c r="AD13" s="614"/>
      <c r="AE13" s="614"/>
      <c r="AF13" s="176"/>
      <c r="AG13" s="614"/>
      <c r="AH13" s="614"/>
      <c r="AI13" s="614"/>
      <c r="AJ13" s="330" t="s">
        <v>854</v>
      </c>
      <c r="AK13" s="614"/>
      <c r="AL13" s="176"/>
      <c r="AM13" s="614"/>
      <c r="AN13" s="614"/>
      <c r="AO13" s="614"/>
      <c r="AP13" s="614"/>
      <c r="AQ13" s="614"/>
      <c r="AR13" s="614"/>
      <c r="AS13" s="614"/>
      <c r="AT13" s="614"/>
      <c r="AU13" s="614"/>
      <c r="AV13" s="176"/>
      <c r="AW13" s="614"/>
      <c r="AX13" s="614"/>
      <c r="AY13" s="176"/>
      <c r="AZ13" s="614"/>
      <c r="BA13" s="614"/>
    </row>
    <row r="14" spans="2:72" ht="24" customHeight="1" x14ac:dyDescent="0.25">
      <c r="B14" s="145"/>
      <c r="C14" s="516">
        <v>44166</v>
      </c>
      <c r="D14" s="176"/>
      <c r="E14" s="615"/>
      <c r="F14" s="615"/>
      <c r="G14" s="615"/>
      <c r="H14" s="173">
        <v>2.0799999999999999E-2</v>
      </c>
      <c r="I14" s="615"/>
      <c r="J14" s="176"/>
      <c r="K14" s="615"/>
      <c r="L14" s="615"/>
      <c r="M14" s="174">
        <v>0.09</v>
      </c>
      <c r="N14" s="615"/>
      <c r="O14" s="615"/>
      <c r="P14" s="615"/>
      <c r="Q14" s="615"/>
      <c r="R14" s="615"/>
      <c r="S14" s="615"/>
      <c r="T14" s="176"/>
      <c r="U14" s="615"/>
      <c r="V14" s="615"/>
      <c r="W14" s="615"/>
      <c r="X14" s="615"/>
      <c r="Y14" s="615"/>
      <c r="Z14" s="175">
        <v>0.03</v>
      </c>
      <c r="AA14" s="615"/>
      <c r="AB14" s="615"/>
      <c r="AC14" s="273">
        <v>1.9199999999999998E-2</v>
      </c>
      <c r="AD14" s="615"/>
      <c r="AE14" s="615"/>
      <c r="AF14" s="176"/>
      <c r="AG14" s="615"/>
      <c r="AH14" s="615"/>
      <c r="AI14" s="615"/>
      <c r="AJ14" s="331"/>
      <c r="AK14" s="615"/>
      <c r="AL14" s="176"/>
      <c r="AM14" s="615"/>
      <c r="AN14" s="615"/>
      <c r="AO14" s="615"/>
      <c r="AP14" s="615"/>
      <c r="AQ14" s="615"/>
      <c r="AR14" s="615"/>
      <c r="AS14" s="615"/>
      <c r="AT14" s="615"/>
      <c r="AU14" s="615"/>
      <c r="AV14" s="176"/>
      <c r="AW14" s="615"/>
      <c r="AX14" s="615"/>
      <c r="AY14" s="176"/>
      <c r="AZ14" s="615"/>
      <c r="BA14" s="615"/>
      <c r="BD14" s="517" t="s">
        <v>180</v>
      </c>
      <c r="BE14" s="518" t="s">
        <v>11</v>
      </c>
      <c r="BF14" s="518" t="s">
        <v>12</v>
      </c>
      <c r="BG14" s="518" t="s">
        <v>15</v>
      </c>
      <c r="BH14" s="518" t="s">
        <v>185</v>
      </c>
      <c r="BI14" s="518" t="s">
        <v>14</v>
      </c>
      <c r="BJ14" s="518" t="s">
        <v>17</v>
      </c>
      <c r="BK14" s="518" t="s">
        <v>13</v>
      </c>
      <c r="BL14" s="518" t="s">
        <v>20</v>
      </c>
      <c r="BM14" s="519" t="s">
        <v>186</v>
      </c>
      <c r="BN14" s="519" t="s">
        <v>188</v>
      </c>
      <c r="BO14" s="518" t="s">
        <v>189</v>
      </c>
      <c r="BP14" s="520" t="s">
        <v>190</v>
      </c>
      <c r="BQ14" s="520" t="s">
        <v>191</v>
      </c>
      <c r="BR14" s="520" t="s">
        <v>25</v>
      </c>
      <c r="BS14" s="519" t="s">
        <v>194</v>
      </c>
      <c r="BT14" s="521" t="s">
        <v>195</v>
      </c>
    </row>
    <row r="15" spans="2:72" x14ac:dyDescent="0.25">
      <c r="B15" s="145"/>
      <c r="C15" s="522"/>
      <c r="D15" s="176"/>
      <c r="F15" s="177"/>
      <c r="I15" s="176"/>
      <c r="J15" s="176"/>
      <c r="K15" s="178"/>
      <c r="L15" s="178"/>
      <c r="M15" s="179">
        <v>1.4999999999999999E-2</v>
      </c>
      <c r="S15" s="176"/>
      <c r="T15" s="176"/>
      <c r="AB15" s="178"/>
      <c r="AC15" s="181"/>
      <c r="AD15" s="178"/>
      <c r="AE15" s="176"/>
      <c r="AF15" s="176"/>
      <c r="AG15" s="178"/>
      <c r="AH15" s="178"/>
      <c r="AI15" s="178"/>
      <c r="AJ15" s="178"/>
      <c r="AK15" s="176"/>
      <c r="AL15" s="180"/>
      <c r="AM15" s="181">
        <v>0.13719999999999999</v>
      </c>
      <c r="AN15" s="181">
        <v>0.13719999999999999</v>
      </c>
      <c r="AO15" s="181">
        <v>5.5999999999999999E-3</v>
      </c>
      <c r="AP15" s="181">
        <v>0.72</v>
      </c>
      <c r="AQ15" s="178"/>
      <c r="AR15" s="178"/>
      <c r="AS15" s="178"/>
      <c r="AT15" s="178"/>
      <c r="AU15" s="176"/>
      <c r="AV15" s="176"/>
      <c r="AW15" s="176"/>
      <c r="AX15" s="176"/>
      <c r="AY15" s="176"/>
      <c r="BD15" s="212"/>
      <c r="BT15" s="213"/>
    </row>
    <row r="16" spans="2:72" x14ac:dyDescent="0.25">
      <c r="B16" s="523"/>
      <c r="C16" s="524" t="s">
        <v>238</v>
      </c>
      <c r="D16" s="525"/>
      <c r="E16" s="526">
        <v>76079970.44947575</v>
      </c>
      <c r="F16" s="526">
        <v>16167701.99660005</v>
      </c>
      <c r="G16" s="526">
        <v>-631930.61</v>
      </c>
      <c r="H16" s="526">
        <v>-1584738.204149096</v>
      </c>
      <c r="I16" s="527">
        <v>90031003.6319267</v>
      </c>
      <c r="J16" s="525"/>
      <c r="K16" s="526">
        <v>45262573.41999992</v>
      </c>
      <c r="L16" s="526">
        <v>37441873.011739232</v>
      </c>
      <c r="M16" s="526">
        <v>3931396.666232619</v>
      </c>
      <c r="N16" s="528">
        <v>336373.667225399</v>
      </c>
      <c r="O16" s="526">
        <v>1160675.55</v>
      </c>
      <c r="P16" s="526">
        <v>472138.71</v>
      </c>
      <c r="Q16" s="526">
        <v>373197.510011415</v>
      </c>
      <c r="R16" s="526">
        <v>724709.27028450929</v>
      </c>
      <c r="S16" s="527">
        <v>89702937.805493221</v>
      </c>
      <c r="T16" s="525"/>
      <c r="U16" s="528">
        <v>227164.78</v>
      </c>
      <c r="V16" s="526">
        <v>1755502.04</v>
      </c>
      <c r="W16" s="526">
        <v>2056277.570000001</v>
      </c>
      <c r="X16" s="526">
        <v>41215</v>
      </c>
      <c r="Y16" s="526">
        <v>0</v>
      </c>
      <c r="Z16" s="526">
        <v>2915480.925982275</v>
      </c>
      <c r="AA16" s="528">
        <v>145650.14000000001</v>
      </c>
      <c r="AB16" s="526">
        <v>0</v>
      </c>
      <c r="AC16" s="526">
        <v>1503977.6838299341</v>
      </c>
      <c r="AD16" s="528">
        <v>-230298.98</v>
      </c>
      <c r="AE16" s="527">
        <v>8414969.1598122083</v>
      </c>
      <c r="AF16" s="529"/>
      <c r="AG16" s="526">
        <v>0</v>
      </c>
      <c r="AH16" s="526">
        <v>0</v>
      </c>
      <c r="AI16" s="526">
        <v>0</v>
      </c>
      <c r="AJ16" s="526">
        <v>0</v>
      </c>
      <c r="AK16" s="527">
        <v>0</v>
      </c>
      <c r="AL16" s="529"/>
      <c r="AM16" s="526">
        <v>5941956.1812000005</v>
      </c>
      <c r="AN16" s="526">
        <v>5941956.1812000005</v>
      </c>
      <c r="AO16" s="526">
        <v>242528.81760000001</v>
      </c>
      <c r="AP16" s="530">
        <v>31181988.75</v>
      </c>
      <c r="AQ16" s="531">
        <v>-2218208.713933527</v>
      </c>
      <c r="AR16" s="526">
        <v>-2218208.713933527</v>
      </c>
      <c r="AS16" s="526">
        <v>-90539.131180960292</v>
      </c>
      <c r="AT16" s="526">
        <v>-11640745.437552029</v>
      </c>
      <c r="AU16" s="527">
        <v>27140727.933399949</v>
      </c>
      <c r="AV16" s="529"/>
      <c r="AW16" s="527">
        <v>19053824.60002128</v>
      </c>
      <c r="AX16" s="527"/>
      <c r="AY16" s="529"/>
      <c r="AZ16" s="526">
        <f>SUM(AZ19:AZ374)</f>
        <v>24438863.199999981</v>
      </c>
      <c r="BA16" s="526">
        <f>SUM(BA19:BA374)</f>
        <v>20823710.219999999</v>
      </c>
      <c r="BD16" s="212"/>
      <c r="BT16" s="213"/>
    </row>
    <row r="17" spans="2:72" x14ac:dyDescent="0.25">
      <c r="B17" s="145"/>
      <c r="C17" s="182"/>
      <c r="D17" s="509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7"/>
      <c r="AT17" s="177"/>
      <c r="AU17" s="177"/>
      <c r="AV17" s="177"/>
      <c r="AW17" s="177"/>
      <c r="AX17" s="177"/>
      <c r="AY17" s="509"/>
      <c r="AZ17" s="177"/>
      <c r="BA17" s="177"/>
      <c r="BD17" s="212"/>
      <c r="BT17" s="213"/>
    </row>
    <row r="18" spans="2:72" x14ac:dyDescent="0.25">
      <c r="B18" s="145"/>
      <c r="C18" s="532" t="s">
        <v>855</v>
      </c>
      <c r="D18" s="533"/>
      <c r="E18" s="534"/>
      <c r="F18" s="534"/>
      <c r="G18" s="534"/>
      <c r="H18" s="535"/>
      <c r="I18" s="536"/>
      <c r="J18" s="533"/>
      <c r="K18" s="534"/>
      <c r="L18" s="534"/>
      <c r="M18" s="534"/>
      <c r="N18" s="534"/>
      <c r="O18" s="534"/>
      <c r="P18" s="534"/>
      <c r="Q18" s="534"/>
      <c r="R18" s="534"/>
      <c r="S18" s="536"/>
      <c r="T18" s="533"/>
      <c r="U18" s="534"/>
      <c r="V18" s="534"/>
      <c r="W18" s="534"/>
      <c r="X18" s="534"/>
      <c r="Y18" s="534"/>
      <c r="Z18" s="534"/>
      <c r="AA18" s="534"/>
      <c r="AB18" s="534"/>
      <c r="AC18" s="534"/>
      <c r="AD18" s="534"/>
      <c r="AE18" s="536"/>
      <c r="AF18" s="533"/>
      <c r="AG18" s="534"/>
      <c r="AH18" s="534"/>
      <c r="AI18" s="534"/>
      <c r="AJ18" s="534"/>
      <c r="AK18" s="536">
        <v>0</v>
      </c>
      <c r="AL18" s="533"/>
      <c r="AM18" s="534"/>
      <c r="AN18" s="534"/>
      <c r="AO18" s="534"/>
      <c r="AP18" s="537"/>
      <c r="AQ18" s="535"/>
      <c r="AR18" s="534"/>
      <c r="AS18" s="534"/>
      <c r="AT18" s="534"/>
      <c r="AU18" s="536">
        <v>0</v>
      </c>
      <c r="AV18" s="533"/>
      <c r="AW18" s="538"/>
      <c r="AX18" s="538">
        <v>0</v>
      </c>
      <c r="AY18" s="533"/>
      <c r="AZ18" s="534"/>
      <c r="BA18" s="534"/>
      <c r="BD18" s="392">
        <f t="shared" ref="BD18:BD49" si="0">SUMIF($E$6:$BA$6, BD$6, $E18:$BA18)</f>
        <v>0</v>
      </c>
      <c r="BE18" s="425">
        <f t="shared" ref="BE18:BE49" si="1">-SUMIF($E$6:$BA$6, BE$6, $E18:$BA18)+2*H18</f>
        <v>0</v>
      </c>
      <c r="BF18" s="425">
        <f t="shared" ref="BF18:BL27" si="2">-SUMIF($E$6:$BA$6, BF$6, $E18:$BA18)</f>
        <v>0</v>
      </c>
      <c r="BG18" s="425">
        <f t="shared" si="2"/>
        <v>0</v>
      </c>
      <c r="BH18" s="425">
        <f t="shared" si="2"/>
        <v>0</v>
      </c>
      <c r="BI18" s="425">
        <f t="shared" si="2"/>
        <v>0</v>
      </c>
      <c r="BJ18" s="425">
        <f t="shared" si="2"/>
        <v>0</v>
      </c>
      <c r="BK18" s="425">
        <f t="shared" si="2"/>
        <v>0</v>
      </c>
      <c r="BL18" s="425">
        <f t="shared" si="2"/>
        <v>0</v>
      </c>
      <c r="BM18" s="425">
        <f t="shared" ref="BM18:BO37" si="3">SUMIF($E$6:$BA$6, BM$6, $E18:$BA18)</f>
        <v>0</v>
      </c>
      <c r="BN18" s="425">
        <f t="shared" si="3"/>
        <v>0</v>
      </c>
      <c r="BO18" s="425">
        <f t="shared" si="3"/>
        <v>0</v>
      </c>
      <c r="BP18" s="425">
        <f t="shared" ref="BP18:BR37" si="4">-SUMIF($E$6:$BA$6, BP$6, $E18:$BA18)</f>
        <v>0</v>
      </c>
      <c r="BQ18" s="425">
        <f t="shared" si="4"/>
        <v>0</v>
      </c>
      <c r="BR18" s="425">
        <f t="shared" si="4"/>
        <v>0</v>
      </c>
      <c r="BS18" s="425">
        <f t="shared" ref="BS18:BT37" si="5">SUMIF($E$6:$BA$6, BS$6, $E18:$BA18)</f>
        <v>0</v>
      </c>
      <c r="BT18" s="426">
        <f t="shared" si="5"/>
        <v>0</v>
      </c>
    </row>
    <row r="19" spans="2:72" hidden="1" x14ac:dyDescent="0.25">
      <c r="B19" s="145"/>
      <c r="C19" s="539">
        <v>38838</v>
      </c>
      <c r="D19" s="533"/>
      <c r="E19" s="534">
        <v>0</v>
      </c>
      <c r="F19" s="534">
        <v>0</v>
      </c>
      <c r="G19" s="534">
        <v>0</v>
      </c>
      <c r="H19" s="540">
        <v>0</v>
      </c>
      <c r="I19" s="536">
        <f t="shared" ref="I19:I50" si="6">SUM(E19:H19)</f>
        <v>0</v>
      </c>
      <c r="J19" s="533"/>
      <c r="K19" s="534">
        <v>0</v>
      </c>
      <c r="L19" s="534">
        <v>0</v>
      </c>
      <c r="M19" s="534">
        <v>0</v>
      </c>
      <c r="N19" s="534">
        <v>0</v>
      </c>
      <c r="O19" s="534">
        <v>0</v>
      </c>
      <c r="P19" s="534">
        <v>0</v>
      </c>
      <c r="Q19" s="534">
        <v>0</v>
      </c>
      <c r="R19" s="534">
        <v>0</v>
      </c>
      <c r="S19" s="536">
        <f t="shared" ref="S19:S50" si="7">K19+SUM(L19:N19)+O19+SUM(P19:R19)</f>
        <v>0</v>
      </c>
      <c r="T19" s="533"/>
      <c r="U19" s="534">
        <v>0</v>
      </c>
      <c r="V19" s="534">
        <v>0</v>
      </c>
      <c r="W19" s="534">
        <v>0</v>
      </c>
      <c r="X19" s="534">
        <v>0</v>
      </c>
      <c r="Y19" s="534">
        <v>0</v>
      </c>
      <c r="Z19" s="534">
        <v>0</v>
      </c>
      <c r="AA19" s="534">
        <v>0</v>
      </c>
      <c r="AB19" s="534">
        <v>0</v>
      </c>
      <c r="AC19" s="534">
        <v>0</v>
      </c>
      <c r="AD19" s="534">
        <v>0</v>
      </c>
      <c r="AE19" s="536">
        <f t="shared" ref="AE19:AE50" si="8">SUM(U19:AD19)</f>
        <v>0</v>
      </c>
      <c r="AF19" s="533"/>
      <c r="AG19" s="534">
        <v>0</v>
      </c>
      <c r="AH19" s="534">
        <v>0</v>
      </c>
      <c r="AI19" s="534">
        <v>0</v>
      </c>
      <c r="AJ19" s="534">
        <v>0</v>
      </c>
      <c r="AK19" s="536">
        <f t="shared" ref="AK19:AK50" si="9">SUM(AG19:AJ19)</f>
        <v>0</v>
      </c>
      <c r="AL19" s="533"/>
      <c r="AM19" s="534">
        <v>0</v>
      </c>
      <c r="AN19" s="534">
        <v>0</v>
      </c>
      <c r="AO19" s="534">
        <v>0</v>
      </c>
      <c r="AP19" s="537">
        <v>0</v>
      </c>
      <c r="AQ19" s="535">
        <v>0</v>
      </c>
      <c r="AR19" s="534">
        <v>0</v>
      </c>
      <c r="AS19" s="534">
        <v>0</v>
      </c>
      <c r="AT19" s="534">
        <v>0</v>
      </c>
      <c r="AU19" s="536">
        <f t="shared" ref="AU19:AU50" si="10">SUM(AM19:AT19)</f>
        <v>0</v>
      </c>
      <c r="AV19" s="533"/>
      <c r="AW19" s="538">
        <f t="shared" ref="AW19:AW50" si="11">SUM(I19,-S19,-AE19,AK19,AU19)</f>
        <v>0</v>
      </c>
      <c r="AX19" s="538">
        <f t="shared" ref="AX19:AX50" si="12">AX18+AW19</f>
        <v>0</v>
      </c>
      <c r="AY19" s="533"/>
      <c r="AZ19" s="534">
        <f t="shared" ref="AZ19:AZ50" si="13">K19-BA19</f>
        <v>0</v>
      </c>
      <c r="BA19" s="534">
        <v>0</v>
      </c>
      <c r="BD19" s="392">
        <f t="shared" si="0"/>
        <v>0</v>
      </c>
      <c r="BE19" s="425">
        <f t="shared" si="1"/>
        <v>0</v>
      </c>
      <c r="BF19" s="425">
        <f t="shared" si="2"/>
        <v>0</v>
      </c>
      <c r="BG19" s="425">
        <f t="shared" si="2"/>
        <v>0</v>
      </c>
      <c r="BH19" s="425">
        <f t="shared" si="2"/>
        <v>0</v>
      </c>
      <c r="BI19" s="425">
        <f t="shared" si="2"/>
        <v>0</v>
      </c>
      <c r="BJ19" s="425">
        <f t="shared" si="2"/>
        <v>0</v>
      </c>
      <c r="BK19" s="425">
        <f t="shared" si="2"/>
        <v>0</v>
      </c>
      <c r="BL19" s="425">
        <f t="shared" si="2"/>
        <v>0</v>
      </c>
      <c r="BM19" s="425">
        <f t="shared" si="3"/>
        <v>0</v>
      </c>
      <c r="BN19" s="425">
        <f t="shared" si="3"/>
        <v>0</v>
      </c>
      <c r="BO19" s="425">
        <f t="shared" si="3"/>
        <v>0</v>
      </c>
      <c r="BP19" s="425">
        <f t="shared" si="4"/>
        <v>0</v>
      </c>
      <c r="BQ19" s="425">
        <f t="shared" si="4"/>
        <v>0</v>
      </c>
      <c r="BR19" s="425">
        <f t="shared" si="4"/>
        <v>0</v>
      </c>
      <c r="BS19" s="425">
        <f t="shared" si="5"/>
        <v>0</v>
      </c>
      <c r="BT19" s="426">
        <f t="shared" si="5"/>
        <v>0</v>
      </c>
    </row>
    <row r="20" spans="2:72" hidden="1" x14ac:dyDescent="0.25">
      <c r="B20" s="145"/>
      <c r="C20" s="539">
        <f t="shared" ref="C20:C51" si="14">EDATE(C19, 1)</f>
        <v>38869</v>
      </c>
      <c r="D20" s="533"/>
      <c r="E20" s="534">
        <v>0</v>
      </c>
      <c r="F20" s="534">
        <v>0</v>
      </c>
      <c r="G20" s="534">
        <v>0</v>
      </c>
      <c r="H20" s="540">
        <v>0</v>
      </c>
      <c r="I20" s="536">
        <f t="shared" si="6"/>
        <v>0</v>
      </c>
      <c r="J20" s="533"/>
      <c r="K20" s="534">
        <v>0</v>
      </c>
      <c r="L20" s="534">
        <v>0</v>
      </c>
      <c r="M20" s="534">
        <v>0</v>
      </c>
      <c r="N20" s="534">
        <v>0</v>
      </c>
      <c r="O20" s="534">
        <v>0</v>
      </c>
      <c r="P20" s="534">
        <v>0</v>
      </c>
      <c r="Q20" s="534">
        <v>0</v>
      </c>
      <c r="R20" s="534">
        <v>0</v>
      </c>
      <c r="S20" s="536">
        <f t="shared" si="7"/>
        <v>0</v>
      </c>
      <c r="T20" s="533"/>
      <c r="U20" s="534">
        <v>0</v>
      </c>
      <c r="V20" s="534">
        <v>0</v>
      </c>
      <c r="W20" s="534">
        <v>0</v>
      </c>
      <c r="X20" s="534">
        <v>0</v>
      </c>
      <c r="Y20" s="534">
        <v>0</v>
      </c>
      <c r="Z20" s="534">
        <v>0</v>
      </c>
      <c r="AA20" s="534">
        <v>0</v>
      </c>
      <c r="AB20" s="534">
        <v>0</v>
      </c>
      <c r="AC20" s="534">
        <v>0</v>
      </c>
      <c r="AD20" s="534">
        <v>0</v>
      </c>
      <c r="AE20" s="536">
        <f t="shared" si="8"/>
        <v>0</v>
      </c>
      <c r="AF20" s="533"/>
      <c r="AG20" s="534">
        <v>0</v>
      </c>
      <c r="AH20" s="534">
        <v>0</v>
      </c>
      <c r="AI20" s="534">
        <v>0</v>
      </c>
      <c r="AJ20" s="534">
        <v>0</v>
      </c>
      <c r="AK20" s="536">
        <f t="shared" si="9"/>
        <v>0</v>
      </c>
      <c r="AL20" s="533"/>
      <c r="AM20" s="534">
        <v>0</v>
      </c>
      <c r="AN20" s="534">
        <v>0</v>
      </c>
      <c r="AO20" s="534">
        <v>0</v>
      </c>
      <c r="AP20" s="537">
        <v>0</v>
      </c>
      <c r="AQ20" s="535">
        <v>0</v>
      </c>
      <c r="AR20" s="534">
        <v>0</v>
      </c>
      <c r="AS20" s="534">
        <v>0</v>
      </c>
      <c r="AT20" s="534">
        <v>0</v>
      </c>
      <c r="AU20" s="536">
        <f t="shared" si="10"/>
        <v>0</v>
      </c>
      <c r="AV20" s="533"/>
      <c r="AW20" s="538">
        <f t="shared" si="11"/>
        <v>0</v>
      </c>
      <c r="AX20" s="538">
        <f t="shared" si="12"/>
        <v>0</v>
      </c>
      <c r="AY20" s="533"/>
      <c r="AZ20" s="534">
        <f t="shared" si="13"/>
        <v>0</v>
      </c>
      <c r="BA20" s="534">
        <v>0</v>
      </c>
      <c r="BD20" s="392">
        <f t="shared" si="0"/>
        <v>0</v>
      </c>
      <c r="BE20" s="425">
        <f t="shared" si="1"/>
        <v>0</v>
      </c>
      <c r="BF20" s="425">
        <f t="shared" si="2"/>
        <v>0</v>
      </c>
      <c r="BG20" s="425">
        <f t="shared" si="2"/>
        <v>0</v>
      </c>
      <c r="BH20" s="425">
        <f t="shared" si="2"/>
        <v>0</v>
      </c>
      <c r="BI20" s="425">
        <f t="shared" si="2"/>
        <v>0</v>
      </c>
      <c r="BJ20" s="425">
        <f t="shared" si="2"/>
        <v>0</v>
      </c>
      <c r="BK20" s="425">
        <f t="shared" si="2"/>
        <v>0</v>
      </c>
      <c r="BL20" s="425">
        <f t="shared" si="2"/>
        <v>0</v>
      </c>
      <c r="BM20" s="425">
        <f t="shared" si="3"/>
        <v>0</v>
      </c>
      <c r="BN20" s="425">
        <f t="shared" si="3"/>
        <v>0</v>
      </c>
      <c r="BO20" s="425">
        <f t="shared" si="3"/>
        <v>0</v>
      </c>
      <c r="BP20" s="425">
        <f t="shared" si="4"/>
        <v>0</v>
      </c>
      <c r="BQ20" s="425">
        <f t="shared" si="4"/>
        <v>0</v>
      </c>
      <c r="BR20" s="425">
        <f t="shared" si="4"/>
        <v>0</v>
      </c>
      <c r="BS20" s="425">
        <f t="shared" si="5"/>
        <v>0</v>
      </c>
      <c r="BT20" s="426">
        <f t="shared" si="5"/>
        <v>0</v>
      </c>
    </row>
    <row r="21" spans="2:72" hidden="1" x14ac:dyDescent="0.25">
      <c r="B21" s="145"/>
      <c r="C21" s="539">
        <f t="shared" si="14"/>
        <v>38899</v>
      </c>
      <c r="D21" s="533"/>
      <c r="E21" s="534">
        <v>0</v>
      </c>
      <c r="F21" s="534">
        <v>0</v>
      </c>
      <c r="G21" s="534">
        <v>0</v>
      </c>
      <c r="H21" s="540">
        <v>0</v>
      </c>
      <c r="I21" s="536">
        <f t="shared" si="6"/>
        <v>0</v>
      </c>
      <c r="J21" s="533"/>
      <c r="K21" s="534">
        <v>0</v>
      </c>
      <c r="L21" s="534">
        <v>0</v>
      </c>
      <c r="M21" s="534">
        <v>0</v>
      </c>
      <c r="N21" s="534">
        <v>0</v>
      </c>
      <c r="O21" s="534">
        <v>0</v>
      </c>
      <c r="P21" s="534">
        <v>0</v>
      </c>
      <c r="Q21" s="534">
        <v>0</v>
      </c>
      <c r="R21" s="534">
        <v>0</v>
      </c>
      <c r="S21" s="536">
        <f t="shared" si="7"/>
        <v>0</v>
      </c>
      <c r="T21" s="533"/>
      <c r="U21" s="534">
        <v>0</v>
      </c>
      <c r="V21" s="534">
        <v>0</v>
      </c>
      <c r="W21" s="534">
        <v>0</v>
      </c>
      <c r="X21" s="534">
        <v>0</v>
      </c>
      <c r="Y21" s="534">
        <v>0</v>
      </c>
      <c r="Z21" s="534">
        <v>0</v>
      </c>
      <c r="AA21" s="534">
        <v>0</v>
      </c>
      <c r="AB21" s="534">
        <v>0</v>
      </c>
      <c r="AC21" s="534">
        <v>0</v>
      </c>
      <c r="AD21" s="534">
        <v>0</v>
      </c>
      <c r="AE21" s="536">
        <f t="shared" si="8"/>
        <v>0</v>
      </c>
      <c r="AF21" s="533"/>
      <c r="AG21" s="534">
        <v>0</v>
      </c>
      <c r="AH21" s="534">
        <v>0</v>
      </c>
      <c r="AI21" s="534">
        <v>0</v>
      </c>
      <c r="AJ21" s="534">
        <v>0</v>
      </c>
      <c r="AK21" s="536">
        <f t="shared" si="9"/>
        <v>0</v>
      </c>
      <c r="AL21" s="533"/>
      <c r="AM21" s="534">
        <v>0</v>
      </c>
      <c r="AN21" s="534">
        <v>0</v>
      </c>
      <c r="AO21" s="534">
        <v>0</v>
      </c>
      <c r="AP21" s="537">
        <v>0</v>
      </c>
      <c r="AQ21" s="535">
        <v>0</v>
      </c>
      <c r="AR21" s="534">
        <v>0</v>
      </c>
      <c r="AS21" s="534">
        <v>0</v>
      </c>
      <c r="AT21" s="534">
        <v>0</v>
      </c>
      <c r="AU21" s="536">
        <f t="shared" si="10"/>
        <v>0</v>
      </c>
      <c r="AV21" s="533"/>
      <c r="AW21" s="538">
        <f t="shared" si="11"/>
        <v>0</v>
      </c>
      <c r="AX21" s="538">
        <f t="shared" si="12"/>
        <v>0</v>
      </c>
      <c r="AY21" s="533"/>
      <c r="AZ21" s="534">
        <f t="shared" si="13"/>
        <v>0</v>
      </c>
      <c r="BA21" s="534">
        <v>0</v>
      </c>
      <c r="BD21" s="392">
        <f t="shared" si="0"/>
        <v>0</v>
      </c>
      <c r="BE21" s="425">
        <f t="shared" si="1"/>
        <v>0</v>
      </c>
      <c r="BF21" s="425">
        <f t="shared" si="2"/>
        <v>0</v>
      </c>
      <c r="BG21" s="425">
        <f t="shared" si="2"/>
        <v>0</v>
      </c>
      <c r="BH21" s="425">
        <f t="shared" si="2"/>
        <v>0</v>
      </c>
      <c r="BI21" s="425">
        <f t="shared" si="2"/>
        <v>0</v>
      </c>
      <c r="BJ21" s="425">
        <f t="shared" si="2"/>
        <v>0</v>
      </c>
      <c r="BK21" s="425">
        <f t="shared" si="2"/>
        <v>0</v>
      </c>
      <c r="BL21" s="425">
        <f t="shared" si="2"/>
        <v>0</v>
      </c>
      <c r="BM21" s="425">
        <f t="shared" si="3"/>
        <v>0</v>
      </c>
      <c r="BN21" s="425">
        <f t="shared" si="3"/>
        <v>0</v>
      </c>
      <c r="BO21" s="425">
        <f t="shared" si="3"/>
        <v>0</v>
      </c>
      <c r="BP21" s="425">
        <f t="shared" si="4"/>
        <v>0</v>
      </c>
      <c r="BQ21" s="425">
        <f t="shared" si="4"/>
        <v>0</v>
      </c>
      <c r="BR21" s="425">
        <f t="shared" si="4"/>
        <v>0</v>
      </c>
      <c r="BS21" s="425">
        <f t="shared" si="5"/>
        <v>0</v>
      </c>
      <c r="BT21" s="426">
        <f t="shared" si="5"/>
        <v>0</v>
      </c>
    </row>
    <row r="22" spans="2:72" hidden="1" x14ac:dyDescent="0.25">
      <c r="B22" s="145"/>
      <c r="C22" s="539">
        <f t="shared" si="14"/>
        <v>38930</v>
      </c>
      <c r="D22" s="533"/>
      <c r="E22" s="534">
        <v>0</v>
      </c>
      <c r="F22" s="534">
        <v>0</v>
      </c>
      <c r="G22" s="534">
        <v>0</v>
      </c>
      <c r="H22" s="540">
        <v>0</v>
      </c>
      <c r="I22" s="536">
        <f t="shared" si="6"/>
        <v>0</v>
      </c>
      <c r="J22" s="533"/>
      <c r="K22" s="534">
        <v>0</v>
      </c>
      <c r="L22" s="534">
        <v>0</v>
      </c>
      <c r="M22" s="534">
        <v>0</v>
      </c>
      <c r="N22" s="534">
        <v>0</v>
      </c>
      <c r="O22" s="534">
        <v>0</v>
      </c>
      <c r="P22" s="534">
        <v>0</v>
      </c>
      <c r="Q22" s="534">
        <v>0</v>
      </c>
      <c r="R22" s="534">
        <v>0</v>
      </c>
      <c r="S22" s="536">
        <f t="shared" si="7"/>
        <v>0</v>
      </c>
      <c r="T22" s="533"/>
      <c r="U22" s="534">
        <v>0</v>
      </c>
      <c r="V22" s="534">
        <v>0</v>
      </c>
      <c r="W22" s="534">
        <v>0</v>
      </c>
      <c r="X22" s="534">
        <v>0</v>
      </c>
      <c r="Y22" s="534">
        <v>0</v>
      </c>
      <c r="Z22" s="534">
        <v>0</v>
      </c>
      <c r="AA22" s="534">
        <v>0</v>
      </c>
      <c r="AB22" s="534">
        <v>0</v>
      </c>
      <c r="AC22" s="534">
        <v>0</v>
      </c>
      <c r="AD22" s="534">
        <v>0</v>
      </c>
      <c r="AE22" s="536">
        <f t="shared" si="8"/>
        <v>0</v>
      </c>
      <c r="AF22" s="533"/>
      <c r="AG22" s="534">
        <v>0</v>
      </c>
      <c r="AH22" s="534">
        <v>0</v>
      </c>
      <c r="AI22" s="534">
        <v>0</v>
      </c>
      <c r="AJ22" s="534">
        <v>0</v>
      </c>
      <c r="AK22" s="536">
        <f t="shared" si="9"/>
        <v>0</v>
      </c>
      <c r="AL22" s="533"/>
      <c r="AM22" s="534">
        <v>0</v>
      </c>
      <c r="AN22" s="534">
        <v>0</v>
      </c>
      <c r="AO22" s="534">
        <v>0</v>
      </c>
      <c r="AP22" s="537">
        <v>0</v>
      </c>
      <c r="AQ22" s="535">
        <v>0</v>
      </c>
      <c r="AR22" s="534">
        <v>0</v>
      </c>
      <c r="AS22" s="534">
        <v>0</v>
      </c>
      <c r="AT22" s="534">
        <v>0</v>
      </c>
      <c r="AU22" s="536">
        <f t="shared" si="10"/>
        <v>0</v>
      </c>
      <c r="AV22" s="533"/>
      <c r="AW22" s="538">
        <f t="shared" si="11"/>
        <v>0</v>
      </c>
      <c r="AX22" s="538">
        <f t="shared" si="12"/>
        <v>0</v>
      </c>
      <c r="AY22" s="533"/>
      <c r="AZ22" s="534">
        <f t="shared" si="13"/>
        <v>0</v>
      </c>
      <c r="BA22" s="534">
        <v>0</v>
      </c>
      <c r="BD22" s="392">
        <f t="shared" si="0"/>
        <v>0</v>
      </c>
      <c r="BE22" s="425">
        <f t="shared" si="1"/>
        <v>0</v>
      </c>
      <c r="BF22" s="425">
        <f t="shared" si="2"/>
        <v>0</v>
      </c>
      <c r="BG22" s="425">
        <f t="shared" si="2"/>
        <v>0</v>
      </c>
      <c r="BH22" s="425">
        <f t="shared" si="2"/>
        <v>0</v>
      </c>
      <c r="BI22" s="425">
        <f t="shared" si="2"/>
        <v>0</v>
      </c>
      <c r="BJ22" s="425">
        <f t="shared" si="2"/>
        <v>0</v>
      </c>
      <c r="BK22" s="425">
        <f t="shared" si="2"/>
        <v>0</v>
      </c>
      <c r="BL22" s="425">
        <f t="shared" si="2"/>
        <v>0</v>
      </c>
      <c r="BM22" s="425">
        <f t="shared" si="3"/>
        <v>0</v>
      </c>
      <c r="BN22" s="425">
        <f t="shared" si="3"/>
        <v>0</v>
      </c>
      <c r="BO22" s="425">
        <f t="shared" si="3"/>
        <v>0</v>
      </c>
      <c r="BP22" s="425">
        <f t="shared" si="4"/>
        <v>0</v>
      </c>
      <c r="BQ22" s="425">
        <f t="shared" si="4"/>
        <v>0</v>
      </c>
      <c r="BR22" s="425">
        <f t="shared" si="4"/>
        <v>0</v>
      </c>
      <c r="BS22" s="425">
        <f t="shared" si="5"/>
        <v>0</v>
      </c>
      <c r="BT22" s="426">
        <f t="shared" si="5"/>
        <v>0</v>
      </c>
    </row>
    <row r="23" spans="2:72" hidden="1" x14ac:dyDescent="0.25">
      <c r="B23" s="145"/>
      <c r="C23" s="539">
        <f t="shared" si="14"/>
        <v>38961</v>
      </c>
      <c r="D23" s="533"/>
      <c r="E23" s="534">
        <v>0</v>
      </c>
      <c r="F23" s="534">
        <v>0</v>
      </c>
      <c r="G23" s="534">
        <v>0</v>
      </c>
      <c r="H23" s="540">
        <v>0</v>
      </c>
      <c r="I23" s="536">
        <f t="shared" si="6"/>
        <v>0</v>
      </c>
      <c r="J23" s="533"/>
      <c r="K23" s="534">
        <v>0</v>
      </c>
      <c r="L23" s="534">
        <v>0</v>
      </c>
      <c r="M23" s="534">
        <v>0</v>
      </c>
      <c r="N23" s="534">
        <v>0</v>
      </c>
      <c r="O23" s="534">
        <v>0</v>
      </c>
      <c r="P23" s="534">
        <v>0</v>
      </c>
      <c r="Q23" s="534">
        <v>0</v>
      </c>
      <c r="R23" s="534">
        <v>0</v>
      </c>
      <c r="S23" s="536">
        <f t="shared" si="7"/>
        <v>0</v>
      </c>
      <c r="T23" s="533"/>
      <c r="U23" s="534">
        <v>0</v>
      </c>
      <c r="V23" s="534">
        <v>0</v>
      </c>
      <c r="W23" s="534">
        <v>0</v>
      </c>
      <c r="X23" s="534">
        <v>0</v>
      </c>
      <c r="Y23" s="534">
        <v>0</v>
      </c>
      <c r="Z23" s="534">
        <v>0</v>
      </c>
      <c r="AA23" s="534">
        <v>0</v>
      </c>
      <c r="AB23" s="534">
        <v>0</v>
      </c>
      <c r="AC23" s="534">
        <v>0</v>
      </c>
      <c r="AD23" s="534">
        <v>0</v>
      </c>
      <c r="AE23" s="536">
        <f t="shared" si="8"/>
        <v>0</v>
      </c>
      <c r="AF23" s="533"/>
      <c r="AG23" s="534">
        <v>0</v>
      </c>
      <c r="AH23" s="534">
        <v>0</v>
      </c>
      <c r="AI23" s="534">
        <v>0</v>
      </c>
      <c r="AJ23" s="534">
        <v>0</v>
      </c>
      <c r="AK23" s="536">
        <f t="shared" si="9"/>
        <v>0</v>
      </c>
      <c r="AL23" s="533"/>
      <c r="AM23" s="534">
        <v>0</v>
      </c>
      <c r="AN23" s="534">
        <v>0</v>
      </c>
      <c r="AO23" s="534">
        <v>0</v>
      </c>
      <c r="AP23" s="537">
        <v>0</v>
      </c>
      <c r="AQ23" s="535">
        <v>0</v>
      </c>
      <c r="AR23" s="534">
        <v>0</v>
      </c>
      <c r="AS23" s="534">
        <v>0</v>
      </c>
      <c r="AT23" s="534">
        <v>0</v>
      </c>
      <c r="AU23" s="536">
        <f t="shared" si="10"/>
        <v>0</v>
      </c>
      <c r="AV23" s="533"/>
      <c r="AW23" s="538">
        <f t="shared" si="11"/>
        <v>0</v>
      </c>
      <c r="AX23" s="538">
        <f t="shared" si="12"/>
        <v>0</v>
      </c>
      <c r="AY23" s="533"/>
      <c r="AZ23" s="534">
        <f t="shared" si="13"/>
        <v>0</v>
      </c>
      <c r="BA23" s="534">
        <v>0</v>
      </c>
      <c r="BD23" s="392">
        <f t="shared" si="0"/>
        <v>0</v>
      </c>
      <c r="BE23" s="425">
        <f t="shared" si="1"/>
        <v>0</v>
      </c>
      <c r="BF23" s="425">
        <f t="shared" si="2"/>
        <v>0</v>
      </c>
      <c r="BG23" s="425">
        <f t="shared" si="2"/>
        <v>0</v>
      </c>
      <c r="BH23" s="425">
        <f t="shared" si="2"/>
        <v>0</v>
      </c>
      <c r="BI23" s="425">
        <f t="shared" si="2"/>
        <v>0</v>
      </c>
      <c r="BJ23" s="425">
        <f t="shared" si="2"/>
        <v>0</v>
      </c>
      <c r="BK23" s="425">
        <f t="shared" si="2"/>
        <v>0</v>
      </c>
      <c r="BL23" s="425">
        <f t="shared" si="2"/>
        <v>0</v>
      </c>
      <c r="BM23" s="425">
        <f t="shared" si="3"/>
        <v>0</v>
      </c>
      <c r="BN23" s="425">
        <f t="shared" si="3"/>
        <v>0</v>
      </c>
      <c r="BO23" s="425">
        <f t="shared" si="3"/>
        <v>0</v>
      </c>
      <c r="BP23" s="425">
        <f t="shared" si="4"/>
        <v>0</v>
      </c>
      <c r="BQ23" s="425">
        <f t="shared" si="4"/>
        <v>0</v>
      </c>
      <c r="BR23" s="425">
        <f t="shared" si="4"/>
        <v>0</v>
      </c>
      <c r="BS23" s="425">
        <f t="shared" si="5"/>
        <v>0</v>
      </c>
      <c r="BT23" s="426">
        <f t="shared" si="5"/>
        <v>0</v>
      </c>
    </row>
    <row r="24" spans="2:72" hidden="1" x14ac:dyDescent="0.25">
      <c r="B24" s="145"/>
      <c r="C24" s="539">
        <f t="shared" si="14"/>
        <v>38991</v>
      </c>
      <c r="D24" s="533"/>
      <c r="E24" s="534">
        <v>0</v>
      </c>
      <c r="F24" s="534">
        <v>0</v>
      </c>
      <c r="G24" s="534">
        <v>0</v>
      </c>
      <c r="H24" s="540">
        <v>0</v>
      </c>
      <c r="I24" s="536">
        <f t="shared" si="6"/>
        <v>0</v>
      </c>
      <c r="J24" s="533"/>
      <c r="K24" s="534">
        <v>0</v>
      </c>
      <c r="L24" s="534">
        <v>0</v>
      </c>
      <c r="M24" s="534">
        <v>0</v>
      </c>
      <c r="N24" s="534">
        <v>0</v>
      </c>
      <c r="O24" s="534">
        <v>0</v>
      </c>
      <c r="P24" s="534">
        <v>0</v>
      </c>
      <c r="Q24" s="534">
        <v>0</v>
      </c>
      <c r="R24" s="534">
        <v>0</v>
      </c>
      <c r="S24" s="536">
        <f t="shared" si="7"/>
        <v>0</v>
      </c>
      <c r="T24" s="533"/>
      <c r="U24" s="534">
        <v>0</v>
      </c>
      <c r="V24" s="534">
        <v>0</v>
      </c>
      <c r="W24" s="534">
        <v>0</v>
      </c>
      <c r="X24" s="534">
        <v>0</v>
      </c>
      <c r="Y24" s="534">
        <v>0</v>
      </c>
      <c r="Z24" s="534">
        <v>0</v>
      </c>
      <c r="AA24" s="534">
        <v>0</v>
      </c>
      <c r="AB24" s="534">
        <v>0</v>
      </c>
      <c r="AC24" s="534">
        <v>0</v>
      </c>
      <c r="AD24" s="534">
        <v>0</v>
      </c>
      <c r="AE24" s="536">
        <f t="shared" si="8"/>
        <v>0</v>
      </c>
      <c r="AF24" s="533"/>
      <c r="AG24" s="534">
        <v>0</v>
      </c>
      <c r="AH24" s="534">
        <v>0</v>
      </c>
      <c r="AI24" s="534">
        <v>0</v>
      </c>
      <c r="AJ24" s="534">
        <v>0</v>
      </c>
      <c r="AK24" s="536">
        <f t="shared" si="9"/>
        <v>0</v>
      </c>
      <c r="AL24" s="533"/>
      <c r="AM24" s="534">
        <v>0</v>
      </c>
      <c r="AN24" s="534">
        <v>0</v>
      </c>
      <c r="AO24" s="534">
        <v>0</v>
      </c>
      <c r="AP24" s="537">
        <v>0</v>
      </c>
      <c r="AQ24" s="535">
        <v>0</v>
      </c>
      <c r="AR24" s="534">
        <v>0</v>
      </c>
      <c r="AS24" s="534">
        <v>0</v>
      </c>
      <c r="AT24" s="534">
        <v>0</v>
      </c>
      <c r="AU24" s="536">
        <f t="shared" si="10"/>
        <v>0</v>
      </c>
      <c r="AV24" s="533"/>
      <c r="AW24" s="538">
        <f t="shared" si="11"/>
        <v>0</v>
      </c>
      <c r="AX24" s="538">
        <f t="shared" si="12"/>
        <v>0</v>
      </c>
      <c r="AY24" s="533"/>
      <c r="AZ24" s="534">
        <f t="shared" si="13"/>
        <v>0</v>
      </c>
      <c r="BA24" s="534">
        <v>0</v>
      </c>
      <c r="BD24" s="392">
        <f t="shared" si="0"/>
        <v>0</v>
      </c>
      <c r="BE24" s="425">
        <f t="shared" si="1"/>
        <v>0</v>
      </c>
      <c r="BF24" s="425">
        <f t="shared" si="2"/>
        <v>0</v>
      </c>
      <c r="BG24" s="425">
        <f t="shared" si="2"/>
        <v>0</v>
      </c>
      <c r="BH24" s="425">
        <f t="shared" si="2"/>
        <v>0</v>
      </c>
      <c r="BI24" s="425">
        <f t="shared" si="2"/>
        <v>0</v>
      </c>
      <c r="BJ24" s="425">
        <f t="shared" si="2"/>
        <v>0</v>
      </c>
      <c r="BK24" s="425">
        <f t="shared" si="2"/>
        <v>0</v>
      </c>
      <c r="BL24" s="425">
        <f t="shared" si="2"/>
        <v>0</v>
      </c>
      <c r="BM24" s="425">
        <f t="shared" si="3"/>
        <v>0</v>
      </c>
      <c r="BN24" s="425">
        <f t="shared" si="3"/>
        <v>0</v>
      </c>
      <c r="BO24" s="425">
        <f t="shared" si="3"/>
        <v>0</v>
      </c>
      <c r="BP24" s="425">
        <f t="shared" si="4"/>
        <v>0</v>
      </c>
      <c r="BQ24" s="425">
        <f t="shared" si="4"/>
        <v>0</v>
      </c>
      <c r="BR24" s="425">
        <f t="shared" si="4"/>
        <v>0</v>
      </c>
      <c r="BS24" s="425">
        <f t="shared" si="5"/>
        <v>0</v>
      </c>
      <c r="BT24" s="426">
        <f t="shared" si="5"/>
        <v>0</v>
      </c>
    </row>
    <row r="25" spans="2:72" hidden="1" x14ac:dyDescent="0.25">
      <c r="B25" s="145"/>
      <c r="C25" s="539">
        <f t="shared" si="14"/>
        <v>39022</v>
      </c>
      <c r="D25" s="533"/>
      <c r="E25" s="534">
        <v>0</v>
      </c>
      <c r="F25" s="534">
        <v>0</v>
      </c>
      <c r="G25" s="534">
        <v>0</v>
      </c>
      <c r="H25" s="540">
        <v>0</v>
      </c>
      <c r="I25" s="536">
        <f t="shared" si="6"/>
        <v>0</v>
      </c>
      <c r="J25" s="533"/>
      <c r="K25" s="534">
        <v>0</v>
      </c>
      <c r="L25" s="534">
        <v>0</v>
      </c>
      <c r="M25" s="534">
        <v>0</v>
      </c>
      <c r="N25" s="534">
        <v>0</v>
      </c>
      <c r="O25" s="534">
        <v>0</v>
      </c>
      <c r="P25" s="534">
        <v>0</v>
      </c>
      <c r="Q25" s="534">
        <v>0</v>
      </c>
      <c r="R25" s="534">
        <v>0</v>
      </c>
      <c r="S25" s="536">
        <f t="shared" si="7"/>
        <v>0</v>
      </c>
      <c r="T25" s="533"/>
      <c r="U25" s="534">
        <v>0</v>
      </c>
      <c r="V25" s="534">
        <v>0</v>
      </c>
      <c r="W25" s="534">
        <v>0</v>
      </c>
      <c r="X25" s="534">
        <v>0</v>
      </c>
      <c r="Y25" s="534">
        <v>0</v>
      </c>
      <c r="Z25" s="534">
        <v>0</v>
      </c>
      <c r="AA25" s="534">
        <v>0</v>
      </c>
      <c r="AB25" s="534">
        <v>0</v>
      </c>
      <c r="AC25" s="534">
        <v>0</v>
      </c>
      <c r="AD25" s="534">
        <v>0</v>
      </c>
      <c r="AE25" s="536">
        <f t="shared" si="8"/>
        <v>0</v>
      </c>
      <c r="AF25" s="533"/>
      <c r="AG25" s="534">
        <v>0</v>
      </c>
      <c r="AH25" s="534">
        <v>0</v>
      </c>
      <c r="AI25" s="534">
        <v>0</v>
      </c>
      <c r="AJ25" s="534">
        <v>0</v>
      </c>
      <c r="AK25" s="536">
        <f t="shared" si="9"/>
        <v>0</v>
      </c>
      <c r="AL25" s="533"/>
      <c r="AM25" s="534">
        <v>0</v>
      </c>
      <c r="AN25" s="534">
        <v>0</v>
      </c>
      <c r="AO25" s="534">
        <v>0</v>
      </c>
      <c r="AP25" s="537">
        <v>0</v>
      </c>
      <c r="AQ25" s="535">
        <v>0</v>
      </c>
      <c r="AR25" s="534">
        <v>0</v>
      </c>
      <c r="AS25" s="534">
        <v>0</v>
      </c>
      <c r="AT25" s="534">
        <v>0</v>
      </c>
      <c r="AU25" s="536">
        <f t="shared" si="10"/>
        <v>0</v>
      </c>
      <c r="AV25" s="533"/>
      <c r="AW25" s="538">
        <f t="shared" si="11"/>
        <v>0</v>
      </c>
      <c r="AX25" s="538">
        <f t="shared" si="12"/>
        <v>0</v>
      </c>
      <c r="AY25" s="533"/>
      <c r="AZ25" s="534">
        <f t="shared" si="13"/>
        <v>0</v>
      </c>
      <c r="BA25" s="534">
        <v>0</v>
      </c>
      <c r="BD25" s="392">
        <f t="shared" si="0"/>
        <v>0</v>
      </c>
      <c r="BE25" s="425">
        <f t="shared" si="1"/>
        <v>0</v>
      </c>
      <c r="BF25" s="425">
        <f t="shared" si="2"/>
        <v>0</v>
      </c>
      <c r="BG25" s="425">
        <f t="shared" si="2"/>
        <v>0</v>
      </c>
      <c r="BH25" s="425">
        <f t="shared" si="2"/>
        <v>0</v>
      </c>
      <c r="BI25" s="425">
        <f t="shared" si="2"/>
        <v>0</v>
      </c>
      <c r="BJ25" s="425">
        <f t="shared" si="2"/>
        <v>0</v>
      </c>
      <c r="BK25" s="425">
        <f t="shared" si="2"/>
        <v>0</v>
      </c>
      <c r="BL25" s="425">
        <f t="shared" si="2"/>
        <v>0</v>
      </c>
      <c r="BM25" s="425">
        <f t="shared" si="3"/>
        <v>0</v>
      </c>
      <c r="BN25" s="425">
        <f t="shared" si="3"/>
        <v>0</v>
      </c>
      <c r="BO25" s="425">
        <f t="shared" si="3"/>
        <v>0</v>
      </c>
      <c r="BP25" s="425">
        <f t="shared" si="4"/>
        <v>0</v>
      </c>
      <c r="BQ25" s="425">
        <f t="shared" si="4"/>
        <v>0</v>
      </c>
      <c r="BR25" s="425">
        <f t="shared" si="4"/>
        <v>0</v>
      </c>
      <c r="BS25" s="425">
        <f t="shared" si="5"/>
        <v>0</v>
      </c>
      <c r="BT25" s="426">
        <f t="shared" si="5"/>
        <v>0</v>
      </c>
    </row>
    <row r="26" spans="2:72" hidden="1" x14ac:dyDescent="0.25">
      <c r="B26" s="145"/>
      <c r="C26" s="539">
        <f t="shared" si="14"/>
        <v>39052</v>
      </c>
      <c r="D26" s="533"/>
      <c r="E26" s="534">
        <v>0</v>
      </c>
      <c r="F26" s="534">
        <v>0</v>
      </c>
      <c r="G26" s="534">
        <v>0</v>
      </c>
      <c r="H26" s="540">
        <v>0</v>
      </c>
      <c r="I26" s="536">
        <f t="shared" si="6"/>
        <v>0</v>
      </c>
      <c r="J26" s="533"/>
      <c r="K26" s="534">
        <v>0</v>
      </c>
      <c r="L26" s="534">
        <v>0</v>
      </c>
      <c r="M26" s="534">
        <v>0</v>
      </c>
      <c r="N26" s="534">
        <v>0</v>
      </c>
      <c r="O26" s="534">
        <v>0</v>
      </c>
      <c r="P26" s="534">
        <v>0</v>
      </c>
      <c r="Q26" s="534">
        <v>0</v>
      </c>
      <c r="R26" s="534">
        <v>0</v>
      </c>
      <c r="S26" s="536">
        <f t="shared" si="7"/>
        <v>0</v>
      </c>
      <c r="T26" s="533"/>
      <c r="U26" s="534">
        <v>0</v>
      </c>
      <c r="V26" s="534">
        <v>0</v>
      </c>
      <c r="W26" s="534">
        <v>0</v>
      </c>
      <c r="X26" s="534">
        <v>0</v>
      </c>
      <c r="Y26" s="534">
        <v>0</v>
      </c>
      <c r="Z26" s="534">
        <v>0</v>
      </c>
      <c r="AA26" s="534">
        <v>0</v>
      </c>
      <c r="AB26" s="534">
        <v>0</v>
      </c>
      <c r="AC26" s="534">
        <v>0</v>
      </c>
      <c r="AD26" s="534">
        <v>0</v>
      </c>
      <c r="AE26" s="536">
        <f t="shared" si="8"/>
        <v>0</v>
      </c>
      <c r="AF26" s="533"/>
      <c r="AG26" s="534">
        <v>0</v>
      </c>
      <c r="AH26" s="534">
        <v>0</v>
      </c>
      <c r="AI26" s="534">
        <v>0</v>
      </c>
      <c r="AJ26" s="534">
        <v>0</v>
      </c>
      <c r="AK26" s="536">
        <f t="shared" si="9"/>
        <v>0</v>
      </c>
      <c r="AL26" s="533"/>
      <c r="AM26" s="534">
        <v>0</v>
      </c>
      <c r="AN26" s="534">
        <v>0</v>
      </c>
      <c r="AO26" s="534">
        <v>0</v>
      </c>
      <c r="AP26" s="537">
        <v>0</v>
      </c>
      <c r="AQ26" s="535">
        <v>0</v>
      </c>
      <c r="AR26" s="534">
        <v>0</v>
      </c>
      <c r="AS26" s="534">
        <v>0</v>
      </c>
      <c r="AT26" s="534">
        <v>0</v>
      </c>
      <c r="AU26" s="536">
        <f t="shared" si="10"/>
        <v>0</v>
      </c>
      <c r="AV26" s="533"/>
      <c r="AW26" s="538">
        <f t="shared" si="11"/>
        <v>0</v>
      </c>
      <c r="AX26" s="538">
        <f t="shared" si="12"/>
        <v>0</v>
      </c>
      <c r="AY26" s="533"/>
      <c r="AZ26" s="534">
        <f t="shared" si="13"/>
        <v>0</v>
      </c>
      <c r="BA26" s="534">
        <v>0</v>
      </c>
      <c r="BD26" s="392">
        <f t="shared" si="0"/>
        <v>0</v>
      </c>
      <c r="BE26" s="425">
        <f t="shared" si="1"/>
        <v>0</v>
      </c>
      <c r="BF26" s="425">
        <f t="shared" si="2"/>
        <v>0</v>
      </c>
      <c r="BG26" s="425">
        <f t="shared" si="2"/>
        <v>0</v>
      </c>
      <c r="BH26" s="425">
        <f t="shared" si="2"/>
        <v>0</v>
      </c>
      <c r="BI26" s="425">
        <f t="shared" si="2"/>
        <v>0</v>
      </c>
      <c r="BJ26" s="425">
        <f t="shared" si="2"/>
        <v>0</v>
      </c>
      <c r="BK26" s="425">
        <f t="shared" si="2"/>
        <v>0</v>
      </c>
      <c r="BL26" s="425">
        <f t="shared" si="2"/>
        <v>0</v>
      </c>
      <c r="BM26" s="425">
        <f t="shared" si="3"/>
        <v>0</v>
      </c>
      <c r="BN26" s="425">
        <f t="shared" si="3"/>
        <v>0</v>
      </c>
      <c r="BO26" s="425">
        <f t="shared" si="3"/>
        <v>0</v>
      </c>
      <c r="BP26" s="425">
        <f t="shared" si="4"/>
        <v>0</v>
      </c>
      <c r="BQ26" s="425">
        <f t="shared" si="4"/>
        <v>0</v>
      </c>
      <c r="BR26" s="425">
        <f t="shared" si="4"/>
        <v>0</v>
      </c>
      <c r="BS26" s="425">
        <f t="shared" si="5"/>
        <v>0</v>
      </c>
      <c r="BT26" s="426">
        <f t="shared" si="5"/>
        <v>0</v>
      </c>
    </row>
    <row r="27" spans="2:72" hidden="1" x14ac:dyDescent="0.25">
      <c r="B27" s="145"/>
      <c r="C27" s="539">
        <f t="shared" si="14"/>
        <v>39083</v>
      </c>
      <c r="D27" s="533"/>
      <c r="E27" s="534">
        <v>0</v>
      </c>
      <c r="F27" s="534">
        <v>0</v>
      </c>
      <c r="G27" s="534">
        <v>0</v>
      </c>
      <c r="H27" s="540">
        <v>0</v>
      </c>
      <c r="I27" s="536">
        <f t="shared" si="6"/>
        <v>0</v>
      </c>
      <c r="J27" s="533"/>
      <c r="K27" s="534">
        <v>0</v>
      </c>
      <c r="L27" s="534">
        <v>0</v>
      </c>
      <c r="M27" s="534">
        <v>0</v>
      </c>
      <c r="N27" s="534">
        <v>0</v>
      </c>
      <c r="O27" s="534">
        <v>0</v>
      </c>
      <c r="P27" s="534">
        <v>0</v>
      </c>
      <c r="Q27" s="534">
        <v>0</v>
      </c>
      <c r="R27" s="534">
        <v>0</v>
      </c>
      <c r="S27" s="536">
        <f t="shared" si="7"/>
        <v>0</v>
      </c>
      <c r="T27" s="533"/>
      <c r="U27" s="534">
        <v>0</v>
      </c>
      <c r="V27" s="534">
        <v>0</v>
      </c>
      <c r="W27" s="534">
        <v>0</v>
      </c>
      <c r="X27" s="534">
        <v>0</v>
      </c>
      <c r="Y27" s="534">
        <v>0</v>
      </c>
      <c r="Z27" s="534">
        <v>0</v>
      </c>
      <c r="AA27" s="534">
        <v>0</v>
      </c>
      <c r="AB27" s="534">
        <v>0</v>
      </c>
      <c r="AC27" s="534">
        <v>0</v>
      </c>
      <c r="AD27" s="534">
        <v>0</v>
      </c>
      <c r="AE27" s="536">
        <f t="shared" si="8"/>
        <v>0</v>
      </c>
      <c r="AF27" s="533"/>
      <c r="AG27" s="534">
        <v>0</v>
      </c>
      <c r="AH27" s="534">
        <v>0</v>
      </c>
      <c r="AI27" s="534">
        <v>0</v>
      </c>
      <c r="AJ27" s="534">
        <v>0</v>
      </c>
      <c r="AK27" s="536">
        <f t="shared" si="9"/>
        <v>0</v>
      </c>
      <c r="AL27" s="533"/>
      <c r="AM27" s="534">
        <v>0</v>
      </c>
      <c r="AN27" s="534">
        <v>0</v>
      </c>
      <c r="AO27" s="534">
        <v>0</v>
      </c>
      <c r="AP27" s="537">
        <v>0</v>
      </c>
      <c r="AQ27" s="535">
        <v>0</v>
      </c>
      <c r="AR27" s="534">
        <v>0</v>
      </c>
      <c r="AS27" s="534">
        <v>0</v>
      </c>
      <c r="AT27" s="534">
        <v>0</v>
      </c>
      <c r="AU27" s="536">
        <f t="shared" si="10"/>
        <v>0</v>
      </c>
      <c r="AV27" s="533"/>
      <c r="AW27" s="538">
        <f t="shared" si="11"/>
        <v>0</v>
      </c>
      <c r="AX27" s="538">
        <f t="shared" si="12"/>
        <v>0</v>
      </c>
      <c r="AY27" s="533"/>
      <c r="AZ27" s="534">
        <f t="shared" si="13"/>
        <v>0</v>
      </c>
      <c r="BA27" s="534">
        <v>0</v>
      </c>
      <c r="BD27" s="392">
        <f t="shared" si="0"/>
        <v>0</v>
      </c>
      <c r="BE27" s="425">
        <f t="shared" si="1"/>
        <v>0</v>
      </c>
      <c r="BF27" s="425">
        <f t="shared" si="2"/>
        <v>0</v>
      </c>
      <c r="BG27" s="425">
        <f t="shared" si="2"/>
        <v>0</v>
      </c>
      <c r="BH27" s="425">
        <f t="shared" si="2"/>
        <v>0</v>
      </c>
      <c r="BI27" s="425">
        <f t="shared" si="2"/>
        <v>0</v>
      </c>
      <c r="BJ27" s="425">
        <f t="shared" si="2"/>
        <v>0</v>
      </c>
      <c r="BK27" s="425">
        <f t="shared" si="2"/>
        <v>0</v>
      </c>
      <c r="BL27" s="425">
        <f t="shared" si="2"/>
        <v>0</v>
      </c>
      <c r="BM27" s="425">
        <f t="shared" si="3"/>
        <v>0</v>
      </c>
      <c r="BN27" s="425">
        <f t="shared" si="3"/>
        <v>0</v>
      </c>
      <c r="BO27" s="425">
        <f t="shared" si="3"/>
        <v>0</v>
      </c>
      <c r="BP27" s="425">
        <f t="shared" si="4"/>
        <v>0</v>
      </c>
      <c r="BQ27" s="425">
        <f t="shared" si="4"/>
        <v>0</v>
      </c>
      <c r="BR27" s="425">
        <f t="shared" si="4"/>
        <v>0</v>
      </c>
      <c r="BS27" s="425">
        <f t="shared" si="5"/>
        <v>0</v>
      </c>
      <c r="BT27" s="426">
        <f t="shared" si="5"/>
        <v>0</v>
      </c>
    </row>
    <row r="28" spans="2:72" hidden="1" x14ac:dyDescent="0.25">
      <c r="B28" s="145"/>
      <c r="C28" s="539">
        <f t="shared" si="14"/>
        <v>39114</v>
      </c>
      <c r="D28" s="533"/>
      <c r="E28" s="534">
        <v>0</v>
      </c>
      <c r="F28" s="534">
        <v>0</v>
      </c>
      <c r="G28" s="534">
        <v>0</v>
      </c>
      <c r="H28" s="540">
        <v>0</v>
      </c>
      <c r="I28" s="536">
        <f t="shared" si="6"/>
        <v>0</v>
      </c>
      <c r="J28" s="533"/>
      <c r="K28" s="534">
        <v>0</v>
      </c>
      <c r="L28" s="534">
        <v>0</v>
      </c>
      <c r="M28" s="534">
        <v>0</v>
      </c>
      <c r="N28" s="534">
        <v>0</v>
      </c>
      <c r="O28" s="534">
        <v>0</v>
      </c>
      <c r="P28" s="534">
        <v>0</v>
      </c>
      <c r="Q28" s="534">
        <v>0</v>
      </c>
      <c r="R28" s="534">
        <v>0</v>
      </c>
      <c r="S28" s="536">
        <f t="shared" si="7"/>
        <v>0</v>
      </c>
      <c r="T28" s="533"/>
      <c r="U28" s="534">
        <v>0</v>
      </c>
      <c r="V28" s="534">
        <v>0</v>
      </c>
      <c r="W28" s="534">
        <v>0</v>
      </c>
      <c r="X28" s="534">
        <v>0</v>
      </c>
      <c r="Y28" s="534">
        <v>0</v>
      </c>
      <c r="Z28" s="534">
        <v>0</v>
      </c>
      <c r="AA28" s="534">
        <v>0</v>
      </c>
      <c r="AB28" s="534">
        <v>0</v>
      </c>
      <c r="AC28" s="534">
        <v>0</v>
      </c>
      <c r="AD28" s="534">
        <v>0</v>
      </c>
      <c r="AE28" s="536">
        <f t="shared" si="8"/>
        <v>0</v>
      </c>
      <c r="AF28" s="533"/>
      <c r="AG28" s="534">
        <v>0</v>
      </c>
      <c r="AH28" s="534">
        <v>0</v>
      </c>
      <c r="AI28" s="534">
        <v>0</v>
      </c>
      <c r="AJ28" s="534">
        <v>0</v>
      </c>
      <c r="AK28" s="536">
        <f t="shared" si="9"/>
        <v>0</v>
      </c>
      <c r="AL28" s="533"/>
      <c r="AM28" s="534">
        <v>0</v>
      </c>
      <c r="AN28" s="534">
        <v>0</v>
      </c>
      <c r="AO28" s="534">
        <v>0</v>
      </c>
      <c r="AP28" s="537">
        <v>0</v>
      </c>
      <c r="AQ28" s="535">
        <v>0</v>
      </c>
      <c r="AR28" s="534">
        <v>0</v>
      </c>
      <c r="AS28" s="534">
        <v>0</v>
      </c>
      <c r="AT28" s="534">
        <v>0</v>
      </c>
      <c r="AU28" s="536">
        <f t="shared" si="10"/>
        <v>0</v>
      </c>
      <c r="AV28" s="533"/>
      <c r="AW28" s="538">
        <f t="shared" si="11"/>
        <v>0</v>
      </c>
      <c r="AX28" s="538">
        <f t="shared" si="12"/>
        <v>0</v>
      </c>
      <c r="AY28" s="533"/>
      <c r="AZ28" s="534">
        <f t="shared" si="13"/>
        <v>0</v>
      </c>
      <c r="BA28" s="534">
        <v>0</v>
      </c>
      <c r="BD28" s="392">
        <f t="shared" si="0"/>
        <v>0</v>
      </c>
      <c r="BE28" s="425">
        <f t="shared" si="1"/>
        <v>0</v>
      </c>
      <c r="BF28" s="425">
        <f t="shared" ref="BF28:BL37" si="15">-SUMIF($E$6:$BA$6, BF$6, $E28:$BA28)</f>
        <v>0</v>
      </c>
      <c r="BG28" s="425">
        <f t="shared" si="15"/>
        <v>0</v>
      </c>
      <c r="BH28" s="425">
        <f t="shared" si="15"/>
        <v>0</v>
      </c>
      <c r="BI28" s="425">
        <f t="shared" si="15"/>
        <v>0</v>
      </c>
      <c r="BJ28" s="425">
        <f t="shared" si="15"/>
        <v>0</v>
      </c>
      <c r="BK28" s="425">
        <f t="shared" si="15"/>
        <v>0</v>
      </c>
      <c r="BL28" s="425">
        <f t="shared" si="15"/>
        <v>0</v>
      </c>
      <c r="BM28" s="425">
        <f t="shared" si="3"/>
        <v>0</v>
      </c>
      <c r="BN28" s="425">
        <f t="shared" si="3"/>
        <v>0</v>
      </c>
      <c r="BO28" s="425">
        <f t="shared" si="3"/>
        <v>0</v>
      </c>
      <c r="BP28" s="425">
        <f t="shared" si="4"/>
        <v>0</v>
      </c>
      <c r="BQ28" s="425">
        <f t="shared" si="4"/>
        <v>0</v>
      </c>
      <c r="BR28" s="425">
        <f t="shared" si="4"/>
        <v>0</v>
      </c>
      <c r="BS28" s="425">
        <f t="shared" si="5"/>
        <v>0</v>
      </c>
      <c r="BT28" s="426">
        <f t="shared" si="5"/>
        <v>0</v>
      </c>
    </row>
    <row r="29" spans="2:72" hidden="1" x14ac:dyDescent="0.25">
      <c r="B29" s="145"/>
      <c r="C29" s="539">
        <f t="shared" si="14"/>
        <v>39142</v>
      </c>
      <c r="D29" s="533"/>
      <c r="E29" s="534">
        <v>0</v>
      </c>
      <c r="F29" s="534">
        <v>0</v>
      </c>
      <c r="G29" s="534">
        <v>0</v>
      </c>
      <c r="H29" s="540">
        <v>0</v>
      </c>
      <c r="I29" s="536">
        <f t="shared" si="6"/>
        <v>0</v>
      </c>
      <c r="J29" s="533"/>
      <c r="K29" s="534">
        <v>0</v>
      </c>
      <c r="L29" s="534">
        <v>0</v>
      </c>
      <c r="M29" s="534">
        <v>0</v>
      </c>
      <c r="N29" s="534">
        <v>0</v>
      </c>
      <c r="O29" s="534">
        <v>0</v>
      </c>
      <c r="P29" s="534">
        <v>0</v>
      </c>
      <c r="Q29" s="534">
        <v>0</v>
      </c>
      <c r="R29" s="534">
        <v>0</v>
      </c>
      <c r="S29" s="536">
        <f t="shared" si="7"/>
        <v>0</v>
      </c>
      <c r="T29" s="533"/>
      <c r="U29" s="534">
        <v>0</v>
      </c>
      <c r="V29" s="534">
        <v>0</v>
      </c>
      <c r="W29" s="534">
        <v>0</v>
      </c>
      <c r="X29" s="534">
        <v>0</v>
      </c>
      <c r="Y29" s="534">
        <v>0</v>
      </c>
      <c r="Z29" s="534">
        <v>0</v>
      </c>
      <c r="AA29" s="534">
        <v>0</v>
      </c>
      <c r="AB29" s="534">
        <v>0</v>
      </c>
      <c r="AC29" s="534">
        <v>0</v>
      </c>
      <c r="AD29" s="534">
        <v>0</v>
      </c>
      <c r="AE29" s="536">
        <f t="shared" si="8"/>
        <v>0</v>
      </c>
      <c r="AF29" s="533"/>
      <c r="AG29" s="534">
        <v>0</v>
      </c>
      <c r="AH29" s="534">
        <v>0</v>
      </c>
      <c r="AI29" s="534">
        <v>0</v>
      </c>
      <c r="AJ29" s="534">
        <v>0</v>
      </c>
      <c r="AK29" s="536">
        <f t="shared" si="9"/>
        <v>0</v>
      </c>
      <c r="AL29" s="533"/>
      <c r="AM29" s="534">
        <v>0</v>
      </c>
      <c r="AN29" s="534">
        <v>0</v>
      </c>
      <c r="AO29" s="534">
        <v>0</v>
      </c>
      <c r="AP29" s="537">
        <v>0</v>
      </c>
      <c r="AQ29" s="535">
        <v>0</v>
      </c>
      <c r="AR29" s="534">
        <v>0</v>
      </c>
      <c r="AS29" s="534">
        <v>0</v>
      </c>
      <c r="AT29" s="534">
        <v>0</v>
      </c>
      <c r="AU29" s="536">
        <f t="shared" si="10"/>
        <v>0</v>
      </c>
      <c r="AV29" s="533"/>
      <c r="AW29" s="538">
        <f t="shared" si="11"/>
        <v>0</v>
      </c>
      <c r="AX29" s="538">
        <f t="shared" si="12"/>
        <v>0</v>
      </c>
      <c r="AY29" s="533"/>
      <c r="AZ29" s="534">
        <f t="shared" si="13"/>
        <v>0</v>
      </c>
      <c r="BA29" s="534">
        <v>0</v>
      </c>
      <c r="BD29" s="392">
        <f t="shared" si="0"/>
        <v>0</v>
      </c>
      <c r="BE29" s="425">
        <f t="shared" si="1"/>
        <v>0</v>
      </c>
      <c r="BF29" s="425">
        <f t="shared" si="15"/>
        <v>0</v>
      </c>
      <c r="BG29" s="425">
        <f t="shared" si="15"/>
        <v>0</v>
      </c>
      <c r="BH29" s="425">
        <f t="shared" si="15"/>
        <v>0</v>
      </c>
      <c r="BI29" s="425">
        <f t="shared" si="15"/>
        <v>0</v>
      </c>
      <c r="BJ29" s="425">
        <f t="shared" si="15"/>
        <v>0</v>
      </c>
      <c r="BK29" s="425">
        <f t="shared" si="15"/>
        <v>0</v>
      </c>
      <c r="BL29" s="425">
        <f t="shared" si="15"/>
        <v>0</v>
      </c>
      <c r="BM29" s="425">
        <f t="shared" si="3"/>
        <v>0</v>
      </c>
      <c r="BN29" s="425">
        <f t="shared" si="3"/>
        <v>0</v>
      </c>
      <c r="BO29" s="425">
        <f t="shared" si="3"/>
        <v>0</v>
      </c>
      <c r="BP29" s="425">
        <f t="shared" si="4"/>
        <v>0</v>
      </c>
      <c r="BQ29" s="425">
        <f t="shared" si="4"/>
        <v>0</v>
      </c>
      <c r="BR29" s="425">
        <f t="shared" si="4"/>
        <v>0</v>
      </c>
      <c r="BS29" s="425">
        <f t="shared" si="5"/>
        <v>0</v>
      </c>
      <c r="BT29" s="426">
        <f t="shared" si="5"/>
        <v>0</v>
      </c>
    </row>
    <row r="30" spans="2:72" hidden="1" x14ac:dyDescent="0.25">
      <c r="B30" s="145"/>
      <c r="C30" s="539">
        <f t="shared" si="14"/>
        <v>39173</v>
      </c>
      <c r="D30" s="533"/>
      <c r="E30" s="534">
        <v>0</v>
      </c>
      <c r="F30" s="534">
        <v>0</v>
      </c>
      <c r="G30" s="534">
        <v>0</v>
      </c>
      <c r="H30" s="540">
        <v>0</v>
      </c>
      <c r="I30" s="536">
        <f t="shared" si="6"/>
        <v>0</v>
      </c>
      <c r="J30" s="533"/>
      <c r="K30" s="534">
        <v>0</v>
      </c>
      <c r="L30" s="534">
        <v>0</v>
      </c>
      <c r="M30" s="534">
        <v>0</v>
      </c>
      <c r="N30" s="534">
        <v>0</v>
      </c>
      <c r="O30" s="534">
        <v>0</v>
      </c>
      <c r="P30" s="534">
        <v>0</v>
      </c>
      <c r="Q30" s="534">
        <v>0</v>
      </c>
      <c r="R30" s="534">
        <v>0</v>
      </c>
      <c r="S30" s="536">
        <f t="shared" si="7"/>
        <v>0</v>
      </c>
      <c r="T30" s="533"/>
      <c r="U30" s="534">
        <v>0</v>
      </c>
      <c r="V30" s="534">
        <v>0</v>
      </c>
      <c r="W30" s="534">
        <v>0</v>
      </c>
      <c r="X30" s="534">
        <v>0</v>
      </c>
      <c r="Y30" s="534">
        <v>0</v>
      </c>
      <c r="Z30" s="534">
        <v>0</v>
      </c>
      <c r="AA30" s="534">
        <v>0</v>
      </c>
      <c r="AB30" s="534">
        <v>0</v>
      </c>
      <c r="AC30" s="534">
        <v>0</v>
      </c>
      <c r="AD30" s="534">
        <v>0</v>
      </c>
      <c r="AE30" s="536">
        <f t="shared" si="8"/>
        <v>0</v>
      </c>
      <c r="AF30" s="533"/>
      <c r="AG30" s="534">
        <v>0</v>
      </c>
      <c r="AH30" s="534">
        <v>0</v>
      </c>
      <c r="AI30" s="534">
        <v>0</v>
      </c>
      <c r="AJ30" s="534">
        <v>0</v>
      </c>
      <c r="AK30" s="536">
        <f t="shared" si="9"/>
        <v>0</v>
      </c>
      <c r="AL30" s="533"/>
      <c r="AM30" s="534">
        <v>0</v>
      </c>
      <c r="AN30" s="534">
        <v>0</v>
      </c>
      <c r="AO30" s="534">
        <v>0</v>
      </c>
      <c r="AP30" s="537">
        <v>0</v>
      </c>
      <c r="AQ30" s="535">
        <v>0</v>
      </c>
      <c r="AR30" s="534">
        <v>0</v>
      </c>
      <c r="AS30" s="534">
        <v>0</v>
      </c>
      <c r="AT30" s="534">
        <v>0</v>
      </c>
      <c r="AU30" s="536">
        <f t="shared" si="10"/>
        <v>0</v>
      </c>
      <c r="AV30" s="533"/>
      <c r="AW30" s="538">
        <f t="shared" si="11"/>
        <v>0</v>
      </c>
      <c r="AX30" s="538">
        <f t="shared" si="12"/>
        <v>0</v>
      </c>
      <c r="AY30" s="533"/>
      <c r="AZ30" s="534">
        <f t="shared" si="13"/>
        <v>0</v>
      </c>
      <c r="BA30" s="534">
        <v>0</v>
      </c>
      <c r="BD30" s="392">
        <f t="shared" si="0"/>
        <v>0</v>
      </c>
      <c r="BE30" s="425">
        <f t="shared" si="1"/>
        <v>0</v>
      </c>
      <c r="BF30" s="425">
        <f t="shared" si="15"/>
        <v>0</v>
      </c>
      <c r="BG30" s="425">
        <f t="shared" si="15"/>
        <v>0</v>
      </c>
      <c r="BH30" s="425">
        <f t="shared" si="15"/>
        <v>0</v>
      </c>
      <c r="BI30" s="425">
        <f t="shared" si="15"/>
        <v>0</v>
      </c>
      <c r="BJ30" s="425">
        <f t="shared" si="15"/>
        <v>0</v>
      </c>
      <c r="BK30" s="425">
        <f t="shared" si="15"/>
        <v>0</v>
      </c>
      <c r="BL30" s="425">
        <f t="shared" si="15"/>
        <v>0</v>
      </c>
      <c r="BM30" s="425">
        <f t="shared" si="3"/>
        <v>0</v>
      </c>
      <c r="BN30" s="425">
        <f t="shared" si="3"/>
        <v>0</v>
      </c>
      <c r="BO30" s="425">
        <f t="shared" si="3"/>
        <v>0</v>
      </c>
      <c r="BP30" s="425">
        <f t="shared" si="4"/>
        <v>0</v>
      </c>
      <c r="BQ30" s="425">
        <f t="shared" si="4"/>
        <v>0</v>
      </c>
      <c r="BR30" s="425">
        <f t="shared" si="4"/>
        <v>0</v>
      </c>
      <c r="BS30" s="425">
        <f t="shared" si="5"/>
        <v>0</v>
      </c>
      <c r="BT30" s="426">
        <f t="shared" si="5"/>
        <v>0</v>
      </c>
    </row>
    <row r="31" spans="2:72" hidden="1" x14ac:dyDescent="0.25">
      <c r="B31" s="145"/>
      <c r="C31" s="539">
        <f t="shared" si="14"/>
        <v>39203</v>
      </c>
      <c r="D31" s="533"/>
      <c r="E31" s="534">
        <v>0</v>
      </c>
      <c r="F31" s="534">
        <v>0</v>
      </c>
      <c r="G31" s="534">
        <v>0</v>
      </c>
      <c r="H31" s="540">
        <v>0</v>
      </c>
      <c r="I31" s="536">
        <f t="shared" si="6"/>
        <v>0</v>
      </c>
      <c r="J31" s="533"/>
      <c r="K31" s="534">
        <v>0</v>
      </c>
      <c r="L31" s="534">
        <v>0</v>
      </c>
      <c r="M31" s="534">
        <v>0</v>
      </c>
      <c r="N31" s="534">
        <v>0</v>
      </c>
      <c r="O31" s="534">
        <v>0</v>
      </c>
      <c r="P31" s="534">
        <v>0</v>
      </c>
      <c r="Q31" s="534">
        <v>0</v>
      </c>
      <c r="R31" s="534">
        <v>0</v>
      </c>
      <c r="S31" s="536">
        <f t="shared" si="7"/>
        <v>0</v>
      </c>
      <c r="T31" s="533"/>
      <c r="U31" s="534">
        <v>0</v>
      </c>
      <c r="V31" s="534">
        <v>0</v>
      </c>
      <c r="W31" s="534">
        <v>0</v>
      </c>
      <c r="X31" s="534">
        <v>0</v>
      </c>
      <c r="Y31" s="534">
        <v>0</v>
      </c>
      <c r="Z31" s="534">
        <v>0</v>
      </c>
      <c r="AA31" s="534">
        <v>0</v>
      </c>
      <c r="AB31" s="534">
        <v>0</v>
      </c>
      <c r="AC31" s="534">
        <v>0</v>
      </c>
      <c r="AD31" s="534">
        <v>0</v>
      </c>
      <c r="AE31" s="536">
        <f t="shared" si="8"/>
        <v>0</v>
      </c>
      <c r="AF31" s="533"/>
      <c r="AG31" s="534">
        <v>0</v>
      </c>
      <c r="AH31" s="534">
        <v>0</v>
      </c>
      <c r="AI31" s="534">
        <v>0</v>
      </c>
      <c r="AJ31" s="534">
        <v>0</v>
      </c>
      <c r="AK31" s="536">
        <f t="shared" si="9"/>
        <v>0</v>
      </c>
      <c r="AL31" s="533"/>
      <c r="AM31" s="534">
        <v>0</v>
      </c>
      <c r="AN31" s="534">
        <v>0</v>
      </c>
      <c r="AO31" s="534">
        <v>0</v>
      </c>
      <c r="AP31" s="537">
        <v>0</v>
      </c>
      <c r="AQ31" s="535">
        <v>0</v>
      </c>
      <c r="AR31" s="534">
        <v>0</v>
      </c>
      <c r="AS31" s="534">
        <v>0</v>
      </c>
      <c r="AT31" s="534">
        <v>0</v>
      </c>
      <c r="AU31" s="536">
        <f t="shared" si="10"/>
        <v>0</v>
      </c>
      <c r="AV31" s="533"/>
      <c r="AW31" s="538">
        <f t="shared" si="11"/>
        <v>0</v>
      </c>
      <c r="AX31" s="538">
        <f t="shared" si="12"/>
        <v>0</v>
      </c>
      <c r="AY31" s="533"/>
      <c r="AZ31" s="534">
        <f t="shared" si="13"/>
        <v>0</v>
      </c>
      <c r="BA31" s="534">
        <v>0</v>
      </c>
      <c r="BD31" s="392">
        <f t="shared" si="0"/>
        <v>0</v>
      </c>
      <c r="BE31" s="425">
        <f t="shared" si="1"/>
        <v>0</v>
      </c>
      <c r="BF31" s="425">
        <f t="shared" si="15"/>
        <v>0</v>
      </c>
      <c r="BG31" s="425">
        <f t="shared" si="15"/>
        <v>0</v>
      </c>
      <c r="BH31" s="425">
        <f t="shared" si="15"/>
        <v>0</v>
      </c>
      <c r="BI31" s="425">
        <f t="shared" si="15"/>
        <v>0</v>
      </c>
      <c r="BJ31" s="425">
        <f t="shared" si="15"/>
        <v>0</v>
      </c>
      <c r="BK31" s="425">
        <f t="shared" si="15"/>
        <v>0</v>
      </c>
      <c r="BL31" s="425">
        <f t="shared" si="15"/>
        <v>0</v>
      </c>
      <c r="BM31" s="425">
        <f t="shared" si="3"/>
        <v>0</v>
      </c>
      <c r="BN31" s="425">
        <f t="shared" si="3"/>
        <v>0</v>
      </c>
      <c r="BO31" s="425">
        <f t="shared" si="3"/>
        <v>0</v>
      </c>
      <c r="BP31" s="425">
        <f t="shared" si="4"/>
        <v>0</v>
      </c>
      <c r="BQ31" s="425">
        <f t="shared" si="4"/>
        <v>0</v>
      </c>
      <c r="BR31" s="425">
        <f t="shared" si="4"/>
        <v>0</v>
      </c>
      <c r="BS31" s="425">
        <f t="shared" si="5"/>
        <v>0</v>
      </c>
      <c r="BT31" s="426">
        <f t="shared" si="5"/>
        <v>0</v>
      </c>
    </row>
    <row r="32" spans="2:72" hidden="1" x14ac:dyDescent="0.25">
      <c r="B32" s="145"/>
      <c r="C32" s="539">
        <f t="shared" si="14"/>
        <v>39234</v>
      </c>
      <c r="D32" s="533"/>
      <c r="E32" s="534">
        <v>0</v>
      </c>
      <c r="F32" s="534">
        <v>0</v>
      </c>
      <c r="G32" s="534">
        <v>0</v>
      </c>
      <c r="H32" s="540">
        <v>0</v>
      </c>
      <c r="I32" s="536">
        <f t="shared" si="6"/>
        <v>0</v>
      </c>
      <c r="J32" s="533"/>
      <c r="K32" s="534">
        <v>0</v>
      </c>
      <c r="L32" s="534">
        <v>0</v>
      </c>
      <c r="M32" s="534">
        <v>0</v>
      </c>
      <c r="N32" s="534">
        <v>0</v>
      </c>
      <c r="O32" s="534">
        <v>0</v>
      </c>
      <c r="P32" s="534">
        <v>0</v>
      </c>
      <c r="Q32" s="534">
        <v>0</v>
      </c>
      <c r="R32" s="534">
        <v>0</v>
      </c>
      <c r="S32" s="536">
        <f t="shared" si="7"/>
        <v>0</v>
      </c>
      <c r="T32" s="533"/>
      <c r="U32" s="534">
        <v>0</v>
      </c>
      <c r="V32" s="534">
        <v>0</v>
      </c>
      <c r="W32" s="534">
        <v>0</v>
      </c>
      <c r="X32" s="534">
        <v>0</v>
      </c>
      <c r="Y32" s="534">
        <v>0</v>
      </c>
      <c r="Z32" s="534">
        <v>0</v>
      </c>
      <c r="AA32" s="534">
        <v>0</v>
      </c>
      <c r="AB32" s="534">
        <v>0</v>
      </c>
      <c r="AC32" s="534">
        <v>0</v>
      </c>
      <c r="AD32" s="534">
        <v>0</v>
      </c>
      <c r="AE32" s="536">
        <f t="shared" si="8"/>
        <v>0</v>
      </c>
      <c r="AF32" s="533"/>
      <c r="AG32" s="534">
        <v>0</v>
      </c>
      <c r="AH32" s="534">
        <v>0</v>
      </c>
      <c r="AI32" s="534">
        <v>0</v>
      </c>
      <c r="AJ32" s="534">
        <v>0</v>
      </c>
      <c r="AK32" s="536">
        <f t="shared" si="9"/>
        <v>0</v>
      </c>
      <c r="AL32" s="533"/>
      <c r="AM32" s="534">
        <v>0</v>
      </c>
      <c r="AN32" s="534">
        <v>0</v>
      </c>
      <c r="AO32" s="534">
        <v>0</v>
      </c>
      <c r="AP32" s="537">
        <v>0</v>
      </c>
      <c r="AQ32" s="535">
        <v>0</v>
      </c>
      <c r="AR32" s="534">
        <v>0</v>
      </c>
      <c r="AS32" s="534">
        <v>0</v>
      </c>
      <c r="AT32" s="534">
        <v>0</v>
      </c>
      <c r="AU32" s="536">
        <f t="shared" si="10"/>
        <v>0</v>
      </c>
      <c r="AV32" s="533"/>
      <c r="AW32" s="538">
        <f t="shared" si="11"/>
        <v>0</v>
      </c>
      <c r="AX32" s="538">
        <f t="shared" si="12"/>
        <v>0</v>
      </c>
      <c r="AY32" s="533"/>
      <c r="AZ32" s="534">
        <f t="shared" si="13"/>
        <v>0</v>
      </c>
      <c r="BA32" s="534">
        <v>0</v>
      </c>
      <c r="BD32" s="392">
        <f t="shared" si="0"/>
        <v>0</v>
      </c>
      <c r="BE32" s="425">
        <f t="shared" si="1"/>
        <v>0</v>
      </c>
      <c r="BF32" s="425">
        <f t="shared" si="15"/>
        <v>0</v>
      </c>
      <c r="BG32" s="425">
        <f t="shared" si="15"/>
        <v>0</v>
      </c>
      <c r="BH32" s="425">
        <f t="shared" si="15"/>
        <v>0</v>
      </c>
      <c r="BI32" s="425">
        <f t="shared" si="15"/>
        <v>0</v>
      </c>
      <c r="BJ32" s="425">
        <f t="shared" si="15"/>
        <v>0</v>
      </c>
      <c r="BK32" s="425">
        <f t="shared" si="15"/>
        <v>0</v>
      </c>
      <c r="BL32" s="425">
        <f t="shared" si="15"/>
        <v>0</v>
      </c>
      <c r="BM32" s="425">
        <f t="shared" si="3"/>
        <v>0</v>
      </c>
      <c r="BN32" s="425">
        <f t="shared" si="3"/>
        <v>0</v>
      </c>
      <c r="BO32" s="425">
        <f t="shared" si="3"/>
        <v>0</v>
      </c>
      <c r="BP32" s="425">
        <f t="shared" si="4"/>
        <v>0</v>
      </c>
      <c r="BQ32" s="425">
        <f t="shared" si="4"/>
        <v>0</v>
      </c>
      <c r="BR32" s="425">
        <f t="shared" si="4"/>
        <v>0</v>
      </c>
      <c r="BS32" s="425">
        <f t="shared" si="5"/>
        <v>0</v>
      </c>
      <c r="BT32" s="426">
        <f t="shared" si="5"/>
        <v>0</v>
      </c>
    </row>
    <row r="33" spans="2:72" hidden="1" x14ac:dyDescent="0.25">
      <c r="B33" s="145"/>
      <c r="C33" s="539">
        <f t="shared" si="14"/>
        <v>39264</v>
      </c>
      <c r="D33" s="533"/>
      <c r="E33" s="534">
        <v>0</v>
      </c>
      <c r="F33" s="534">
        <v>0</v>
      </c>
      <c r="G33" s="534">
        <v>0</v>
      </c>
      <c r="H33" s="540">
        <v>0</v>
      </c>
      <c r="I33" s="536">
        <f t="shared" si="6"/>
        <v>0</v>
      </c>
      <c r="J33" s="533"/>
      <c r="K33" s="534">
        <v>0</v>
      </c>
      <c r="L33" s="534">
        <v>0</v>
      </c>
      <c r="M33" s="534">
        <v>0</v>
      </c>
      <c r="N33" s="534">
        <v>0</v>
      </c>
      <c r="O33" s="534">
        <v>0</v>
      </c>
      <c r="P33" s="534">
        <v>0</v>
      </c>
      <c r="Q33" s="534">
        <v>0</v>
      </c>
      <c r="R33" s="534">
        <v>0</v>
      </c>
      <c r="S33" s="536">
        <f t="shared" si="7"/>
        <v>0</v>
      </c>
      <c r="T33" s="533"/>
      <c r="U33" s="534">
        <v>0</v>
      </c>
      <c r="V33" s="534">
        <v>0</v>
      </c>
      <c r="W33" s="534">
        <v>0</v>
      </c>
      <c r="X33" s="534">
        <v>0</v>
      </c>
      <c r="Y33" s="534">
        <v>0</v>
      </c>
      <c r="Z33" s="534">
        <v>0</v>
      </c>
      <c r="AA33" s="534">
        <v>0</v>
      </c>
      <c r="AB33" s="534">
        <v>0</v>
      </c>
      <c r="AC33" s="534">
        <v>0</v>
      </c>
      <c r="AD33" s="534">
        <v>0</v>
      </c>
      <c r="AE33" s="536">
        <f t="shared" si="8"/>
        <v>0</v>
      </c>
      <c r="AF33" s="533"/>
      <c r="AG33" s="534">
        <v>0</v>
      </c>
      <c r="AH33" s="534">
        <v>0</v>
      </c>
      <c r="AI33" s="534">
        <v>0</v>
      </c>
      <c r="AJ33" s="534">
        <v>0</v>
      </c>
      <c r="AK33" s="536">
        <f t="shared" si="9"/>
        <v>0</v>
      </c>
      <c r="AL33" s="533"/>
      <c r="AM33" s="534">
        <v>0</v>
      </c>
      <c r="AN33" s="534">
        <v>0</v>
      </c>
      <c r="AO33" s="534">
        <v>0</v>
      </c>
      <c r="AP33" s="537">
        <v>0</v>
      </c>
      <c r="AQ33" s="535">
        <v>0</v>
      </c>
      <c r="AR33" s="534">
        <v>0</v>
      </c>
      <c r="AS33" s="534">
        <v>0</v>
      </c>
      <c r="AT33" s="534">
        <v>0</v>
      </c>
      <c r="AU33" s="536">
        <f t="shared" si="10"/>
        <v>0</v>
      </c>
      <c r="AV33" s="533"/>
      <c r="AW33" s="538">
        <f t="shared" si="11"/>
        <v>0</v>
      </c>
      <c r="AX33" s="538">
        <f t="shared" si="12"/>
        <v>0</v>
      </c>
      <c r="AY33" s="533"/>
      <c r="AZ33" s="534">
        <f t="shared" si="13"/>
        <v>0</v>
      </c>
      <c r="BA33" s="534">
        <v>0</v>
      </c>
      <c r="BD33" s="392">
        <f t="shared" si="0"/>
        <v>0</v>
      </c>
      <c r="BE33" s="425">
        <f t="shared" si="1"/>
        <v>0</v>
      </c>
      <c r="BF33" s="425">
        <f t="shared" si="15"/>
        <v>0</v>
      </c>
      <c r="BG33" s="425">
        <f t="shared" si="15"/>
        <v>0</v>
      </c>
      <c r="BH33" s="425">
        <f t="shared" si="15"/>
        <v>0</v>
      </c>
      <c r="BI33" s="425">
        <f t="shared" si="15"/>
        <v>0</v>
      </c>
      <c r="BJ33" s="425">
        <f t="shared" si="15"/>
        <v>0</v>
      </c>
      <c r="BK33" s="425">
        <f t="shared" si="15"/>
        <v>0</v>
      </c>
      <c r="BL33" s="425">
        <f t="shared" si="15"/>
        <v>0</v>
      </c>
      <c r="BM33" s="425">
        <f t="shared" si="3"/>
        <v>0</v>
      </c>
      <c r="BN33" s="425">
        <f t="shared" si="3"/>
        <v>0</v>
      </c>
      <c r="BO33" s="425">
        <f t="shared" si="3"/>
        <v>0</v>
      </c>
      <c r="BP33" s="425">
        <f t="shared" si="4"/>
        <v>0</v>
      </c>
      <c r="BQ33" s="425">
        <f t="shared" si="4"/>
        <v>0</v>
      </c>
      <c r="BR33" s="425">
        <f t="shared" si="4"/>
        <v>0</v>
      </c>
      <c r="BS33" s="425">
        <f t="shared" si="5"/>
        <v>0</v>
      </c>
      <c r="BT33" s="426">
        <f t="shared" si="5"/>
        <v>0</v>
      </c>
    </row>
    <row r="34" spans="2:72" hidden="1" x14ac:dyDescent="0.25">
      <c r="B34" s="145"/>
      <c r="C34" s="539">
        <f t="shared" si="14"/>
        <v>39295</v>
      </c>
      <c r="D34" s="533"/>
      <c r="E34" s="534">
        <v>0</v>
      </c>
      <c r="F34" s="534">
        <v>0</v>
      </c>
      <c r="G34" s="534">
        <v>0</v>
      </c>
      <c r="H34" s="540">
        <v>0</v>
      </c>
      <c r="I34" s="536">
        <f t="shared" si="6"/>
        <v>0</v>
      </c>
      <c r="J34" s="533"/>
      <c r="K34" s="534">
        <v>0</v>
      </c>
      <c r="L34" s="534">
        <v>0</v>
      </c>
      <c r="M34" s="534">
        <v>0</v>
      </c>
      <c r="N34" s="534">
        <v>0</v>
      </c>
      <c r="O34" s="534">
        <v>0</v>
      </c>
      <c r="P34" s="534">
        <v>0</v>
      </c>
      <c r="Q34" s="534">
        <v>0</v>
      </c>
      <c r="R34" s="534">
        <v>0</v>
      </c>
      <c r="S34" s="536">
        <f t="shared" si="7"/>
        <v>0</v>
      </c>
      <c r="T34" s="533"/>
      <c r="U34" s="534">
        <v>0</v>
      </c>
      <c r="V34" s="534">
        <v>0</v>
      </c>
      <c r="W34" s="534">
        <v>0</v>
      </c>
      <c r="X34" s="534">
        <v>0</v>
      </c>
      <c r="Y34" s="534">
        <v>0</v>
      </c>
      <c r="Z34" s="534">
        <v>0</v>
      </c>
      <c r="AA34" s="534">
        <v>0</v>
      </c>
      <c r="AB34" s="534">
        <v>0</v>
      </c>
      <c r="AC34" s="534">
        <v>0</v>
      </c>
      <c r="AD34" s="534">
        <v>0</v>
      </c>
      <c r="AE34" s="536">
        <f t="shared" si="8"/>
        <v>0</v>
      </c>
      <c r="AF34" s="533"/>
      <c r="AG34" s="534">
        <v>0</v>
      </c>
      <c r="AH34" s="534">
        <v>0</v>
      </c>
      <c r="AI34" s="534">
        <v>0</v>
      </c>
      <c r="AJ34" s="534">
        <v>0</v>
      </c>
      <c r="AK34" s="536">
        <f t="shared" si="9"/>
        <v>0</v>
      </c>
      <c r="AL34" s="533"/>
      <c r="AM34" s="534">
        <v>0</v>
      </c>
      <c r="AN34" s="534">
        <v>0</v>
      </c>
      <c r="AO34" s="534">
        <v>0</v>
      </c>
      <c r="AP34" s="537">
        <v>0</v>
      </c>
      <c r="AQ34" s="535">
        <v>0</v>
      </c>
      <c r="AR34" s="534">
        <v>0</v>
      </c>
      <c r="AS34" s="534">
        <v>0</v>
      </c>
      <c r="AT34" s="534">
        <v>0</v>
      </c>
      <c r="AU34" s="536">
        <f t="shared" si="10"/>
        <v>0</v>
      </c>
      <c r="AV34" s="533"/>
      <c r="AW34" s="538">
        <f t="shared" si="11"/>
        <v>0</v>
      </c>
      <c r="AX34" s="538">
        <f t="shared" si="12"/>
        <v>0</v>
      </c>
      <c r="AY34" s="533"/>
      <c r="AZ34" s="534">
        <f t="shared" si="13"/>
        <v>0</v>
      </c>
      <c r="BA34" s="534">
        <v>0</v>
      </c>
      <c r="BD34" s="392">
        <f t="shared" si="0"/>
        <v>0</v>
      </c>
      <c r="BE34" s="425">
        <f t="shared" si="1"/>
        <v>0</v>
      </c>
      <c r="BF34" s="425">
        <f t="shared" si="15"/>
        <v>0</v>
      </c>
      <c r="BG34" s="425">
        <f t="shared" si="15"/>
        <v>0</v>
      </c>
      <c r="BH34" s="425">
        <f t="shared" si="15"/>
        <v>0</v>
      </c>
      <c r="BI34" s="425">
        <f t="shared" si="15"/>
        <v>0</v>
      </c>
      <c r="BJ34" s="425">
        <f t="shared" si="15"/>
        <v>0</v>
      </c>
      <c r="BK34" s="425">
        <f t="shared" si="15"/>
        <v>0</v>
      </c>
      <c r="BL34" s="425">
        <f t="shared" si="15"/>
        <v>0</v>
      </c>
      <c r="BM34" s="425">
        <f t="shared" si="3"/>
        <v>0</v>
      </c>
      <c r="BN34" s="425">
        <f t="shared" si="3"/>
        <v>0</v>
      </c>
      <c r="BO34" s="425">
        <f t="shared" si="3"/>
        <v>0</v>
      </c>
      <c r="BP34" s="425">
        <f t="shared" si="4"/>
        <v>0</v>
      </c>
      <c r="BQ34" s="425">
        <f t="shared" si="4"/>
        <v>0</v>
      </c>
      <c r="BR34" s="425">
        <f t="shared" si="4"/>
        <v>0</v>
      </c>
      <c r="BS34" s="425">
        <f t="shared" si="5"/>
        <v>0</v>
      </c>
      <c r="BT34" s="426">
        <f t="shared" si="5"/>
        <v>0</v>
      </c>
    </row>
    <row r="35" spans="2:72" hidden="1" x14ac:dyDescent="0.25">
      <c r="B35" s="145"/>
      <c r="C35" s="539">
        <f t="shared" si="14"/>
        <v>39326</v>
      </c>
      <c r="D35" s="533"/>
      <c r="E35" s="534">
        <v>0</v>
      </c>
      <c r="F35" s="534">
        <v>0</v>
      </c>
      <c r="G35" s="534">
        <v>0</v>
      </c>
      <c r="H35" s="540">
        <v>0</v>
      </c>
      <c r="I35" s="536">
        <f t="shared" si="6"/>
        <v>0</v>
      </c>
      <c r="J35" s="533"/>
      <c r="K35" s="534">
        <v>0</v>
      </c>
      <c r="L35" s="534">
        <v>0</v>
      </c>
      <c r="M35" s="534">
        <v>0</v>
      </c>
      <c r="N35" s="534">
        <v>0</v>
      </c>
      <c r="O35" s="534">
        <v>0</v>
      </c>
      <c r="P35" s="534">
        <v>0</v>
      </c>
      <c r="Q35" s="534">
        <v>0</v>
      </c>
      <c r="R35" s="534">
        <v>0</v>
      </c>
      <c r="S35" s="536">
        <f t="shared" si="7"/>
        <v>0</v>
      </c>
      <c r="T35" s="533"/>
      <c r="U35" s="534">
        <v>0</v>
      </c>
      <c r="V35" s="534">
        <v>0</v>
      </c>
      <c r="W35" s="534">
        <v>0</v>
      </c>
      <c r="X35" s="534">
        <v>0</v>
      </c>
      <c r="Y35" s="534">
        <v>0</v>
      </c>
      <c r="Z35" s="534">
        <v>0</v>
      </c>
      <c r="AA35" s="534">
        <v>0</v>
      </c>
      <c r="AB35" s="534">
        <v>0</v>
      </c>
      <c r="AC35" s="534">
        <v>0</v>
      </c>
      <c r="AD35" s="534">
        <v>0</v>
      </c>
      <c r="AE35" s="536">
        <f t="shared" si="8"/>
        <v>0</v>
      </c>
      <c r="AF35" s="533"/>
      <c r="AG35" s="534">
        <v>0</v>
      </c>
      <c r="AH35" s="534">
        <v>0</v>
      </c>
      <c r="AI35" s="534">
        <v>0</v>
      </c>
      <c r="AJ35" s="534">
        <v>0</v>
      </c>
      <c r="AK35" s="536">
        <f t="shared" si="9"/>
        <v>0</v>
      </c>
      <c r="AL35" s="533"/>
      <c r="AM35" s="534">
        <v>0</v>
      </c>
      <c r="AN35" s="534">
        <v>0</v>
      </c>
      <c r="AO35" s="534">
        <v>0</v>
      </c>
      <c r="AP35" s="537">
        <v>0</v>
      </c>
      <c r="AQ35" s="535">
        <v>0</v>
      </c>
      <c r="AR35" s="534">
        <v>0</v>
      </c>
      <c r="AS35" s="534">
        <v>0</v>
      </c>
      <c r="AT35" s="534">
        <v>0</v>
      </c>
      <c r="AU35" s="536">
        <f t="shared" si="10"/>
        <v>0</v>
      </c>
      <c r="AV35" s="533"/>
      <c r="AW35" s="538">
        <f t="shared" si="11"/>
        <v>0</v>
      </c>
      <c r="AX35" s="538">
        <f t="shared" si="12"/>
        <v>0</v>
      </c>
      <c r="AY35" s="533"/>
      <c r="AZ35" s="534">
        <f t="shared" si="13"/>
        <v>0</v>
      </c>
      <c r="BA35" s="534">
        <v>0</v>
      </c>
      <c r="BD35" s="392">
        <f t="shared" si="0"/>
        <v>0</v>
      </c>
      <c r="BE35" s="425">
        <f t="shared" si="1"/>
        <v>0</v>
      </c>
      <c r="BF35" s="425">
        <f t="shared" si="15"/>
        <v>0</v>
      </c>
      <c r="BG35" s="425">
        <f t="shared" si="15"/>
        <v>0</v>
      </c>
      <c r="BH35" s="425">
        <f t="shared" si="15"/>
        <v>0</v>
      </c>
      <c r="BI35" s="425">
        <f t="shared" si="15"/>
        <v>0</v>
      </c>
      <c r="BJ35" s="425">
        <f t="shared" si="15"/>
        <v>0</v>
      </c>
      <c r="BK35" s="425">
        <f t="shared" si="15"/>
        <v>0</v>
      </c>
      <c r="BL35" s="425">
        <f t="shared" si="15"/>
        <v>0</v>
      </c>
      <c r="BM35" s="425">
        <f t="shared" si="3"/>
        <v>0</v>
      </c>
      <c r="BN35" s="425">
        <f t="shared" si="3"/>
        <v>0</v>
      </c>
      <c r="BO35" s="425">
        <f t="shared" si="3"/>
        <v>0</v>
      </c>
      <c r="BP35" s="425">
        <f t="shared" si="4"/>
        <v>0</v>
      </c>
      <c r="BQ35" s="425">
        <f t="shared" si="4"/>
        <v>0</v>
      </c>
      <c r="BR35" s="425">
        <f t="shared" si="4"/>
        <v>0</v>
      </c>
      <c r="BS35" s="425">
        <f t="shared" si="5"/>
        <v>0</v>
      </c>
      <c r="BT35" s="426">
        <f t="shared" si="5"/>
        <v>0</v>
      </c>
    </row>
    <row r="36" spans="2:72" hidden="1" x14ac:dyDescent="0.25">
      <c r="B36" s="145"/>
      <c r="C36" s="539">
        <f t="shared" si="14"/>
        <v>39356</v>
      </c>
      <c r="D36" s="533"/>
      <c r="E36" s="534">
        <v>0</v>
      </c>
      <c r="F36" s="534">
        <v>0</v>
      </c>
      <c r="G36" s="534">
        <v>0</v>
      </c>
      <c r="H36" s="540">
        <v>0</v>
      </c>
      <c r="I36" s="536">
        <f t="shared" si="6"/>
        <v>0</v>
      </c>
      <c r="J36" s="533"/>
      <c r="K36" s="534">
        <v>0</v>
      </c>
      <c r="L36" s="534">
        <v>0</v>
      </c>
      <c r="M36" s="534">
        <v>0</v>
      </c>
      <c r="N36" s="534">
        <v>0</v>
      </c>
      <c r="O36" s="534">
        <v>0</v>
      </c>
      <c r="P36" s="534">
        <v>0</v>
      </c>
      <c r="Q36" s="534">
        <v>0</v>
      </c>
      <c r="R36" s="534">
        <v>0</v>
      </c>
      <c r="S36" s="536">
        <f t="shared" si="7"/>
        <v>0</v>
      </c>
      <c r="T36" s="533"/>
      <c r="U36" s="534">
        <v>0</v>
      </c>
      <c r="V36" s="534">
        <v>0</v>
      </c>
      <c r="W36" s="534">
        <v>0</v>
      </c>
      <c r="X36" s="534">
        <v>0</v>
      </c>
      <c r="Y36" s="534">
        <v>0</v>
      </c>
      <c r="Z36" s="534">
        <v>0</v>
      </c>
      <c r="AA36" s="534">
        <v>0</v>
      </c>
      <c r="AB36" s="534">
        <v>0</v>
      </c>
      <c r="AC36" s="534">
        <v>0</v>
      </c>
      <c r="AD36" s="534">
        <v>0</v>
      </c>
      <c r="AE36" s="536">
        <f t="shared" si="8"/>
        <v>0</v>
      </c>
      <c r="AF36" s="533"/>
      <c r="AG36" s="534">
        <v>0</v>
      </c>
      <c r="AH36" s="534">
        <v>0</v>
      </c>
      <c r="AI36" s="534">
        <v>0</v>
      </c>
      <c r="AJ36" s="534">
        <v>0</v>
      </c>
      <c r="AK36" s="536">
        <f t="shared" si="9"/>
        <v>0</v>
      </c>
      <c r="AL36" s="533"/>
      <c r="AM36" s="534">
        <v>0</v>
      </c>
      <c r="AN36" s="534">
        <v>0</v>
      </c>
      <c r="AO36" s="534">
        <v>0</v>
      </c>
      <c r="AP36" s="537">
        <v>0</v>
      </c>
      <c r="AQ36" s="535">
        <v>0</v>
      </c>
      <c r="AR36" s="534">
        <v>0</v>
      </c>
      <c r="AS36" s="534">
        <v>0</v>
      </c>
      <c r="AT36" s="534">
        <v>0</v>
      </c>
      <c r="AU36" s="536">
        <f t="shared" si="10"/>
        <v>0</v>
      </c>
      <c r="AV36" s="533"/>
      <c r="AW36" s="538">
        <f t="shared" si="11"/>
        <v>0</v>
      </c>
      <c r="AX36" s="538">
        <f t="shared" si="12"/>
        <v>0</v>
      </c>
      <c r="AY36" s="533"/>
      <c r="AZ36" s="534">
        <f t="shared" si="13"/>
        <v>0</v>
      </c>
      <c r="BA36" s="534">
        <v>0</v>
      </c>
      <c r="BD36" s="392">
        <f t="shared" si="0"/>
        <v>0</v>
      </c>
      <c r="BE36" s="425">
        <f t="shared" si="1"/>
        <v>0</v>
      </c>
      <c r="BF36" s="425">
        <f t="shared" si="15"/>
        <v>0</v>
      </c>
      <c r="BG36" s="425">
        <f t="shared" si="15"/>
        <v>0</v>
      </c>
      <c r="BH36" s="425">
        <f t="shared" si="15"/>
        <v>0</v>
      </c>
      <c r="BI36" s="425">
        <f t="shared" si="15"/>
        <v>0</v>
      </c>
      <c r="BJ36" s="425">
        <f t="shared" si="15"/>
        <v>0</v>
      </c>
      <c r="BK36" s="425">
        <f t="shared" si="15"/>
        <v>0</v>
      </c>
      <c r="BL36" s="425">
        <f t="shared" si="15"/>
        <v>0</v>
      </c>
      <c r="BM36" s="425">
        <f t="shared" si="3"/>
        <v>0</v>
      </c>
      <c r="BN36" s="425">
        <f t="shared" si="3"/>
        <v>0</v>
      </c>
      <c r="BO36" s="425">
        <f t="shared" si="3"/>
        <v>0</v>
      </c>
      <c r="BP36" s="425">
        <f t="shared" si="4"/>
        <v>0</v>
      </c>
      <c r="BQ36" s="425">
        <f t="shared" si="4"/>
        <v>0</v>
      </c>
      <c r="BR36" s="425">
        <f t="shared" si="4"/>
        <v>0</v>
      </c>
      <c r="BS36" s="425">
        <f t="shared" si="5"/>
        <v>0</v>
      </c>
      <c r="BT36" s="426">
        <f t="shared" si="5"/>
        <v>0</v>
      </c>
    </row>
    <row r="37" spans="2:72" hidden="1" x14ac:dyDescent="0.25">
      <c r="B37" s="145"/>
      <c r="C37" s="539">
        <f t="shared" si="14"/>
        <v>39387</v>
      </c>
      <c r="D37" s="533"/>
      <c r="E37" s="534">
        <v>0</v>
      </c>
      <c r="F37" s="534">
        <v>0</v>
      </c>
      <c r="G37" s="534">
        <v>0</v>
      </c>
      <c r="H37" s="540">
        <v>0</v>
      </c>
      <c r="I37" s="536">
        <f t="shared" si="6"/>
        <v>0</v>
      </c>
      <c r="J37" s="533"/>
      <c r="K37" s="534">
        <v>0</v>
      </c>
      <c r="L37" s="534">
        <v>0</v>
      </c>
      <c r="M37" s="534">
        <v>0</v>
      </c>
      <c r="N37" s="534">
        <v>0</v>
      </c>
      <c r="O37" s="534">
        <v>0</v>
      </c>
      <c r="P37" s="534">
        <v>0</v>
      </c>
      <c r="Q37" s="534">
        <v>0</v>
      </c>
      <c r="R37" s="534">
        <v>0</v>
      </c>
      <c r="S37" s="536">
        <f t="shared" si="7"/>
        <v>0</v>
      </c>
      <c r="T37" s="533"/>
      <c r="U37" s="534">
        <v>0</v>
      </c>
      <c r="V37" s="534">
        <v>0</v>
      </c>
      <c r="W37" s="534">
        <v>0</v>
      </c>
      <c r="X37" s="534">
        <v>0</v>
      </c>
      <c r="Y37" s="534">
        <v>0</v>
      </c>
      <c r="Z37" s="534">
        <v>0</v>
      </c>
      <c r="AA37" s="534">
        <v>0</v>
      </c>
      <c r="AB37" s="534">
        <v>0</v>
      </c>
      <c r="AC37" s="534">
        <v>0</v>
      </c>
      <c r="AD37" s="534">
        <v>0</v>
      </c>
      <c r="AE37" s="536">
        <f t="shared" si="8"/>
        <v>0</v>
      </c>
      <c r="AF37" s="533"/>
      <c r="AG37" s="534">
        <v>0</v>
      </c>
      <c r="AH37" s="534">
        <v>0</v>
      </c>
      <c r="AI37" s="534">
        <v>0</v>
      </c>
      <c r="AJ37" s="534">
        <v>0</v>
      </c>
      <c r="AK37" s="536">
        <f t="shared" si="9"/>
        <v>0</v>
      </c>
      <c r="AL37" s="533"/>
      <c r="AM37" s="534">
        <v>0</v>
      </c>
      <c r="AN37" s="534">
        <v>0</v>
      </c>
      <c r="AO37" s="534">
        <v>0</v>
      </c>
      <c r="AP37" s="537">
        <v>0</v>
      </c>
      <c r="AQ37" s="535">
        <v>0</v>
      </c>
      <c r="AR37" s="534">
        <v>0</v>
      </c>
      <c r="AS37" s="534">
        <v>0</v>
      </c>
      <c r="AT37" s="534">
        <v>0</v>
      </c>
      <c r="AU37" s="536">
        <f t="shared" si="10"/>
        <v>0</v>
      </c>
      <c r="AV37" s="533"/>
      <c r="AW37" s="538">
        <f t="shared" si="11"/>
        <v>0</v>
      </c>
      <c r="AX37" s="538">
        <f t="shared" si="12"/>
        <v>0</v>
      </c>
      <c r="AY37" s="533"/>
      <c r="AZ37" s="534">
        <f t="shared" si="13"/>
        <v>0</v>
      </c>
      <c r="BA37" s="534">
        <v>0</v>
      </c>
      <c r="BD37" s="392">
        <f t="shared" si="0"/>
        <v>0</v>
      </c>
      <c r="BE37" s="425">
        <f t="shared" si="1"/>
        <v>0</v>
      </c>
      <c r="BF37" s="425">
        <f t="shared" si="15"/>
        <v>0</v>
      </c>
      <c r="BG37" s="425">
        <f t="shared" si="15"/>
        <v>0</v>
      </c>
      <c r="BH37" s="425">
        <f t="shared" si="15"/>
        <v>0</v>
      </c>
      <c r="BI37" s="425">
        <f t="shared" si="15"/>
        <v>0</v>
      </c>
      <c r="BJ37" s="425">
        <f t="shared" si="15"/>
        <v>0</v>
      </c>
      <c r="BK37" s="425">
        <f t="shared" si="15"/>
        <v>0</v>
      </c>
      <c r="BL37" s="425">
        <f t="shared" si="15"/>
        <v>0</v>
      </c>
      <c r="BM37" s="425">
        <f t="shared" si="3"/>
        <v>0</v>
      </c>
      <c r="BN37" s="425">
        <f t="shared" si="3"/>
        <v>0</v>
      </c>
      <c r="BO37" s="425">
        <f t="shared" si="3"/>
        <v>0</v>
      </c>
      <c r="BP37" s="425">
        <f t="shared" si="4"/>
        <v>0</v>
      </c>
      <c r="BQ37" s="425">
        <f t="shared" si="4"/>
        <v>0</v>
      </c>
      <c r="BR37" s="425">
        <f t="shared" si="4"/>
        <v>0</v>
      </c>
      <c r="BS37" s="425">
        <f t="shared" si="5"/>
        <v>0</v>
      </c>
      <c r="BT37" s="426">
        <f t="shared" si="5"/>
        <v>0</v>
      </c>
    </row>
    <row r="38" spans="2:72" hidden="1" x14ac:dyDescent="0.25">
      <c r="B38" s="145"/>
      <c r="C38" s="539">
        <f t="shared" si="14"/>
        <v>39417</v>
      </c>
      <c r="D38" s="533"/>
      <c r="E38" s="534">
        <v>0</v>
      </c>
      <c r="F38" s="534">
        <v>0</v>
      </c>
      <c r="G38" s="534">
        <v>0</v>
      </c>
      <c r="H38" s="540">
        <v>0</v>
      </c>
      <c r="I38" s="536">
        <f t="shared" si="6"/>
        <v>0</v>
      </c>
      <c r="J38" s="533"/>
      <c r="K38" s="534">
        <v>0</v>
      </c>
      <c r="L38" s="534">
        <v>0</v>
      </c>
      <c r="M38" s="534">
        <v>0</v>
      </c>
      <c r="N38" s="534">
        <v>0</v>
      </c>
      <c r="O38" s="534">
        <v>0</v>
      </c>
      <c r="P38" s="534">
        <v>0</v>
      </c>
      <c r="Q38" s="534">
        <v>0</v>
      </c>
      <c r="R38" s="534">
        <v>0</v>
      </c>
      <c r="S38" s="536">
        <f t="shared" si="7"/>
        <v>0</v>
      </c>
      <c r="T38" s="533"/>
      <c r="U38" s="534">
        <v>0</v>
      </c>
      <c r="V38" s="534">
        <v>0</v>
      </c>
      <c r="W38" s="534">
        <v>0</v>
      </c>
      <c r="X38" s="534">
        <v>0</v>
      </c>
      <c r="Y38" s="534">
        <v>0</v>
      </c>
      <c r="Z38" s="534">
        <v>0</v>
      </c>
      <c r="AA38" s="534">
        <v>0</v>
      </c>
      <c r="AB38" s="534">
        <v>0</v>
      </c>
      <c r="AC38" s="534">
        <v>0</v>
      </c>
      <c r="AD38" s="534">
        <v>0</v>
      </c>
      <c r="AE38" s="536">
        <f t="shared" si="8"/>
        <v>0</v>
      </c>
      <c r="AF38" s="533"/>
      <c r="AG38" s="534">
        <v>0</v>
      </c>
      <c r="AH38" s="534">
        <v>0</v>
      </c>
      <c r="AI38" s="534">
        <v>0</v>
      </c>
      <c r="AJ38" s="534">
        <v>0</v>
      </c>
      <c r="AK38" s="536">
        <f t="shared" si="9"/>
        <v>0</v>
      </c>
      <c r="AL38" s="533"/>
      <c r="AM38" s="534">
        <v>0</v>
      </c>
      <c r="AN38" s="534">
        <v>0</v>
      </c>
      <c r="AO38" s="534">
        <v>0</v>
      </c>
      <c r="AP38" s="537">
        <v>0</v>
      </c>
      <c r="AQ38" s="535">
        <v>0</v>
      </c>
      <c r="AR38" s="534">
        <v>0</v>
      </c>
      <c r="AS38" s="534">
        <v>0</v>
      </c>
      <c r="AT38" s="534">
        <v>0</v>
      </c>
      <c r="AU38" s="536">
        <f t="shared" si="10"/>
        <v>0</v>
      </c>
      <c r="AV38" s="533"/>
      <c r="AW38" s="538">
        <f t="shared" si="11"/>
        <v>0</v>
      </c>
      <c r="AX38" s="538">
        <f t="shared" si="12"/>
        <v>0</v>
      </c>
      <c r="AY38" s="533"/>
      <c r="AZ38" s="534">
        <f t="shared" si="13"/>
        <v>0</v>
      </c>
      <c r="BA38" s="534">
        <v>0</v>
      </c>
      <c r="BD38" s="392">
        <f t="shared" si="0"/>
        <v>0</v>
      </c>
      <c r="BE38" s="425">
        <f t="shared" si="1"/>
        <v>0</v>
      </c>
      <c r="BF38" s="425">
        <f t="shared" ref="BF38:BL47" si="16">-SUMIF($E$6:$BA$6, BF$6, $E38:$BA38)</f>
        <v>0</v>
      </c>
      <c r="BG38" s="425">
        <f t="shared" si="16"/>
        <v>0</v>
      </c>
      <c r="BH38" s="425">
        <f t="shared" si="16"/>
        <v>0</v>
      </c>
      <c r="BI38" s="425">
        <f t="shared" si="16"/>
        <v>0</v>
      </c>
      <c r="BJ38" s="425">
        <f t="shared" si="16"/>
        <v>0</v>
      </c>
      <c r="BK38" s="425">
        <f t="shared" si="16"/>
        <v>0</v>
      </c>
      <c r="BL38" s="425">
        <f t="shared" si="16"/>
        <v>0</v>
      </c>
      <c r="BM38" s="425">
        <f t="shared" ref="BM38:BO57" si="17">SUMIF($E$6:$BA$6, BM$6, $E38:$BA38)</f>
        <v>0</v>
      </c>
      <c r="BN38" s="425">
        <f t="shared" si="17"/>
        <v>0</v>
      </c>
      <c r="BO38" s="425">
        <f t="shared" si="17"/>
        <v>0</v>
      </c>
      <c r="BP38" s="425">
        <f t="shared" ref="BP38:BR57" si="18">-SUMIF($E$6:$BA$6, BP$6, $E38:$BA38)</f>
        <v>0</v>
      </c>
      <c r="BQ38" s="425">
        <f t="shared" si="18"/>
        <v>0</v>
      </c>
      <c r="BR38" s="425">
        <f t="shared" si="18"/>
        <v>0</v>
      </c>
      <c r="BS38" s="425">
        <f t="shared" ref="BS38:BT57" si="19">SUMIF($E$6:$BA$6, BS$6, $E38:$BA38)</f>
        <v>0</v>
      </c>
      <c r="BT38" s="426">
        <f t="shared" si="19"/>
        <v>0</v>
      </c>
    </row>
    <row r="39" spans="2:72" hidden="1" x14ac:dyDescent="0.25">
      <c r="B39" s="145"/>
      <c r="C39" s="539">
        <f t="shared" si="14"/>
        <v>39448</v>
      </c>
      <c r="D39" s="533"/>
      <c r="E39" s="534">
        <v>0</v>
      </c>
      <c r="F39" s="534">
        <v>0</v>
      </c>
      <c r="G39" s="534">
        <v>0</v>
      </c>
      <c r="H39" s="540">
        <v>0</v>
      </c>
      <c r="I39" s="536">
        <f t="shared" si="6"/>
        <v>0</v>
      </c>
      <c r="J39" s="533"/>
      <c r="K39" s="534">
        <v>0</v>
      </c>
      <c r="L39" s="534">
        <v>0</v>
      </c>
      <c r="M39" s="534">
        <v>0</v>
      </c>
      <c r="N39" s="534">
        <v>0</v>
      </c>
      <c r="O39" s="534">
        <v>0</v>
      </c>
      <c r="P39" s="534">
        <v>0</v>
      </c>
      <c r="Q39" s="534">
        <v>0</v>
      </c>
      <c r="R39" s="534">
        <v>0</v>
      </c>
      <c r="S39" s="536">
        <f t="shared" si="7"/>
        <v>0</v>
      </c>
      <c r="T39" s="533"/>
      <c r="U39" s="534">
        <v>0</v>
      </c>
      <c r="V39" s="534">
        <v>0</v>
      </c>
      <c r="W39" s="534">
        <v>0</v>
      </c>
      <c r="X39" s="534">
        <v>0</v>
      </c>
      <c r="Y39" s="534">
        <v>0</v>
      </c>
      <c r="Z39" s="534">
        <v>0</v>
      </c>
      <c r="AA39" s="534">
        <v>0</v>
      </c>
      <c r="AB39" s="534">
        <v>0</v>
      </c>
      <c r="AC39" s="534">
        <v>0</v>
      </c>
      <c r="AD39" s="534">
        <v>0</v>
      </c>
      <c r="AE39" s="536">
        <f t="shared" si="8"/>
        <v>0</v>
      </c>
      <c r="AF39" s="533"/>
      <c r="AG39" s="534">
        <v>0</v>
      </c>
      <c r="AH39" s="534">
        <v>0</v>
      </c>
      <c r="AI39" s="534">
        <v>0</v>
      </c>
      <c r="AJ39" s="534">
        <v>0</v>
      </c>
      <c r="AK39" s="536">
        <f t="shared" si="9"/>
        <v>0</v>
      </c>
      <c r="AL39" s="533"/>
      <c r="AM39" s="534">
        <v>0</v>
      </c>
      <c r="AN39" s="534">
        <v>0</v>
      </c>
      <c r="AO39" s="534">
        <v>0</v>
      </c>
      <c r="AP39" s="537">
        <v>0</v>
      </c>
      <c r="AQ39" s="535">
        <v>0</v>
      </c>
      <c r="AR39" s="534">
        <v>0</v>
      </c>
      <c r="AS39" s="534">
        <v>0</v>
      </c>
      <c r="AT39" s="534">
        <v>0</v>
      </c>
      <c r="AU39" s="536">
        <f t="shared" si="10"/>
        <v>0</v>
      </c>
      <c r="AV39" s="533"/>
      <c r="AW39" s="538">
        <f t="shared" si="11"/>
        <v>0</v>
      </c>
      <c r="AX39" s="538">
        <f t="shared" si="12"/>
        <v>0</v>
      </c>
      <c r="AY39" s="533"/>
      <c r="AZ39" s="534">
        <f t="shared" si="13"/>
        <v>0</v>
      </c>
      <c r="BA39" s="534">
        <v>0</v>
      </c>
      <c r="BD39" s="392">
        <f t="shared" si="0"/>
        <v>0</v>
      </c>
      <c r="BE39" s="425">
        <f t="shared" si="1"/>
        <v>0</v>
      </c>
      <c r="BF39" s="425">
        <f t="shared" si="16"/>
        <v>0</v>
      </c>
      <c r="BG39" s="425">
        <f t="shared" si="16"/>
        <v>0</v>
      </c>
      <c r="BH39" s="425">
        <f t="shared" si="16"/>
        <v>0</v>
      </c>
      <c r="BI39" s="425">
        <f t="shared" si="16"/>
        <v>0</v>
      </c>
      <c r="BJ39" s="425">
        <f t="shared" si="16"/>
        <v>0</v>
      </c>
      <c r="BK39" s="425">
        <f t="shared" si="16"/>
        <v>0</v>
      </c>
      <c r="BL39" s="425">
        <f t="shared" si="16"/>
        <v>0</v>
      </c>
      <c r="BM39" s="425">
        <f t="shared" si="17"/>
        <v>0</v>
      </c>
      <c r="BN39" s="425">
        <f t="shared" si="17"/>
        <v>0</v>
      </c>
      <c r="BO39" s="425">
        <f t="shared" si="17"/>
        <v>0</v>
      </c>
      <c r="BP39" s="425">
        <f t="shared" si="18"/>
        <v>0</v>
      </c>
      <c r="BQ39" s="425">
        <f t="shared" si="18"/>
        <v>0</v>
      </c>
      <c r="BR39" s="425">
        <f t="shared" si="18"/>
        <v>0</v>
      </c>
      <c r="BS39" s="425">
        <f t="shared" si="19"/>
        <v>0</v>
      </c>
      <c r="BT39" s="426">
        <f t="shared" si="19"/>
        <v>0</v>
      </c>
    </row>
    <row r="40" spans="2:72" hidden="1" x14ac:dyDescent="0.25">
      <c r="B40" s="145"/>
      <c r="C40" s="539">
        <f t="shared" si="14"/>
        <v>39479</v>
      </c>
      <c r="D40" s="533"/>
      <c r="E40" s="534">
        <v>0</v>
      </c>
      <c r="F40" s="534">
        <v>0</v>
      </c>
      <c r="G40" s="534">
        <v>0</v>
      </c>
      <c r="H40" s="540">
        <v>0</v>
      </c>
      <c r="I40" s="536">
        <f t="shared" si="6"/>
        <v>0</v>
      </c>
      <c r="J40" s="533"/>
      <c r="K40" s="534">
        <v>0</v>
      </c>
      <c r="L40" s="534">
        <v>0</v>
      </c>
      <c r="M40" s="534">
        <v>0</v>
      </c>
      <c r="N40" s="534">
        <v>0</v>
      </c>
      <c r="O40" s="534">
        <v>0</v>
      </c>
      <c r="P40" s="534">
        <v>0</v>
      </c>
      <c r="Q40" s="534">
        <v>0</v>
      </c>
      <c r="R40" s="534">
        <v>0</v>
      </c>
      <c r="S40" s="536">
        <f t="shared" si="7"/>
        <v>0</v>
      </c>
      <c r="T40" s="533"/>
      <c r="U40" s="534">
        <v>0</v>
      </c>
      <c r="V40" s="534">
        <v>0</v>
      </c>
      <c r="W40" s="534">
        <v>0</v>
      </c>
      <c r="X40" s="534">
        <v>0</v>
      </c>
      <c r="Y40" s="534">
        <v>0</v>
      </c>
      <c r="Z40" s="534">
        <v>0</v>
      </c>
      <c r="AA40" s="534">
        <v>0</v>
      </c>
      <c r="AB40" s="534">
        <v>0</v>
      </c>
      <c r="AC40" s="534">
        <v>0</v>
      </c>
      <c r="AD40" s="534">
        <v>0</v>
      </c>
      <c r="AE40" s="536">
        <f t="shared" si="8"/>
        <v>0</v>
      </c>
      <c r="AF40" s="533"/>
      <c r="AG40" s="534">
        <v>0</v>
      </c>
      <c r="AH40" s="534">
        <v>0</v>
      </c>
      <c r="AI40" s="534">
        <v>0</v>
      </c>
      <c r="AJ40" s="534">
        <v>0</v>
      </c>
      <c r="AK40" s="536">
        <f t="shared" si="9"/>
        <v>0</v>
      </c>
      <c r="AL40" s="533"/>
      <c r="AM40" s="534">
        <v>0</v>
      </c>
      <c r="AN40" s="534">
        <v>0</v>
      </c>
      <c r="AO40" s="534">
        <v>0</v>
      </c>
      <c r="AP40" s="537">
        <v>0</v>
      </c>
      <c r="AQ40" s="535">
        <v>0</v>
      </c>
      <c r="AR40" s="534">
        <v>0</v>
      </c>
      <c r="AS40" s="534">
        <v>0</v>
      </c>
      <c r="AT40" s="534">
        <v>0</v>
      </c>
      <c r="AU40" s="536">
        <f t="shared" si="10"/>
        <v>0</v>
      </c>
      <c r="AV40" s="533"/>
      <c r="AW40" s="538">
        <f t="shared" si="11"/>
        <v>0</v>
      </c>
      <c r="AX40" s="538">
        <f t="shared" si="12"/>
        <v>0</v>
      </c>
      <c r="AY40" s="533"/>
      <c r="AZ40" s="534">
        <f t="shared" si="13"/>
        <v>0</v>
      </c>
      <c r="BA40" s="534">
        <v>0</v>
      </c>
      <c r="BD40" s="392">
        <f t="shared" si="0"/>
        <v>0</v>
      </c>
      <c r="BE40" s="425">
        <f t="shared" si="1"/>
        <v>0</v>
      </c>
      <c r="BF40" s="425">
        <f t="shared" si="16"/>
        <v>0</v>
      </c>
      <c r="BG40" s="425">
        <f t="shared" si="16"/>
        <v>0</v>
      </c>
      <c r="BH40" s="425">
        <f t="shared" si="16"/>
        <v>0</v>
      </c>
      <c r="BI40" s="425">
        <f t="shared" si="16"/>
        <v>0</v>
      </c>
      <c r="BJ40" s="425">
        <f t="shared" si="16"/>
        <v>0</v>
      </c>
      <c r="BK40" s="425">
        <f t="shared" si="16"/>
        <v>0</v>
      </c>
      <c r="BL40" s="425">
        <f t="shared" si="16"/>
        <v>0</v>
      </c>
      <c r="BM40" s="425">
        <f t="shared" si="17"/>
        <v>0</v>
      </c>
      <c r="BN40" s="425">
        <f t="shared" si="17"/>
        <v>0</v>
      </c>
      <c r="BO40" s="425">
        <f t="shared" si="17"/>
        <v>0</v>
      </c>
      <c r="BP40" s="425">
        <f t="shared" si="18"/>
        <v>0</v>
      </c>
      <c r="BQ40" s="425">
        <f t="shared" si="18"/>
        <v>0</v>
      </c>
      <c r="BR40" s="425">
        <f t="shared" si="18"/>
        <v>0</v>
      </c>
      <c r="BS40" s="425">
        <f t="shared" si="19"/>
        <v>0</v>
      </c>
      <c r="BT40" s="426">
        <f t="shared" si="19"/>
        <v>0</v>
      </c>
    </row>
    <row r="41" spans="2:72" hidden="1" x14ac:dyDescent="0.25">
      <c r="B41" s="145"/>
      <c r="C41" s="539">
        <f t="shared" si="14"/>
        <v>39508</v>
      </c>
      <c r="D41" s="533"/>
      <c r="E41" s="534">
        <v>0</v>
      </c>
      <c r="F41" s="534">
        <v>0</v>
      </c>
      <c r="G41" s="534">
        <v>0</v>
      </c>
      <c r="H41" s="540">
        <v>0</v>
      </c>
      <c r="I41" s="536">
        <f t="shared" si="6"/>
        <v>0</v>
      </c>
      <c r="J41" s="533"/>
      <c r="K41" s="534">
        <v>0</v>
      </c>
      <c r="L41" s="534">
        <v>0</v>
      </c>
      <c r="M41" s="534">
        <v>0</v>
      </c>
      <c r="N41" s="534">
        <v>0</v>
      </c>
      <c r="O41" s="534">
        <v>0</v>
      </c>
      <c r="P41" s="534">
        <v>0</v>
      </c>
      <c r="Q41" s="534">
        <v>0</v>
      </c>
      <c r="R41" s="534">
        <v>0</v>
      </c>
      <c r="S41" s="536">
        <f t="shared" si="7"/>
        <v>0</v>
      </c>
      <c r="T41" s="533"/>
      <c r="U41" s="534">
        <v>0</v>
      </c>
      <c r="V41" s="534">
        <v>0</v>
      </c>
      <c r="W41" s="534">
        <v>0</v>
      </c>
      <c r="X41" s="534">
        <v>0</v>
      </c>
      <c r="Y41" s="534">
        <v>0</v>
      </c>
      <c r="Z41" s="534">
        <v>0</v>
      </c>
      <c r="AA41" s="534">
        <v>0</v>
      </c>
      <c r="AB41" s="534">
        <v>0</v>
      </c>
      <c r="AC41" s="534">
        <v>0</v>
      </c>
      <c r="AD41" s="534">
        <v>0</v>
      </c>
      <c r="AE41" s="536">
        <f t="shared" si="8"/>
        <v>0</v>
      </c>
      <c r="AF41" s="533"/>
      <c r="AG41" s="534">
        <v>0</v>
      </c>
      <c r="AH41" s="534">
        <v>0</v>
      </c>
      <c r="AI41" s="534">
        <v>0</v>
      </c>
      <c r="AJ41" s="534">
        <v>0</v>
      </c>
      <c r="AK41" s="536">
        <f t="shared" si="9"/>
        <v>0</v>
      </c>
      <c r="AL41" s="533"/>
      <c r="AM41" s="534">
        <v>0</v>
      </c>
      <c r="AN41" s="534">
        <v>0</v>
      </c>
      <c r="AO41" s="534">
        <v>0</v>
      </c>
      <c r="AP41" s="537">
        <v>0</v>
      </c>
      <c r="AQ41" s="535">
        <v>0</v>
      </c>
      <c r="AR41" s="534">
        <v>0</v>
      </c>
      <c r="AS41" s="534">
        <v>0</v>
      </c>
      <c r="AT41" s="534">
        <v>0</v>
      </c>
      <c r="AU41" s="536">
        <f t="shared" si="10"/>
        <v>0</v>
      </c>
      <c r="AV41" s="533"/>
      <c r="AW41" s="538">
        <f t="shared" si="11"/>
        <v>0</v>
      </c>
      <c r="AX41" s="538">
        <f t="shared" si="12"/>
        <v>0</v>
      </c>
      <c r="AY41" s="533"/>
      <c r="AZ41" s="534">
        <f t="shared" si="13"/>
        <v>0</v>
      </c>
      <c r="BA41" s="534">
        <v>0</v>
      </c>
      <c r="BD41" s="392">
        <f t="shared" si="0"/>
        <v>0</v>
      </c>
      <c r="BE41" s="425">
        <f t="shared" si="1"/>
        <v>0</v>
      </c>
      <c r="BF41" s="425">
        <f t="shared" si="16"/>
        <v>0</v>
      </c>
      <c r="BG41" s="425">
        <f t="shared" si="16"/>
        <v>0</v>
      </c>
      <c r="BH41" s="425">
        <f t="shared" si="16"/>
        <v>0</v>
      </c>
      <c r="BI41" s="425">
        <f t="shared" si="16"/>
        <v>0</v>
      </c>
      <c r="BJ41" s="425">
        <f t="shared" si="16"/>
        <v>0</v>
      </c>
      <c r="BK41" s="425">
        <f t="shared" si="16"/>
        <v>0</v>
      </c>
      <c r="BL41" s="425">
        <f t="shared" si="16"/>
        <v>0</v>
      </c>
      <c r="BM41" s="425">
        <f t="shared" si="17"/>
        <v>0</v>
      </c>
      <c r="BN41" s="425">
        <f t="shared" si="17"/>
        <v>0</v>
      </c>
      <c r="BO41" s="425">
        <f t="shared" si="17"/>
        <v>0</v>
      </c>
      <c r="BP41" s="425">
        <f t="shared" si="18"/>
        <v>0</v>
      </c>
      <c r="BQ41" s="425">
        <f t="shared" si="18"/>
        <v>0</v>
      </c>
      <c r="BR41" s="425">
        <f t="shared" si="18"/>
        <v>0</v>
      </c>
      <c r="BS41" s="425">
        <f t="shared" si="19"/>
        <v>0</v>
      </c>
      <c r="BT41" s="426">
        <f t="shared" si="19"/>
        <v>0</v>
      </c>
    </row>
    <row r="42" spans="2:72" hidden="1" x14ac:dyDescent="0.25">
      <c r="B42" s="145"/>
      <c r="C42" s="539">
        <f t="shared" si="14"/>
        <v>39539</v>
      </c>
      <c r="D42" s="533"/>
      <c r="E42" s="534">
        <v>0</v>
      </c>
      <c r="F42" s="534">
        <v>0</v>
      </c>
      <c r="G42" s="534">
        <v>0</v>
      </c>
      <c r="H42" s="540">
        <v>0</v>
      </c>
      <c r="I42" s="536">
        <f t="shared" si="6"/>
        <v>0</v>
      </c>
      <c r="J42" s="533"/>
      <c r="K42" s="534">
        <v>0</v>
      </c>
      <c r="L42" s="534">
        <v>0</v>
      </c>
      <c r="M42" s="534">
        <v>0</v>
      </c>
      <c r="N42" s="534">
        <v>0</v>
      </c>
      <c r="O42" s="534">
        <v>0</v>
      </c>
      <c r="P42" s="534">
        <v>0</v>
      </c>
      <c r="Q42" s="534">
        <v>0</v>
      </c>
      <c r="R42" s="534">
        <v>0</v>
      </c>
      <c r="S42" s="536">
        <f t="shared" si="7"/>
        <v>0</v>
      </c>
      <c r="T42" s="533"/>
      <c r="U42" s="534">
        <v>0</v>
      </c>
      <c r="V42" s="534">
        <v>0</v>
      </c>
      <c r="W42" s="534">
        <v>0</v>
      </c>
      <c r="X42" s="534">
        <v>0</v>
      </c>
      <c r="Y42" s="534">
        <v>0</v>
      </c>
      <c r="Z42" s="534">
        <v>0</v>
      </c>
      <c r="AA42" s="534">
        <v>0</v>
      </c>
      <c r="AB42" s="534">
        <v>0</v>
      </c>
      <c r="AC42" s="534">
        <v>0</v>
      </c>
      <c r="AD42" s="534">
        <v>0</v>
      </c>
      <c r="AE42" s="536">
        <f t="shared" si="8"/>
        <v>0</v>
      </c>
      <c r="AF42" s="533"/>
      <c r="AG42" s="534">
        <v>0</v>
      </c>
      <c r="AH42" s="534">
        <v>0</v>
      </c>
      <c r="AI42" s="534">
        <v>0</v>
      </c>
      <c r="AJ42" s="534">
        <v>0</v>
      </c>
      <c r="AK42" s="536">
        <f t="shared" si="9"/>
        <v>0</v>
      </c>
      <c r="AL42" s="533"/>
      <c r="AM42" s="534">
        <v>0</v>
      </c>
      <c r="AN42" s="534">
        <v>0</v>
      </c>
      <c r="AO42" s="534">
        <v>0</v>
      </c>
      <c r="AP42" s="537">
        <v>0</v>
      </c>
      <c r="AQ42" s="535">
        <v>0</v>
      </c>
      <c r="AR42" s="534">
        <v>0</v>
      </c>
      <c r="AS42" s="534">
        <v>0</v>
      </c>
      <c r="AT42" s="534">
        <v>0</v>
      </c>
      <c r="AU42" s="536">
        <f t="shared" si="10"/>
        <v>0</v>
      </c>
      <c r="AV42" s="533"/>
      <c r="AW42" s="538">
        <f t="shared" si="11"/>
        <v>0</v>
      </c>
      <c r="AX42" s="538">
        <f t="shared" si="12"/>
        <v>0</v>
      </c>
      <c r="AY42" s="533"/>
      <c r="AZ42" s="534">
        <f t="shared" si="13"/>
        <v>0</v>
      </c>
      <c r="BA42" s="534">
        <v>0</v>
      </c>
      <c r="BD42" s="392">
        <f t="shared" si="0"/>
        <v>0</v>
      </c>
      <c r="BE42" s="425">
        <f t="shared" si="1"/>
        <v>0</v>
      </c>
      <c r="BF42" s="425">
        <f t="shared" si="16"/>
        <v>0</v>
      </c>
      <c r="BG42" s="425">
        <f t="shared" si="16"/>
        <v>0</v>
      </c>
      <c r="BH42" s="425">
        <f t="shared" si="16"/>
        <v>0</v>
      </c>
      <c r="BI42" s="425">
        <f t="shared" si="16"/>
        <v>0</v>
      </c>
      <c r="BJ42" s="425">
        <f t="shared" si="16"/>
        <v>0</v>
      </c>
      <c r="BK42" s="425">
        <f t="shared" si="16"/>
        <v>0</v>
      </c>
      <c r="BL42" s="425">
        <f t="shared" si="16"/>
        <v>0</v>
      </c>
      <c r="BM42" s="425">
        <f t="shared" si="17"/>
        <v>0</v>
      </c>
      <c r="BN42" s="425">
        <f t="shared" si="17"/>
        <v>0</v>
      </c>
      <c r="BO42" s="425">
        <f t="shared" si="17"/>
        <v>0</v>
      </c>
      <c r="BP42" s="425">
        <f t="shared" si="18"/>
        <v>0</v>
      </c>
      <c r="BQ42" s="425">
        <f t="shared" si="18"/>
        <v>0</v>
      </c>
      <c r="BR42" s="425">
        <f t="shared" si="18"/>
        <v>0</v>
      </c>
      <c r="BS42" s="425">
        <f t="shared" si="19"/>
        <v>0</v>
      </c>
      <c r="BT42" s="426">
        <f t="shared" si="19"/>
        <v>0</v>
      </c>
    </row>
    <row r="43" spans="2:72" hidden="1" x14ac:dyDescent="0.25">
      <c r="B43" s="145"/>
      <c r="C43" s="539">
        <f t="shared" si="14"/>
        <v>39569</v>
      </c>
      <c r="D43" s="533"/>
      <c r="E43" s="534">
        <v>0</v>
      </c>
      <c r="F43" s="534">
        <v>0</v>
      </c>
      <c r="G43" s="534">
        <v>0</v>
      </c>
      <c r="H43" s="540">
        <v>0</v>
      </c>
      <c r="I43" s="536">
        <f t="shared" si="6"/>
        <v>0</v>
      </c>
      <c r="J43" s="533"/>
      <c r="K43" s="534">
        <v>0</v>
      </c>
      <c r="L43" s="534">
        <v>0</v>
      </c>
      <c r="M43" s="534">
        <v>0</v>
      </c>
      <c r="N43" s="534">
        <v>0</v>
      </c>
      <c r="O43" s="534">
        <v>0</v>
      </c>
      <c r="P43" s="534">
        <v>0</v>
      </c>
      <c r="Q43" s="534">
        <v>0</v>
      </c>
      <c r="R43" s="534">
        <v>0</v>
      </c>
      <c r="S43" s="536">
        <f t="shared" si="7"/>
        <v>0</v>
      </c>
      <c r="T43" s="533"/>
      <c r="U43" s="534">
        <v>0</v>
      </c>
      <c r="V43" s="534">
        <v>0</v>
      </c>
      <c r="W43" s="534">
        <v>0</v>
      </c>
      <c r="X43" s="534">
        <v>0</v>
      </c>
      <c r="Y43" s="534">
        <v>0</v>
      </c>
      <c r="Z43" s="534">
        <v>0</v>
      </c>
      <c r="AA43" s="534">
        <v>0</v>
      </c>
      <c r="AB43" s="534">
        <v>0</v>
      </c>
      <c r="AC43" s="534">
        <v>0</v>
      </c>
      <c r="AD43" s="534">
        <v>0</v>
      </c>
      <c r="AE43" s="536">
        <f t="shared" si="8"/>
        <v>0</v>
      </c>
      <c r="AF43" s="533"/>
      <c r="AG43" s="534">
        <v>0</v>
      </c>
      <c r="AH43" s="534">
        <v>0</v>
      </c>
      <c r="AI43" s="534">
        <v>0</v>
      </c>
      <c r="AJ43" s="534">
        <v>0</v>
      </c>
      <c r="AK43" s="536">
        <f t="shared" si="9"/>
        <v>0</v>
      </c>
      <c r="AL43" s="533"/>
      <c r="AM43" s="534">
        <v>0</v>
      </c>
      <c r="AN43" s="534">
        <v>0</v>
      </c>
      <c r="AO43" s="534">
        <v>0</v>
      </c>
      <c r="AP43" s="537">
        <v>0</v>
      </c>
      <c r="AQ43" s="535">
        <v>0</v>
      </c>
      <c r="AR43" s="534">
        <v>0</v>
      </c>
      <c r="AS43" s="534">
        <v>0</v>
      </c>
      <c r="AT43" s="534">
        <v>0</v>
      </c>
      <c r="AU43" s="536">
        <f t="shared" si="10"/>
        <v>0</v>
      </c>
      <c r="AV43" s="533"/>
      <c r="AW43" s="538">
        <f t="shared" si="11"/>
        <v>0</v>
      </c>
      <c r="AX43" s="538">
        <f t="shared" si="12"/>
        <v>0</v>
      </c>
      <c r="AY43" s="533"/>
      <c r="AZ43" s="534">
        <f t="shared" si="13"/>
        <v>0</v>
      </c>
      <c r="BA43" s="534">
        <v>0</v>
      </c>
      <c r="BD43" s="392">
        <f t="shared" si="0"/>
        <v>0</v>
      </c>
      <c r="BE43" s="425">
        <f t="shared" si="1"/>
        <v>0</v>
      </c>
      <c r="BF43" s="425">
        <f t="shared" si="16"/>
        <v>0</v>
      </c>
      <c r="BG43" s="425">
        <f t="shared" si="16"/>
        <v>0</v>
      </c>
      <c r="BH43" s="425">
        <f t="shared" si="16"/>
        <v>0</v>
      </c>
      <c r="BI43" s="425">
        <f t="shared" si="16"/>
        <v>0</v>
      </c>
      <c r="BJ43" s="425">
        <f t="shared" si="16"/>
        <v>0</v>
      </c>
      <c r="BK43" s="425">
        <f t="shared" si="16"/>
        <v>0</v>
      </c>
      <c r="BL43" s="425">
        <f t="shared" si="16"/>
        <v>0</v>
      </c>
      <c r="BM43" s="425">
        <f t="shared" si="17"/>
        <v>0</v>
      </c>
      <c r="BN43" s="425">
        <f t="shared" si="17"/>
        <v>0</v>
      </c>
      <c r="BO43" s="425">
        <f t="shared" si="17"/>
        <v>0</v>
      </c>
      <c r="BP43" s="425">
        <f t="shared" si="18"/>
        <v>0</v>
      </c>
      <c r="BQ43" s="425">
        <f t="shared" si="18"/>
        <v>0</v>
      </c>
      <c r="BR43" s="425">
        <f t="shared" si="18"/>
        <v>0</v>
      </c>
      <c r="BS43" s="425">
        <f t="shared" si="19"/>
        <v>0</v>
      </c>
      <c r="BT43" s="426">
        <f t="shared" si="19"/>
        <v>0</v>
      </c>
    </row>
    <row r="44" spans="2:72" hidden="1" x14ac:dyDescent="0.25">
      <c r="B44" s="145"/>
      <c r="C44" s="539">
        <f t="shared" si="14"/>
        <v>39600</v>
      </c>
      <c r="D44" s="533"/>
      <c r="E44" s="534">
        <v>0</v>
      </c>
      <c r="F44" s="534">
        <v>0</v>
      </c>
      <c r="G44" s="534">
        <v>0</v>
      </c>
      <c r="H44" s="540">
        <v>0</v>
      </c>
      <c r="I44" s="536">
        <f t="shared" si="6"/>
        <v>0</v>
      </c>
      <c r="J44" s="533"/>
      <c r="K44" s="534">
        <v>0</v>
      </c>
      <c r="L44" s="534">
        <v>0</v>
      </c>
      <c r="M44" s="534">
        <v>0</v>
      </c>
      <c r="N44" s="534">
        <v>0</v>
      </c>
      <c r="O44" s="534">
        <v>0</v>
      </c>
      <c r="P44" s="534">
        <v>0</v>
      </c>
      <c r="Q44" s="534">
        <v>0</v>
      </c>
      <c r="R44" s="534">
        <v>0</v>
      </c>
      <c r="S44" s="536">
        <f t="shared" si="7"/>
        <v>0</v>
      </c>
      <c r="T44" s="533"/>
      <c r="U44" s="534">
        <v>0</v>
      </c>
      <c r="V44" s="534">
        <v>0</v>
      </c>
      <c r="W44" s="534">
        <v>0</v>
      </c>
      <c r="X44" s="534">
        <v>0</v>
      </c>
      <c r="Y44" s="534">
        <v>0</v>
      </c>
      <c r="Z44" s="534">
        <v>0</v>
      </c>
      <c r="AA44" s="534">
        <v>0</v>
      </c>
      <c r="AB44" s="534">
        <v>0</v>
      </c>
      <c r="AC44" s="534">
        <v>0</v>
      </c>
      <c r="AD44" s="534">
        <v>0</v>
      </c>
      <c r="AE44" s="536">
        <f t="shared" si="8"/>
        <v>0</v>
      </c>
      <c r="AF44" s="533"/>
      <c r="AG44" s="534">
        <v>0</v>
      </c>
      <c r="AH44" s="534">
        <v>0</v>
      </c>
      <c r="AI44" s="534">
        <v>0</v>
      </c>
      <c r="AJ44" s="534">
        <v>0</v>
      </c>
      <c r="AK44" s="536">
        <f t="shared" si="9"/>
        <v>0</v>
      </c>
      <c r="AL44" s="533"/>
      <c r="AM44" s="534">
        <v>0</v>
      </c>
      <c r="AN44" s="534">
        <v>0</v>
      </c>
      <c r="AO44" s="534">
        <v>0</v>
      </c>
      <c r="AP44" s="537">
        <v>0</v>
      </c>
      <c r="AQ44" s="535">
        <v>0</v>
      </c>
      <c r="AR44" s="534">
        <v>0</v>
      </c>
      <c r="AS44" s="534">
        <v>0</v>
      </c>
      <c r="AT44" s="534">
        <v>0</v>
      </c>
      <c r="AU44" s="536">
        <f t="shared" si="10"/>
        <v>0</v>
      </c>
      <c r="AV44" s="533"/>
      <c r="AW44" s="538">
        <f t="shared" si="11"/>
        <v>0</v>
      </c>
      <c r="AX44" s="538">
        <f t="shared" si="12"/>
        <v>0</v>
      </c>
      <c r="AY44" s="533"/>
      <c r="AZ44" s="534">
        <f t="shared" si="13"/>
        <v>0</v>
      </c>
      <c r="BA44" s="534">
        <v>0</v>
      </c>
      <c r="BD44" s="392">
        <f t="shared" si="0"/>
        <v>0</v>
      </c>
      <c r="BE44" s="425">
        <f t="shared" si="1"/>
        <v>0</v>
      </c>
      <c r="BF44" s="425">
        <f t="shared" si="16"/>
        <v>0</v>
      </c>
      <c r="BG44" s="425">
        <f t="shared" si="16"/>
        <v>0</v>
      </c>
      <c r="BH44" s="425">
        <f t="shared" si="16"/>
        <v>0</v>
      </c>
      <c r="BI44" s="425">
        <f t="shared" si="16"/>
        <v>0</v>
      </c>
      <c r="BJ44" s="425">
        <f t="shared" si="16"/>
        <v>0</v>
      </c>
      <c r="BK44" s="425">
        <f t="shared" si="16"/>
        <v>0</v>
      </c>
      <c r="BL44" s="425">
        <f t="shared" si="16"/>
        <v>0</v>
      </c>
      <c r="BM44" s="425">
        <f t="shared" si="17"/>
        <v>0</v>
      </c>
      <c r="BN44" s="425">
        <f t="shared" si="17"/>
        <v>0</v>
      </c>
      <c r="BO44" s="425">
        <f t="shared" si="17"/>
        <v>0</v>
      </c>
      <c r="BP44" s="425">
        <f t="shared" si="18"/>
        <v>0</v>
      </c>
      <c r="BQ44" s="425">
        <f t="shared" si="18"/>
        <v>0</v>
      </c>
      <c r="BR44" s="425">
        <f t="shared" si="18"/>
        <v>0</v>
      </c>
      <c r="BS44" s="425">
        <f t="shared" si="19"/>
        <v>0</v>
      </c>
      <c r="BT44" s="426">
        <f t="shared" si="19"/>
        <v>0</v>
      </c>
    </row>
    <row r="45" spans="2:72" hidden="1" x14ac:dyDescent="0.25">
      <c r="B45" s="145"/>
      <c r="C45" s="539">
        <f t="shared" si="14"/>
        <v>39630</v>
      </c>
      <c r="D45" s="533"/>
      <c r="E45" s="534">
        <v>0</v>
      </c>
      <c r="F45" s="534">
        <v>0</v>
      </c>
      <c r="G45" s="534">
        <v>0</v>
      </c>
      <c r="H45" s="540">
        <v>0</v>
      </c>
      <c r="I45" s="536">
        <f t="shared" si="6"/>
        <v>0</v>
      </c>
      <c r="J45" s="533"/>
      <c r="K45" s="534">
        <v>0</v>
      </c>
      <c r="L45" s="534">
        <v>0</v>
      </c>
      <c r="M45" s="534">
        <v>0</v>
      </c>
      <c r="N45" s="534">
        <v>0</v>
      </c>
      <c r="O45" s="534">
        <v>0</v>
      </c>
      <c r="P45" s="534">
        <v>0</v>
      </c>
      <c r="Q45" s="534">
        <v>0</v>
      </c>
      <c r="R45" s="534">
        <v>0</v>
      </c>
      <c r="S45" s="536">
        <f t="shared" si="7"/>
        <v>0</v>
      </c>
      <c r="T45" s="533"/>
      <c r="U45" s="534">
        <v>0</v>
      </c>
      <c r="V45" s="534">
        <v>0</v>
      </c>
      <c r="W45" s="534">
        <v>0</v>
      </c>
      <c r="X45" s="534">
        <v>0</v>
      </c>
      <c r="Y45" s="534">
        <v>0</v>
      </c>
      <c r="Z45" s="534">
        <v>0</v>
      </c>
      <c r="AA45" s="534">
        <v>0</v>
      </c>
      <c r="AB45" s="534">
        <v>0</v>
      </c>
      <c r="AC45" s="534">
        <v>0</v>
      </c>
      <c r="AD45" s="534">
        <v>0</v>
      </c>
      <c r="AE45" s="536">
        <f t="shared" si="8"/>
        <v>0</v>
      </c>
      <c r="AF45" s="533"/>
      <c r="AG45" s="534">
        <v>0</v>
      </c>
      <c r="AH45" s="534">
        <v>0</v>
      </c>
      <c r="AI45" s="534">
        <v>0</v>
      </c>
      <c r="AJ45" s="534">
        <v>0</v>
      </c>
      <c r="AK45" s="536">
        <f t="shared" si="9"/>
        <v>0</v>
      </c>
      <c r="AL45" s="533"/>
      <c r="AM45" s="534">
        <v>0</v>
      </c>
      <c r="AN45" s="534">
        <v>0</v>
      </c>
      <c r="AO45" s="534">
        <v>0</v>
      </c>
      <c r="AP45" s="537">
        <v>0</v>
      </c>
      <c r="AQ45" s="535">
        <v>0</v>
      </c>
      <c r="AR45" s="534">
        <v>0</v>
      </c>
      <c r="AS45" s="534">
        <v>0</v>
      </c>
      <c r="AT45" s="534">
        <v>0</v>
      </c>
      <c r="AU45" s="536">
        <f t="shared" si="10"/>
        <v>0</v>
      </c>
      <c r="AV45" s="533"/>
      <c r="AW45" s="538">
        <f t="shared" si="11"/>
        <v>0</v>
      </c>
      <c r="AX45" s="538">
        <f t="shared" si="12"/>
        <v>0</v>
      </c>
      <c r="AY45" s="533"/>
      <c r="AZ45" s="534">
        <f t="shared" si="13"/>
        <v>0</v>
      </c>
      <c r="BA45" s="534">
        <v>0</v>
      </c>
      <c r="BD45" s="392">
        <f t="shared" si="0"/>
        <v>0</v>
      </c>
      <c r="BE45" s="425">
        <f t="shared" si="1"/>
        <v>0</v>
      </c>
      <c r="BF45" s="425">
        <f t="shared" si="16"/>
        <v>0</v>
      </c>
      <c r="BG45" s="425">
        <f t="shared" si="16"/>
        <v>0</v>
      </c>
      <c r="BH45" s="425">
        <f t="shared" si="16"/>
        <v>0</v>
      </c>
      <c r="BI45" s="425">
        <f t="shared" si="16"/>
        <v>0</v>
      </c>
      <c r="BJ45" s="425">
        <f t="shared" si="16"/>
        <v>0</v>
      </c>
      <c r="BK45" s="425">
        <f t="shared" si="16"/>
        <v>0</v>
      </c>
      <c r="BL45" s="425">
        <f t="shared" si="16"/>
        <v>0</v>
      </c>
      <c r="BM45" s="425">
        <f t="shared" si="17"/>
        <v>0</v>
      </c>
      <c r="BN45" s="425">
        <f t="shared" si="17"/>
        <v>0</v>
      </c>
      <c r="BO45" s="425">
        <f t="shared" si="17"/>
        <v>0</v>
      </c>
      <c r="BP45" s="425">
        <f t="shared" si="18"/>
        <v>0</v>
      </c>
      <c r="BQ45" s="425">
        <f t="shared" si="18"/>
        <v>0</v>
      </c>
      <c r="BR45" s="425">
        <f t="shared" si="18"/>
        <v>0</v>
      </c>
      <c r="BS45" s="425">
        <f t="shared" si="19"/>
        <v>0</v>
      </c>
      <c r="BT45" s="426">
        <f t="shared" si="19"/>
        <v>0</v>
      </c>
    </row>
    <row r="46" spans="2:72" hidden="1" x14ac:dyDescent="0.25">
      <c r="B46" s="145"/>
      <c r="C46" s="539">
        <f t="shared" si="14"/>
        <v>39661</v>
      </c>
      <c r="D46" s="533"/>
      <c r="E46" s="534">
        <v>0</v>
      </c>
      <c r="F46" s="534">
        <v>0</v>
      </c>
      <c r="G46" s="534">
        <v>0</v>
      </c>
      <c r="H46" s="540">
        <v>0</v>
      </c>
      <c r="I46" s="536">
        <f t="shared" si="6"/>
        <v>0</v>
      </c>
      <c r="J46" s="533"/>
      <c r="K46" s="534">
        <v>0</v>
      </c>
      <c r="L46" s="534">
        <v>0</v>
      </c>
      <c r="M46" s="534">
        <v>0</v>
      </c>
      <c r="N46" s="534">
        <v>0</v>
      </c>
      <c r="O46" s="534">
        <v>0</v>
      </c>
      <c r="P46" s="534">
        <v>0</v>
      </c>
      <c r="Q46" s="534">
        <v>0</v>
      </c>
      <c r="R46" s="534">
        <v>0</v>
      </c>
      <c r="S46" s="536">
        <f t="shared" si="7"/>
        <v>0</v>
      </c>
      <c r="T46" s="533"/>
      <c r="U46" s="534">
        <v>0</v>
      </c>
      <c r="V46" s="534">
        <v>0</v>
      </c>
      <c r="W46" s="534">
        <v>0</v>
      </c>
      <c r="X46" s="534">
        <v>0</v>
      </c>
      <c r="Y46" s="534">
        <v>0</v>
      </c>
      <c r="Z46" s="534">
        <v>0</v>
      </c>
      <c r="AA46" s="534">
        <v>0</v>
      </c>
      <c r="AB46" s="534">
        <v>0</v>
      </c>
      <c r="AC46" s="534">
        <v>0</v>
      </c>
      <c r="AD46" s="534">
        <v>0</v>
      </c>
      <c r="AE46" s="536">
        <f t="shared" si="8"/>
        <v>0</v>
      </c>
      <c r="AF46" s="533"/>
      <c r="AG46" s="534">
        <v>0</v>
      </c>
      <c r="AH46" s="534">
        <v>0</v>
      </c>
      <c r="AI46" s="534">
        <v>0</v>
      </c>
      <c r="AJ46" s="534">
        <v>0</v>
      </c>
      <c r="AK46" s="536">
        <f t="shared" si="9"/>
        <v>0</v>
      </c>
      <c r="AL46" s="533"/>
      <c r="AM46" s="534">
        <v>0</v>
      </c>
      <c r="AN46" s="534">
        <v>0</v>
      </c>
      <c r="AO46" s="534">
        <v>0</v>
      </c>
      <c r="AP46" s="537">
        <v>0</v>
      </c>
      <c r="AQ46" s="535">
        <v>0</v>
      </c>
      <c r="AR46" s="534">
        <v>0</v>
      </c>
      <c r="AS46" s="534">
        <v>0</v>
      </c>
      <c r="AT46" s="534">
        <v>0</v>
      </c>
      <c r="AU46" s="536">
        <f t="shared" si="10"/>
        <v>0</v>
      </c>
      <c r="AV46" s="533"/>
      <c r="AW46" s="538">
        <f t="shared" si="11"/>
        <v>0</v>
      </c>
      <c r="AX46" s="538">
        <f t="shared" si="12"/>
        <v>0</v>
      </c>
      <c r="AY46" s="533"/>
      <c r="AZ46" s="534">
        <f t="shared" si="13"/>
        <v>0</v>
      </c>
      <c r="BA46" s="534">
        <v>0</v>
      </c>
      <c r="BD46" s="392">
        <f t="shared" si="0"/>
        <v>0</v>
      </c>
      <c r="BE46" s="425">
        <f t="shared" si="1"/>
        <v>0</v>
      </c>
      <c r="BF46" s="425">
        <f t="shared" si="16"/>
        <v>0</v>
      </c>
      <c r="BG46" s="425">
        <f t="shared" si="16"/>
        <v>0</v>
      </c>
      <c r="BH46" s="425">
        <f t="shared" si="16"/>
        <v>0</v>
      </c>
      <c r="BI46" s="425">
        <f t="shared" si="16"/>
        <v>0</v>
      </c>
      <c r="BJ46" s="425">
        <f t="shared" si="16"/>
        <v>0</v>
      </c>
      <c r="BK46" s="425">
        <f t="shared" si="16"/>
        <v>0</v>
      </c>
      <c r="BL46" s="425">
        <f t="shared" si="16"/>
        <v>0</v>
      </c>
      <c r="BM46" s="425">
        <f t="shared" si="17"/>
        <v>0</v>
      </c>
      <c r="BN46" s="425">
        <f t="shared" si="17"/>
        <v>0</v>
      </c>
      <c r="BO46" s="425">
        <f t="shared" si="17"/>
        <v>0</v>
      </c>
      <c r="BP46" s="425">
        <f t="shared" si="18"/>
        <v>0</v>
      </c>
      <c r="BQ46" s="425">
        <f t="shared" si="18"/>
        <v>0</v>
      </c>
      <c r="BR46" s="425">
        <f t="shared" si="18"/>
        <v>0</v>
      </c>
      <c r="BS46" s="425">
        <f t="shared" si="19"/>
        <v>0</v>
      </c>
      <c r="BT46" s="426">
        <f t="shared" si="19"/>
        <v>0</v>
      </c>
    </row>
    <row r="47" spans="2:72" hidden="1" x14ac:dyDescent="0.25">
      <c r="B47" s="145"/>
      <c r="C47" s="539">
        <f t="shared" si="14"/>
        <v>39692</v>
      </c>
      <c r="D47" s="533"/>
      <c r="E47" s="534">
        <v>0</v>
      </c>
      <c r="F47" s="534">
        <v>0</v>
      </c>
      <c r="G47" s="534">
        <v>0</v>
      </c>
      <c r="H47" s="540">
        <v>0</v>
      </c>
      <c r="I47" s="536">
        <f t="shared" si="6"/>
        <v>0</v>
      </c>
      <c r="J47" s="533"/>
      <c r="K47" s="534">
        <v>0</v>
      </c>
      <c r="L47" s="534">
        <v>0</v>
      </c>
      <c r="M47" s="534">
        <v>0</v>
      </c>
      <c r="N47" s="534">
        <v>0</v>
      </c>
      <c r="O47" s="534">
        <v>0</v>
      </c>
      <c r="P47" s="534">
        <v>0</v>
      </c>
      <c r="Q47" s="534">
        <v>0</v>
      </c>
      <c r="R47" s="534">
        <v>0</v>
      </c>
      <c r="S47" s="536">
        <f t="shared" si="7"/>
        <v>0</v>
      </c>
      <c r="T47" s="533"/>
      <c r="U47" s="534">
        <v>0</v>
      </c>
      <c r="V47" s="534">
        <v>0</v>
      </c>
      <c r="W47" s="534">
        <v>0</v>
      </c>
      <c r="X47" s="534">
        <v>0</v>
      </c>
      <c r="Y47" s="534">
        <v>0</v>
      </c>
      <c r="Z47" s="534">
        <v>0</v>
      </c>
      <c r="AA47" s="534">
        <v>0</v>
      </c>
      <c r="AB47" s="534">
        <v>0</v>
      </c>
      <c r="AC47" s="534">
        <v>0</v>
      </c>
      <c r="AD47" s="534">
        <v>0</v>
      </c>
      <c r="AE47" s="536">
        <f t="shared" si="8"/>
        <v>0</v>
      </c>
      <c r="AF47" s="533"/>
      <c r="AG47" s="534">
        <v>0</v>
      </c>
      <c r="AH47" s="534">
        <v>0</v>
      </c>
      <c r="AI47" s="534">
        <v>0</v>
      </c>
      <c r="AJ47" s="534">
        <v>0</v>
      </c>
      <c r="AK47" s="536">
        <f t="shared" si="9"/>
        <v>0</v>
      </c>
      <c r="AL47" s="533"/>
      <c r="AM47" s="534">
        <v>0</v>
      </c>
      <c r="AN47" s="534">
        <v>0</v>
      </c>
      <c r="AO47" s="534">
        <v>0</v>
      </c>
      <c r="AP47" s="537">
        <v>0</v>
      </c>
      <c r="AQ47" s="535">
        <v>0</v>
      </c>
      <c r="AR47" s="534">
        <v>0</v>
      </c>
      <c r="AS47" s="534">
        <v>0</v>
      </c>
      <c r="AT47" s="534">
        <v>0</v>
      </c>
      <c r="AU47" s="536">
        <f t="shared" si="10"/>
        <v>0</v>
      </c>
      <c r="AV47" s="533"/>
      <c r="AW47" s="538">
        <f t="shared" si="11"/>
        <v>0</v>
      </c>
      <c r="AX47" s="538">
        <f t="shared" si="12"/>
        <v>0</v>
      </c>
      <c r="AY47" s="533"/>
      <c r="AZ47" s="534">
        <f t="shared" si="13"/>
        <v>0</v>
      </c>
      <c r="BA47" s="534">
        <v>0</v>
      </c>
      <c r="BD47" s="392">
        <f t="shared" si="0"/>
        <v>0</v>
      </c>
      <c r="BE47" s="425">
        <f t="shared" si="1"/>
        <v>0</v>
      </c>
      <c r="BF47" s="425">
        <f t="shared" si="16"/>
        <v>0</v>
      </c>
      <c r="BG47" s="425">
        <f t="shared" si="16"/>
        <v>0</v>
      </c>
      <c r="BH47" s="425">
        <f t="shared" si="16"/>
        <v>0</v>
      </c>
      <c r="BI47" s="425">
        <f t="shared" si="16"/>
        <v>0</v>
      </c>
      <c r="BJ47" s="425">
        <f t="shared" si="16"/>
        <v>0</v>
      </c>
      <c r="BK47" s="425">
        <f t="shared" si="16"/>
        <v>0</v>
      </c>
      <c r="BL47" s="425">
        <f t="shared" si="16"/>
        <v>0</v>
      </c>
      <c r="BM47" s="425">
        <f t="shared" si="17"/>
        <v>0</v>
      </c>
      <c r="BN47" s="425">
        <f t="shared" si="17"/>
        <v>0</v>
      </c>
      <c r="BO47" s="425">
        <f t="shared" si="17"/>
        <v>0</v>
      </c>
      <c r="BP47" s="425">
        <f t="shared" si="18"/>
        <v>0</v>
      </c>
      <c r="BQ47" s="425">
        <f t="shared" si="18"/>
        <v>0</v>
      </c>
      <c r="BR47" s="425">
        <f t="shared" si="18"/>
        <v>0</v>
      </c>
      <c r="BS47" s="425">
        <f t="shared" si="19"/>
        <v>0</v>
      </c>
      <c r="BT47" s="426">
        <f t="shared" si="19"/>
        <v>0</v>
      </c>
    </row>
    <row r="48" spans="2:72" hidden="1" x14ac:dyDescent="0.25">
      <c r="B48" s="145"/>
      <c r="C48" s="539">
        <f t="shared" si="14"/>
        <v>39722</v>
      </c>
      <c r="D48" s="533"/>
      <c r="E48" s="534">
        <v>0</v>
      </c>
      <c r="F48" s="534">
        <v>0</v>
      </c>
      <c r="G48" s="534">
        <v>0</v>
      </c>
      <c r="H48" s="540">
        <v>0</v>
      </c>
      <c r="I48" s="536">
        <f t="shared" si="6"/>
        <v>0</v>
      </c>
      <c r="J48" s="533"/>
      <c r="K48" s="534">
        <v>0</v>
      </c>
      <c r="L48" s="534">
        <v>0</v>
      </c>
      <c r="M48" s="534">
        <v>0</v>
      </c>
      <c r="N48" s="534">
        <v>0</v>
      </c>
      <c r="O48" s="534">
        <v>0</v>
      </c>
      <c r="P48" s="534">
        <v>0</v>
      </c>
      <c r="Q48" s="534">
        <v>0</v>
      </c>
      <c r="R48" s="534">
        <v>0</v>
      </c>
      <c r="S48" s="536">
        <f t="shared" si="7"/>
        <v>0</v>
      </c>
      <c r="T48" s="533"/>
      <c r="U48" s="534">
        <v>0</v>
      </c>
      <c r="V48" s="534">
        <v>0</v>
      </c>
      <c r="W48" s="534">
        <v>0</v>
      </c>
      <c r="X48" s="534">
        <v>0</v>
      </c>
      <c r="Y48" s="534">
        <v>0</v>
      </c>
      <c r="Z48" s="534">
        <v>0</v>
      </c>
      <c r="AA48" s="534">
        <v>0</v>
      </c>
      <c r="AB48" s="534">
        <v>0</v>
      </c>
      <c r="AC48" s="534">
        <v>0</v>
      </c>
      <c r="AD48" s="534">
        <v>0</v>
      </c>
      <c r="AE48" s="536">
        <f t="shared" si="8"/>
        <v>0</v>
      </c>
      <c r="AF48" s="533"/>
      <c r="AG48" s="534">
        <v>0</v>
      </c>
      <c r="AH48" s="534">
        <v>0</v>
      </c>
      <c r="AI48" s="534">
        <v>0</v>
      </c>
      <c r="AJ48" s="534">
        <v>0</v>
      </c>
      <c r="AK48" s="536">
        <f t="shared" si="9"/>
        <v>0</v>
      </c>
      <c r="AL48" s="533"/>
      <c r="AM48" s="534">
        <v>0</v>
      </c>
      <c r="AN48" s="534">
        <v>0</v>
      </c>
      <c r="AO48" s="534">
        <v>0</v>
      </c>
      <c r="AP48" s="537">
        <v>0</v>
      </c>
      <c r="AQ48" s="535">
        <v>0</v>
      </c>
      <c r="AR48" s="534">
        <v>0</v>
      </c>
      <c r="AS48" s="534">
        <v>0</v>
      </c>
      <c r="AT48" s="534">
        <v>0</v>
      </c>
      <c r="AU48" s="536">
        <f t="shared" si="10"/>
        <v>0</v>
      </c>
      <c r="AV48" s="533"/>
      <c r="AW48" s="538">
        <f t="shared" si="11"/>
        <v>0</v>
      </c>
      <c r="AX48" s="538">
        <f t="shared" si="12"/>
        <v>0</v>
      </c>
      <c r="AY48" s="533"/>
      <c r="AZ48" s="534">
        <f t="shared" si="13"/>
        <v>0</v>
      </c>
      <c r="BA48" s="534">
        <v>0</v>
      </c>
      <c r="BD48" s="392">
        <f t="shared" si="0"/>
        <v>0</v>
      </c>
      <c r="BE48" s="425">
        <f t="shared" si="1"/>
        <v>0</v>
      </c>
      <c r="BF48" s="425">
        <f t="shared" ref="BF48:BL57" si="20">-SUMIF($E$6:$BA$6, BF$6, $E48:$BA48)</f>
        <v>0</v>
      </c>
      <c r="BG48" s="425">
        <f t="shared" si="20"/>
        <v>0</v>
      </c>
      <c r="BH48" s="425">
        <f t="shared" si="20"/>
        <v>0</v>
      </c>
      <c r="BI48" s="425">
        <f t="shared" si="20"/>
        <v>0</v>
      </c>
      <c r="BJ48" s="425">
        <f t="shared" si="20"/>
        <v>0</v>
      </c>
      <c r="BK48" s="425">
        <f t="shared" si="20"/>
        <v>0</v>
      </c>
      <c r="BL48" s="425">
        <f t="shared" si="20"/>
        <v>0</v>
      </c>
      <c r="BM48" s="425">
        <f t="shared" si="17"/>
        <v>0</v>
      </c>
      <c r="BN48" s="425">
        <f t="shared" si="17"/>
        <v>0</v>
      </c>
      <c r="BO48" s="425">
        <f t="shared" si="17"/>
        <v>0</v>
      </c>
      <c r="BP48" s="425">
        <f t="shared" si="18"/>
        <v>0</v>
      </c>
      <c r="BQ48" s="425">
        <f t="shared" si="18"/>
        <v>0</v>
      </c>
      <c r="BR48" s="425">
        <f t="shared" si="18"/>
        <v>0</v>
      </c>
      <c r="BS48" s="425">
        <f t="shared" si="19"/>
        <v>0</v>
      </c>
      <c r="BT48" s="426">
        <f t="shared" si="19"/>
        <v>0</v>
      </c>
    </row>
    <row r="49" spans="2:72" hidden="1" x14ac:dyDescent="0.25">
      <c r="B49" s="145"/>
      <c r="C49" s="539">
        <f t="shared" si="14"/>
        <v>39753</v>
      </c>
      <c r="D49" s="533"/>
      <c r="E49" s="534">
        <v>0</v>
      </c>
      <c r="F49" s="534">
        <v>0</v>
      </c>
      <c r="G49" s="534">
        <v>0</v>
      </c>
      <c r="H49" s="540">
        <v>0</v>
      </c>
      <c r="I49" s="536">
        <f t="shared" si="6"/>
        <v>0</v>
      </c>
      <c r="J49" s="533"/>
      <c r="K49" s="534">
        <v>0</v>
      </c>
      <c r="L49" s="534">
        <v>0</v>
      </c>
      <c r="M49" s="534">
        <v>0</v>
      </c>
      <c r="N49" s="534">
        <v>0</v>
      </c>
      <c r="O49" s="534">
        <v>0</v>
      </c>
      <c r="P49" s="534">
        <v>0</v>
      </c>
      <c r="Q49" s="534">
        <v>0</v>
      </c>
      <c r="R49" s="534">
        <v>0</v>
      </c>
      <c r="S49" s="536">
        <f t="shared" si="7"/>
        <v>0</v>
      </c>
      <c r="T49" s="533"/>
      <c r="U49" s="534">
        <v>0</v>
      </c>
      <c r="V49" s="534">
        <v>0</v>
      </c>
      <c r="W49" s="534">
        <v>0</v>
      </c>
      <c r="X49" s="534">
        <v>0</v>
      </c>
      <c r="Y49" s="534">
        <v>0</v>
      </c>
      <c r="Z49" s="534">
        <v>0</v>
      </c>
      <c r="AA49" s="534">
        <v>0</v>
      </c>
      <c r="AB49" s="534">
        <v>0</v>
      </c>
      <c r="AC49" s="534">
        <v>0</v>
      </c>
      <c r="AD49" s="534">
        <v>0</v>
      </c>
      <c r="AE49" s="536">
        <f t="shared" si="8"/>
        <v>0</v>
      </c>
      <c r="AF49" s="533"/>
      <c r="AG49" s="534">
        <v>0</v>
      </c>
      <c r="AH49" s="534">
        <v>0</v>
      </c>
      <c r="AI49" s="534">
        <v>0</v>
      </c>
      <c r="AJ49" s="534">
        <v>0</v>
      </c>
      <c r="AK49" s="536">
        <f t="shared" si="9"/>
        <v>0</v>
      </c>
      <c r="AL49" s="533"/>
      <c r="AM49" s="534">
        <v>0</v>
      </c>
      <c r="AN49" s="534">
        <v>0</v>
      </c>
      <c r="AO49" s="534">
        <v>0</v>
      </c>
      <c r="AP49" s="537">
        <v>0</v>
      </c>
      <c r="AQ49" s="535">
        <v>0</v>
      </c>
      <c r="AR49" s="534">
        <v>0</v>
      </c>
      <c r="AS49" s="534">
        <v>0</v>
      </c>
      <c r="AT49" s="534">
        <v>0</v>
      </c>
      <c r="AU49" s="536">
        <f t="shared" si="10"/>
        <v>0</v>
      </c>
      <c r="AV49" s="533"/>
      <c r="AW49" s="538">
        <f t="shared" si="11"/>
        <v>0</v>
      </c>
      <c r="AX49" s="538">
        <f t="shared" si="12"/>
        <v>0</v>
      </c>
      <c r="AY49" s="533"/>
      <c r="AZ49" s="534">
        <f t="shared" si="13"/>
        <v>0</v>
      </c>
      <c r="BA49" s="534">
        <v>0</v>
      </c>
      <c r="BD49" s="392">
        <f t="shared" si="0"/>
        <v>0</v>
      </c>
      <c r="BE49" s="425">
        <f t="shared" si="1"/>
        <v>0</v>
      </c>
      <c r="BF49" s="425">
        <f t="shared" si="20"/>
        <v>0</v>
      </c>
      <c r="BG49" s="425">
        <f t="shared" si="20"/>
        <v>0</v>
      </c>
      <c r="BH49" s="425">
        <f t="shared" si="20"/>
        <v>0</v>
      </c>
      <c r="BI49" s="425">
        <f t="shared" si="20"/>
        <v>0</v>
      </c>
      <c r="BJ49" s="425">
        <f t="shared" si="20"/>
        <v>0</v>
      </c>
      <c r="BK49" s="425">
        <f t="shared" si="20"/>
        <v>0</v>
      </c>
      <c r="BL49" s="425">
        <f t="shared" si="20"/>
        <v>0</v>
      </c>
      <c r="BM49" s="425">
        <f t="shared" si="17"/>
        <v>0</v>
      </c>
      <c r="BN49" s="425">
        <f t="shared" si="17"/>
        <v>0</v>
      </c>
      <c r="BO49" s="425">
        <f t="shared" si="17"/>
        <v>0</v>
      </c>
      <c r="BP49" s="425">
        <f t="shared" si="18"/>
        <v>0</v>
      </c>
      <c r="BQ49" s="425">
        <f t="shared" si="18"/>
        <v>0</v>
      </c>
      <c r="BR49" s="425">
        <f t="shared" si="18"/>
        <v>0</v>
      </c>
      <c r="BS49" s="425">
        <f t="shared" si="19"/>
        <v>0</v>
      </c>
      <c r="BT49" s="426">
        <f t="shared" si="19"/>
        <v>0</v>
      </c>
    </row>
    <row r="50" spans="2:72" hidden="1" x14ac:dyDescent="0.25">
      <c r="B50" s="145"/>
      <c r="C50" s="539">
        <f t="shared" si="14"/>
        <v>39783</v>
      </c>
      <c r="D50" s="533"/>
      <c r="E50" s="534">
        <v>0</v>
      </c>
      <c r="F50" s="534">
        <v>0</v>
      </c>
      <c r="G50" s="534">
        <v>0</v>
      </c>
      <c r="H50" s="540">
        <v>0</v>
      </c>
      <c r="I50" s="536">
        <f t="shared" si="6"/>
        <v>0</v>
      </c>
      <c r="J50" s="533"/>
      <c r="K50" s="534">
        <v>0</v>
      </c>
      <c r="L50" s="534">
        <v>0</v>
      </c>
      <c r="M50" s="534">
        <v>0</v>
      </c>
      <c r="N50" s="534">
        <v>0</v>
      </c>
      <c r="O50" s="534">
        <v>0</v>
      </c>
      <c r="P50" s="534">
        <v>0</v>
      </c>
      <c r="Q50" s="534">
        <v>0</v>
      </c>
      <c r="R50" s="534">
        <v>0</v>
      </c>
      <c r="S50" s="536">
        <f t="shared" si="7"/>
        <v>0</v>
      </c>
      <c r="T50" s="533"/>
      <c r="U50" s="534">
        <v>0</v>
      </c>
      <c r="V50" s="534">
        <v>0</v>
      </c>
      <c r="W50" s="534">
        <v>0</v>
      </c>
      <c r="X50" s="534">
        <v>0</v>
      </c>
      <c r="Y50" s="534">
        <v>0</v>
      </c>
      <c r="Z50" s="534">
        <v>0</v>
      </c>
      <c r="AA50" s="534">
        <v>0</v>
      </c>
      <c r="AB50" s="534">
        <v>0</v>
      </c>
      <c r="AC50" s="534">
        <v>0</v>
      </c>
      <c r="AD50" s="534">
        <v>0</v>
      </c>
      <c r="AE50" s="536">
        <f t="shared" si="8"/>
        <v>0</v>
      </c>
      <c r="AF50" s="533"/>
      <c r="AG50" s="534">
        <v>0</v>
      </c>
      <c r="AH50" s="534">
        <v>0</v>
      </c>
      <c r="AI50" s="534">
        <v>0</v>
      </c>
      <c r="AJ50" s="534">
        <v>0</v>
      </c>
      <c r="AK50" s="536">
        <f t="shared" si="9"/>
        <v>0</v>
      </c>
      <c r="AL50" s="533"/>
      <c r="AM50" s="534">
        <v>0</v>
      </c>
      <c r="AN50" s="534">
        <v>0</v>
      </c>
      <c r="AO50" s="534">
        <v>0</v>
      </c>
      <c r="AP50" s="537">
        <v>0</v>
      </c>
      <c r="AQ50" s="535">
        <v>0</v>
      </c>
      <c r="AR50" s="534">
        <v>0</v>
      </c>
      <c r="AS50" s="534">
        <v>0</v>
      </c>
      <c r="AT50" s="534">
        <v>0</v>
      </c>
      <c r="AU50" s="536">
        <f t="shared" si="10"/>
        <v>0</v>
      </c>
      <c r="AV50" s="533"/>
      <c r="AW50" s="538">
        <f t="shared" si="11"/>
        <v>0</v>
      </c>
      <c r="AX50" s="538">
        <f t="shared" si="12"/>
        <v>0</v>
      </c>
      <c r="AY50" s="533"/>
      <c r="AZ50" s="534">
        <f t="shared" si="13"/>
        <v>0</v>
      </c>
      <c r="BA50" s="534">
        <v>0</v>
      </c>
      <c r="BD50" s="392">
        <f t="shared" ref="BD50:BD81" si="21">SUMIF($E$6:$BA$6, BD$6, $E50:$BA50)</f>
        <v>0</v>
      </c>
      <c r="BE50" s="425">
        <f t="shared" ref="BE50:BE81" si="22">-SUMIF($E$6:$BA$6, BE$6, $E50:$BA50)+2*H50</f>
        <v>0</v>
      </c>
      <c r="BF50" s="425">
        <f t="shared" si="20"/>
        <v>0</v>
      </c>
      <c r="BG50" s="425">
        <f t="shared" si="20"/>
        <v>0</v>
      </c>
      <c r="BH50" s="425">
        <f t="shared" si="20"/>
        <v>0</v>
      </c>
      <c r="BI50" s="425">
        <f t="shared" si="20"/>
        <v>0</v>
      </c>
      <c r="BJ50" s="425">
        <f t="shared" si="20"/>
        <v>0</v>
      </c>
      <c r="BK50" s="425">
        <f t="shared" si="20"/>
        <v>0</v>
      </c>
      <c r="BL50" s="425">
        <f t="shared" si="20"/>
        <v>0</v>
      </c>
      <c r="BM50" s="425">
        <f t="shared" si="17"/>
        <v>0</v>
      </c>
      <c r="BN50" s="425">
        <f t="shared" si="17"/>
        <v>0</v>
      </c>
      <c r="BO50" s="425">
        <f t="shared" si="17"/>
        <v>0</v>
      </c>
      <c r="BP50" s="425">
        <f t="shared" si="18"/>
        <v>0</v>
      </c>
      <c r="BQ50" s="425">
        <f t="shared" si="18"/>
        <v>0</v>
      </c>
      <c r="BR50" s="425">
        <f t="shared" si="18"/>
        <v>0</v>
      </c>
      <c r="BS50" s="425">
        <f t="shared" si="19"/>
        <v>0</v>
      </c>
      <c r="BT50" s="426">
        <f t="shared" si="19"/>
        <v>0</v>
      </c>
    </row>
    <row r="51" spans="2:72" hidden="1" x14ac:dyDescent="0.25">
      <c r="B51" s="145"/>
      <c r="C51" s="539">
        <f t="shared" si="14"/>
        <v>39814</v>
      </c>
      <c r="D51" s="533"/>
      <c r="E51" s="534">
        <v>0</v>
      </c>
      <c r="F51" s="534">
        <v>0</v>
      </c>
      <c r="G51" s="534">
        <v>0</v>
      </c>
      <c r="H51" s="540">
        <v>0</v>
      </c>
      <c r="I51" s="536">
        <f t="shared" ref="I51:I82" si="23">SUM(E51:H51)</f>
        <v>0</v>
      </c>
      <c r="J51" s="533"/>
      <c r="K51" s="534">
        <v>0</v>
      </c>
      <c r="L51" s="534">
        <v>0</v>
      </c>
      <c r="M51" s="534">
        <v>0</v>
      </c>
      <c r="N51" s="534">
        <v>0</v>
      </c>
      <c r="O51" s="534">
        <v>0</v>
      </c>
      <c r="P51" s="534">
        <v>0</v>
      </c>
      <c r="Q51" s="534">
        <v>0</v>
      </c>
      <c r="R51" s="534">
        <v>0</v>
      </c>
      <c r="S51" s="536">
        <f t="shared" ref="S51:S82" si="24">K51+SUM(L51:N51)+O51+SUM(P51:R51)</f>
        <v>0</v>
      </c>
      <c r="T51" s="533"/>
      <c r="U51" s="534">
        <v>0</v>
      </c>
      <c r="V51" s="534">
        <v>0</v>
      </c>
      <c r="W51" s="534">
        <v>0</v>
      </c>
      <c r="X51" s="534">
        <v>0</v>
      </c>
      <c r="Y51" s="534">
        <v>0</v>
      </c>
      <c r="Z51" s="534">
        <v>0</v>
      </c>
      <c r="AA51" s="534">
        <v>0</v>
      </c>
      <c r="AB51" s="534">
        <v>0</v>
      </c>
      <c r="AC51" s="534">
        <v>0</v>
      </c>
      <c r="AD51" s="534">
        <v>0</v>
      </c>
      <c r="AE51" s="536">
        <f t="shared" ref="AE51:AE82" si="25">SUM(U51:AD51)</f>
        <v>0</v>
      </c>
      <c r="AF51" s="533"/>
      <c r="AG51" s="534">
        <v>0</v>
      </c>
      <c r="AH51" s="534">
        <v>0</v>
      </c>
      <c r="AI51" s="534">
        <v>0</v>
      </c>
      <c r="AJ51" s="534">
        <v>0</v>
      </c>
      <c r="AK51" s="536">
        <f t="shared" ref="AK51:AK82" si="26">SUM(AG51:AJ51)</f>
        <v>0</v>
      </c>
      <c r="AL51" s="533"/>
      <c r="AM51" s="534">
        <v>0</v>
      </c>
      <c r="AN51" s="534">
        <v>0</v>
      </c>
      <c r="AO51" s="534">
        <v>0</v>
      </c>
      <c r="AP51" s="537">
        <v>0</v>
      </c>
      <c r="AQ51" s="535">
        <v>0</v>
      </c>
      <c r="AR51" s="534">
        <v>0</v>
      </c>
      <c r="AS51" s="534">
        <v>0</v>
      </c>
      <c r="AT51" s="534">
        <v>0</v>
      </c>
      <c r="AU51" s="536">
        <f t="shared" ref="AU51:AU82" si="27">SUM(AM51:AT51)</f>
        <v>0</v>
      </c>
      <c r="AV51" s="533"/>
      <c r="AW51" s="538">
        <f t="shared" ref="AW51:AW82" si="28">SUM(I51,-S51,-AE51,AK51,AU51)</f>
        <v>0</v>
      </c>
      <c r="AX51" s="538">
        <f t="shared" ref="AX51:AX82" si="29">AX50+AW51</f>
        <v>0</v>
      </c>
      <c r="AY51" s="533"/>
      <c r="AZ51" s="534">
        <f t="shared" ref="AZ51:AZ82" si="30">K51-BA51</f>
        <v>0</v>
      </c>
      <c r="BA51" s="534">
        <v>0</v>
      </c>
      <c r="BD51" s="392">
        <f t="shared" si="21"/>
        <v>0</v>
      </c>
      <c r="BE51" s="425">
        <f t="shared" si="22"/>
        <v>0</v>
      </c>
      <c r="BF51" s="425">
        <f t="shared" si="20"/>
        <v>0</v>
      </c>
      <c r="BG51" s="425">
        <f t="shared" si="20"/>
        <v>0</v>
      </c>
      <c r="BH51" s="425">
        <f t="shared" si="20"/>
        <v>0</v>
      </c>
      <c r="BI51" s="425">
        <f t="shared" si="20"/>
        <v>0</v>
      </c>
      <c r="BJ51" s="425">
        <f t="shared" si="20"/>
        <v>0</v>
      </c>
      <c r="BK51" s="425">
        <f t="shared" si="20"/>
        <v>0</v>
      </c>
      <c r="BL51" s="425">
        <f t="shared" si="20"/>
        <v>0</v>
      </c>
      <c r="BM51" s="425">
        <f t="shared" si="17"/>
        <v>0</v>
      </c>
      <c r="BN51" s="425">
        <f t="shared" si="17"/>
        <v>0</v>
      </c>
      <c r="BO51" s="425">
        <f t="shared" si="17"/>
        <v>0</v>
      </c>
      <c r="BP51" s="425">
        <f t="shared" si="18"/>
        <v>0</v>
      </c>
      <c r="BQ51" s="425">
        <f t="shared" si="18"/>
        <v>0</v>
      </c>
      <c r="BR51" s="425">
        <f t="shared" si="18"/>
        <v>0</v>
      </c>
      <c r="BS51" s="425">
        <f t="shared" si="19"/>
        <v>0</v>
      </c>
      <c r="BT51" s="426">
        <f t="shared" si="19"/>
        <v>0</v>
      </c>
    </row>
    <row r="52" spans="2:72" hidden="1" x14ac:dyDescent="0.25">
      <c r="B52" s="145"/>
      <c r="C52" s="539">
        <f t="shared" ref="C52:C83" si="31">EDATE(C51, 1)</f>
        <v>39845</v>
      </c>
      <c r="D52" s="533"/>
      <c r="E52" s="534">
        <v>0</v>
      </c>
      <c r="F52" s="534">
        <v>0</v>
      </c>
      <c r="G52" s="534">
        <v>0</v>
      </c>
      <c r="H52" s="540">
        <v>0</v>
      </c>
      <c r="I52" s="536">
        <f t="shared" si="23"/>
        <v>0</v>
      </c>
      <c r="J52" s="533"/>
      <c r="K52" s="534">
        <v>0</v>
      </c>
      <c r="L52" s="534">
        <v>0</v>
      </c>
      <c r="M52" s="534">
        <v>0</v>
      </c>
      <c r="N52" s="534">
        <v>0</v>
      </c>
      <c r="O52" s="534">
        <v>0</v>
      </c>
      <c r="P52" s="534">
        <v>0</v>
      </c>
      <c r="Q52" s="534">
        <v>0</v>
      </c>
      <c r="R52" s="534">
        <v>0</v>
      </c>
      <c r="S52" s="536">
        <f t="shared" si="24"/>
        <v>0</v>
      </c>
      <c r="T52" s="533"/>
      <c r="U52" s="534">
        <v>0</v>
      </c>
      <c r="V52" s="534">
        <v>0</v>
      </c>
      <c r="W52" s="534">
        <v>0</v>
      </c>
      <c r="X52" s="534">
        <v>0</v>
      </c>
      <c r="Y52" s="534">
        <v>0</v>
      </c>
      <c r="Z52" s="534">
        <v>0</v>
      </c>
      <c r="AA52" s="534">
        <v>0</v>
      </c>
      <c r="AB52" s="534">
        <v>0</v>
      </c>
      <c r="AC52" s="534">
        <v>0</v>
      </c>
      <c r="AD52" s="534">
        <v>0</v>
      </c>
      <c r="AE52" s="536">
        <f t="shared" si="25"/>
        <v>0</v>
      </c>
      <c r="AF52" s="533"/>
      <c r="AG52" s="534">
        <v>0</v>
      </c>
      <c r="AH52" s="534">
        <v>0</v>
      </c>
      <c r="AI52" s="534">
        <v>0</v>
      </c>
      <c r="AJ52" s="534">
        <v>0</v>
      </c>
      <c r="AK52" s="536">
        <f t="shared" si="26"/>
        <v>0</v>
      </c>
      <c r="AL52" s="533"/>
      <c r="AM52" s="534">
        <v>0</v>
      </c>
      <c r="AN52" s="534">
        <v>0</v>
      </c>
      <c r="AO52" s="534">
        <v>0</v>
      </c>
      <c r="AP52" s="537">
        <v>0</v>
      </c>
      <c r="AQ52" s="535">
        <v>0</v>
      </c>
      <c r="AR52" s="534">
        <v>0</v>
      </c>
      <c r="AS52" s="534">
        <v>0</v>
      </c>
      <c r="AT52" s="534">
        <v>0</v>
      </c>
      <c r="AU52" s="536">
        <f t="shared" si="27"/>
        <v>0</v>
      </c>
      <c r="AV52" s="533"/>
      <c r="AW52" s="538">
        <f t="shared" si="28"/>
        <v>0</v>
      </c>
      <c r="AX52" s="538">
        <f t="shared" si="29"/>
        <v>0</v>
      </c>
      <c r="AY52" s="533"/>
      <c r="AZ52" s="534">
        <f t="shared" si="30"/>
        <v>0</v>
      </c>
      <c r="BA52" s="534">
        <v>0</v>
      </c>
      <c r="BD52" s="392">
        <f t="shared" si="21"/>
        <v>0</v>
      </c>
      <c r="BE52" s="425">
        <f t="shared" si="22"/>
        <v>0</v>
      </c>
      <c r="BF52" s="425">
        <f t="shared" si="20"/>
        <v>0</v>
      </c>
      <c r="BG52" s="425">
        <f t="shared" si="20"/>
        <v>0</v>
      </c>
      <c r="BH52" s="425">
        <f t="shared" si="20"/>
        <v>0</v>
      </c>
      <c r="BI52" s="425">
        <f t="shared" si="20"/>
        <v>0</v>
      </c>
      <c r="BJ52" s="425">
        <f t="shared" si="20"/>
        <v>0</v>
      </c>
      <c r="BK52" s="425">
        <f t="shared" si="20"/>
        <v>0</v>
      </c>
      <c r="BL52" s="425">
        <f t="shared" si="20"/>
        <v>0</v>
      </c>
      <c r="BM52" s="425">
        <f t="shared" si="17"/>
        <v>0</v>
      </c>
      <c r="BN52" s="425">
        <f t="shared" si="17"/>
        <v>0</v>
      </c>
      <c r="BO52" s="425">
        <f t="shared" si="17"/>
        <v>0</v>
      </c>
      <c r="BP52" s="425">
        <f t="shared" si="18"/>
        <v>0</v>
      </c>
      <c r="BQ52" s="425">
        <f t="shared" si="18"/>
        <v>0</v>
      </c>
      <c r="BR52" s="425">
        <f t="shared" si="18"/>
        <v>0</v>
      </c>
      <c r="BS52" s="425">
        <f t="shared" si="19"/>
        <v>0</v>
      </c>
      <c r="BT52" s="426">
        <f t="shared" si="19"/>
        <v>0</v>
      </c>
    </row>
    <row r="53" spans="2:72" hidden="1" x14ac:dyDescent="0.25">
      <c r="B53" s="145"/>
      <c r="C53" s="539">
        <f t="shared" si="31"/>
        <v>39873</v>
      </c>
      <c r="D53" s="533"/>
      <c r="E53" s="534">
        <v>0</v>
      </c>
      <c r="F53" s="534">
        <v>0</v>
      </c>
      <c r="G53" s="534">
        <v>0</v>
      </c>
      <c r="H53" s="540">
        <v>0</v>
      </c>
      <c r="I53" s="536">
        <f t="shared" si="23"/>
        <v>0</v>
      </c>
      <c r="J53" s="533"/>
      <c r="K53" s="534">
        <v>0</v>
      </c>
      <c r="L53" s="534">
        <v>0</v>
      </c>
      <c r="M53" s="534">
        <v>0</v>
      </c>
      <c r="N53" s="534">
        <v>0</v>
      </c>
      <c r="O53" s="534">
        <v>0</v>
      </c>
      <c r="P53" s="534">
        <v>0</v>
      </c>
      <c r="Q53" s="534">
        <v>0</v>
      </c>
      <c r="R53" s="534">
        <v>0</v>
      </c>
      <c r="S53" s="536">
        <f t="shared" si="24"/>
        <v>0</v>
      </c>
      <c r="T53" s="533"/>
      <c r="U53" s="534">
        <v>0</v>
      </c>
      <c r="V53" s="534">
        <v>0</v>
      </c>
      <c r="W53" s="534">
        <v>0</v>
      </c>
      <c r="X53" s="534">
        <v>0</v>
      </c>
      <c r="Y53" s="534">
        <v>0</v>
      </c>
      <c r="Z53" s="534">
        <v>0</v>
      </c>
      <c r="AA53" s="534">
        <v>0</v>
      </c>
      <c r="AB53" s="534">
        <v>0</v>
      </c>
      <c r="AC53" s="534">
        <v>0</v>
      </c>
      <c r="AD53" s="534">
        <v>0</v>
      </c>
      <c r="AE53" s="536">
        <f t="shared" si="25"/>
        <v>0</v>
      </c>
      <c r="AF53" s="533"/>
      <c r="AG53" s="534">
        <v>0</v>
      </c>
      <c r="AH53" s="534">
        <v>0</v>
      </c>
      <c r="AI53" s="534">
        <v>0</v>
      </c>
      <c r="AJ53" s="534">
        <v>0</v>
      </c>
      <c r="AK53" s="536">
        <f t="shared" si="26"/>
        <v>0</v>
      </c>
      <c r="AL53" s="533"/>
      <c r="AM53" s="534">
        <v>0</v>
      </c>
      <c r="AN53" s="534">
        <v>0</v>
      </c>
      <c r="AO53" s="534">
        <v>0</v>
      </c>
      <c r="AP53" s="537">
        <v>0</v>
      </c>
      <c r="AQ53" s="535">
        <v>0</v>
      </c>
      <c r="AR53" s="534">
        <v>0</v>
      </c>
      <c r="AS53" s="534">
        <v>0</v>
      </c>
      <c r="AT53" s="534">
        <v>0</v>
      </c>
      <c r="AU53" s="536">
        <f t="shared" si="27"/>
        <v>0</v>
      </c>
      <c r="AV53" s="533"/>
      <c r="AW53" s="538">
        <f t="shared" si="28"/>
        <v>0</v>
      </c>
      <c r="AX53" s="538">
        <f t="shared" si="29"/>
        <v>0</v>
      </c>
      <c r="AY53" s="533"/>
      <c r="AZ53" s="534">
        <f t="shared" si="30"/>
        <v>0</v>
      </c>
      <c r="BA53" s="534">
        <v>0</v>
      </c>
      <c r="BD53" s="392">
        <f t="shared" si="21"/>
        <v>0</v>
      </c>
      <c r="BE53" s="425">
        <f t="shared" si="22"/>
        <v>0</v>
      </c>
      <c r="BF53" s="425">
        <f t="shared" si="20"/>
        <v>0</v>
      </c>
      <c r="BG53" s="425">
        <f t="shared" si="20"/>
        <v>0</v>
      </c>
      <c r="BH53" s="425">
        <f t="shared" si="20"/>
        <v>0</v>
      </c>
      <c r="BI53" s="425">
        <f t="shared" si="20"/>
        <v>0</v>
      </c>
      <c r="BJ53" s="425">
        <f t="shared" si="20"/>
        <v>0</v>
      </c>
      <c r="BK53" s="425">
        <f t="shared" si="20"/>
        <v>0</v>
      </c>
      <c r="BL53" s="425">
        <f t="shared" si="20"/>
        <v>0</v>
      </c>
      <c r="BM53" s="425">
        <f t="shared" si="17"/>
        <v>0</v>
      </c>
      <c r="BN53" s="425">
        <f t="shared" si="17"/>
        <v>0</v>
      </c>
      <c r="BO53" s="425">
        <f t="shared" si="17"/>
        <v>0</v>
      </c>
      <c r="BP53" s="425">
        <f t="shared" si="18"/>
        <v>0</v>
      </c>
      <c r="BQ53" s="425">
        <f t="shared" si="18"/>
        <v>0</v>
      </c>
      <c r="BR53" s="425">
        <f t="shared" si="18"/>
        <v>0</v>
      </c>
      <c r="BS53" s="425">
        <f t="shared" si="19"/>
        <v>0</v>
      </c>
      <c r="BT53" s="426">
        <f t="shared" si="19"/>
        <v>0</v>
      </c>
    </row>
    <row r="54" spans="2:72" hidden="1" x14ac:dyDescent="0.25">
      <c r="B54" s="145"/>
      <c r="C54" s="539">
        <f t="shared" si="31"/>
        <v>39904</v>
      </c>
      <c r="D54" s="533"/>
      <c r="E54" s="534">
        <v>0</v>
      </c>
      <c r="F54" s="534">
        <v>0</v>
      </c>
      <c r="G54" s="534">
        <v>0</v>
      </c>
      <c r="H54" s="540">
        <v>0</v>
      </c>
      <c r="I54" s="536">
        <f t="shared" si="23"/>
        <v>0</v>
      </c>
      <c r="J54" s="533"/>
      <c r="K54" s="534">
        <v>0</v>
      </c>
      <c r="L54" s="534">
        <v>0</v>
      </c>
      <c r="M54" s="534">
        <v>0</v>
      </c>
      <c r="N54" s="534">
        <v>0</v>
      </c>
      <c r="O54" s="534">
        <v>0</v>
      </c>
      <c r="P54" s="534">
        <v>0</v>
      </c>
      <c r="Q54" s="534">
        <v>0</v>
      </c>
      <c r="R54" s="534">
        <v>0</v>
      </c>
      <c r="S54" s="536">
        <f t="shared" si="24"/>
        <v>0</v>
      </c>
      <c r="T54" s="533"/>
      <c r="U54" s="534">
        <v>0</v>
      </c>
      <c r="V54" s="534">
        <v>0</v>
      </c>
      <c r="W54" s="534">
        <v>0</v>
      </c>
      <c r="X54" s="534">
        <v>0</v>
      </c>
      <c r="Y54" s="534">
        <v>0</v>
      </c>
      <c r="Z54" s="534">
        <v>0</v>
      </c>
      <c r="AA54" s="534">
        <v>0</v>
      </c>
      <c r="AB54" s="534">
        <v>0</v>
      </c>
      <c r="AC54" s="534">
        <v>0</v>
      </c>
      <c r="AD54" s="534">
        <v>0</v>
      </c>
      <c r="AE54" s="536">
        <f t="shared" si="25"/>
        <v>0</v>
      </c>
      <c r="AF54" s="533"/>
      <c r="AG54" s="534">
        <v>0</v>
      </c>
      <c r="AH54" s="534">
        <v>0</v>
      </c>
      <c r="AI54" s="534">
        <v>0</v>
      </c>
      <c r="AJ54" s="534">
        <v>0</v>
      </c>
      <c r="AK54" s="536">
        <f t="shared" si="26"/>
        <v>0</v>
      </c>
      <c r="AL54" s="533"/>
      <c r="AM54" s="534">
        <v>0</v>
      </c>
      <c r="AN54" s="534">
        <v>0</v>
      </c>
      <c r="AO54" s="534">
        <v>0</v>
      </c>
      <c r="AP54" s="537">
        <v>0</v>
      </c>
      <c r="AQ54" s="535">
        <v>0</v>
      </c>
      <c r="AR54" s="534">
        <v>0</v>
      </c>
      <c r="AS54" s="534">
        <v>0</v>
      </c>
      <c r="AT54" s="534">
        <v>0</v>
      </c>
      <c r="AU54" s="536">
        <f t="shared" si="27"/>
        <v>0</v>
      </c>
      <c r="AV54" s="533"/>
      <c r="AW54" s="538">
        <f t="shared" si="28"/>
        <v>0</v>
      </c>
      <c r="AX54" s="538">
        <f t="shared" si="29"/>
        <v>0</v>
      </c>
      <c r="AY54" s="533"/>
      <c r="AZ54" s="534">
        <f t="shared" si="30"/>
        <v>0</v>
      </c>
      <c r="BA54" s="534">
        <v>0</v>
      </c>
      <c r="BD54" s="392">
        <f t="shared" si="21"/>
        <v>0</v>
      </c>
      <c r="BE54" s="425">
        <f t="shared" si="22"/>
        <v>0</v>
      </c>
      <c r="BF54" s="425">
        <f t="shared" si="20"/>
        <v>0</v>
      </c>
      <c r="BG54" s="425">
        <f t="shared" si="20"/>
        <v>0</v>
      </c>
      <c r="BH54" s="425">
        <f t="shared" si="20"/>
        <v>0</v>
      </c>
      <c r="BI54" s="425">
        <f t="shared" si="20"/>
        <v>0</v>
      </c>
      <c r="BJ54" s="425">
        <f t="shared" si="20"/>
        <v>0</v>
      </c>
      <c r="BK54" s="425">
        <f t="shared" si="20"/>
        <v>0</v>
      </c>
      <c r="BL54" s="425">
        <f t="shared" si="20"/>
        <v>0</v>
      </c>
      <c r="BM54" s="425">
        <f t="shared" si="17"/>
        <v>0</v>
      </c>
      <c r="BN54" s="425">
        <f t="shared" si="17"/>
        <v>0</v>
      </c>
      <c r="BO54" s="425">
        <f t="shared" si="17"/>
        <v>0</v>
      </c>
      <c r="BP54" s="425">
        <f t="shared" si="18"/>
        <v>0</v>
      </c>
      <c r="BQ54" s="425">
        <f t="shared" si="18"/>
        <v>0</v>
      </c>
      <c r="BR54" s="425">
        <f t="shared" si="18"/>
        <v>0</v>
      </c>
      <c r="BS54" s="425">
        <f t="shared" si="19"/>
        <v>0</v>
      </c>
      <c r="BT54" s="426">
        <f t="shared" si="19"/>
        <v>0</v>
      </c>
    </row>
    <row r="55" spans="2:72" hidden="1" x14ac:dyDescent="0.25">
      <c r="B55" s="145"/>
      <c r="C55" s="539">
        <f t="shared" si="31"/>
        <v>39934</v>
      </c>
      <c r="D55" s="533"/>
      <c r="E55" s="534">
        <v>0</v>
      </c>
      <c r="F55" s="534">
        <v>0</v>
      </c>
      <c r="G55" s="534">
        <v>0</v>
      </c>
      <c r="H55" s="540">
        <v>0</v>
      </c>
      <c r="I55" s="536">
        <f t="shared" si="23"/>
        <v>0</v>
      </c>
      <c r="J55" s="533"/>
      <c r="K55" s="534">
        <v>0</v>
      </c>
      <c r="L55" s="534">
        <v>0</v>
      </c>
      <c r="M55" s="534">
        <v>0</v>
      </c>
      <c r="N55" s="534">
        <v>0</v>
      </c>
      <c r="O55" s="534">
        <v>0</v>
      </c>
      <c r="P55" s="534">
        <v>0</v>
      </c>
      <c r="Q55" s="534">
        <v>0</v>
      </c>
      <c r="R55" s="534">
        <v>0</v>
      </c>
      <c r="S55" s="536">
        <f t="shared" si="24"/>
        <v>0</v>
      </c>
      <c r="T55" s="533"/>
      <c r="U55" s="534">
        <v>0</v>
      </c>
      <c r="V55" s="534">
        <v>0</v>
      </c>
      <c r="W55" s="534">
        <v>0</v>
      </c>
      <c r="X55" s="534">
        <v>0</v>
      </c>
      <c r="Y55" s="534">
        <v>0</v>
      </c>
      <c r="Z55" s="534">
        <v>0</v>
      </c>
      <c r="AA55" s="534">
        <v>0</v>
      </c>
      <c r="AB55" s="534">
        <v>0</v>
      </c>
      <c r="AC55" s="534">
        <v>0</v>
      </c>
      <c r="AD55" s="534">
        <v>0</v>
      </c>
      <c r="AE55" s="536">
        <f t="shared" si="25"/>
        <v>0</v>
      </c>
      <c r="AF55" s="533"/>
      <c r="AG55" s="534">
        <v>0</v>
      </c>
      <c r="AH55" s="534">
        <v>0</v>
      </c>
      <c r="AI55" s="534">
        <v>0</v>
      </c>
      <c r="AJ55" s="534">
        <v>0</v>
      </c>
      <c r="AK55" s="536">
        <f t="shared" si="26"/>
        <v>0</v>
      </c>
      <c r="AL55" s="533"/>
      <c r="AM55" s="534">
        <v>0</v>
      </c>
      <c r="AN55" s="534">
        <v>0</v>
      </c>
      <c r="AO55" s="534">
        <v>0</v>
      </c>
      <c r="AP55" s="537">
        <v>0</v>
      </c>
      <c r="AQ55" s="535">
        <v>0</v>
      </c>
      <c r="AR55" s="534">
        <v>0</v>
      </c>
      <c r="AS55" s="534">
        <v>0</v>
      </c>
      <c r="AT55" s="534">
        <v>0</v>
      </c>
      <c r="AU55" s="536">
        <f t="shared" si="27"/>
        <v>0</v>
      </c>
      <c r="AV55" s="533"/>
      <c r="AW55" s="538">
        <f t="shared" si="28"/>
        <v>0</v>
      </c>
      <c r="AX55" s="538">
        <f t="shared" si="29"/>
        <v>0</v>
      </c>
      <c r="AY55" s="533"/>
      <c r="AZ55" s="534">
        <f t="shared" si="30"/>
        <v>0</v>
      </c>
      <c r="BA55" s="534">
        <v>0</v>
      </c>
      <c r="BD55" s="392">
        <f t="shared" si="21"/>
        <v>0</v>
      </c>
      <c r="BE55" s="425">
        <f t="shared" si="22"/>
        <v>0</v>
      </c>
      <c r="BF55" s="425">
        <f t="shared" si="20"/>
        <v>0</v>
      </c>
      <c r="BG55" s="425">
        <f t="shared" si="20"/>
        <v>0</v>
      </c>
      <c r="BH55" s="425">
        <f t="shared" si="20"/>
        <v>0</v>
      </c>
      <c r="BI55" s="425">
        <f t="shared" si="20"/>
        <v>0</v>
      </c>
      <c r="BJ55" s="425">
        <f t="shared" si="20"/>
        <v>0</v>
      </c>
      <c r="BK55" s="425">
        <f t="shared" si="20"/>
        <v>0</v>
      </c>
      <c r="BL55" s="425">
        <f t="shared" si="20"/>
        <v>0</v>
      </c>
      <c r="BM55" s="425">
        <f t="shared" si="17"/>
        <v>0</v>
      </c>
      <c r="BN55" s="425">
        <f t="shared" si="17"/>
        <v>0</v>
      </c>
      <c r="BO55" s="425">
        <f t="shared" si="17"/>
        <v>0</v>
      </c>
      <c r="BP55" s="425">
        <f t="shared" si="18"/>
        <v>0</v>
      </c>
      <c r="BQ55" s="425">
        <f t="shared" si="18"/>
        <v>0</v>
      </c>
      <c r="BR55" s="425">
        <f t="shared" si="18"/>
        <v>0</v>
      </c>
      <c r="BS55" s="425">
        <f t="shared" si="19"/>
        <v>0</v>
      </c>
      <c r="BT55" s="426">
        <f t="shared" si="19"/>
        <v>0</v>
      </c>
    </row>
    <row r="56" spans="2:72" hidden="1" x14ac:dyDescent="0.25">
      <c r="B56" s="145"/>
      <c r="C56" s="539">
        <f t="shared" si="31"/>
        <v>39965</v>
      </c>
      <c r="D56" s="533"/>
      <c r="E56" s="534">
        <v>0</v>
      </c>
      <c r="F56" s="534">
        <v>0</v>
      </c>
      <c r="G56" s="534">
        <v>0</v>
      </c>
      <c r="H56" s="540">
        <v>0</v>
      </c>
      <c r="I56" s="536">
        <f t="shared" si="23"/>
        <v>0</v>
      </c>
      <c r="J56" s="533"/>
      <c r="K56" s="534">
        <v>0</v>
      </c>
      <c r="L56" s="534">
        <v>0</v>
      </c>
      <c r="M56" s="534">
        <v>0</v>
      </c>
      <c r="N56" s="534">
        <v>0</v>
      </c>
      <c r="O56" s="534">
        <v>0</v>
      </c>
      <c r="P56" s="534">
        <v>0</v>
      </c>
      <c r="Q56" s="534">
        <v>0</v>
      </c>
      <c r="R56" s="534">
        <v>0</v>
      </c>
      <c r="S56" s="536">
        <f t="shared" si="24"/>
        <v>0</v>
      </c>
      <c r="T56" s="533"/>
      <c r="U56" s="534">
        <v>0</v>
      </c>
      <c r="V56" s="534">
        <v>0</v>
      </c>
      <c r="W56" s="534">
        <v>0</v>
      </c>
      <c r="X56" s="534">
        <v>0</v>
      </c>
      <c r="Y56" s="534">
        <v>0</v>
      </c>
      <c r="Z56" s="534">
        <v>0</v>
      </c>
      <c r="AA56" s="534">
        <v>0</v>
      </c>
      <c r="AB56" s="534">
        <v>0</v>
      </c>
      <c r="AC56" s="534">
        <v>0</v>
      </c>
      <c r="AD56" s="534">
        <v>0</v>
      </c>
      <c r="AE56" s="536">
        <f t="shared" si="25"/>
        <v>0</v>
      </c>
      <c r="AF56" s="533"/>
      <c r="AG56" s="534">
        <v>0</v>
      </c>
      <c r="AH56" s="534">
        <v>0</v>
      </c>
      <c r="AI56" s="534">
        <v>0</v>
      </c>
      <c r="AJ56" s="534">
        <v>0</v>
      </c>
      <c r="AK56" s="536">
        <f t="shared" si="26"/>
        <v>0</v>
      </c>
      <c r="AL56" s="533"/>
      <c r="AM56" s="534">
        <v>0</v>
      </c>
      <c r="AN56" s="534">
        <v>0</v>
      </c>
      <c r="AO56" s="534">
        <v>0</v>
      </c>
      <c r="AP56" s="537">
        <v>0</v>
      </c>
      <c r="AQ56" s="535">
        <v>0</v>
      </c>
      <c r="AR56" s="534">
        <v>0</v>
      </c>
      <c r="AS56" s="534">
        <v>0</v>
      </c>
      <c r="AT56" s="534">
        <v>0</v>
      </c>
      <c r="AU56" s="536">
        <f t="shared" si="27"/>
        <v>0</v>
      </c>
      <c r="AV56" s="533"/>
      <c r="AW56" s="538">
        <f t="shared" si="28"/>
        <v>0</v>
      </c>
      <c r="AX56" s="538">
        <f t="shared" si="29"/>
        <v>0</v>
      </c>
      <c r="AY56" s="533"/>
      <c r="AZ56" s="534">
        <f t="shared" si="30"/>
        <v>0</v>
      </c>
      <c r="BA56" s="534">
        <v>0</v>
      </c>
      <c r="BD56" s="392">
        <f t="shared" si="21"/>
        <v>0</v>
      </c>
      <c r="BE56" s="425">
        <f t="shared" si="22"/>
        <v>0</v>
      </c>
      <c r="BF56" s="425">
        <f t="shared" si="20"/>
        <v>0</v>
      </c>
      <c r="BG56" s="425">
        <f t="shared" si="20"/>
        <v>0</v>
      </c>
      <c r="BH56" s="425">
        <f t="shared" si="20"/>
        <v>0</v>
      </c>
      <c r="BI56" s="425">
        <f t="shared" si="20"/>
        <v>0</v>
      </c>
      <c r="BJ56" s="425">
        <f t="shared" si="20"/>
        <v>0</v>
      </c>
      <c r="BK56" s="425">
        <f t="shared" si="20"/>
        <v>0</v>
      </c>
      <c r="BL56" s="425">
        <f t="shared" si="20"/>
        <v>0</v>
      </c>
      <c r="BM56" s="425">
        <f t="shared" si="17"/>
        <v>0</v>
      </c>
      <c r="BN56" s="425">
        <f t="shared" si="17"/>
        <v>0</v>
      </c>
      <c r="BO56" s="425">
        <f t="shared" si="17"/>
        <v>0</v>
      </c>
      <c r="BP56" s="425">
        <f t="shared" si="18"/>
        <v>0</v>
      </c>
      <c r="BQ56" s="425">
        <f t="shared" si="18"/>
        <v>0</v>
      </c>
      <c r="BR56" s="425">
        <f t="shared" si="18"/>
        <v>0</v>
      </c>
      <c r="BS56" s="425">
        <f t="shared" si="19"/>
        <v>0</v>
      </c>
      <c r="BT56" s="426">
        <f t="shared" si="19"/>
        <v>0</v>
      </c>
    </row>
    <row r="57" spans="2:72" hidden="1" x14ac:dyDescent="0.25">
      <c r="B57" s="145"/>
      <c r="C57" s="539">
        <f t="shared" si="31"/>
        <v>39995</v>
      </c>
      <c r="D57" s="533"/>
      <c r="E57" s="534">
        <v>0</v>
      </c>
      <c r="F57" s="534">
        <v>0</v>
      </c>
      <c r="G57" s="534">
        <v>0</v>
      </c>
      <c r="H57" s="540">
        <v>0</v>
      </c>
      <c r="I57" s="536">
        <f t="shared" si="23"/>
        <v>0</v>
      </c>
      <c r="J57" s="533"/>
      <c r="K57" s="534">
        <v>0</v>
      </c>
      <c r="L57" s="534">
        <v>0</v>
      </c>
      <c r="M57" s="534">
        <v>0</v>
      </c>
      <c r="N57" s="534">
        <v>0</v>
      </c>
      <c r="O57" s="534">
        <v>0</v>
      </c>
      <c r="P57" s="534">
        <v>0</v>
      </c>
      <c r="Q57" s="534">
        <v>0</v>
      </c>
      <c r="R57" s="534">
        <v>0</v>
      </c>
      <c r="S57" s="536">
        <f t="shared" si="24"/>
        <v>0</v>
      </c>
      <c r="T57" s="533"/>
      <c r="U57" s="534">
        <v>0</v>
      </c>
      <c r="V57" s="534">
        <v>0</v>
      </c>
      <c r="W57" s="534">
        <v>0</v>
      </c>
      <c r="X57" s="534">
        <v>0</v>
      </c>
      <c r="Y57" s="534">
        <v>0</v>
      </c>
      <c r="Z57" s="534">
        <v>0</v>
      </c>
      <c r="AA57" s="534">
        <v>0</v>
      </c>
      <c r="AB57" s="534">
        <v>0</v>
      </c>
      <c r="AC57" s="534">
        <v>0</v>
      </c>
      <c r="AD57" s="534">
        <v>0</v>
      </c>
      <c r="AE57" s="536">
        <f t="shared" si="25"/>
        <v>0</v>
      </c>
      <c r="AF57" s="533"/>
      <c r="AG57" s="534">
        <v>0</v>
      </c>
      <c r="AH57" s="534">
        <v>0</v>
      </c>
      <c r="AI57" s="534">
        <v>0</v>
      </c>
      <c r="AJ57" s="534">
        <v>0</v>
      </c>
      <c r="AK57" s="536">
        <f t="shared" si="26"/>
        <v>0</v>
      </c>
      <c r="AL57" s="533"/>
      <c r="AM57" s="534">
        <v>0</v>
      </c>
      <c r="AN57" s="534">
        <v>0</v>
      </c>
      <c r="AO57" s="534">
        <v>0</v>
      </c>
      <c r="AP57" s="537">
        <v>0</v>
      </c>
      <c r="AQ57" s="535">
        <v>0</v>
      </c>
      <c r="AR57" s="534">
        <v>0</v>
      </c>
      <c r="AS57" s="534">
        <v>0</v>
      </c>
      <c r="AT57" s="534">
        <v>0</v>
      </c>
      <c r="AU57" s="536">
        <f t="shared" si="27"/>
        <v>0</v>
      </c>
      <c r="AV57" s="533"/>
      <c r="AW57" s="538">
        <f t="shared" si="28"/>
        <v>0</v>
      </c>
      <c r="AX57" s="538">
        <f t="shared" si="29"/>
        <v>0</v>
      </c>
      <c r="AY57" s="533"/>
      <c r="AZ57" s="534">
        <f t="shared" si="30"/>
        <v>0</v>
      </c>
      <c r="BA57" s="534">
        <v>0</v>
      </c>
      <c r="BD57" s="392">
        <f t="shared" si="21"/>
        <v>0</v>
      </c>
      <c r="BE57" s="425">
        <f t="shared" si="22"/>
        <v>0</v>
      </c>
      <c r="BF57" s="425">
        <f t="shared" si="20"/>
        <v>0</v>
      </c>
      <c r="BG57" s="425">
        <f t="shared" si="20"/>
        <v>0</v>
      </c>
      <c r="BH57" s="425">
        <f t="shared" si="20"/>
        <v>0</v>
      </c>
      <c r="BI57" s="425">
        <f t="shared" si="20"/>
        <v>0</v>
      </c>
      <c r="BJ57" s="425">
        <f t="shared" si="20"/>
        <v>0</v>
      </c>
      <c r="BK57" s="425">
        <f t="shared" si="20"/>
        <v>0</v>
      </c>
      <c r="BL57" s="425">
        <f t="shared" si="20"/>
        <v>0</v>
      </c>
      <c r="BM57" s="425">
        <f t="shared" si="17"/>
        <v>0</v>
      </c>
      <c r="BN57" s="425">
        <f t="shared" si="17"/>
        <v>0</v>
      </c>
      <c r="BO57" s="425">
        <f t="shared" si="17"/>
        <v>0</v>
      </c>
      <c r="BP57" s="425">
        <f t="shared" si="18"/>
        <v>0</v>
      </c>
      <c r="BQ57" s="425">
        <f t="shared" si="18"/>
        <v>0</v>
      </c>
      <c r="BR57" s="425">
        <f t="shared" si="18"/>
        <v>0</v>
      </c>
      <c r="BS57" s="425">
        <f t="shared" si="19"/>
        <v>0</v>
      </c>
      <c r="BT57" s="426">
        <f t="shared" si="19"/>
        <v>0</v>
      </c>
    </row>
    <row r="58" spans="2:72" hidden="1" x14ac:dyDescent="0.25">
      <c r="B58" s="145"/>
      <c r="C58" s="539">
        <f t="shared" si="31"/>
        <v>40026</v>
      </c>
      <c r="D58" s="533"/>
      <c r="E58" s="534">
        <v>0</v>
      </c>
      <c r="F58" s="534">
        <v>0</v>
      </c>
      <c r="G58" s="534">
        <v>0</v>
      </c>
      <c r="H58" s="540">
        <v>0</v>
      </c>
      <c r="I58" s="536">
        <f t="shared" si="23"/>
        <v>0</v>
      </c>
      <c r="J58" s="533"/>
      <c r="K58" s="534">
        <v>0</v>
      </c>
      <c r="L58" s="534">
        <v>0</v>
      </c>
      <c r="M58" s="534">
        <v>0</v>
      </c>
      <c r="N58" s="534">
        <v>0</v>
      </c>
      <c r="O58" s="534">
        <v>0</v>
      </c>
      <c r="P58" s="534">
        <v>0</v>
      </c>
      <c r="Q58" s="534">
        <v>0</v>
      </c>
      <c r="R58" s="534">
        <v>0</v>
      </c>
      <c r="S58" s="536">
        <f t="shared" si="24"/>
        <v>0</v>
      </c>
      <c r="T58" s="533"/>
      <c r="U58" s="534">
        <v>0</v>
      </c>
      <c r="V58" s="534">
        <v>0</v>
      </c>
      <c r="W58" s="534">
        <v>0</v>
      </c>
      <c r="X58" s="534">
        <v>0</v>
      </c>
      <c r="Y58" s="534">
        <v>0</v>
      </c>
      <c r="Z58" s="534">
        <v>0</v>
      </c>
      <c r="AA58" s="534">
        <v>0</v>
      </c>
      <c r="AB58" s="534">
        <v>0</v>
      </c>
      <c r="AC58" s="534">
        <v>0</v>
      </c>
      <c r="AD58" s="534">
        <v>0</v>
      </c>
      <c r="AE58" s="536">
        <f t="shared" si="25"/>
        <v>0</v>
      </c>
      <c r="AF58" s="533"/>
      <c r="AG58" s="534">
        <v>0</v>
      </c>
      <c r="AH58" s="534">
        <v>0</v>
      </c>
      <c r="AI58" s="534">
        <v>0</v>
      </c>
      <c r="AJ58" s="534">
        <v>0</v>
      </c>
      <c r="AK58" s="536">
        <f t="shared" si="26"/>
        <v>0</v>
      </c>
      <c r="AL58" s="533"/>
      <c r="AM58" s="534">
        <v>0</v>
      </c>
      <c r="AN58" s="534">
        <v>0</v>
      </c>
      <c r="AO58" s="534">
        <v>0</v>
      </c>
      <c r="AP58" s="537">
        <v>0</v>
      </c>
      <c r="AQ58" s="535">
        <v>0</v>
      </c>
      <c r="AR58" s="534">
        <v>0</v>
      </c>
      <c r="AS58" s="534">
        <v>0</v>
      </c>
      <c r="AT58" s="534">
        <v>0</v>
      </c>
      <c r="AU58" s="536">
        <f t="shared" si="27"/>
        <v>0</v>
      </c>
      <c r="AV58" s="533"/>
      <c r="AW58" s="538">
        <f t="shared" si="28"/>
        <v>0</v>
      </c>
      <c r="AX58" s="538">
        <f t="shared" si="29"/>
        <v>0</v>
      </c>
      <c r="AY58" s="533"/>
      <c r="AZ58" s="534">
        <f t="shared" si="30"/>
        <v>0</v>
      </c>
      <c r="BA58" s="534">
        <v>0</v>
      </c>
      <c r="BD58" s="392">
        <f t="shared" si="21"/>
        <v>0</v>
      </c>
      <c r="BE58" s="425">
        <f t="shared" si="22"/>
        <v>0</v>
      </c>
      <c r="BF58" s="425">
        <f t="shared" ref="BF58:BL67" si="32">-SUMIF($E$6:$BA$6, BF$6, $E58:$BA58)</f>
        <v>0</v>
      </c>
      <c r="BG58" s="425">
        <f t="shared" si="32"/>
        <v>0</v>
      </c>
      <c r="BH58" s="425">
        <f t="shared" si="32"/>
        <v>0</v>
      </c>
      <c r="BI58" s="425">
        <f t="shared" si="32"/>
        <v>0</v>
      </c>
      <c r="BJ58" s="425">
        <f t="shared" si="32"/>
        <v>0</v>
      </c>
      <c r="BK58" s="425">
        <f t="shared" si="32"/>
        <v>0</v>
      </c>
      <c r="BL58" s="425">
        <f t="shared" si="32"/>
        <v>0</v>
      </c>
      <c r="BM58" s="425">
        <f t="shared" ref="BM58:BO77" si="33">SUMIF($E$6:$BA$6, BM$6, $E58:$BA58)</f>
        <v>0</v>
      </c>
      <c r="BN58" s="425">
        <f t="shared" si="33"/>
        <v>0</v>
      </c>
      <c r="BO58" s="425">
        <f t="shared" si="33"/>
        <v>0</v>
      </c>
      <c r="BP58" s="425">
        <f t="shared" ref="BP58:BR77" si="34">-SUMIF($E$6:$BA$6, BP$6, $E58:$BA58)</f>
        <v>0</v>
      </c>
      <c r="BQ58" s="425">
        <f t="shared" si="34"/>
        <v>0</v>
      </c>
      <c r="BR58" s="425">
        <f t="shared" si="34"/>
        <v>0</v>
      </c>
      <c r="BS58" s="425">
        <f t="shared" ref="BS58:BT77" si="35">SUMIF($E$6:$BA$6, BS$6, $E58:$BA58)</f>
        <v>0</v>
      </c>
      <c r="BT58" s="426">
        <f t="shared" si="35"/>
        <v>0</v>
      </c>
    </row>
    <row r="59" spans="2:72" hidden="1" x14ac:dyDescent="0.25">
      <c r="B59" s="145"/>
      <c r="C59" s="539">
        <f t="shared" si="31"/>
        <v>40057</v>
      </c>
      <c r="D59" s="533"/>
      <c r="E59" s="534">
        <v>0</v>
      </c>
      <c r="F59" s="534">
        <v>0</v>
      </c>
      <c r="G59" s="534">
        <v>0</v>
      </c>
      <c r="H59" s="540">
        <v>0</v>
      </c>
      <c r="I59" s="536">
        <f t="shared" si="23"/>
        <v>0</v>
      </c>
      <c r="J59" s="533"/>
      <c r="K59" s="534">
        <v>0</v>
      </c>
      <c r="L59" s="534">
        <v>0</v>
      </c>
      <c r="M59" s="534">
        <v>0</v>
      </c>
      <c r="N59" s="534">
        <v>0</v>
      </c>
      <c r="O59" s="534">
        <v>0</v>
      </c>
      <c r="P59" s="534">
        <v>0</v>
      </c>
      <c r="Q59" s="534">
        <v>0</v>
      </c>
      <c r="R59" s="534">
        <v>0</v>
      </c>
      <c r="S59" s="536">
        <f t="shared" si="24"/>
        <v>0</v>
      </c>
      <c r="T59" s="533"/>
      <c r="U59" s="534">
        <v>0</v>
      </c>
      <c r="V59" s="534">
        <v>0</v>
      </c>
      <c r="W59" s="534">
        <v>0</v>
      </c>
      <c r="X59" s="534">
        <v>0</v>
      </c>
      <c r="Y59" s="534">
        <v>0</v>
      </c>
      <c r="Z59" s="534">
        <v>0</v>
      </c>
      <c r="AA59" s="534">
        <v>0</v>
      </c>
      <c r="AB59" s="534">
        <v>0</v>
      </c>
      <c r="AC59" s="534">
        <v>0</v>
      </c>
      <c r="AD59" s="534">
        <v>0</v>
      </c>
      <c r="AE59" s="536">
        <f t="shared" si="25"/>
        <v>0</v>
      </c>
      <c r="AF59" s="533"/>
      <c r="AG59" s="534">
        <v>0</v>
      </c>
      <c r="AH59" s="534">
        <v>0</v>
      </c>
      <c r="AI59" s="534">
        <v>0</v>
      </c>
      <c r="AJ59" s="534">
        <v>0</v>
      </c>
      <c r="AK59" s="536">
        <f t="shared" si="26"/>
        <v>0</v>
      </c>
      <c r="AL59" s="533"/>
      <c r="AM59" s="534">
        <v>0</v>
      </c>
      <c r="AN59" s="534">
        <v>0</v>
      </c>
      <c r="AO59" s="534">
        <v>0</v>
      </c>
      <c r="AP59" s="537">
        <v>0</v>
      </c>
      <c r="AQ59" s="535">
        <v>0</v>
      </c>
      <c r="AR59" s="534">
        <v>0</v>
      </c>
      <c r="AS59" s="534">
        <v>0</v>
      </c>
      <c r="AT59" s="534">
        <v>0</v>
      </c>
      <c r="AU59" s="536">
        <f t="shared" si="27"/>
        <v>0</v>
      </c>
      <c r="AV59" s="533"/>
      <c r="AW59" s="538">
        <f t="shared" si="28"/>
        <v>0</v>
      </c>
      <c r="AX59" s="538">
        <f t="shared" si="29"/>
        <v>0</v>
      </c>
      <c r="AY59" s="533"/>
      <c r="AZ59" s="534">
        <f t="shared" si="30"/>
        <v>0</v>
      </c>
      <c r="BA59" s="534">
        <v>0</v>
      </c>
      <c r="BD59" s="392">
        <f t="shared" si="21"/>
        <v>0</v>
      </c>
      <c r="BE59" s="425">
        <f t="shared" si="22"/>
        <v>0</v>
      </c>
      <c r="BF59" s="425">
        <f t="shared" si="32"/>
        <v>0</v>
      </c>
      <c r="BG59" s="425">
        <f t="shared" si="32"/>
        <v>0</v>
      </c>
      <c r="BH59" s="425">
        <f t="shared" si="32"/>
        <v>0</v>
      </c>
      <c r="BI59" s="425">
        <f t="shared" si="32"/>
        <v>0</v>
      </c>
      <c r="BJ59" s="425">
        <f t="shared" si="32"/>
        <v>0</v>
      </c>
      <c r="BK59" s="425">
        <f t="shared" si="32"/>
        <v>0</v>
      </c>
      <c r="BL59" s="425">
        <f t="shared" si="32"/>
        <v>0</v>
      </c>
      <c r="BM59" s="425">
        <f t="shared" si="33"/>
        <v>0</v>
      </c>
      <c r="BN59" s="425">
        <f t="shared" si="33"/>
        <v>0</v>
      </c>
      <c r="BO59" s="425">
        <f t="shared" si="33"/>
        <v>0</v>
      </c>
      <c r="BP59" s="425">
        <f t="shared" si="34"/>
        <v>0</v>
      </c>
      <c r="BQ59" s="425">
        <f t="shared" si="34"/>
        <v>0</v>
      </c>
      <c r="BR59" s="425">
        <f t="shared" si="34"/>
        <v>0</v>
      </c>
      <c r="BS59" s="425">
        <f t="shared" si="35"/>
        <v>0</v>
      </c>
      <c r="BT59" s="426">
        <f t="shared" si="35"/>
        <v>0</v>
      </c>
    </row>
    <row r="60" spans="2:72" hidden="1" x14ac:dyDescent="0.25">
      <c r="B60" s="145"/>
      <c r="C60" s="539">
        <f t="shared" si="31"/>
        <v>40087</v>
      </c>
      <c r="D60" s="533"/>
      <c r="E60" s="534">
        <v>0</v>
      </c>
      <c r="F60" s="534">
        <v>0</v>
      </c>
      <c r="G60" s="534">
        <v>0</v>
      </c>
      <c r="H60" s="540">
        <v>0</v>
      </c>
      <c r="I60" s="536">
        <f t="shared" si="23"/>
        <v>0</v>
      </c>
      <c r="J60" s="533"/>
      <c r="K60" s="534">
        <v>0</v>
      </c>
      <c r="L60" s="534">
        <v>0</v>
      </c>
      <c r="M60" s="534">
        <v>0</v>
      </c>
      <c r="N60" s="534">
        <v>0</v>
      </c>
      <c r="O60" s="534">
        <v>0</v>
      </c>
      <c r="P60" s="534">
        <v>0</v>
      </c>
      <c r="Q60" s="534">
        <v>0</v>
      </c>
      <c r="R60" s="534">
        <v>0</v>
      </c>
      <c r="S60" s="536">
        <f t="shared" si="24"/>
        <v>0</v>
      </c>
      <c r="T60" s="533"/>
      <c r="U60" s="534">
        <v>0</v>
      </c>
      <c r="V60" s="534">
        <v>0</v>
      </c>
      <c r="W60" s="534">
        <v>0</v>
      </c>
      <c r="X60" s="534">
        <v>0</v>
      </c>
      <c r="Y60" s="534">
        <v>0</v>
      </c>
      <c r="Z60" s="534">
        <v>0</v>
      </c>
      <c r="AA60" s="534">
        <v>0</v>
      </c>
      <c r="AB60" s="534">
        <v>0</v>
      </c>
      <c r="AC60" s="534">
        <v>0</v>
      </c>
      <c r="AD60" s="534">
        <v>0</v>
      </c>
      <c r="AE60" s="536">
        <f t="shared" si="25"/>
        <v>0</v>
      </c>
      <c r="AF60" s="533"/>
      <c r="AG60" s="534">
        <v>0</v>
      </c>
      <c r="AH60" s="534">
        <v>0</v>
      </c>
      <c r="AI60" s="534">
        <v>0</v>
      </c>
      <c r="AJ60" s="534">
        <v>0</v>
      </c>
      <c r="AK60" s="536">
        <f t="shared" si="26"/>
        <v>0</v>
      </c>
      <c r="AL60" s="533"/>
      <c r="AM60" s="534">
        <v>0</v>
      </c>
      <c r="AN60" s="534">
        <v>0</v>
      </c>
      <c r="AO60" s="534">
        <v>0</v>
      </c>
      <c r="AP60" s="537">
        <v>0</v>
      </c>
      <c r="AQ60" s="535">
        <v>0</v>
      </c>
      <c r="AR60" s="534">
        <v>0</v>
      </c>
      <c r="AS60" s="534">
        <v>0</v>
      </c>
      <c r="AT60" s="534">
        <v>0</v>
      </c>
      <c r="AU60" s="536">
        <f t="shared" si="27"/>
        <v>0</v>
      </c>
      <c r="AV60" s="533"/>
      <c r="AW60" s="538">
        <f t="shared" si="28"/>
        <v>0</v>
      </c>
      <c r="AX60" s="538">
        <f t="shared" si="29"/>
        <v>0</v>
      </c>
      <c r="AY60" s="533"/>
      <c r="AZ60" s="534">
        <f t="shared" si="30"/>
        <v>0</v>
      </c>
      <c r="BA60" s="534">
        <v>0</v>
      </c>
      <c r="BD60" s="392">
        <f t="shared" si="21"/>
        <v>0</v>
      </c>
      <c r="BE60" s="425">
        <f t="shared" si="22"/>
        <v>0</v>
      </c>
      <c r="BF60" s="425">
        <f t="shared" si="32"/>
        <v>0</v>
      </c>
      <c r="BG60" s="425">
        <f t="shared" si="32"/>
        <v>0</v>
      </c>
      <c r="BH60" s="425">
        <f t="shared" si="32"/>
        <v>0</v>
      </c>
      <c r="BI60" s="425">
        <f t="shared" si="32"/>
        <v>0</v>
      </c>
      <c r="BJ60" s="425">
        <f t="shared" si="32"/>
        <v>0</v>
      </c>
      <c r="BK60" s="425">
        <f t="shared" si="32"/>
        <v>0</v>
      </c>
      <c r="BL60" s="425">
        <f t="shared" si="32"/>
        <v>0</v>
      </c>
      <c r="BM60" s="425">
        <f t="shared" si="33"/>
        <v>0</v>
      </c>
      <c r="BN60" s="425">
        <f t="shared" si="33"/>
        <v>0</v>
      </c>
      <c r="BO60" s="425">
        <f t="shared" si="33"/>
        <v>0</v>
      </c>
      <c r="BP60" s="425">
        <f t="shared" si="34"/>
        <v>0</v>
      </c>
      <c r="BQ60" s="425">
        <f t="shared" si="34"/>
        <v>0</v>
      </c>
      <c r="BR60" s="425">
        <f t="shared" si="34"/>
        <v>0</v>
      </c>
      <c r="BS60" s="425">
        <f t="shared" si="35"/>
        <v>0</v>
      </c>
      <c r="BT60" s="426">
        <f t="shared" si="35"/>
        <v>0</v>
      </c>
    </row>
    <row r="61" spans="2:72" hidden="1" x14ac:dyDescent="0.25">
      <c r="B61" s="145"/>
      <c r="C61" s="539">
        <f t="shared" si="31"/>
        <v>40118</v>
      </c>
      <c r="D61" s="533"/>
      <c r="E61" s="534">
        <v>0</v>
      </c>
      <c r="F61" s="534">
        <v>0</v>
      </c>
      <c r="G61" s="534">
        <v>0</v>
      </c>
      <c r="H61" s="540">
        <v>0</v>
      </c>
      <c r="I61" s="536">
        <f t="shared" si="23"/>
        <v>0</v>
      </c>
      <c r="J61" s="533"/>
      <c r="K61" s="534">
        <v>0</v>
      </c>
      <c r="L61" s="534">
        <v>0</v>
      </c>
      <c r="M61" s="534">
        <v>0</v>
      </c>
      <c r="N61" s="534">
        <v>0</v>
      </c>
      <c r="O61" s="534">
        <v>0</v>
      </c>
      <c r="P61" s="534">
        <v>0</v>
      </c>
      <c r="Q61" s="534">
        <v>0</v>
      </c>
      <c r="R61" s="534">
        <v>0</v>
      </c>
      <c r="S61" s="536">
        <f t="shared" si="24"/>
        <v>0</v>
      </c>
      <c r="T61" s="533"/>
      <c r="U61" s="534">
        <v>0</v>
      </c>
      <c r="V61" s="534">
        <v>0</v>
      </c>
      <c r="W61" s="534">
        <v>0</v>
      </c>
      <c r="X61" s="534">
        <v>0</v>
      </c>
      <c r="Y61" s="534">
        <v>0</v>
      </c>
      <c r="Z61" s="534">
        <v>0</v>
      </c>
      <c r="AA61" s="534">
        <v>0</v>
      </c>
      <c r="AB61" s="534">
        <v>0</v>
      </c>
      <c r="AC61" s="534">
        <v>0</v>
      </c>
      <c r="AD61" s="534">
        <v>0</v>
      </c>
      <c r="AE61" s="536">
        <f t="shared" si="25"/>
        <v>0</v>
      </c>
      <c r="AF61" s="533"/>
      <c r="AG61" s="534">
        <v>0</v>
      </c>
      <c r="AH61" s="534">
        <v>0</v>
      </c>
      <c r="AI61" s="534">
        <v>0</v>
      </c>
      <c r="AJ61" s="534">
        <v>0</v>
      </c>
      <c r="AK61" s="536">
        <f t="shared" si="26"/>
        <v>0</v>
      </c>
      <c r="AL61" s="533"/>
      <c r="AM61" s="534">
        <v>0</v>
      </c>
      <c r="AN61" s="534">
        <v>0</v>
      </c>
      <c r="AO61" s="534">
        <v>0</v>
      </c>
      <c r="AP61" s="537">
        <v>0</v>
      </c>
      <c r="AQ61" s="535">
        <v>0</v>
      </c>
      <c r="AR61" s="534">
        <v>0</v>
      </c>
      <c r="AS61" s="534">
        <v>0</v>
      </c>
      <c r="AT61" s="534">
        <v>0</v>
      </c>
      <c r="AU61" s="536">
        <f t="shared" si="27"/>
        <v>0</v>
      </c>
      <c r="AV61" s="533"/>
      <c r="AW61" s="538">
        <f t="shared" si="28"/>
        <v>0</v>
      </c>
      <c r="AX61" s="538">
        <f t="shared" si="29"/>
        <v>0</v>
      </c>
      <c r="AY61" s="533"/>
      <c r="AZ61" s="534">
        <f t="shared" si="30"/>
        <v>0</v>
      </c>
      <c r="BA61" s="534">
        <v>0</v>
      </c>
      <c r="BD61" s="392">
        <f t="shared" si="21"/>
        <v>0</v>
      </c>
      <c r="BE61" s="425">
        <f t="shared" si="22"/>
        <v>0</v>
      </c>
      <c r="BF61" s="425">
        <f t="shared" si="32"/>
        <v>0</v>
      </c>
      <c r="BG61" s="425">
        <f t="shared" si="32"/>
        <v>0</v>
      </c>
      <c r="BH61" s="425">
        <f t="shared" si="32"/>
        <v>0</v>
      </c>
      <c r="BI61" s="425">
        <f t="shared" si="32"/>
        <v>0</v>
      </c>
      <c r="BJ61" s="425">
        <f t="shared" si="32"/>
        <v>0</v>
      </c>
      <c r="BK61" s="425">
        <f t="shared" si="32"/>
        <v>0</v>
      </c>
      <c r="BL61" s="425">
        <f t="shared" si="32"/>
        <v>0</v>
      </c>
      <c r="BM61" s="425">
        <f t="shared" si="33"/>
        <v>0</v>
      </c>
      <c r="BN61" s="425">
        <f t="shared" si="33"/>
        <v>0</v>
      </c>
      <c r="BO61" s="425">
        <f t="shared" si="33"/>
        <v>0</v>
      </c>
      <c r="BP61" s="425">
        <f t="shared" si="34"/>
        <v>0</v>
      </c>
      <c r="BQ61" s="425">
        <f t="shared" si="34"/>
        <v>0</v>
      </c>
      <c r="BR61" s="425">
        <f t="shared" si="34"/>
        <v>0</v>
      </c>
      <c r="BS61" s="425">
        <f t="shared" si="35"/>
        <v>0</v>
      </c>
      <c r="BT61" s="426">
        <f t="shared" si="35"/>
        <v>0</v>
      </c>
    </row>
    <row r="62" spans="2:72" hidden="1" x14ac:dyDescent="0.25">
      <c r="B62" s="145"/>
      <c r="C62" s="539">
        <f t="shared" si="31"/>
        <v>40148</v>
      </c>
      <c r="D62" s="533"/>
      <c r="E62" s="534">
        <v>0</v>
      </c>
      <c r="F62" s="534">
        <v>0</v>
      </c>
      <c r="G62" s="534">
        <v>0</v>
      </c>
      <c r="H62" s="540">
        <v>0</v>
      </c>
      <c r="I62" s="536">
        <f t="shared" si="23"/>
        <v>0</v>
      </c>
      <c r="J62" s="533"/>
      <c r="K62" s="534">
        <v>0</v>
      </c>
      <c r="L62" s="534">
        <v>0</v>
      </c>
      <c r="M62" s="534">
        <v>0</v>
      </c>
      <c r="N62" s="534">
        <v>0</v>
      </c>
      <c r="O62" s="534">
        <v>0</v>
      </c>
      <c r="P62" s="534">
        <v>0</v>
      </c>
      <c r="Q62" s="534">
        <v>0</v>
      </c>
      <c r="R62" s="534">
        <v>0</v>
      </c>
      <c r="S62" s="536">
        <f t="shared" si="24"/>
        <v>0</v>
      </c>
      <c r="T62" s="533"/>
      <c r="U62" s="534">
        <v>0</v>
      </c>
      <c r="V62" s="534">
        <v>0</v>
      </c>
      <c r="W62" s="534">
        <v>0</v>
      </c>
      <c r="X62" s="534">
        <v>0</v>
      </c>
      <c r="Y62" s="534">
        <v>0</v>
      </c>
      <c r="Z62" s="534">
        <v>0</v>
      </c>
      <c r="AA62" s="534">
        <v>0</v>
      </c>
      <c r="AB62" s="534">
        <v>0</v>
      </c>
      <c r="AC62" s="534">
        <v>0</v>
      </c>
      <c r="AD62" s="534">
        <v>0</v>
      </c>
      <c r="AE62" s="536">
        <f t="shared" si="25"/>
        <v>0</v>
      </c>
      <c r="AF62" s="533"/>
      <c r="AG62" s="534">
        <v>0</v>
      </c>
      <c r="AH62" s="534">
        <v>0</v>
      </c>
      <c r="AI62" s="534">
        <v>0</v>
      </c>
      <c r="AJ62" s="534">
        <v>0</v>
      </c>
      <c r="AK62" s="536">
        <f t="shared" si="26"/>
        <v>0</v>
      </c>
      <c r="AL62" s="533"/>
      <c r="AM62" s="534">
        <v>0</v>
      </c>
      <c r="AN62" s="534">
        <v>0</v>
      </c>
      <c r="AO62" s="534">
        <v>0</v>
      </c>
      <c r="AP62" s="537">
        <v>0</v>
      </c>
      <c r="AQ62" s="535">
        <v>0</v>
      </c>
      <c r="AR62" s="534">
        <v>0</v>
      </c>
      <c r="AS62" s="534">
        <v>0</v>
      </c>
      <c r="AT62" s="534">
        <v>0</v>
      </c>
      <c r="AU62" s="536">
        <f t="shared" si="27"/>
        <v>0</v>
      </c>
      <c r="AV62" s="533"/>
      <c r="AW62" s="538">
        <f t="shared" si="28"/>
        <v>0</v>
      </c>
      <c r="AX62" s="538">
        <f t="shared" si="29"/>
        <v>0</v>
      </c>
      <c r="AY62" s="533"/>
      <c r="AZ62" s="534">
        <f t="shared" si="30"/>
        <v>0</v>
      </c>
      <c r="BA62" s="534">
        <v>0</v>
      </c>
      <c r="BD62" s="392">
        <f t="shared" si="21"/>
        <v>0</v>
      </c>
      <c r="BE62" s="425">
        <f t="shared" si="22"/>
        <v>0</v>
      </c>
      <c r="BF62" s="425">
        <f t="shared" si="32"/>
        <v>0</v>
      </c>
      <c r="BG62" s="425">
        <f t="shared" si="32"/>
        <v>0</v>
      </c>
      <c r="BH62" s="425">
        <f t="shared" si="32"/>
        <v>0</v>
      </c>
      <c r="BI62" s="425">
        <f t="shared" si="32"/>
        <v>0</v>
      </c>
      <c r="BJ62" s="425">
        <f t="shared" si="32"/>
        <v>0</v>
      </c>
      <c r="BK62" s="425">
        <f t="shared" si="32"/>
        <v>0</v>
      </c>
      <c r="BL62" s="425">
        <f t="shared" si="32"/>
        <v>0</v>
      </c>
      <c r="BM62" s="425">
        <f t="shared" si="33"/>
        <v>0</v>
      </c>
      <c r="BN62" s="425">
        <f t="shared" si="33"/>
        <v>0</v>
      </c>
      <c r="BO62" s="425">
        <f t="shared" si="33"/>
        <v>0</v>
      </c>
      <c r="BP62" s="425">
        <f t="shared" si="34"/>
        <v>0</v>
      </c>
      <c r="BQ62" s="425">
        <f t="shared" si="34"/>
        <v>0</v>
      </c>
      <c r="BR62" s="425">
        <f t="shared" si="34"/>
        <v>0</v>
      </c>
      <c r="BS62" s="425">
        <f t="shared" si="35"/>
        <v>0</v>
      </c>
      <c r="BT62" s="426">
        <f t="shared" si="35"/>
        <v>0</v>
      </c>
    </row>
    <row r="63" spans="2:72" hidden="1" x14ac:dyDescent="0.25">
      <c r="B63" s="145"/>
      <c r="C63" s="539">
        <f t="shared" si="31"/>
        <v>40179</v>
      </c>
      <c r="D63" s="533"/>
      <c r="E63" s="534">
        <v>0</v>
      </c>
      <c r="F63" s="534">
        <v>0</v>
      </c>
      <c r="G63" s="534">
        <v>0</v>
      </c>
      <c r="H63" s="540">
        <v>0</v>
      </c>
      <c r="I63" s="536">
        <f t="shared" si="23"/>
        <v>0</v>
      </c>
      <c r="J63" s="533"/>
      <c r="K63" s="534">
        <v>0</v>
      </c>
      <c r="L63" s="534">
        <v>0</v>
      </c>
      <c r="M63" s="534">
        <v>0</v>
      </c>
      <c r="N63" s="534">
        <v>0</v>
      </c>
      <c r="O63" s="534">
        <v>0</v>
      </c>
      <c r="P63" s="534">
        <v>0</v>
      </c>
      <c r="Q63" s="534">
        <v>0</v>
      </c>
      <c r="R63" s="534">
        <v>0</v>
      </c>
      <c r="S63" s="536">
        <f t="shared" si="24"/>
        <v>0</v>
      </c>
      <c r="T63" s="533"/>
      <c r="U63" s="534">
        <v>0</v>
      </c>
      <c r="V63" s="534">
        <v>0</v>
      </c>
      <c r="W63" s="534">
        <v>0</v>
      </c>
      <c r="X63" s="534">
        <v>0</v>
      </c>
      <c r="Y63" s="534">
        <v>0</v>
      </c>
      <c r="Z63" s="534">
        <v>0</v>
      </c>
      <c r="AA63" s="534">
        <v>0</v>
      </c>
      <c r="AB63" s="534">
        <v>0</v>
      </c>
      <c r="AC63" s="534">
        <v>0</v>
      </c>
      <c r="AD63" s="534">
        <v>0</v>
      </c>
      <c r="AE63" s="536">
        <f t="shared" si="25"/>
        <v>0</v>
      </c>
      <c r="AF63" s="533"/>
      <c r="AG63" s="534">
        <v>0</v>
      </c>
      <c r="AH63" s="534">
        <v>0</v>
      </c>
      <c r="AI63" s="534">
        <v>0</v>
      </c>
      <c r="AJ63" s="534">
        <v>0</v>
      </c>
      <c r="AK63" s="536">
        <f t="shared" si="26"/>
        <v>0</v>
      </c>
      <c r="AL63" s="533"/>
      <c r="AM63" s="534">
        <v>0</v>
      </c>
      <c r="AN63" s="534">
        <v>0</v>
      </c>
      <c r="AO63" s="534">
        <v>0</v>
      </c>
      <c r="AP63" s="537">
        <v>0</v>
      </c>
      <c r="AQ63" s="535">
        <v>0</v>
      </c>
      <c r="AR63" s="534">
        <v>0</v>
      </c>
      <c r="AS63" s="534">
        <v>0</v>
      </c>
      <c r="AT63" s="534">
        <v>0</v>
      </c>
      <c r="AU63" s="536">
        <f t="shared" si="27"/>
        <v>0</v>
      </c>
      <c r="AV63" s="533"/>
      <c r="AW63" s="538">
        <f t="shared" si="28"/>
        <v>0</v>
      </c>
      <c r="AX63" s="538">
        <f t="shared" si="29"/>
        <v>0</v>
      </c>
      <c r="AY63" s="533"/>
      <c r="AZ63" s="534">
        <f t="shared" si="30"/>
        <v>0</v>
      </c>
      <c r="BA63" s="534">
        <v>0</v>
      </c>
      <c r="BD63" s="392">
        <f t="shared" si="21"/>
        <v>0</v>
      </c>
      <c r="BE63" s="425">
        <f t="shared" si="22"/>
        <v>0</v>
      </c>
      <c r="BF63" s="425">
        <f t="shared" si="32"/>
        <v>0</v>
      </c>
      <c r="BG63" s="425">
        <f t="shared" si="32"/>
        <v>0</v>
      </c>
      <c r="BH63" s="425">
        <f t="shared" si="32"/>
        <v>0</v>
      </c>
      <c r="BI63" s="425">
        <f t="shared" si="32"/>
        <v>0</v>
      </c>
      <c r="BJ63" s="425">
        <f t="shared" si="32"/>
        <v>0</v>
      </c>
      <c r="BK63" s="425">
        <f t="shared" si="32"/>
        <v>0</v>
      </c>
      <c r="BL63" s="425">
        <f t="shared" si="32"/>
        <v>0</v>
      </c>
      <c r="BM63" s="425">
        <f t="shared" si="33"/>
        <v>0</v>
      </c>
      <c r="BN63" s="425">
        <f t="shared" si="33"/>
        <v>0</v>
      </c>
      <c r="BO63" s="425">
        <f t="shared" si="33"/>
        <v>0</v>
      </c>
      <c r="BP63" s="425">
        <f t="shared" si="34"/>
        <v>0</v>
      </c>
      <c r="BQ63" s="425">
        <f t="shared" si="34"/>
        <v>0</v>
      </c>
      <c r="BR63" s="425">
        <f t="shared" si="34"/>
        <v>0</v>
      </c>
      <c r="BS63" s="425">
        <f t="shared" si="35"/>
        <v>0</v>
      </c>
      <c r="BT63" s="426">
        <f t="shared" si="35"/>
        <v>0</v>
      </c>
    </row>
    <row r="64" spans="2:72" hidden="1" x14ac:dyDescent="0.25">
      <c r="B64" s="145"/>
      <c r="C64" s="539">
        <f t="shared" si="31"/>
        <v>40210</v>
      </c>
      <c r="D64" s="533"/>
      <c r="E64" s="534">
        <v>0</v>
      </c>
      <c r="F64" s="534">
        <v>0</v>
      </c>
      <c r="G64" s="534">
        <v>0</v>
      </c>
      <c r="H64" s="540">
        <v>0</v>
      </c>
      <c r="I64" s="536">
        <f t="shared" si="23"/>
        <v>0</v>
      </c>
      <c r="J64" s="533"/>
      <c r="K64" s="534">
        <v>0</v>
      </c>
      <c r="L64" s="534">
        <v>0</v>
      </c>
      <c r="M64" s="534">
        <v>0</v>
      </c>
      <c r="N64" s="534">
        <v>0</v>
      </c>
      <c r="O64" s="534">
        <v>0</v>
      </c>
      <c r="P64" s="534">
        <v>0</v>
      </c>
      <c r="Q64" s="534">
        <v>0</v>
      </c>
      <c r="R64" s="534">
        <v>0</v>
      </c>
      <c r="S64" s="536">
        <f t="shared" si="24"/>
        <v>0</v>
      </c>
      <c r="T64" s="533"/>
      <c r="U64" s="534">
        <v>0</v>
      </c>
      <c r="V64" s="534">
        <v>0</v>
      </c>
      <c r="W64" s="534">
        <v>0</v>
      </c>
      <c r="X64" s="534">
        <v>0</v>
      </c>
      <c r="Y64" s="534">
        <v>0</v>
      </c>
      <c r="Z64" s="534">
        <v>0</v>
      </c>
      <c r="AA64" s="534">
        <v>0</v>
      </c>
      <c r="AB64" s="534">
        <v>0</v>
      </c>
      <c r="AC64" s="534">
        <v>0</v>
      </c>
      <c r="AD64" s="534">
        <v>0</v>
      </c>
      <c r="AE64" s="536">
        <f t="shared" si="25"/>
        <v>0</v>
      </c>
      <c r="AF64" s="533"/>
      <c r="AG64" s="534">
        <v>0</v>
      </c>
      <c r="AH64" s="534">
        <v>0</v>
      </c>
      <c r="AI64" s="534">
        <v>0</v>
      </c>
      <c r="AJ64" s="534">
        <v>0</v>
      </c>
      <c r="AK64" s="536">
        <f t="shared" si="26"/>
        <v>0</v>
      </c>
      <c r="AL64" s="533"/>
      <c r="AM64" s="534">
        <v>0</v>
      </c>
      <c r="AN64" s="534">
        <v>0</v>
      </c>
      <c r="AO64" s="534">
        <v>0</v>
      </c>
      <c r="AP64" s="537">
        <v>0</v>
      </c>
      <c r="AQ64" s="535">
        <v>0</v>
      </c>
      <c r="AR64" s="534">
        <v>0</v>
      </c>
      <c r="AS64" s="534">
        <v>0</v>
      </c>
      <c r="AT64" s="534">
        <v>0</v>
      </c>
      <c r="AU64" s="536">
        <f t="shared" si="27"/>
        <v>0</v>
      </c>
      <c r="AV64" s="533"/>
      <c r="AW64" s="538">
        <f t="shared" si="28"/>
        <v>0</v>
      </c>
      <c r="AX64" s="538">
        <f t="shared" si="29"/>
        <v>0</v>
      </c>
      <c r="AY64" s="533"/>
      <c r="AZ64" s="534">
        <f t="shared" si="30"/>
        <v>0</v>
      </c>
      <c r="BA64" s="534">
        <v>0</v>
      </c>
      <c r="BD64" s="392">
        <f t="shared" si="21"/>
        <v>0</v>
      </c>
      <c r="BE64" s="425">
        <f t="shared" si="22"/>
        <v>0</v>
      </c>
      <c r="BF64" s="425">
        <f t="shared" si="32"/>
        <v>0</v>
      </c>
      <c r="BG64" s="425">
        <f t="shared" si="32"/>
        <v>0</v>
      </c>
      <c r="BH64" s="425">
        <f t="shared" si="32"/>
        <v>0</v>
      </c>
      <c r="BI64" s="425">
        <f t="shared" si="32"/>
        <v>0</v>
      </c>
      <c r="BJ64" s="425">
        <f t="shared" si="32"/>
        <v>0</v>
      </c>
      <c r="BK64" s="425">
        <f t="shared" si="32"/>
        <v>0</v>
      </c>
      <c r="BL64" s="425">
        <f t="shared" si="32"/>
        <v>0</v>
      </c>
      <c r="BM64" s="425">
        <f t="shared" si="33"/>
        <v>0</v>
      </c>
      <c r="BN64" s="425">
        <f t="shared" si="33"/>
        <v>0</v>
      </c>
      <c r="BO64" s="425">
        <f t="shared" si="33"/>
        <v>0</v>
      </c>
      <c r="BP64" s="425">
        <f t="shared" si="34"/>
        <v>0</v>
      </c>
      <c r="BQ64" s="425">
        <f t="shared" si="34"/>
        <v>0</v>
      </c>
      <c r="BR64" s="425">
        <f t="shared" si="34"/>
        <v>0</v>
      </c>
      <c r="BS64" s="425">
        <f t="shared" si="35"/>
        <v>0</v>
      </c>
      <c r="BT64" s="426">
        <f t="shared" si="35"/>
        <v>0</v>
      </c>
    </row>
    <row r="65" spans="2:72" hidden="1" x14ac:dyDescent="0.25">
      <c r="B65" s="145"/>
      <c r="C65" s="539">
        <f t="shared" si="31"/>
        <v>40238</v>
      </c>
      <c r="D65" s="533"/>
      <c r="E65" s="534">
        <v>0</v>
      </c>
      <c r="F65" s="534">
        <v>0</v>
      </c>
      <c r="G65" s="534">
        <v>0</v>
      </c>
      <c r="H65" s="540">
        <v>0</v>
      </c>
      <c r="I65" s="536">
        <f t="shared" si="23"/>
        <v>0</v>
      </c>
      <c r="J65" s="533"/>
      <c r="K65" s="534">
        <v>0</v>
      </c>
      <c r="L65" s="534">
        <v>0</v>
      </c>
      <c r="M65" s="534">
        <v>0</v>
      </c>
      <c r="N65" s="534">
        <v>0</v>
      </c>
      <c r="O65" s="534">
        <v>0</v>
      </c>
      <c r="P65" s="534">
        <v>0</v>
      </c>
      <c r="Q65" s="534">
        <v>0</v>
      </c>
      <c r="R65" s="534">
        <v>0</v>
      </c>
      <c r="S65" s="536">
        <f t="shared" si="24"/>
        <v>0</v>
      </c>
      <c r="T65" s="533"/>
      <c r="U65" s="534">
        <v>0</v>
      </c>
      <c r="V65" s="534">
        <v>0</v>
      </c>
      <c r="W65" s="534">
        <v>0</v>
      </c>
      <c r="X65" s="534">
        <v>0</v>
      </c>
      <c r="Y65" s="534">
        <v>0</v>
      </c>
      <c r="Z65" s="534">
        <v>0</v>
      </c>
      <c r="AA65" s="534">
        <v>0</v>
      </c>
      <c r="AB65" s="534">
        <v>0</v>
      </c>
      <c r="AC65" s="534">
        <v>0</v>
      </c>
      <c r="AD65" s="534">
        <v>0</v>
      </c>
      <c r="AE65" s="536">
        <f t="shared" si="25"/>
        <v>0</v>
      </c>
      <c r="AF65" s="533"/>
      <c r="AG65" s="534">
        <v>0</v>
      </c>
      <c r="AH65" s="534">
        <v>0</v>
      </c>
      <c r="AI65" s="534">
        <v>0</v>
      </c>
      <c r="AJ65" s="534">
        <v>0</v>
      </c>
      <c r="AK65" s="536">
        <f t="shared" si="26"/>
        <v>0</v>
      </c>
      <c r="AL65" s="533"/>
      <c r="AM65" s="534">
        <v>0</v>
      </c>
      <c r="AN65" s="534">
        <v>0</v>
      </c>
      <c r="AO65" s="534">
        <v>0</v>
      </c>
      <c r="AP65" s="537">
        <v>0</v>
      </c>
      <c r="AQ65" s="535">
        <v>0</v>
      </c>
      <c r="AR65" s="534">
        <v>0</v>
      </c>
      <c r="AS65" s="534">
        <v>0</v>
      </c>
      <c r="AT65" s="534">
        <v>0</v>
      </c>
      <c r="AU65" s="536">
        <f t="shared" si="27"/>
        <v>0</v>
      </c>
      <c r="AV65" s="533"/>
      <c r="AW65" s="538">
        <f t="shared" si="28"/>
        <v>0</v>
      </c>
      <c r="AX65" s="538">
        <f t="shared" si="29"/>
        <v>0</v>
      </c>
      <c r="AY65" s="533"/>
      <c r="AZ65" s="534">
        <f t="shared" si="30"/>
        <v>0</v>
      </c>
      <c r="BA65" s="534">
        <v>0</v>
      </c>
      <c r="BD65" s="392">
        <f t="shared" si="21"/>
        <v>0</v>
      </c>
      <c r="BE65" s="425">
        <f t="shared" si="22"/>
        <v>0</v>
      </c>
      <c r="BF65" s="425">
        <f t="shared" si="32"/>
        <v>0</v>
      </c>
      <c r="BG65" s="425">
        <f t="shared" si="32"/>
        <v>0</v>
      </c>
      <c r="BH65" s="425">
        <f t="shared" si="32"/>
        <v>0</v>
      </c>
      <c r="BI65" s="425">
        <f t="shared" si="32"/>
        <v>0</v>
      </c>
      <c r="BJ65" s="425">
        <f t="shared" si="32"/>
        <v>0</v>
      </c>
      <c r="BK65" s="425">
        <f t="shared" si="32"/>
        <v>0</v>
      </c>
      <c r="BL65" s="425">
        <f t="shared" si="32"/>
        <v>0</v>
      </c>
      <c r="BM65" s="425">
        <f t="shared" si="33"/>
        <v>0</v>
      </c>
      <c r="BN65" s="425">
        <f t="shared" si="33"/>
        <v>0</v>
      </c>
      <c r="BO65" s="425">
        <f t="shared" si="33"/>
        <v>0</v>
      </c>
      <c r="BP65" s="425">
        <f t="shared" si="34"/>
        <v>0</v>
      </c>
      <c r="BQ65" s="425">
        <f t="shared" si="34"/>
        <v>0</v>
      </c>
      <c r="BR65" s="425">
        <f t="shared" si="34"/>
        <v>0</v>
      </c>
      <c r="BS65" s="425">
        <f t="shared" si="35"/>
        <v>0</v>
      </c>
      <c r="BT65" s="426">
        <f t="shared" si="35"/>
        <v>0</v>
      </c>
    </row>
    <row r="66" spans="2:72" hidden="1" x14ac:dyDescent="0.25">
      <c r="B66" s="145"/>
      <c r="C66" s="539">
        <f t="shared" si="31"/>
        <v>40269</v>
      </c>
      <c r="D66" s="533"/>
      <c r="E66" s="534">
        <v>0</v>
      </c>
      <c r="F66" s="534">
        <v>0</v>
      </c>
      <c r="G66" s="534">
        <v>0</v>
      </c>
      <c r="H66" s="540">
        <v>0</v>
      </c>
      <c r="I66" s="536">
        <f t="shared" si="23"/>
        <v>0</v>
      </c>
      <c r="J66" s="533"/>
      <c r="K66" s="534">
        <v>0</v>
      </c>
      <c r="L66" s="534">
        <v>0</v>
      </c>
      <c r="M66" s="534">
        <v>0</v>
      </c>
      <c r="N66" s="534">
        <v>0</v>
      </c>
      <c r="O66" s="534">
        <v>0</v>
      </c>
      <c r="P66" s="534">
        <v>0</v>
      </c>
      <c r="Q66" s="534">
        <v>0</v>
      </c>
      <c r="R66" s="534">
        <v>0</v>
      </c>
      <c r="S66" s="536">
        <f t="shared" si="24"/>
        <v>0</v>
      </c>
      <c r="T66" s="533"/>
      <c r="U66" s="534">
        <v>0</v>
      </c>
      <c r="V66" s="534">
        <v>0</v>
      </c>
      <c r="W66" s="534">
        <v>0</v>
      </c>
      <c r="X66" s="534">
        <v>0</v>
      </c>
      <c r="Y66" s="534">
        <v>0</v>
      </c>
      <c r="Z66" s="534">
        <v>0</v>
      </c>
      <c r="AA66" s="534">
        <v>0</v>
      </c>
      <c r="AB66" s="534">
        <v>0</v>
      </c>
      <c r="AC66" s="534">
        <v>0</v>
      </c>
      <c r="AD66" s="534">
        <v>0</v>
      </c>
      <c r="AE66" s="536">
        <f t="shared" si="25"/>
        <v>0</v>
      </c>
      <c r="AF66" s="533"/>
      <c r="AG66" s="534">
        <v>0</v>
      </c>
      <c r="AH66" s="534">
        <v>0</v>
      </c>
      <c r="AI66" s="534">
        <v>0</v>
      </c>
      <c r="AJ66" s="534">
        <v>0</v>
      </c>
      <c r="AK66" s="536">
        <f t="shared" si="26"/>
        <v>0</v>
      </c>
      <c r="AL66" s="533"/>
      <c r="AM66" s="534">
        <v>0</v>
      </c>
      <c r="AN66" s="534">
        <v>0</v>
      </c>
      <c r="AO66" s="534">
        <v>0</v>
      </c>
      <c r="AP66" s="537">
        <v>0</v>
      </c>
      <c r="AQ66" s="535">
        <v>0</v>
      </c>
      <c r="AR66" s="534">
        <v>0</v>
      </c>
      <c r="AS66" s="534">
        <v>0</v>
      </c>
      <c r="AT66" s="534">
        <v>0</v>
      </c>
      <c r="AU66" s="536">
        <f t="shared" si="27"/>
        <v>0</v>
      </c>
      <c r="AV66" s="533"/>
      <c r="AW66" s="538">
        <f t="shared" si="28"/>
        <v>0</v>
      </c>
      <c r="AX66" s="538">
        <f t="shared" si="29"/>
        <v>0</v>
      </c>
      <c r="AY66" s="533"/>
      <c r="AZ66" s="534">
        <f t="shared" si="30"/>
        <v>0</v>
      </c>
      <c r="BA66" s="534">
        <v>0</v>
      </c>
      <c r="BD66" s="392">
        <f t="shared" si="21"/>
        <v>0</v>
      </c>
      <c r="BE66" s="425">
        <f t="shared" si="22"/>
        <v>0</v>
      </c>
      <c r="BF66" s="425">
        <f t="shared" si="32"/>
        <v>0</v>
      </c>
      <c r="BG66" s="425">
        <f t="shared" si="32"/>
        <v>0</v>
      </c>
      <c r="BH66" s="425">
        <f t="shared" si="32"/>
        <v>0</v>
      </c>
      <c r="BI66" s="425">
        <f t="shared" si="32"/>
        <v>0</v>
      </c>
      <c r="BJ66" s="425">
        <f t="shared" si="32"/>
        <v>0</v>
      </c>
      <c r="BK66" s="425">
        <f t="shared" si="32"/>
        <v>0</v>
      </c>
      <c r="BL66" s="425">
        <f t="shared" si="32"/>
        <v>0</v>
      </c>
      <c r="BM66" s="425">
        <f t="shared" si="33"/>
        <v>0</v>
      </c>
      <c r="BN66" s="425">
        <f t="shared" si="33"/>
        <v>0</v>
      </c>
      <c r="BO66" s="425">
        <f t="shared" si="33"/>
        <v>0</v>
      </c>
      <c r="BP66" s="425">
        <f t="shared" si="34"/>
        <v>0</v>
      </c>
      <c r="BQ66" s="425">
        <f t="shared" si="34"/>
        <v>0</v>
      </c>
      <c r="BR66" s="425">
        <f t="shared" si="34"/>
        <v>0</v>
      </c>
      <c r="BS66" s="425">
        <f t="shared" si="35"/>
        <v>0</v>
      </c>
      <c r="BT66" s="426">
        <f t="shared" si="35"/>
        <v>0</v>
      </c>
    </row>
    <row r="67" spans="2:72" hidden="1" x14ac:dyDescent="0.25">
      <c r="B67" s="145"/>
      <c r="C67" s="539">
        <f t="shared" si="31"/>
        <v>40299</v>
      </c>
      <c r="D67" s="533"/>
      <c r="E67" s="534">
        <v>0</v>
      </c>
      <c r="F67" s="534">
        <v>0</v>
      </c>
      <c r="G67" s="534">
        <v>0</v>
      </c>
      <c r="H67" s="540">
        <v>0</v>
      </c>
      <c r="I67" s="536">
        <f t="shared" si="23"/>
        <v>0</v>
      </c>
      <c r="J67" s="533"/>
      <c r="K67" s="534">
        <v>0</v>
      </c>
      <c r="L67" s="534">
        <v>0</v>
      </c>
      <c r="M67" s="534">
        <v>0</v>
      </c>
      <c r="N67" s="534">
        <v>0</v>
      </c>
      <c r="O67" s="534">
        <v>0</v>
      </c>
      <c r="P67" s="534">
        <v>0</v>
      </c>
      <c r="Q67" s="534">
        <v>0</v>
      </c>
      <c r="R67" s="534">
        <v>0</v>
      </c>
      <c r="S67" s="536">
        <f t="shared" si="24"/>
        <v>0</v>
      </c>
      <c r="T67" s="533"/>
      <c r="U67" s="534">
        <v>0</v>
      </c>
      <c r="V67" s="534">
        <v>0</v>
      </c>
      <c r="W67" s="534">
        <v>0</v>
      </c>
      <c r="X67" s="534">
        <v>0</v>
      </c>
      <c r="Y67" s="534">
        <v>0</v>
      </c>
      <c r="Z67" s="534">
        <v>0</v>
      </c>
      <c r="AA67" s="534">
        <v>0</v>
      </c>
      <c r="AB67" s="534">
        <v>0</v>
      </c>
      <c r="AC67" s="534">
        <v>0</v>
      </c>
      <c r="AD67" s="534">
        <v>0</v>
      </c>
      <c r="AE67" s="536">
        <f t="shared" si="25"/>
        <v>0</v>
      </c>
      <c r="AF67" s="533"/>
      <c r="AG67" s="534">
        <v>0</v>
      </c>
      <c r="AH67" s="534">
        <v>0</v>
      </c>
      <c r="AI67" s="534">
        <v>0</v>
      </c>
      <c r="AJ67" s="534">
        <v>0</v>
      </c>
      <c r="AK67" s="536">
        <f t="shared" si="26"/>
        <v>0</v>
      </c>
      <c r="AL67" s="533"/>
      <c r="AM67" s="534">
        <v>0</v>
      </c>
      <c r="AN67" s="534">
        <v>0</v>
      </c>
      <c r="AO67" s="534">
        <v>0</v>
      </c>
      <c r="AP67" s="537">
        <v>0</v>
      </c>
      <c r="AQ67" s="535">
        <v>0</v>
      </c>
      <c r="AR67" s="534">
        <v>0</v>
      </c>
      <c r="AS67" s="534">
        <v>0</v>
      </c>
      <c r="AT67" s="534">
        <v>0</v>
      </c>
      <c r="AU67" s="536">
        <f t="shared" si="27"/>
        <v>0</v>
      </c>
      <c r="AV67" s="533"/>
      <c r="AW67" s="538">
        <f t="shared" si="28"/>
        <v>0</v>
      </c>
      <c r="AX67" s="538">
        <f t="shared" si="29"/>
        <v>0</v>
      </c>
      <c r="AY67" s="533"/>
      <c r="AZ67" s="534">
        <f t="shared" si="30"/>
        <v>0</v>
      </c>
      <c r="BA67" s="534">
        <v>0</v>
      </c>
      <c r="BD67" s="392">
        <f t="shared" si="21"/>
        <v>0</v>
      </c>
      <c r="BE67" s="425">
        <f t="shared" si="22"/>
        <v>0</v>
      </c>
      <c r="BF67" s="425">
        <f t="shared" si="32"/>
        <v>0</v>
      </c>
      <c r="BG67" s="425">
        <f t="shared" si="32"/>
        <v>0</v>
      </c>
      <c r="BH67" s="425">
        <f t="shared" si="32"/>
        <v>0</v>
      </c>
      <c r="BI67" s="425">
        <f t="shared" si="32"/>
        <v>0</v>
      </c>
      <c r="BJ67" s="425">
        <f t="shared" si="32"/>
        <v>0</v>
      </c>
      <c r="BK67" s="425">
        <f t="shared" si="32"/>
        <v>0</v>
      </c>
      <c r="BL67" s="425">
        <f t="shared" si="32"/>
        <v>0</v>
      </c>
      <c r="BM67" s="425">
        <f t="shared" si="33"/>
        <v>0</v>
      </c>
      <c r="BN67" s="425">
        <f t="shared" si="33"/>
        <v>0</v>
      </c>
      <c r="BO67" s="425">
        <f t="shared" si="33"/>
        <v>0</v>
      </c>
      <c r="BP67" s="425">
        <f t="shared" si="34"/>
        <v>0</v>
      </c>
      <c r="BQ67" s="425">
        <f t="shared" si="34"/>
        <v>0</v>
      </c>
      <c r="BR67" s="425">
        <f t="shared" si="34"/>
        <v>0</v>
      </c>
      <c r="BS67" s="425">
        <f t="shared" si="35"/>
        <v>0</v>
      </c>
      <c r="BT67" s="426">
        <f t="shared" si="35"/>
        <v>0</v>
      </c>
    </row>
    <row r="68" spans="2:72" hidden="1" x14ac:dyDescent="0.25">
      <c r="B68" s="145"/>
      <c r="C68" s="539">
        <f t="shared" si="31"/>
        <v>40330</v>
      </c>
      <c r="D68" s="533"/>
      <c r="E68" s="534">
        <v>0</v>
      </c>
      <c r="F68" s="534">
        <v>0</v>
      </c>
      <c r="G68" s="534">
        <v>0</v>
      </c>
      <c r="H68" s="540">
        <v>0</v>
      </c>
      <c r="I68" s="536">
        <f t="shared" si="23"/>
        <v>0</v>
      </c>
      <c r="J68" s="533"/>
      <c r="K68" s="534">
        <v>0</v>
      </c>
      <c r="L68" s="534">
        <v>0</v>
      </c>
      <c r="M68" s="534">
        <v>0</v>
      </c>
      <c r="N68" s="534">
        <v>0</v>
      </c>
      <c r="O68" s="534">
        <v>0</v>
      </c>
      <c r="P68" s="534">
        <v>0</v>
      </c>
      <c r="Q68" s="534">
        <v>0</v>
      </c>
      <c r="R68" s="534">
        <v>0</v>
      </c>
      <c r="S68" s="536">
        <f t="shared" si="24"/>
        <v>0</v>
      </c>
      <c r="T68" s="533"/>
      <c r="U68" s="534">
        <v>0</v>
      </c>
      <c r="V68" s="534">
        <v>0</v>
      </c>
      <c r="W68" s="534">
        <v>0</v>
      </c>
      <c r="X68" s="534">
        <v>0</v>
      </c>
      <c r="Y68" s="534">
        <v>0</v>
      </c>
      <c r="Z68" s="534">
        <v>0</v>
      </c>
      <c r="AA68" s="534">
        <v>0</v>
      </c>
      <c r="AB68" s="534">
        <v>0</v>
      </c>
      <c r="AC68" s="534">
        <v>0</v>
      </c>
      <c r="AD68" s="534">
        <v>0</v>
      </c>
      <c r="AE68" s="536">
        <f t="shared" si="25"/>
        <v>0</v>
      </c>
      <c r="AF68" s="533"/>
      <c r="AG68" s="534">
        <v>0</v>
      </c>
      <c r="AH68" s="534">
        <v>0</v>
      </c>
      <c r="AI68" s="534">
        <v>0</v>
      </c>
      <c r="AJ68" s="534">
        <v>0</v>
      </c>
      <c r="AK68" s="536">
        <f t="shared" si="26"/>
        <v>0</v>
      </c>
      <c r="AL68" s="533"/>
      <c r="AM68" s="534">
        <v>0</v>
      </c>
      <c r="AN68" s="534">
        <v>0</v>
      </c>
      <c r="AO68" s="534">
        <v>0</v>
      </c>
      <c r="AP68" s="537">
        <v>0</v>
      </c>
      <c r="AQ68" s="535">
        <v>0</v>
      </c>
      <c r="AR68" s="534">
        <v>0</v>
      </c>
      <c r="AS68" s="534">
        <v>0</v>
      </c>
      <c r="AT68" s="534">
        <v>0</v>
      </c>
      <c r="AU68" s="536">
        <f t="shared" si="27"/>
        <v>0</v>
      </c>
      <c r="AV68" s="533"/>
      <c r="AW68" s="538">
        <f t="shared" si="28"/>
        <v>0</v>
      </c>
      <c r="AX68" s="538">
        <f t="shared" si="29"/>
        <v>0</v>
      </c>
      <c r="AY68" s="533"/>
      <c r="AZ68" s="534">
        <f t="shared" si="30"/>
        <v>0</v>
      </c>
      <c r="BA68" s="534">
        <v>0</v>
      </c>
      <c r="BD68" s="392">
        <f t="shared" si="21"/>
        <v>0</v>
      </c>
      <c r="BE68" s="425">
        <f t="shared" si="22"/>
        <v>0</v>
      </c>
      <c r="BF68" s="425">
        <f t="shared" ref="BF68:BL77" si="36">-SUMIF($E$6:$BA$6, BF$6, $E68:$BA68)</f>
        <v>0</v>
      </c>
      <c r="BG68" s="425">
        <f t="shared" si="36"/>
        <v>0</v>
      </c>
      <c r="BH68" s="425">
        <f t="shared" si="36"/>
        <v>0</v>
      </c>
      <c r="BI68" s="425">
        <f t="shared" si="36"/>
        <v>0</v>
      </c>
      <c r="BJ68" s="425">
        <f t="shared" si="36"/>
        <v>0</v>
      </c>
      <c r="BK68" s="425">
        <f t="shared" si="36"/>
        <v>0</v>
      </c>
      <c r="BL68" s="425">
        <f t="shared" si="36"/>
        <v>0</v>
      </c>
      <c r="BM68" s="425">
        <f t="shared" si="33"/>
        <v>0</v>
      </c>
      <c r="BN68" s="425">
        <f t="shared" si="33"/>
        <v>0</v>
      </c>
      <c r="BO68" s="425">
        <f t="shared" si="33"/>
        <v>0</v>
      </c>
      <c r="BP68" s="425">
        <f t="shared" si="34"/>
        <v>0</v>
      </c>
      <c r="BQ68" s="425">
        <f t="shared" si="34"/>
        <v>0</v>
      </c>
      <c r="BR68" s="425">
        <f t="shared" si="34"/>
        <v>0</v>
      </c>
      <c r="BS68" s="425">
        <f t="shared" si="35"/>
        <v>0</v>
      </c>
      <c r="BT68" s="426">
        <f t="shared" si="35"/>
        <v>0</v>
      </c>
    </row>
    <row r="69" spans="2:72" hidden="1" x14ac:dyDescent="0.25">
      <c r="B69" s="145"/>
      <c r="C69" s="539">
        <f t="shared" si="31"/>
        <v>40360</v>
      </c>
      <c r="D69" s="533"/>
      <c r="E69" s="534">
        <v>0</v>
      </c>
      <c r="F69" s="534">
        <v>0</v>
      </c>
      <c r="G69" s="534">
        <v>0</v>
      </c>
      <c r="H69" s="540">
        <v>0</v>
      </c>
      <c r="I69" s="536">
        <f t="shared" si="23"/>
        <v>0</v>
      </c>
      <c r="J69" s="533"/>
      <c r="K69" s="534">
        <v>0</v>
      </c>
      <c r="L69" s="534">
        <v>0</v>
      </c>
      <c r="M69" s="534">
        <v>0</v>
      </c>
      <c r="N69" s="534">
        <v>0</v>
      </c>
      <c r="O69" s="534">
        <v>0</v>
      </c>
      <c r="P69" s="534">
        <v>0</v>
      </c>
      <c r="Q69" s="534">
        <v>0</v>
      </c>
      <c r="R69" s="534">
        <v>0</v>
      </c>
      <c r="S69" s="536">
        <f t="shared" si="24"/>
        <v>0</v>
      </c>
      <c r="T69" s="533"/>
      <c r="U69" s="534">
        <v>0</v>
      </c>
      <c r="V69" s="534">
        <v>0</v>
      </c>
      <c r="W69" s="534">
        <v>0</v>
      </c>
      <c r="X69" s="534">
        <v>0</v>
      </c>
      <c r="Y69" s="534">
        <v>0</v>
      </c>
      <c r="Z69" s="534">
        <v>0</v>
      </c>
      <c r="AA69" s="534">
        <v>0</v>
      </c>
      <c r="AB69" s="534">
        <v>0</v>
      </c>
      <c r="AC69" s="534">
        <v>0</v>
      </c>
      <c r="AD69" s="534">
        <v>0</v>
      </c>
      <c r="AE69" s="536">
        <f t="shared" si="25"/>
        <v>0</v>
      </c>
      <c r="AF69" s="533"/>
      <c r="AG69" s="534">
        <v>0</v>
      </c>
      <c r="AH69" s="534">
        <v>0</v>
      </c>
      <c r="AI69" s="534">
        <v>0</v>
      </c>
      <c r="AJ69" s="534">
        <v>0</v>
      </c>
      <c r="AK69" s="536">
        <f t="shared" si="26"/>
        <v>0</v>
      </c>
      <c r="AL69" s="533"/>
      <c r="AM69" s="534">
        <v>0</v>
      </c>
      <c r="AN69" s="534">
        <v>0</v>
      </c>
      <c r="AO69" s="534">
        <v>0</v>
      </c>
      <c r="AP69" s="537">
        <v>0</v>
      </c>
      <c r="AQ69" s="535">
        <v>0</v>
      </c>
      <c r="AR69" s="534">
        <v>0</v>
      </c>
      <c r="AS69" s="534">
        <v>0</v>
      </c>
      <c r="AT69" s="534">
        <v>0</v>
      </c>
      <c r="AU69" s="536">
        <f t="shared" si="27"/>
        <v>0</v>
      </c>
      <c r="AV69" s="533"/>
      <c r="AW69" s="538">
        <f t="shared" si="28"/>
        <v>0</v>
      </c>
      <c r="AX69" s="538">
        <f t="shared" si="29"/>
        <v>0</v>
      </c>
      <c r="AY69" s="533"/>
      <c r="AZ69" s="534">
        <f t="shared" si="30"/>
        <v>0</v>
      </c>
      <c r="BA69" s="534">
        <v>0</v>
      </c>
      <c r="BD69" s="392">
        <f t="shared" si="21"/>
        <v>0</v>
      </c>
      <c r="BE69" s="425">
        <f t="shared" si="22"/>
        <v>0</v>
      </c>
      <c r="BF69" s="425">
        <f t="shared" si="36"/>
        <v>0</v>
      </c>
      <c r="BG69" s="425">
        <f t="shared" si="36"/>
        <v>0</v>
      </c>
      <c r="BH69" s="425">
        <f t="shared" si="36"/>
        <v>0</v>
      </c>
      <c r="BI69" s="425">
        <f t="shared" si="36"/>
        <v>0</v>
      </c>
      <c r="BJ69" s="425">
        <f t="shared" si="36"/>
        <v>0</v>
      </c>
      <c r="BK69" s="425">
        <f t="shared" si="36"/>
        <v>0</v>
      </c>
      <c r="BL69" s="425">
        <f t="shared" si="36"/>
        <v>0</v>
      </c>
      <c r="BM69" s="425">
        <f t="shared" si="33"/>
        <v>0</v>
      </c>
      <c r="BN69" s="425">
        <f t="shared" si="33"/>
        <v>0</v>
      </c>
      <c r="BO69" s="425">
        <f t="shared" si="33"/>
        <v>0</v>
      </c>
      <c r="BP69" s="425">
        <f t="shared" si="34"/>
        <v>0</v>
      </c>
      <c r="BQ69" s="425">
        <f t="shared" si="34"/>
        <v>0</v>
      </c>
      <c r="BR69" s="425">
        <f t="shared" si="34"/>
        <v>0</v>
      </c>
      <c r="BS69" s="425">
        <f t="shared" si="35"/>
        <v>0</v>
      </c>
      <c r="BT69" s="426">
        <f t="shared" si="35"/>
        <v>0</v>
      </c>
    </row>
    <row r="70" spans="2:72" hidden="1" x14ac:dyDescent="0.25">
      <c r="B70" s="145"/>
      <c r="C70" s="539">
        <f t="shared" si="31"/>
        <v>40391</v>
      </c>
      <c r="D70" s="533"/>
      <c r="E70" s="534">
        <v>0</v>
      </c>
      <c r="F70" s="534">
        <v>0</v>
      </c>
      <c r="G70" s="534">
        <v>0</v>
      </c>
      <c r="H70" s="540">
        <v>0</v>
      </c>
      <c r="I70" s="536">
        <f t="shared" si="23"/>
        <v>0</v>
      </c>
      <c r="J70" s="533"/>
      <c r="K70" s="534">
        <v>0</v>
      </c>
      <c r="L70" s="534">
        <v>0</v>
      </c>
      <c r="M70" s="534">
        <v>0</v>
      </c>
      <c r="N70" s="534">
        <v>0</v>
      </c>
      <c r="O70" s="534">
        <v>0</v>
      </c>
      <c r="P70" s="534">
        <v>0</v>
      </c>
      <c r="Q70" s="534">
        <v>0</v>
      </c>
      <c r="R70" s="534">
        <v>0</v>
      </c>
      <c r="S70" s="536">
        <f t="shared" si="24"/>
        <v>0</v>
      </c>
      <c r="T70" s="533"/>
      <c r="U70" s="534">
        <v>0</v>
      </c>
      <c r="V70" s="534">
        <v>0</v>
      </c>
      <c r="W70" s="534">
        <v>0</v>
      </c>
      <c r="X70" s="534">
        <v>0</v>
      </c>
      <c r="Y70" s="534">
        <v>0</v>
      </c>
      <c r="Z70" s="534">
        <v>0</v>
      </c>
      <c r="AA70" s="534">
        <v>0</v>
      </c>
      <c r="AB70" s="534">
        <v>0</v>
      </c>
      <c r="AC70" s="534">
        <v>0</v>
      </c>
      <c r="AD70" s="534">
        <v>0</v>
      </c>
      <c r="AE70" s="536">
        <f t="shared" si="25"/>
        <v>0</v>
      </c>
      <c r="AF70" s="533"/>
      <c r="AG70" s="534">
        <v>0</v>
      </c>
      <c r="AH70" s="534">
        <v>0</v>
      </c>
      <c r="AI70" s="534">
        <v>0</v>
      </c>
      <c r="AJ70" s="534">
        <v>0</v>
      </c>
      <c r="AK70" s="536">
        <f t="shared" si="26"/>
        <v>0</v>
      </c>
      <c r="AL70" s="533"/>
      <c r="AM70" s="534">
        <v>0</v>
      </c>
      <c r="AN70" s="534">
        <v>0</v>
      </c>
      <c r="AO70" s="534">
        <v>0</v>
      </c>
      <c r="AP70" s="537">
        <v>0</v>
      </c>
      <c r="AQ70" s="535">
        <v>0</v>
      </c>
      <c r="AR70" s="534">
        <v>0</v>
      </c>
      <c r="AS70" s="534">
        <v>0</v>
      </c>
      <c r="AT70" s="534">
        <v>0</v>
      </c>
      <c r="AU70" s="536">
        <f t="shared" si="27"/>
        <v>0</v>
      </c>
      <c r="AV70" s="533"/>
      <c r="AW70" s="538">
        <f t="shared" si="28"/>
        <v>0</v>
      </c>
      <c r="AX70" s="538">
        <f t="shared" si="29"/>
        <v>0</v>
      </c>
      <c r="AY70" s="533"/>
      <c r="AZ70" s="534">
        <f t="shared" si="30"/>
        <v>0</v>
      </c>
      <c r="BA70" s="534">
        <v>0</v>
      </c>
      <c r="BD70" s="392">
        <f t="shared" si="21"/>
        <v>0</v>
      </c>
      <c r="BE70" s="425">
        <f t="shared" si="22"/>
        <v>0</v>
      </c>
      <c r="BF70" s="425">
        <f t="shared" si="36"/>
        <v>0</v>
      </c>
      <c r="BG70" s="425">
        <f t="shared" si="36"/>
        <v>0</v>
      </c>
      <c r="BH70" s="425">
        <f t="shared" si="36"/>
        <v>0</v>
      </c>
      <c r="BI70" s="425">
        <f t="shared" si="36"/>
        <v>0</v>
      </c>
      <c r="BJ70" s="425">
        <f t="shared" si="36"/>
        <v>0</v>
      </c>
      <c r="BK70" s="425">
        <f t="shared" si="36"/>
        <v>0</v>
      </c>
      <c r="BL70" s="425">
        <f t="shared" si="36"/>
        <v>0</v>
      </c>
      <c r="BM70" s="425">
        <f t="shared" si="33"/>
        <v>0</v>
      </c>
      <c r="BN70" s="425">
        <f t="shared" si="33"/>
        <v>0</v>
      </c>
      <c r="BO70" s="425">
        <f t="shared" si="33"/>
        <v>0</v>
      </c>
      <c r="BP70" s="425">
        <f t="shared" si="34"/>
        <v>0</v>
      </c>
      <c r="BQ70" s="425">
        <f t="shared" si="34"/>
        <v>0</v>
      </c>
      <c r="BR70" s="425">
        <f t="shared" si="34"/>
        <v>0</v>
      </c>
      <c r="BS70" s="425">
        <f t="shared" si="35"/>
        <v>0</v>
      </c>
      <c r="BT70" s="426">
        <f t="shared" si="35"/>
        <v>0</v>
      </c>
    </row>
    <row r="71" spans="2:72" hidden="1" x14ac:dyDescent="0.25">
      <c r="B71" s="145"/>
      <c r="C71" s="539">
        <f t="shared" si="31"/>
        <v>40422</v>
      </c>
      <c r="D71" s="533"/>
      <c r="E71" s="534">
        <v>0</v>
      </c>
      <c r="F71" s="534">
        <v>0</v>
      </c>
      <c r="G71" s="534">
        <v>0</v>
      </c>
      <c r="H71" s="540">
        <v>0</v>
      </c>
      <c r="I71" s="536">
        <f t="shared" si="23"/>
        <v>0</v>
      </c>
      <c r="J71" s="533"/>
      <c r="K71" s="534">
        <v>0</v>
      </c>
      <c r="L71" s="534">
        <v>0</v>
      </c>
      <c r="M71" s="534">
        <v>0</v>
      </c>
      <c r="N71" s="534">
        <v>0</v>
      </c>
      <c r="O71" s="534">
        <v>0</v>
      </c>
      <c r="P71" s="534">
        <v>0</v>
      </c>
      <c r="Q71" s="534">
        <v>0</v>
      </c>
      <c r="R71" s="534">
        <v>0</v>
      </c>
      <c r="S71" s="536">
        <f t="shared" si="24"/>
        <v>0</v>
      </c>
      <c r="T71" s="533"/>
      <c r="U71" s="534">
        <v>0</v>
      </c>
      <c r="V71" s="534">
        <v>0</v>
      </c>
      <c r="W71" s="534">
        <v>0</v>
      </c>
      <c r="X71" s="534">
        <v>0</v>
      </c>
      <c r="Y71" s="534">
        <v>0</v>
      </c>
      <c r="Z71" s="534">
        <v>0</v>
      </c>
      <c r="AA71" s="534">
        <v>0</v>
      </c>
      <c r="AB71" s="534">
        <v>0</v>
      </c>
      <c r="AC71" s="534">
        <v>0</v>
      </c>
      <c r="AD71" s="534">
        <v>0</v>
      </c>
      <c r="AE71" s="536">
        <f t="shared" si="25"/>
        <v>0</v>
      </c>
      <c r="AF71" s="533"/>
      <c r="AG71" s="534">
        <v>0</v>
      </c>
      <c r="AH71" s="534">
        <v>0</v>
      </c>
      <c r="AI71" s="534">
        <v>0</v>
      </c>
      <c r="AJ71" s="534">
        <v>0</v>
      </c>
      <c r="AK71" s="536">
        <f t="shared" si="26"/>
        <v>0</v>
      </c>
      <c r="AL71" s="533"/>
      <c r="AM71" s="534">
        <v>0</v>
      </c>
      <c r="AN71" s="534">
        <v>0</v>
      </c>
      <c r="AO71" s="534">
        <v>0</v>
      </c>
      <c r="AP71" s="537">
        <v>0</v>
      </c>
      <c r="AQ71" s="535">
        <v>0</v>
      </c>
      <c r="AR71" s="534">
        <v>0</v>
      </c>
      <c r="AS71" s="534">
        <v>0</v>
      </c>
      <c r="AT71" s="534">
        <v>0</v>
      </c>
      <c r="AU71" s="536">
        <f t="shared" si="27"/>
        <v>0</v>
      </c>
      <c r="AV71" s="533"/>
      <c r="AW71" s="538">
        <f t="shared" si="28"/>
        <v>0</v>
      </c>
      <c r="AX71" s="538">
        <f t="shared" si="29"/>
        <v>0</v>
      </c>
      <c r="AY71" s="533"/>
      <c r="AZ71" s="534">
        <f t="shared" si="30"/>
        <v>0</v>
      </c>
      <c r="BA71" s="534">
        <v>0</v>
      </c>
      <c r="BD71" s="392">
        <f t="shared" si="21"/>
        <v>0</v>
      </c>
      <c r="BE71" s="425">
        <f t="shared" si="22"/>
        <v>0</v>
      </c>
      <c r="BF71" s="425">
        <f t="shared" si="36"/>
        <v>0</v>
      </c>
      <c r="BG71" s="425">
        <f t="shared" si="36"/>
        <v>0</v>
      </c>
      <c r="BH71" s="425">
        <f t="shared" si="36"/>
        <v>0</v>
      </c>
      <c r="BI71" s="425">
        <f t="shared" si="36"/>
        <v>0</v>
      </c>
      <c r="BJ71" s="425">
        <f t="shared" si="36"/>
        <v>0</v>
      </c>
      <c r="BK71" s="425">
        <f t="shared" si="36"/>
        <v>0</v>
      </c>
      <c r="BL71" s="425">
        <f t="shared" si="36"/>
        <v>0</v>
      </c>
      <c r="BM71" s="425">
        <f t="shared" si="33"/>
        <v>0</v>
      </c>
      <c r="BN71" s="425">
        <f t="shared" si="33"/>
        <v>0</v>
      </c>
      <c r="BO71" s="425">
        <f t="shared" si="33"/>
        <v>0</v>
      </c>
      <c r="BP71" s="425">
        <f t="shared" si="34"/>
        <v>0</v>
      </c>
      <c r="BQ71" s="425">
        <f t="shared" si="34"/>
        <v>0</v>
      </c>
      <c r="BR71" s="425">
        <f t="shared" si="34"/>
        <v>0</v>
      </c>
      <c r="BS71" s="425">
        <f t="shared" si="35"/>
        <v>0</v>
      </c>
      <c r="BT71" s="426">
        <f t="shared" si="35"/>
        <v>0</v>
      </c>
    </row>
    <row r="72" spans="2:72" hidden="1" x14ac:dyDescent="0.25">
      <c r="B72" s="145"/>
      <c r="C72" s="539">
        <f t="shared" si="31"/>
        <v>40452</v>
      </c>
      <c r="D72" s="533"/>
      <c r="E72" s="534">
        <v>0</v>
      </c>
      <c r="F72" s="534">
        <v>0</v>
      </c>
      <c r="G72" s="534">
        <v>0</v>
      </c>
      <c r="H72" s="540">
        <v>0</v>
      </c>
      <c r="I72" s="536">
        <f t="shared" si="23"/>
        <v>0</v>
      </c>
      <c r="J72" s="533"/>
      <c r="K72" s="534">
        <v>0</v>
      </c>
      <c r="L72" s="534">
        <v>0</v>
      </c>
      <c r="M72" s="534">
        <v>0</v>
      </c>
      <c r="N72" s="534">
        <v>0</v>
      </c>
      <c r="O72" s="534">
        <v>0</v>
      </c>
      <c r="P72" s="534">
        <v>0</v>
      </c>
      <c r="Q72" s="534">
        <v>0</v>
      </c>
      <c r="R72" s="534">
        <v>0</v>
      </c>
      <c r="S72" s="536">
        <f t="shared" si="24"/>
        <v>0</v>
      </c>
      <c r="T72" s="533"/>
      <c r="U72" s="534">
        <v>0</v>
      </c>
      <c r="V72" s="534">
        <v>0</v>
      </c>
      <c r="W72" s="534">
        <v>0</v>
      </c>
      <c r="X72" s="534">
        <v>0</v>
      </c>
      <c r="Y72" s="534">
        <v>0</v>
      </c>
      <c r="Z72" s="534">
        <v>0</v>
      </c>
      <c r="AA72" s="534">
        <v>0</v>
      </c>
      <c r="AB72" s="534">
        <v>0</v>
      </c>
      <c r="AC72" s="534">
        <v>0</v>
      </c>
      <c r="AD72" s="534">
        <v>0</v>
      </c>
      <c r="AE72" s="536">
        <f t="shared" si="25"/>
        <v>0</v>
      </c>
      <c r="AF72" s="533"/>
      <c r="AG72" s="534">
        <v>0</v>
      </c>
      <c r="AH72" s="534">
        <v>0</v>
      </c>
      <c r="AI72" s="534">
        <v>0</v>
      </c>
      <c r="AJ72" s="534">
        <v>0</v>
      </c>
      <c r="AK72" s="536">
        <f t="shared" si="26"/>
        <v>0</v>
      </c>
      <c r="AL72" s="533"/>
      <c r="AM72" s="534">
        <v>0</v>
      </c>
      <c r="AN72" s="534">
        <v>0</v>
      </c>
      <c r="AO72" s="534">
        <v>0</v>
      </c>
      <c r="AP72" s="537">
        <v>0</v>
      </c>
      <c r="AQ72" s="535">
        <v>0</v>
      </c>
      <c r="AR72" s="534">
        <v>0</v>
      </c>
      <c r="AS72" s="534">
        <v>0</v>
      </c>
      <c r="AT72" s="534">
        <v>0</v>
      </c>
      <c r="AU72" s="536">
        <f t="shared" si="27"/>
        <v>0</v>
      </c>
      <c r="AV72" s="533"/>
      <c r="AW72" s="538">
        <f t="shared" si="28"/>
        <v>0</v>
      </c>
      <c r="AX72" s="538">
        <f t="shared" si="29"/>
        <v>0</v>
      </c>
      <c r="AY72" s="533"/>
      <c r="AZ72" s="534">
        <f t="shared" si="30"/>
        <v>0</v>
      </c>
      <c r="BA72" s="534">
        <v>0</v>
      </c>
      <c r="BD72" s="392">
        <f t="shared" si="21"/>
        <v>0</v>
      </c>
      <c r="BE72" s="425">
        <f t="shared" si="22"/>
        <v>0</v>
      </c>
      <c r="BF72" s="425">
        <f t="shared" si="36"/>
        <v>0</v>
      </c>
      <c r="BG72" s="425">
        <f t="shared" si="36"/>
        <v>0</v>
      </c>
      <c r="BH72" s="425">
        <f t="shared" si="36"/>
        <v>0</v>
      </c>
      <c r="BI72" s="425">
        <f t="shared" si="36"/>
        <v>0</v>
      </c>
      <c r="BJ72" s="425">
        <f t="shared" si="36"/>
        <v>0</v>
      </c>
      <c r="BK72" s="425">
        <f t="shared" si="36"/>
        <v>0</v>
      </c>
      <c r="BL72" s="425">
        <f t="shared" si="36"/>
        <v>0</v>
      </c>
      <c r="BM72" s="425">
        <f t="shared" si="33"/>
        <v>0</v>
      </c>
      <c r="BN72" s="425">
        <f t="shared" si="33"/>
        <v>0</v>
      </c>
      <c r="BO72" s="425">
        <f t="shared" si="33"/>
        <v>0</v>
      </c>
      <c r="BP72" s="425">
        <f t="shared" si="34"/>
        <v>0</v>
      </c>
      <c r="BQ72" s="425">
        <f t="shared" si="34"/>
        <v>0</v>
      </c>
      <c r="BR72" s="425">
        <f t="shared" si="34"/>
        <v>0</v>
      </c>
      <c r="BS72" s="425">
        <f t="shared" si="35"/>
        <v>0</v>
      </c>
      <c r="BT72" s="426">
        <f t="shared" si="35"/>
        <v>0</v>
      </c>
    </row>
    <row r="73" spans="2:72" hidden="1" x14ac:dyDescent="0.25">
      <c r="B73" s="145"/>
      <c r="C73" s="539">
        <f t="shared" si="31"/>
        <v>40483</v>
      </c>
      <c r="D73" s="533"/>
      <c r="E73" s="534">
        <v>0</v>
      </c>
      <c r="F73" s="534">
        <v>0</v>
      </c>
      <c r="G73" s="534">
        <v>0</v>
      </c>
      <c r="H73" s="540">
        <v>0</v>
      </c>
      <c r="I73" s="536">
        <f t="shared" si="23"/>
        <v>0</v>
      </c>
      <c r="J73" s="533"/>
      <c r="K73" s="534">
        <v>0</v>
      </c>
      <c r="L73" s="534">
        <v>0</v>
      </c>
      <c r="M73" s="534">
        <v>0</v>
      </c>
      <c r="N73" s="534">
        <v>0</v>
      </c>
      <c r="O73" s="534">
        <v>0</v>
      </c>
      <c r="P73" s="534">
        <v>0</v>
      </c>
      <c r="Q73" s="534">
        <v>0</v>
      </c>
      <c r="R73" s="534">
        <v>0</v>
      </c>
      <c r="S73" s="536">
        <f t="shared" si="24"/>
        <v>0</v>
      </c>
      <c r="T73" s="533"/>
      <c r="U73" s="534">
        <v>0</v>
      </c>
      <c r="V73" s="534">
        <v>0</v>
      </c>
      <c r="W73" s="534">
        <v>0</v>
      </c>
      <c r="X73" s="534">
        <v>0</v>
      </c>
      <c r="Y73" s="534">
        <v>0</v>
      </c>
      <c r="Z73" s="534">
        <v>0</v>
      </c>
      <c r="AA73" s="534">
        <v>0</v>
      </c>
      <c r="AB73" s="534">
        <v>0</v>
      </c>
      <c r="AC73" s="534">
        <v>0</v>
      </c>
      <c r="AD73" s="534">
        <v>0</v>
      </c>
      <c r="AE73" s="536">
        <f t="shared" si="25"/>
        <v>0</v>
      </c>
      <c r="AF73" s="533"/>
      <c r="AG73" s="534">
        <v>0</v>
      </c>
      <c r="AH73" s="534">
        <v>0</v>
      </c>
      <c r="AI73" s="534">
        <v>0</v>
      </c>
      <c r="AJ73" s="534">
        <v>0</v>
      </c>
      <c r="AK73" s="536">
        <f t="shared" si="26"/>
        <v>0</v>
      </c>
      <c r="AL73" s="533"/>
      <c r="AM73" s="534">
        <v>0</v>
      </c>
      <c r="AN73" s="534">
        <v>0</v>
      </c>
      <c r="AO73" s="534">
        <v>0</v>
      </c>
      <c r="AP73" s="537">
        <v>0</v>
      </c>
      <c r="AQ73" s="535">
        <v>0</v>
      </c>
      <c r="AR73" s="534">
        <v>0</v>
      </c>
      <c r="AS73" s="534">
        <v>0</v>
      </c>
      <c r="AT73" s="534">
        <v>0</v>
      </c>
      <c r="AU73" s="536">
        <f t="shared" si="27"/>
        <v>0</v>
      </c>
      <c r="AV73" s="533"/>
      <c r="AW73" s="538">
        <f t="shared" si="28"/>
        <v>0</v>
      </c>
      <c r="AX73" s="538">
        <f t="shared" si="29"/>
        <v>0</v>
      </c>
      <c r="AY73" s="533"/>
      <c r="AZ73" s="534">
        <f t="shared" si="30"/>
        <v>0</v>
      </c>
      <c r="BA73" s="534">
        <v>0</v>
      </c>
      <c r="BD73" s="392">
        <f t="shared" si="21"/>
        <v>0</v>
      </c>
      <c r="BE73" s="425">
        <f t="shared" si="22"/>
        <v>0</v>
      </c>
      <c r="BF73" s="425">
        <f t="shared" si="36"/>
        <v>0</v>
      </c>
      <c r="BG73" s="425">
        <f t="shared" si="36"/>
        <v>0</v>
      </c>
      <c r="BH73" s="425">
        <f t="shared" si="36"/>
        <v>0</v>
      </c>
      <c r="BI73" s="425">
        <f t="shared" si="36"/>
        <v>0</v>
      </c>
      <c r="BJ73" s="425">
        <f t="shared" si="36"/>
        <v>0</v>
      </c>
      <c r="BK73" s="425">
        <f t="shared" si="36"/>
        <v>0</v>
      </c>
      <c r="BL73" s="425">
        <f t="shared" si="36"/>
        <v>0</v>
      </c>
      <c r="BM73" s="425">
        <f t="shared" si="33"/>
        <v>0</v>
      </c>
      <c r="BN73" s="425">
        <f t="shared" si="33"/>
        <v>0</v>
      </c>
      <c r="BO73" s="425">
        <f t="shared" si="33"/>
        <v>0</v>
      </c>
      <c r="BP73" s="425">
        <f t="shared" si="34"/>
        <v>0</v>
      </c>
      <c r="BQ73" s="425">
        <f t="shared" si="34"/>
        <v>0</v>
      </c>
      <c r="BR73" s="425">
        <f t="shared" si="34"/>
        <v>0</v>
      </c>
      <c r="BS73" s="425">
        <f t="shared" si="35"/>
        <v>0</v>
      </c>
      <c r="BT73" s="426">
        <f t="shared" si="35"/>
        <v>0</v>
      </c>
    </row>
    <row r="74" spans="2:72" hidden="1" x14ac:dyDescent="0.25">
      <c r="B74" s="145"/>
      <c r="C74" s="539">
        <f t="shared" si="31"/>
        <v>40513</v>
      </c>
      <c r="D74" s="533"/>
      <c r="E74" s="534">
        <v>0</v>
      </c>
      <c r="F74" s="534">
        <v>0</v>
      </c>
      <c r="G74" s="534">
        <v>0</v>
      </c>
      <c r="H74" s="540">
        <v>0</v>
      </c>
      <c r="I74" s="536">
        <f t="shared" si="23"/>
        <v>0</v>
      </c>
      <c r="J74" s="533"/>
      <c r="K74" s="534">
        <v>0</v>
      </c>
      <c r="L74" s="534">
        <v>0</v>
      </c>
      <c r="M74" s="534">
        <v>0</v>
      </c>
      <c r="N74" s="534">
        <v>0</v>
      </c>
      <c r="O74" s="534">
        <v>0</v>
      </c>
      <c r="P74" s="534">
        <v>0</v>
      </c>
      <c r="Q74" s="534">
        <v>0</v>
      </c>
      <c r="R74" s="534">
        <v>0</v>
      </c>
      <c r="S74" s="536">
        <f t="shared" si="24"/>
        <v>0</v>
      </c>
      <c r="T74" s="533"/>
      <c r="U74" s="534">
        <v>0</v>
      </c>
      <c r="V74" s="534">
        <v>0</v>
      </c>
      <c r="W74" s="534">
        <v>0</v>
      </c>
      <c r="X74" s="534">
        <v>0</v>
      </c>
      <c r="Y74" s="534">
        <v>0</v>
      </c>
      <c r="Z74" s="534">
        <v>0</v>
      </c>
      <c r="AA74" s="534">
        <v>0</v>
      </c>
      <c r="AB74" s="534">
        <v>0</v>
      </c>
      <c r="AC74" s="534">
        <v>0</v>
      </c>
      <c r="AD74" s="534">
        <v>0</v>
      </c>
      <c r="AE74" s="536">
        <f t="shared" si="25"/>
        <v>0</v>
      </c>
      <c r="AF74" s="533"/>
      <c r="AG74" s="534">
        <v>0</v>
      </c>
      <c r="AH74" s="534">
        <v>0</v>
      </c>
      <c r="AI74" s="534">
        <v>0</v>
      </c>
      <c r="AJ74" s="534">
        <v>0</v>
      </c>
      <c r="AK74" s="536">
        <f t="shared" si="26"/>
        <v>0</v>
      </c>
      <c r="AL74" s="533"/>
      <c r="AM74" s="534">
        <v>0</v>
      </c>
      <c r="AN74" s="534">
        <v>0</v>
      </c>
      <c r="AO74" s="534">
        <v>0</v>
      </c>
      <c r="AP74" s="537">
        <v>0</v>
      </c>
      <c r="AQ74" s="535">
        <v>0</v>
      </c>
      <c r="AR74" s="534">
        <v>0</v>
      </c>
      <c r="AS74" s="534">
        <v>0</v>
      </c>
      <c r="AT74" s="534">
        <v>0</v>
      </c>
      <c r="AU74" s="536">
        <f t="shared" si="27"/>
        <v>0</v>
      </c>
      <c r="AV74" s="533"/>
      <c r="AW74" s="538">
        <f t="shared" si="28"/>
        <v>0</v>
      </c>
      <c r="AX74" s="538">
        <f t="shared" si="29"/>
        <v>0</v>
      </c>
      <c r="AY74" s="533"/>
      <c r="AZ74" s="534">
        <f t="shared" si="30"/>
        <v>0</v>
      </c>
      <c r="BA74" s="534">
        <v>0</v>
      </c>
      <c r="BD74" s="392">
        <f t="shared" si="21"/>
        <v>0</v>
      </c>
      <c r="BE74" s="425">
        <f t="shared" si="22"/>
        <v>0</v>
      </c>
      <c r="BF74" s="425">
        <f t="shared" si="36"/>
        <v>0</v>
      </c>
      <c r="BG74" s="425">
        <f t="shared" si="36"/>
        <v>0</v>
      </c>
      <c r="BH74" s="425">
        <f t="shared" si="36"/>
        <v>0</v>
      </c>
      <c r="BI74" s="425">
        <f t="shared" si="36"/>
        <v>0</v>
      </c>
      <c r="BJ74" s="425">
        <f t="shared" si="36"/>
        <v>0</v>
      </c>
      <c r="BK74" s="425">
        <f t="shared" si="36"/>
        <v>0</v>
      </c>
      <c r="BL74" s="425">
        <f t="shared" si="36"/>
        <v>0</v>
      </c>
      <c r="BM74" s="425">
        <f t="shared" si="33"/>
        <v>0</v>
      </c>
      <c r="BN74" s="425">
        <f t="shared" si="33"/>
        <v>0</v>
      </c>
      <c r="BO74" s="425">
        <f t="shared" si="33"/>
        <v>0</v>
      </c>
      <c r="BP74" s="425">
        <f t="shared" si="34"/>
        <v>0</v>
      </c>
      <c r="BQ74" s="425">
        <f t="shared" si="34"/>
        <v>0</v>
      </c>
      <c r="BR74" s="425">
        <f t="shared" si="34"/>
        <v>0</v>
      </c>
      <c r="BS74" s="425">
        <f t="shared" si="35"/>
        <v>0</v>
      </c>
      <c r="BT74" s="426">
        <f t="shared" si="35"/>
        <v>0</v>
      </c>
    </row>
    <row r="75" spans="2:72" hidden="1" x14ac:dyDescent="0.25">
      <c r="B75" s="145"/>
      <c r="C75" s="539">
        <f t="shared" si="31"/>
        <v>40544</v>
      </c>
      <c r="D75" s="533"/>
      <c r="E75" s="534">
        <v>0</v>
      </c>
      <c r="F75" s="534">
        <v>0</v>
      </c>
      <c r="G75" s="534">
        <v>0</v>
      </c>
      <c r="H75" s="540">
        <v>0</v>
      </c>
      <c r="I75" s="536">
        <f t="shared" si="23"/>
        <v>0</v>
      </c>
      <c r="J75" s="533"/>
      <c r="K75" s="534">
        <v>0</v>
      </c>
      <c r="L75" s="534">
        <v>0</v>
      </c>
      <c r="M75" s="534">
        <v>0</v>
      </c>
      <c r="N75" s="534">
        <v>0</v>
      </c>
      <c r="O75" s="534">
        <v>0</v>
      </c>
      <c r="P75" s="534">
        <v>0</v>
      </c>
      <c r="Q75" s="534">
        <v>0</v>
      </c>
      <c r="R75" s="534">
        <v>0</v>
      </c>
      <c r="S75" s="536">
        <f t="shared" si="24"/>
        <v>0</v>
      </c>
      <c r="T75" s="533"/>
      <c r="U75" s="534">
        <v>0</v>
      </c>
      <c r="V75" s="534">
        <v>0</v>
      </c>
      <c r="W75" s="534">
        <v>0</v>
      </c>
      <c r="X75" s="534">
        <v>0</v>
      </c>
      <c r="Y75" s="534">
        <v>0</v>
      </c>
      <c r="Z75" s="534">
        <v>0</v>
      </c>
      <c r="AA75" s="534">
        <v>0</v>
      </c>
      <c r="AB75" s="534">
        <v>0</v>
      </c>
      <c r="AC75" s="534">
        <v>0</v>
      </c>
      <c r="AD75" s="534">
        <v>0</v>
      </c>
      <c r="AE75" s="536">
        <f t="shared" si="25"/>
        <v>0</v>
      </c>
      <c r="AF75" s="533"/>
      <c r="AG75" s="534">
        <v>0</v>
      </c>
      <c r="AH75" s="534">
        <v>0</v>
      </c>
      <c r="AI75" s="534">
        <v>0</v>
      </c>
      <c r="AJ75" s="534">
        <v>0</v>
      </c>
      <c r="AK75" s="536">
        <f t="shared" si="26"/>
        <v>0</v>
      </c>
      <c r="AL75" s="533"/>
      <c r="AM75" s="534">
        <v>0</v>
      </c>
      <c r="AN75" s="534">
        <v>0</v>
      </c>
      <c r="AO75" s="534">
        <v>0</v>
      </c>
      <c r="AP75" s="537">
        <v>0</v>
      </c>
      <c r="AQ75" s="535">
        <v>0</v>
      </c>
      <c r="AR75" s="534">
        <v>0</v>
      </c>
      <c r="AS75" s="534">
        <v>0</v>
      </c>
      <c r="AT75" s="534">
        <v>0</v>
      </c>
      <c r="AU75" s="536">
        <f t="shared" si="27"/>
        <v>0</v>
      </c>
      <c r="AV75" s="533"/>
      <c r="AW75" s="538">
        <f t="shared" si="28"/>
        <v>0</v>
      </c>
      <c r="AX75" s="538">
        <f t="shared" si="29"/>
        <v>0</v>
      </c>
      <c r="AY75" s="533"/>
      <c r="AZ75" s="534">
        <f t="shared" si="30"/>
        <v>0</v>
      </c>
      <c r="BA75" s="534">
        <v>0</v>
      </c>
      <c r="BD75" s="392">
        <f t="shared" si="21"/>
        <v>0</v>
      </c>
      <c r="BE75" s="425">
        <f t="shared" si="22"/>
        <v>0</v>
      </c>
      <c r="BF75" s="425">
        <f t="shared" si="36"/>
        <v>0</v>
      </c>
      <c r="BG75" s="425">
        <f t="shared" si="36"/>
        <v>0</v>
      </c>
      <c r="BH75" s="425">
        <f t="shared" si="36"/>
        <v>0</v>
      </c>
      <c r="BI75" s="425">
        <f t="shared" si="36"/>
        <v>0</v>
      </c>
      <c r="BJ75" s="425">
        <f t="shared" si="36"/>
        <v>0</v>
      </c>
      <c r="BK75" s="425">
        <f t="shared" si="36"/>
        <v>0</v>
      </c>
      <c r="BL75" s="425">
        <f t="shared" si="36"/>
        <v>0</v>
      </c>
      <c r="BM75" s="425">
        <f t="shared" si="33"/>
        <v>0</v>
      </c>
      <c r="BN75" s="425">
        <f t="shared" si="33"/>
        <v>0</v>
      </c>
      <c r="BO75" s="425">
        <f t="shared" si="33"/>
        <v>0</v>
      </c>
      <c r="BP75" s="425">
        <f t="shared" si="34"/>
        <v>0</v>
      </c>
      <c r="BQ75" s="425">
        <f t="shared" si="34"/>
        <v>0</v>
      </c>
      <c r="BR75" s="425">
        <f t="shared" si="34"/>
        <v>0</v>
      </c>
      <c r="BS75" s="425">
        <f t="shared" si="35"/>
        <v>0</v>
      </c>
      <c r="BT75" s="426">
        <f t="shared" si="35"/>
        <v>0</v>
      </c>
    </row>
    <row r="76" spans="2:72" hidden="1" x14ac:dyDescent="0.25">
      <c r="B76" s="145"/>
      <c r="C76" s="539">
        <f t="shared" si="31"/>
        <v>40575</v>
      </c>
      <c r="D76" s="533"/>
      <c r="E76" s="534">
        <v>0</v>
      </c>
      <c r="F76" s="534">
        <v>0</v>
      </c>
      <c r="G76" s="534">
        <v>0</v>
      </c>
      <c r="H76" s="540">
        <v>0</v>
      </c>
      <c r="I76" s="536">
        <f t="shared" si="23"/>
        <v>0</v>
      </c>
      <c r="J76" s="533"/>
      <c r="K76" s="534">
        <v>0</v>
      </c>
      <c r="L76" s="534">
        <v>0</v>
      </c>
      <c r="M76" s="534">
        <v>0</v>
      </c>
      <c r="N76" s="534">
        <v>0</v>
      </c>
      <c r="O76" s="534">
        <v>0</v>
      </c>
      <c r="P76" s="534">
        <v>0</v>
      </c>
      <c r="Q76" s="534">
        <v>0</v>
      </c>
      <c r="R76" s="534">
        <v>0</v>
      </c>
      <c r="S76" s="536">
        <f t="shared" si="24"/>
        <v>0</v>
      </c>
      <c r="T76" s="533"/>
      <c r="U76" s="534">
        <v>0</v>
      </c>
      <c r="V76" s="534">
        <v>0</v>
      </c>
      <c r="W76" s="534">
        <v>0</v>
      </c>
      <c r="X76" s="534">
        <v>0</v>
      </c>
      <c r="Y76" s="534">
        <v>0</v>
      </c>
      <c r="Z76" s="534">
        <v>0</v>
      </c>
      <c r="AA76" s="534">
        <v>0</v>
      </c>
      <c r="AB76" s="534">
        <v>0</v>
      </c>
      <c r="AC76" s="534">
        <v>0</v>
      </c>
      <c r="AD76" s="534">
        <v>0</v>
      </c>
      <c r="AE76" s="536">
        <f t="shared" si="25"/>
        <v>0</v>
      </c>
      <c r="AF76" s="533"/>
      <c r="AG76" s="534">
        <v>0</v>
      </c>
      <c r="AH76" s="534">
        <v>0</v>
      </c>
      <c r="AI76" s="534">
        <v>0</v>
      </c>
      <c r="AJ76" s="534">
        <v>0</v>
      </c>
      <c r="AK76" s="536">
        <f t="shared" si="26"/>
        <v>0</v>
      </c>
      <c r="AL76" s="533"/>
      <c r="AM76" s="534">
        <v>0</v>
      </c>
      <c r="AN76" s="534">
        <v>0</v>
      </c>
      <c r="AO76" s="534">
        <v>0</v>
      </c>
      <c r="AP76" s="537">
        <v>0</v>
      </c>
      <c r="AQ76" s="535">
        <v>0</v>
      </c>
      <c r="AR76" s="534">
        <v>0</v>
      </c>
      <c r="AS76" s="534">
        <v>0</v>
      </c>
      <c r="AT76" s="534">
        <v>0</v>
      </c>
      <c r="AU76" s="536">
        <f t="shared" si="27"/>
        <v>0</v>
      </c>
      <c r="AV76" s="533"/>
      <c r="AW76" s="538">
        <f t="shared" si="28"/>
        <v>0</v>
      </c>
      <c r="AX76" s="538">
        <f t="shared" si="29"/>
        <v>0</v>
      </c>
      <c r="AY76" s="533"/>
      <c r="AZ76" s="534">
        <f t="shared" si="30"/>
        <v>0</v>
      </c>
      <c r="BA76" s="534">
        <v>0</v>
      </c>
      <c r="BD76" s="392">
        <f t="shared" si="21"/>
        <v>0</v>
      </c>
      <c r="BE76" s="425">
        <f t="shared" si="22"/>
        <v>0</v>
      </c>
      <c r="BF76" s="425">
        <f t="shared" si="36"/>
        <v>0</v>
      </c>
      <c r="BG76" s="425">
        <f t="shared" si="36"/>
        <v>0</v>
      </c>
      <c r="BH76" s="425">
        <f t="shared" si="36"/>
        <v>0</v>
      </c>
      <c r="BI76" s="425">
        <f t="shared" si="36"/>
        <v>0</v>
      </c>
      <c r="BJ76" s="425">
        <f t="shared" si="36"/>
        <v>0</v>
      </c>
      <c r="BK76" s="425">
        <f t="shared" si="36"/>
        <v>0</v>
      </c>
      <c r="BL76" s="425">
        <f t="shared" si="36"/>
        <v>0</v>
      </c>
      <c r="BM76" s="425">
        <f t="shared" si="33"/>
        <v>0</v>
      </c>
      <c r="BN76" s="425">
        <f t="shared" si="33"/>
        <v>0</v>
      </c>
      <c r="BO76" s="425">
        <f t="shared" si="33"/>
        <v>0</v>
      </c>
      <c r="BP76" s="425">
        <f t="shared" si="34"/>
        <v>0</v>
      </c>
      <c r="BQ76" s="425">
        <f t="shared" si="34"/>
        <v>0</v>
      </c>
      <c r="BR76" s="425">
        <f t="shared" si="34"/>
        <v>0</v>
      </c>
      <c r="BS76" s="425">
        <f t="shared" si="35"/>
        <v>0</v>
      </c>
      <c r="BT76" s="426">
        <f t="shared" si="35"/>
        <v>0</v>
      </c>
    </row>
    <row r="77" spans="2:72" hidden="1" x14ac:dyDescent="0.25">
      <c r="B77" s="145"/>
      <c r="C77" s="539">
        <f t="shared" si="31"/>
        <v>40603</v>
      </c>
      <c r="D77" s="533"/>
      <c r="E77" s="534">
        <v>0</v>
      </c>
      <c r="F77" s="534">
        <v>0</v>
      </c>
      <c r="G77" s="534">
        <v>0</v>
      </c>
      <c r="H77" s="540">
        <v>0</v>
      </c>
      <c r="I77" s="536">
        <f t="shared" si="23"/>
        <v>0</v>
      </c>
      <c r="J77" s="533"/>
      <c r="K77" s="534">
        <v>0</v>
      </c>
      <c r="L77" s="534">
        <v>0</v>
      </c>
      <c r="M77" s="534">
        <v>0</v>
      </c>
      <c r="N77" s="534">
        <v>0</v>
      </c>
      <c r="O77" s="534">
        <v>0</v>
      </c>
      <c r="P77" s="534">
        <v>0</v>
      </c>
      <c r="Q77" s="534">
        <v>0</v>
      </c>
      <c r="R77" s="534">
        <v>0</v>
      </c>
      <c r="S77" s="536">
        <f t="shared" si="24"/>
        <v>0</v>
      </c>
      <c r="T77" s="533"/>
      <c r="U77" s="534">
        <v>0</v>
      </c>
      <c r="V77" s="534">
        <v>0</v>
      </c>
      <c r="W77" s="534">
        <v>0</v>
      </c>
      <c r="X77" s="534">
        <v>0</v>
      </c>
      <c r="Y77" s="534">
        <v>0</v>
      </c>
      <c r="Z77" s="534">
        <v>0</v>
      </c>
      <c r="AA77" s="534">
        <v>0</v>
      </c>
      <c r="AB77" s="534">
        <v>0</v>
      </c>
      <c r="AC77" s="534">
        <v>0</v>
      </c>
      <c r="AD77" s="534">
        <v>0</v>
      </c>
      <c r="AE77" s="536">
        <f t="shared" si="25"/>
        <v>0</v>
      </c>
      <c r="AF77" s="533"/>
      <c r="AG77" s="534">
        <v>0</v>
      </c>
      <c r="AH77" s="534">
        <v>0</v>
      </c>
      <c r="AI77" s="534">
        <v>0</v>
      </c>
      <c r="AJ77" s="534">
        <v>0</v>
      </c>
      <c r="AK77" s="536">
        <f t="shared" si="26"/>
        <v>0</v>
      </c>
      <c r="AL77" s="533"/>
      <c r="AM77" s="534">
        <v>0</v>
      </c>
      <c r="AN77" s="534">
        <v>0</v>
      </c>
      <c r="AO77" s="534">
        <v>0</v>
      </c>
      <c r="AP77" s="537">
        <v>0</v>
      </c>
      <c r="AQ77" s="535">
        <v>0</v>
      </c>
      <c r="AR77" s="534">
        <v>0</v>
      </c>
      <c r="AS77" s="534">
        <v>0</v>
      </c>
      <c r="AT77" s="534">
        <v>0</v>
      </c>
      <c r="AU77" s="536">
        <f t="shared" si="27"/>
        <v>0</v>
      </c>
      <c r="AV77" s="533"/>
      <c r="AW77" s="538">
        <f t="shared" si="28"/>
        <v>0</v>
      </c>
      <c r="AX77" s="538">
        <f t="shared" si="29"/>
        <v>0</v>
      </c>
      <c r="AY77" s="533"/>
      <c r="AZ77" s="534">
        <f t="shared" si="30"/>
        <v>0</v>
      </c>
      <c r="BA77" s="534">
        <v>0</v>
      </c>
      <c r="BD77" s="392">
        <f t="shared" si="21"/>
        <v>0</v>
      </c>
      <c r="BE77" s="425">
        <f t="shared" si="22"/>
        <v>0</v>
      </c>
      <c r="BF77" s="425">
        <f t="shared" si="36"/>
        <v>0</v>
      </c>
      <c r="BG77" s="425">
        <f t="shared" si="36"/>
        <v>0</v>
      </c>
      <c r="BH77" s="425">
        <f t="shared" si="36"/>
        <v>0</v>
      </c>
      <c r="BI77" s="425">
        <f t="shared" si="36"/>
        <v>0</v>
      </c>
      <c r="BJ77" s="425">
        <f t="shared" si="36"/>
        <v>0</v>
      </c>
      <c r="BK77" s="425">
        <f t="shared" si="36"/>
        <v>0</v>
      </c>
      <c r="BL77" s="425">
        <f t="shared" si="36"/>
        <v>0</v>
      </c>
      <c r="BM77" s="425">
        <f t="shared" si="33"/>
        <v>0</v>
      </c>
      <c r="BN77" s="425">
        <f t="shared" si="33"/>
        <v>0</v>
      </c>
      <c r="BO77" s="425">
        <f t="shared" si="33"/>
        <v>0</v>
      </c>
      <c r="BP77" s="425">
        <f t="shared" si="34"/>
        <v>0</v>
      </c>
      <c r="BQ77" s="425">
        <f t="shared" si="34"/>
        <v>0</v>
      </c>
      <c r="BR77" s="425">
        <f t="shared" si="34"/>
        <v>0</v>
      </c>
      <c r="BS77" s="425">
        <f t="shared" si="35"/>
        <v>0</v>
      </c>
      <c r="BT77" s="426">
        <f t="shared" si="35"/>
        <v>0</v>
      </c>
    </row>
    <row r="78" spans="2:72" hidden="1" x14ac:dyDescent="0.25">
      <c r="B78" s="145"/>
      <c r="C78" s="539">
        <f t="shared" si="31"/>
        <v>40634</v>
      </c>
      <c r="D78" s="533"/>
      <c r="E78" s="534">
        <v>0</v>
      </c>
      <c r="F78" s="534">
        <v>0</v>
      </c>
      <c r="G78" s="534">
        <v>0</v>
      </c>
      <c r="H78" s="540">
        <v>0</v>
      </c>
      <c r="I78" s="536">
        <f t="shared" si="23"/>
        <v>0</v>
      </c>
      <c r="J78" s="533"/>
      <c r="K78" s="534">
        <v>0</v>
      </c>
      <c r="L78" s="534">
        <v>0</v>
      </c>
      <c r="M78" s="534">
        <v>0</v>
      </c>
      <c r="N78" s="534">
        <v>0</v>
      </c>
      <c r="O78" s="534">
        <v>0</v>
      </c>
      <c r="P78" s="534">
        <v>0</v>
      </c>
      <c r="Q78" s="534">
        <v>0</v>
      </c>
      <c r="R78" s="534">
        <v>0</v>
      </c>
      <c r="S78" s="536">
        <f t="shared" si="24"/>
        <v>0</v>
      </c>
      <c r="T78" s="533"/>
      <c r="U78" s="534">
        <v>0</v>
      </c>
      <c r="V78" s="534">
        <v>0</v>
      </c>
      <c r="W78" s="534">
        <v>0</v>
      </c>
      <c r="X78" s="534">
        <v>0</v>
      </c>
      <c r="Y78" s="534">
        <v>0</v>
      </c>
      <c r="Z78" s="534">
        <v>0</v>
      </c>
      <c r="AA78" s="534">
        <v>0</v>
      </c>
      <c r="AB78" s="534">
        <v>0</v>
      </c>
      <c r="AC78" s="534">
        <v>0</v>
      </c>
      <c r="AD78" s="534">
        <v>0</v>
      </c>
      <c r="AE78" s="536">
        <f t="shared" si="25"/>
        <v>0</v>
      </c>
      <c r="AF78" s="533"/>
      <c r="AG78" s="534">
        <v>0</v>
      </c>
      <c r="AH78" s="534">
        <v>0</v>
      </c>
      <c r="AI78" s="534">
        <v>0</v>
      </c>
      <c r="AJ78" s="534">
        <v>0</v>
      </c>
      <c r="AK78" s="536">
        <f t="shared" si="26"/>
        <v>0</v>
      </c>
      <c r="AL78" s="533"/>
      <c r="AM78" s="534">
        <v>0</v>
      </c>
      <c r="AN78" s="534">
        <v>0</v>
      </c>
      <c r="AO78" s="534">
        <v>0</v>
      </c>
      <c r="AP78" s="537">
        <v>0</v>
      </c>
      <c r="AQ78" s="535">
        <v>0</v>
      </c>
      <c r="AR78" s="534">
        <v>0</v>
      </c>
      <c r="AS78" s="534">
        <v>0</v>
      </c>
      <c r="AT78" s="534">
        <v>0</v>
      </c>
      <c r="AU78" s="536">
        <f t="shared" si="27"/>
        <v>0</v>
      </c>
      <c r="AV78" s="533"/>
      <c r="AW78" s="538">
        <f t="shared" si="28"/>
        <v>0</v>
      </c>
      <c r="AX78" s="538">
        <f t="shared" si="29"/>
        <v>0</v>
      </c>
      <c r="AY78" s="533"/>
      <c r="AZ78" s="534">
        <f t="shared" si="30"/>
        <v>0</v>
      </c>
      <c r="BA78" s="534">
        <v>0</v>
      </c>
      <c r="BD78" s="392">
        <f t="shared" si="21"/>
        <v>0</v>
      </c>
      <c r="BE78" s="425">
        <f t="shared" si="22"/>
        <v>0</v>
      </c>
      <c r="BF78" s="425">
        <f t="shared" ref="BF78:BL87" si="37">-SUMIF($E$6:$BA$6, BF$6, $E78:$BA78)</f>
        <v>0</v>
      </c>
      <c r="BG78" s="425">
        <f t="shared" si="37"/>
        <v>0</v>
      </c>
      <c r="BH78" s="425">
        <f t="shared" si="37"/>
        <v>0</v>
      </c>
      <c r="BI78" s="425">
        <f t="shared" si="37"/>
        <v>0</v>
      </c>
      <c r="BJ78" s="425">
        <f t="shared" si="37"/>
        <v>0</v>
      </c>
      <c r="BK78" s="425">
        <f t="shared" si="37"/>
        <v>0</v>
      </c>
      <c r="BL78" s="425">
        <f t="shared" si="37"/>
        <v>0</v>
      </c>
      <c r="BM78" s="425">
        <f t="shared" ref="BM78:BO97" si="38">SUMIF($E$6:$BA$6, BM$6, $E78:$BA78)</f>
        <v>0</v>
      </c>
      <c r="BN78" s="425">
        <f t="shared" si="38"/>
        <v>0</v>
      </c>
      <c r="BO78" s="425">
        <f t="shared" si="38"/>
        <v>0</v>
      </c>
      <c r="BP78" s="425">
        <f t="shared" ref="BP78:BR97" si="39">-SUMIF($E$6:$BA$6, BP$6, $E78:$BA78)</f>
        <v>0</v>
      </c>
      <c r="BQ78" s="425">
        <f t="shared" si="39"/>
        <v>0</v>
      </c>
      <c r="BR78" s="425">
        <f t="shared" si="39"/>
        <v>0</v>
      </c>
      <c r="BS78" s="425">
        <f t="shared" ref="BS78:BT97" si="40">SUMIF($E$6:$BA$6, BS$6, $E78:$BA78)</f>
        <v>0</v>
      </c>
      <c r="BT78" s="426">
        <f t="shared" si="40"/>
        <v>0</v>
      </c>
    </row>
    <row r="79" spans="2:72" hidden="1" x14ac:dyDescent="0.25">
      <c r="B79" s="145"/>
      <c r="C79" s="539">
        <f t="shared" si="31"/>
        <v>40664</v>
      </c>
      <c r="D79" s="533"/>
      <c r="E79" s="534">
        <v>0</v>
      </c>
      <c r="F79" s="534">
        <v>0</v>
      </c>
      <c r="G79" s="534">
        <v>0</v>
      </c>
      <c r="H79" s="540">
        <v>0</v>
      </c>
      <c r="I79" s="536">
        <f t="shared" si="23"/>
        <v>0</v>
      </c>
      <c r="J79" s="533"/>
      <c r="K79" s="534">
        <v>0</v>
      </c>
      <c r="L79" s="534">
        <v>0</v>
      </c>
      <c r="M79" s="534">
        <v>0</v>
      </c>
      <c r="N79" s="534">
        <v>7</v>
      </c>
      <c r="O79" s="534">
        <v>0</v>
      </c>
      <c r="P79" s="534">
        <v>0</v>
      </c>
      <c r="Q79" s="534">
        <v>0</v>
      </c>
      <c r="R79" s="534">
        <v>0</v>
      </c>
      <c r="S79" s="536">
        <f t="shared" si="24"/>
        <v>7</v>
      </c>
      <c r="T79" s="533"/>
      <c r="U79" s="534">
        <v>0</v>
      </c>
      <c r="V79" s="534">
        <v>0</v>
      </c>
      <c r="W79" s="534">
        <v>0</v>
      </c>
      <c r="X79" s="534">
        <v>0</v>
      </c>
      <c r="Y79" s="534">
        <v>0</v>
      </c>
      <c r="Z79" s="534">
        <v>0</v>
      </c>
      <c r="AA79" s="534">
        <v>0</v>
      </c>
      <c r="AB79" s="534">
        <v>0</v>
      </c>
      <c r="AC79" s="534">
        <v>0</v>
      </c>
      <c r="AD79" s="534">
        <v>0</v>
      </c>
      <c r="AE79" s="536">
        <f t="shared" si="25"/>
        <v>0</v>
      </c>
      <c r="AF79" s="533"/>
      <c r="AG79" s="534">
        <v>0</v>
      </c>
      <c r="AH79" s="534">
        <v>0</v>
      </c>
      <c r="AI79" s="534">
        <v>0</v>
      </c>
      <c r="AJ79" s="534">
        <v>0</v>
      </c>
      <c r="AK79" s="536">
        <f t="shared" si="26"/>
        <v>0</v>
      </c>
      <c r="AL79" s="533"/>
      <c r="AM79" s="534">
        <v>7</v>
      </c>
      <c r="AN79" s="534">
        <v>0</v>
      </c>
      <c r="AO79" s="534">
        <v>0</v>
      </c>
      <c r="AP79" s="537">
        <v>0</v>
      </c>
      <c r="AQ79" s="535">
        <v>0</v>
      </c>
      <c r="AR79" s="534">
        <v>0</v>
      </c>
      <c r="AS79" s="534">
        <v>0</v>
      </c>
      <c r="AT79" s="534">
        <v>0</v>
      </c>
      <c r="AU79" s="536">
        <f t="shared" si="27"/>
        <v>7</v>
      </c>
      <c r="AV79" s="533"/>
      <c r="AW79" s="538">
        <f t="shared" si="28"/>
        <v>0</v>
      </c>
      <c r="AX79" s="538">
        <f t="shared" si="29"/>
        <v>0</v>
      </c>
      <c r="AY79" s="533"/>
      <c r="AZ79" s="534">
        <f t="shared" si="30"/>
        <v>0</v>
      </c>
      <c r="BA79" s="534">
        <v>0</v>
      </c>
      <c r="BD79" s="392">
        <f t="shared" si="21"/>
        <v>0</v>
      </c>
      <c r="BE79" s="425">
        <f t="shared" si="22"/>
        <v>0</v>
      </c>
      <c r="BF79" s="425">
        <f t="shared" si="37"/>
        <v>0</v>
      </c>
      <c r="BG79" s="425">
        <f t="shared" si="37"/>
        <v>-7</v>
      </c>
      <c r="BH79" s="425">
        <f t="shared" si="37"/>
        <v>0</v>
      </c>
      <c r="BI79" s="425">
        <f t="shared" si="37"/>
        <v>0</v>
      </c>
      <c r="BJ79" s="425">
        <f t="shared" si="37"/>
        <v>0</v>
      </c>
      <c r="BK79" s="425">
        <f t="shared" si="37"/>
        <v>0</v>
      </c>
      <c r="BL79" s="425">
        <f t="shared" si="37"/>
        <v>0</v>
      </c>
      <c r="BM79" s="425">
        <f t="shared" si="38"/>
        <v>0</v>
      </c>
      <c r="BN79" s="425">
        <f t="shared" si="38"/>
        <v>0</v>
      </c>
      <c r="BO79" s="425">
        <f t="shared" si="38"/>
        <v>0</v>
      </c>
      <c r="BP79" s="425">
        <f t="shared" si="39"/>
        <v>0</v>
      </c>
      <c r="BQ79" s="425">
        <f t="shared" si="39"/>
        <v>0</v>
      </c>
      <c r="BR79" s="425">
        <f t="shared" si="39"/>
        <v>0</v>
      </c>
      <c r="BS79" s="425">
        <f t="shared" si="40"/>
        <v>7</v>
      </c>
      <c r="BT79" s="426">
        <f t="shared" si="40"/>
        <v>0</v>
      </c>
    </row>
    <row r="80" spans="2:72" hidden="1" x14ac:dyDescent="0.25">
      <c r="B80" s="145"/>
      <c r="C80" s="539">
        <f t="shared" si="31"/>
        <v>40695</v>
      </c>
      <c r="D80" s="533"/>
      <c r="E80" s="534">
        <v>0</v>
      </c>
      <c r="F80" s="534">
        <v>0</v>
      </c>
      <c r="G80" s="534">
        <v>0</v>
      </c>
      <c r="H80" s="540">
        <v>0</v>
      </c>
      <c r="I80" s="536">
        <f t="shared" si="23"/>
        <v>0</v>
      </c>
      <c r="J80" s="533"/>
      <c r="K80" s="534">
        <v>0</v>
      </c>
      <c r="L80" s="534">
        <v>0</v>
      </c>
      <c r="M80" s="534">
        <v>0</v>
      </c>
      <c r="N80" s="534">
        <v>0</v>
      </c>
      <c r="O80" s="534">
        <v>0</v>
      </c>
      <c r="P80" s="534">
        <v>0</v>
      </c>
      <c r="Q80" s="534">
        <v>0</v>
      </c>
      <c r="R80" s="534">
        <v>0</v>
      </c>
      <c r="S80" s="536">
        <f t="shared" si="24"/>
        <v>0</v>
      </c>
      <c r="T80" s="533"/>
      <c r="U80" s="534">
        <v>0</v>
      </c>
      <c r="V80" s="534">
        <v>0</v>
      </c>
      <c r="W80" s="534">
        <v>0</v>
      </c>
      <c r="X80" s="534">
        <v>0</v>
      </c>
      <c r="Y80" s="534">
        <v>0</v>
      </c>
      <c r="Z80" s="534">
        <v>0</v>
      </c>
      <c r="AA80" s="534">
        <v>0</v>
      </c>
      <c r="AB80" s="534">
        <v>0</v>
      </c>
      <c r="AC80" s="534">
        <v>0</v>
      </c>
      <c r="AD80" s="534">
        <v>0</v>
      </c>
      <c r="AE80" s="536">
        <f t="shared" si="25"/>
        <v>0</v>
      </c>
      <c r="AF80" s="533"/>
      <c r="AG80" s="534">
        <v>0</v>
      </c>
      <c r="AH80" s="534">
        <v>0</v>
      </c>
      <c r="AI80" s="534">
        <v>0</v>
      </c>
      <c r="AJ80" s="534">
        <v>0</v>
      </c>
      <c r="AK80" s="536">
        <f t="shared" si="26"/>
        <v>0</v>
      </c>
      <c r="AL80" s="533"/>
      <c r="AM80" s="534">
        <v>0</v>
      </c>
      <c r="AN80" s="534">
        <v>0</v>
      </c>
      <c r="AO80" s="534">
        <v>0</v>
      </c>
      <c r="AP80" s="537">
        <v>0</v>
      </c>
      <c r="AQ80" s="535">
        <v>0</v>
      </c>
      <c r="AR80" s="534">
        <v>0</v>
      </c>
      <c r="AS80" s="534">
        <v>0</v>
      </c>
      <c r="AT80" s="534">
        <v>0</v>
      </c>
      <c r="AU80" s="536">
        <f t="shared" si="27"/>
        <v>0</v>
      </c>
      <c r="AV80" s="533"/>
      <c r="AW80" s="538">
        <f t="shared" si="28"/>
        <v>0</v>
      </c>
      <c r="AX80" s="538">
        <f t="shared" si="29"/>
        <v>0</v>
      </c>
      <c r="AY80" s="533"/>
      <c r="AZ80" s="534">
        <f t="shared" si="30"/>
        <v>0</v>
      </c>
      <c r="BA80" s="534">
        <v>0</v>
      </c>
      <c r="BD80" s="392">
        <f t="shared" si="21"/>
        <v>0</v>
      </c>
      <c r="BE80" s="425">
        <f t="shared" si="22"/>
        <v>0</v>
      </c>
      <c r="BF80" s="425">
        <f t="shared" si="37"/>
        <v>0</v>
      </c>
      <c r="BG80" s="425">
        <f t="shared" si="37"/>
        <v>0</v>
      </c>
      <c r="BH80" s="425">
        <f t="shared" si="37"/>
        <v>0</v>
      </c>
      <c r="BI80" s="425">
        <f t="shared" si="37"/>
        <v>0</v>
      </c>
      <c r="BJ80" s="425">
        <f t="shared" si="37"/>
        <v>0</v>
      </c>
      <c r="BK80" s="425">
        <f t="shared" si="37"/>
        <v>0</v>
      </c>
      <c r="BL80" s="425">
        <f t="shared" si="37"/>
        <v>0</v>
      </c>
      <c r="BM80" s="425">
        <f t="shared" si="38"/>
        <v>0</v>
      </c>
      <c r="BN80" s="425">
        <f t="shared" si="38"/>
        <v>0</v>
      </c>
      <c r="BO80" s="425">
        <f t="shared" si="38"/>
        <v>0</v>
      </c>
      <c r="BP80" s="425">
        <f t="shared" si="39"/>
        <v>0</v>
      </c>
      <c r="BQ80" s="425">
        <f t="shared" si="39"/>
        <v>0</v>
      </c>
      <c r="BR80" s="425">
        <f t="shared" si="39"/>
        <v>0</v>
      </c>
      <c r="BS80" s="425">
        <f t="shared" si="40"/>
        <v>0</v>
      </c>
      <c r="BT80" s="426">
        <f t="shared" si="40"/>
        <v>0</v>
      </c>
    </row>
    <row r="81" spans="2:72" hidden="1" x14ac:dyDescent="0.25">
      <c r="B81" s="145"/>
      <c r="C81" s="539">
        <f t="shared" si="31"/>
        <v>40725</v>
      </c>
      <c r="D81" s="533"/>
      <c r="E81" s="534">
        <v>0</v>
      </c>
      <c r="F81" s="534">
        <v>0</v>
      </c>
      <c r="G81" s="534">
        <v>0</v>
      </c>
      <c r="H81" s="540">
        <v>0</v>
      </c>
      <c r="I81" s="536">
        <f t="shared" si="23"/>
        <v>0</v>
      </c>
      <c r="J81" s="533"/>
      <c r="K81" s="534">
        <v>0</v>
      </c>
      <c r="L81" s="534">
        <v>0</v>
      </c>
      <c r="M81" s="534">
        <v>0</v>
      </c>
      <c r="N81" s="534">
        <v>3</v>
      </c>
      <c r="O81" s="534">
        <v>0</v>
      </c>
      <c r="P81" s="534">
        <v>0</v>
      </c>
      <c r="Q81" s="534">
        <v>0</v>
      </c>
      <c r="R81" s="534">
        <v>0</v>
      </c>
      <c r="S81" s="536">
        <f t="shared" si="24"/>
        <v>3</v>
      </c>
      <c r="T81" s="533"/>
      <c r="U81" s="534">
        <v>0</v>
      </c>
      <c r="V81" s="534">
        <v>0</v>
      </c>
      <c r="W81" s="534">
        <v>0</v>
      </c>
      <c r="X81" s="534">
        <v>0</v>
      </c>
      <c r="Y81" s="534">
        <v>0</v>
      </c>
      <c r="Z81" s="534">
        <v>0</v>
      </c>
      <c r="AA81" s="534">
        <v>102.02</v>
      </c>
      <c r="AB81" s="534">
        <v>0</v>
      </c>
      <c r="AC81" s="534">
        <v>0</v>
      </c>
      <c r="AD81" s="534">
        <v>0</v>
      </c>
      <c r="AE81" s="536">
        <f t="shared" si="25"/>
        <v>102.02</v>
      </c>
      <c r="AF81" s="533"/>
      <c r="AG81" s="534">
        <v>0</v>
      </c>
      <c r="AH81" s="534">
        <v>0</v>
      </c>
      <c r="AI81" s="534">
        <v>0</v>
      </c>
      <c r="AJ81" s="534">
        <v>0</v>
      </c>
      <c r="AK81" s="536">
        <f t="shared" si="26"/>
        <v>0</v>
      </c>
      <c r="AL81" s="533"/>
      <c r="AM81" s="534">
        <v>105.02</v>
      </c>
      <c r="AN81" s="534">
        <v>0</v>
      </c>
      <c r="AO81" s="534">
        <v>0</v>
      </c>
      <c r="AP81" s="537">
        <v>0</v>
      </c>
      <c r="AQ81" s="535">
        <v>0</v>
      </c>
      <c r="AR81" s="534">
        <v>0</v>
      </c>
      <c r="AS81" s="534">
        <v>0</v>
      </c>
      <c r="AT81" s="534">
        <v>0</v>
      </c>
      <c r="AU81" s="536">
        <f t="shared" si="27"/>
        <v>105.02</v>
      </c>
      <c r="AV81" s="533"/>
      <c r="AW81" s="538">
        <f t="shared" si="28"/>
        <v>0</v>
      </c>
      <c r="AX81" s="538">
        <f t="shared" si="29"/>
        <v>0</v>
      </c>
      <c r="AY81" s="533"/>
      <c r="AZ81" s="534">
        <f t="shared" si="30"/>
        <v>0</v>
      </c>
      <c r="BA81" s="534">
        <v>0</v>
      </c>
      <c r="BD81" s="392">
        <f t="shared" si="21"/>
        <v>0</v>
      </c>
      <c r="BE81" s="425">
        <f t="shared" si="22"/>
        <v>0</v>
      </c>
      <c r="BF81" s="425">
        <f t="shared" si="37"/>
        <v>0</v>
      </c>
      <c r="BG81" s="425">
        <f t="shared" si="37"/>
        <v>-3</v>
      </c>
      <c r="BH81" s="425">
        <f t="shared" si="37"/>
        <v>0</v>
      </c>
      <c r="BI81" s="425">
        <f t="shared" si="37"/>
        <v>0</v>
      </c>
      <c r="BJ81" s="425">
        <f t="shared" si="37"/>
        <v>0</v>
      </c>
      <c r="BK81" s="425">
        <f t="shared" si="37"/>
        <v>0</v>
      </c>
      <c r="BL81" s="425">
        <f t="shared" si="37"/>
        <v>-102.02</v>
      </c>
      <c r="BM81" s="425">
        <f t="shared" si="38"/>
        <v>0</v>
      </c>
      <c r="BN81" s="425">
        <f t="shared" si="38"/>
        <v>0</v>
      </c>
      <c r="BO81" s="425">
        <f t="shared" si="38"/>
        <v>0</v>
      </c>
      <c r="BP81" s="425">
        <f t="shared" si="39"/>
        <v>0</v>
      </c>
      <c r="BQ81" s="425">
        <f t="shared" si="39"/>
        <v>0</v>
      </c>
      <c r="BR81" s="425">
        <f t="shared" si="39"/>
        <v>0</v>
      </c>
      <c r="BS81" s="425">
        <f t="shared" si="40"/>
        <v>105.02</v>
      </c>
      <c r="BT81" s="426">
        <f t="shared" si="40"/>
        <v>0</v>
      </c>
    </row>
    <row r="82" spans="2:72" hidden="1" x14ac:dyDescent="0.25">
      <c r="B82" s="145"/>
      <c r="C82" s="539">
        <f t="shared" si="31"/>
        <v>40756</v>
      </c>
      <c r="D82" s="533"/>
      <c r="E82" s="534">
        <v>0</v>
      </c>
      <c r="F82" s="534">
        <v>0</v>
      </c>
      <c r="G82" s="534">
        <v>0</v>
      </c>
      <c r="H82" s="540">
        <v>0</v>
      </c>
      <c r="I82" s="536">
        <f t="shared" si="23"/>
        <v>0</v>
      </c>
      <c r="J82" s="533"/>
      <c r="K82" s="534">
        <v>0</v>
      </c>
      <c r="L82" s="534">
        <v>0</v>
      </c>
      <c r="M82" s="534">
        <v>0</v>
      </c>
      <c r="N82" s="534">
        <v>0</v>
      </c>
      <c r="O82" s="534">
        <v>0</v>
      </c>
      <c r="P82" s="534">
        <v>0</v>
      </c>
      <c r="Q82" s="534">
        <v>0</v>
      </c>
      <c r="R82" s="534">
        <v>0</v>
      </c>
      <c r="S82" s="536">
        <f t="shared" si="24"/>
        <v>0</v>
      </c>
      <c r="T82" s="533"/>
      <c r="U82" s="534">
        <v>0</v>
      </c>
      <c r="V82" s="534">
        <v>0</v>
      </c>
      <c r="W82" s="534">
        <v>0</v>
      </c>
      <c r="X82" s="534">
        <v>0</v>
      </c>
      <c r="Y82" s="534">
        <v>0</v>
      </c>
      <c r="Z82" s="534">
        <v>0</v>
      </c>
      <c r="AA82" s="534">
        <v>0</v>
      </c>
      <c r="AB82" s="534">
        <v>0</v>
      </c>
      <c r="AC82" s="534">
        <v>0</v>
      </c>
      <c r="AD82" s="534">
        <v>0</v>
      </c>
      <c r="AE82" s="536">
        <f t="shared" si="25"/>
        <v>0</v>
      </c>
      <c r="AF82" s="533"/>
      <c r="AG82" s="534">
        <v>0</v>
      </c>
      <c r="AH82" s="534">
        <v>0</v>
      </c>
      <c r="AI82" s="534">
        <v>0</v>
      </c>
      <c r="AJ82" s="534">
        <v>0</v>
      </c>
      <c r="AK82" s="536">
        <f t="shared" si="26"/>
        <v>0</v>
      </c>
      <c r="AL82" s="533"/>
      <c r="AM82" s="534">
        <v>0</v>
      </c>
      <c r="AN82" s="534">
        <v>0</v>
      </c>
      <c r="AO82" s="534">
        <v>0</v>
      </c>
      <c r="AP82" s="537">
        <v>0</v>
      </c>
      <c r="AQ82" s="535">
        <v>0</v>
      </c>
      <c r="AR82" s="534">
        <v>0</v>
      </c>
      <c r="AS82" s="534">
        <v>0</v>
      </c>
      <c r="AT82" s="534">
        <v>0</v>
      </c>
      <c r="AU82" s="536">
        <f t="shared" si="27"/>
        <v>0</v>
      </c>
      <c r="AV82" s="533"/>
      <c r="AW82" s="538">
        <f t="shared" si="28"/>
        <v>0</v>
      </c>
      <c r="AX82" s="538">
        <f t="shared" si="29"/>
        <v>0</v>
      </c>
      <c r="AY82" s="533"/>
      <c r="AZ82" s="534">
        <f t="shared" si="30"/>
        <v>0</v>
      </c>
      <c r="BA82" s="534">
        <v>0</v>
      </c>
      <c r="BD82" s="392">
        <f t="shared" ref="BD82:BD113" si="41">SUMIF($E$6:$BA$6, BD$6, $E82:$BA82)</f>
        <v>0</v>
      </c>
      <c r="BE82" s="425">
        <f t="shared" ref="BE82:BE113" si="42">-SUMIF($E$6:$BA$6, BE$6, $E82:$BA82)+2*H82</f>
        <v>0</v>
      </c>
      <c r="BF82" s="425">
        <f t="shared" si="37"/>
        <v>0</v>
      </c>
      <c r="BG82" s="425">
        <f t="shared" si="37"/>
        <v>0</v>
      </c>
      <c r="BH82" s="425">
        <f t="shared" si="37"/>
        <v>0</v>
      </c>
      <c r="BI82" s="425">
        <f t="shared" si="37"/>
        <v>0</v>
      </c>
      <c r="BJ82" s="425">
        <f t="shared" si="37"/>
        <v>0</v>
      </c>
      <c r="BK82" s="425">
        <f t="shared" si="37"/>
        <v>0</v>
      </c>
      <c r="BL82" s="425">
        <f t="shared" si="37"/>
        <v>0</v>
      </c>
      <c r="BM82" s="425">
        <f t="shared" si="38"/>
        <v>0</v>
      </c>
      <c r="BN82" s="425">
        <f t="shared" si="38"/>
        <v>0</v>
      </c>
      <c r="BO82" s="425">
        <f t="shared" si="38"/>
        <v>0</v>
      </c>
      <c r="BP82" s="425">
        <f t="shared" si="39"/>
        <v>0</v>
      </c>
      <c r="BQ82" s="425">
        <f t="shared" si="39"/>
        <v>0</v>
      </c>
      <c r="BR82" s="425">
        <f t="shared" si="39"/>
        <v>0</v>
      </c>
      <c r="BS82" s="425">
        <f t="shared" si="40"/>
        <v>0</v>
      </c>
      <c r="BT82" s="426">
        <f t="shared" si="40"/>
        <v>0</v>
      </c>
    </row>
    <row r="83" spans="2:72" hidden="1" x14ac:dyDescent="0.25">
      <c r="B83" s="145"/>
      <c r="C83" s="539">
        <f t="shared" si="31"/>
        <v>40787</v>
      </c>
      <c r="D83" s="533"/>
      <c r="E83" s="534">
        <v>0</v>
      </c>
      <c r="F83" s="534">
        <v>0</v>
      </c>
      <c r="G83" s="534">
        <v>0</v>
      </c>
      <c r="H83" s="540">
        <v>0</v>
      </c>
      <c r="I83" s="536">
        <f t="shared" ref="I83:I114" si="43">SUM(E83:H83)</f>
        <v>0</v>
      </c>
      <c r="J83" s="533"/>
      <c r="K83" s="534">
        <v>0</v>
      </c>
      <c r="L83" s="534">
        <v>0</v>
      </c>
      <c r="M83" s="534">
        <v>0</v>
      </c>
      <c r="N83" s="534">
        <v>0</v>
      </c>
      <c r="O83" s="534">
        <v>0</v>
      </c>
      <c r="P83" s="534">
        <v>0</v>
      </c>
      <c r="Q83" s="534">
        <v>0</v>
      </c>
      <c r="R83" s="534">
        <v>0</v>
      </c>
      <c r="S83" s="536">
        <f t="shared" ref="S83:S114" si="44">K83+SUM(L83:N83)+O83+SUM(P83:R83)</f>
        <v>0</v>
      </c>
      <c r="T83" s="533"/>
      <c r="U83" s="534">
        <v>0</v>
      </c>
      <c r="V83" s="534">
        <v>0</v>
      </c>
      <c r="W83" s="534">
        <v>0</v>
      </c>
      <c r="X83" s="534">
        <v>0</v>
      </c>
      <c r="Y83" s="534">
        <v>0</v>
      </c>
      <c r="Z83" s="534">
        <v>0</v>
      </c>
      <c r="AA83" s="534">
        <v>0</v>
      </c>
      <c r="AB83" s="534">
        <v>0</v>
      </c>
      <c r="AC83" s="534">
        <v>0</v>
      </c>
      <c r="AD83" s="534">
        <v>0</v>
      </c>
      <c r="AE83" s="536">
        <f t="shared" ref="AE83:AE114" si="45">SUM(U83:AD83)</f>
        <v>0</v>
      </c>
      <c r="AF83" s="533"/>
      <c r="AG83" s="534">
        <v>0</v>
      </c>
      <c r="AH83" s="534">
        <v>0</v>
      </c>
      <c r="AI83" s="534">
        <v>0</v>
      </c>
      <c r="AJ83" s="534">
        <v>0</v>
      </c>
      <c r="AK83" s="536">
        <f t="shared" ref="AK83:AK114" si="46">SUM(AG83:AJ83)</f>
        <v>0</v>
      </c>
      <c r="AL83" s="533"/>
      <c r="AM83" s="534">
        <v>0</v>
      </c>
      <c r="AN83" s="534">
        <v>0</v>
      </c>
      <c r="AO83" s="534">
        <v>0</v>
      </c>
      <c r="AP83" s="537">
        <v>0</v>
      </c>
      <c r="AQ83" s="535">
        <v>0</v>
      </c>
      <c r="AR83" s="534">
        <v>0</v>
      </c>
      <c r="AS83" s="534">
        <v>0</v>
      </c>
      <c r="AT83" s="534">
        <v>0</v>
      </c>
      <c r="AU83" s="536">
        <f t="shared" ref="AU83:AU114" si="47">SUM(AM83:AT83)</f>
        <v>0</v>
      </c>
      <c r="AV83" s="533"/>
      <c r="AW83" s="538">
        <f t="shared" ref="AW83:AW114" si="48">SUM(I83,-S83,-AE83,AK83,AU83)</f>
        <v>0</v>
      </c>
      <c r="AX83" s="538">
        <f t="shared" ref="AX83:AX114" si="49">AX82+AW83</f>
        <v>0</v>
      </c>
      <c r="AY83" s="533"/>
      <c r="AZ83" s="534">
        <f t="shared" ref="AZ83:AZ114" si="50">K83-BA83</f>
        <v>0</v>
      </c>
      <c r="BA83" s="534">
        <v>0</v>
      </c>
      <c r="BD83" s="392">
        <f t="shared" si="41"/>
        <v>0</v>
      </c>
      <c r="BE83" s="425">
        <f t="shared" si="42"/>
        <v>0</v>
      </c>
      <c r="BF83" s="425">
        <f t="shared" si="37"/>
        <v>0</v>
      </c>
      <c r="BG83" s="425">
        <f t="shared" si="37"/>
        <v>0</v>
      </c>
      <c r="BH83" s="425">
        <f t="shared" si="37"/>
        <v>0</v>
      </c>
      <c r="BI83" s="425">
        <f t="shared" si="37"/>
        <v>0</v>
      </c>
      <c r="BJ83" s="425">
        <f t="shared" si="37"/>
        <v>0</v>
      </c>
      <c r="BK83" s="425">
        <f t="shared" si="37"/>
        <v>0</v>
      </c>
      <c r="BL83" s="425">
        <f t="shared" si="37"/>
        <v>0</v>
      </c>
      <c r="BM83" s="425">
        <f t="shared" si="38"/>
        <v>0</v>
      </c>
      <c r="BN83" s="425">
        <f t="shared" si="38"/>
        <v>0</v>
      </c>
      <c r="BO83" s="425">
        <f t="shared" si="38"/>
        <v>0</v>
      </c>
      <c r="BP83" s="425">
        <f t="shared" si="39"/>
        <v>0</v>
      </c>
      <c r="BQ83" s="425">
        <f t="shared" si="39"/>
        <v>0</v>
      </c>
      <c r="BR83" s="425">
        <f t="shared" si="39"/>
        <v>0</v>
      </c>
      <c r="BS83" s="425">
        <f t="shared" si="40"/>
        <v>0</v>
      </c>
      <c r="BT83" s="426">
        <f t="shared" si="40"/>
        <v>0</v>
      </c>
    </row>
    <row r="84" spans="2:72" hidden="1" x14ac:dyDescent="0.25">
      <c r="B84" s="145"/>
      <c r="C84" s="539">
        <f t="shared" ref="C84:C115" si="51">EDATE(C83, 1)</f>
        <v>40817</v>
      </c>
      <c r="D84" s="533"/>
      <c r="E84" s="534">
        <v>0</v>
      </c>
      <c r="F84" s="534">
        <v>0</v>
      </c>
      <c r="G84" s="534">
        <v>0</v>
      </c>
      <c r="H84" s="540">
        <v>0</v>
      </c>
      <c r="I84" s="536">
        <f t="shared" si="43"/>
        <v>0</v>
      </c>
      <c r="J84" s="533"/>
      <c r="K84" s="534">
        <v>0</v>
      </c>
      <c r="L84" s="534">
        <v>0</v>
      </c>
      <c r="M84" s="534">
        <v>0</v>
      </c>
      <c r="N84" s="534">
        <v>0</v>
      </c>
      <c r="O84" s="534">
        <v>0</v>
      </c>
      <c r="P84" s="534">
        <v>0</v>
      </c>
      <c r="Q84" s="534">
        <v>0</v>
      </c>
      <c r="R84" s="534">
        <v>0</v>
      </c>
      <c r="S84" s="536">
        <f t="shared" si="44"/>
        <v>0</v>
      </c>
      <c r="T84" s="533"/>
      <c r="U84" s="534">
        <v>220</v>
      </c>
      <c r="V84" s="534">
        <v>0</v>
      </c>
      <c r="W84" s="534">
        <v>0</v>
      </c>
      <c r="X84" s="534">
        <v>0</v>
      </c>
      <c r="Y84" s="534">
        <v>0</v>
      </c>
      <c r="Z84" s="534">
        <v>0</v>
      </c>
      <c r="AA84" s="534">
        <v>0</v>
      </c>
      <c r="AB84" s="534">
        <v>0</v>
      </c>
      <c r="AC84" s="534">
        <v>0</v>
      </c>
      <c r="AD84" s="534">
        <v>0</v>
      </c>
      <c r="AE84" s="536">
        <f t="shared" si="45"/>
        <v>220</v>
      </c>
      <c r="AF84" s="533"/>
      <c r="AG84" s="534">
        <v>0</v>
      </c>
      <c r="AH84" s="534">
        <v>0</v>
      </c>
      <c r="AI84" s="534">
        <v>0</v>
      </c>
      <c r="AJ84" s="534">
        <v>0</v>
      </c>
      <c r="AK84" s="536">
        <f t="shared" si="46"/>
        <v>0</v>
      </c>
      <c r="AL84" s="533"/>
      <c r="AM84" s="534">
        <v>220</v>
      </c>
      <c r="AN84" s="534">
        <v>0</v>
      </c>
      <c r="AO84" s="534">
        <v>0</v>
      </c>
      <c r="AP84" s="537">
        <v>0</v>
      </c>
      <c r="AQ84" s="535">
        <v>0</v>
      </c>
      <c r="AR84" s="534">
        <v>0</v>
      </c>
      <c r="AS84" s="534">
        <v>0</v>
      </c>
      <c r="AT84" s="534">
        <v>0</v>
      </c>
      <c r="AU84" s="536">
        <f t="shared" si="47"/>
        <v>220</v>
      </c>
      <c r="AV84" s="533"/>
      <c r="AW84" s="538">
        <f t="shared" si="48"/>
        <v>0</v>
      </c>
      <c r="AX84" s="538">
        <f t="shared" si="49"/>
        <v>0</v>
      </c>
      <c r="AY84" s="533"/>
      <c r="AZ84" s="534">
        <f t="shared" si="50"/>
        <v>0</v>
      </c>
      <c r="BA84" s="534">
        <v>0</v>
      </c>
      <c r="BD84" s="392">
        <f t="shared" si="41"/>
        <v>0</v>
      </c>
      <c r="BE84" s="425">
        <f t="shared" si="42"/>
        <v>0</v>
      </c>
      <c r="BF84" s="425">
        <f t="shared" si="37"/>
        <v>0</v>
      </c>
      <c r="BG84" s="425">
        <f t="shared" si="37"/>
        <v>-220</v>
      </c>
      <c r="BH84" s="425">
        <f t="shared" si="37"/>
        <v>0</v>
      </c>
      <c r="BI84" s="425">
        <f t="shared" si="37"/>
        <v>0</v>
      </c>
      <c r="BJ84" s="425">
        <f t="shared" si="37"/>
        <v>0</v>
      </c>
      <c r="BK84" s="425">
        <f t="shared" si="37"/>
        <v>0</v>
      </c>
      <c r="BL84" s="425">
        <f t="shared" si="37"/>
        <v>0</v>
      </c>
      <c r="BM84" s="425">
        <f t="shared" si="38"/>
        <v>0</v>
      </c>
      <c r="BN84" s="425">
        <f t="shared" si="38"/>
        <v>0</v>
      </c>
      <c r="BO84" s="425">
        <f t="shared" si="38"/>
        <v>0</v>
      </c>
      <c r="BP84" s="425">
        <f t="shared" si="39"/>
        <v>0</v>
      </c>
      <c r="BQ84" s="425">
        <f t="shared" si="39"/>
        <v>0</v>
      </c>
      <c r="BR84" s="425">
        <f t="shared" si="39"/>
        <v>0</v>
      </c>
      <c r="BS84" s="425">
        <f t="shared" si="40"/>
        <v>220</v>
      </c>
      <c r="BT84" s="426">
        <f t="shared" si="40"/>
        <v>0</v>
      </c>
    </row>
    <row r="85" spans="2:72" hidden="1" x14ac:dyDescent="0.25">
      <c r="B85" s="145"/>
      <c r="C85" s="539">
        <f t="shared" si="51"/>
        <v>40848</v>
      </c>
      <c r="D85" s="533"/>
      <c r="E85" s="534">
        <v>0</v>
      </c>
      <c r="F85" s="534">
        <v>0</v>
      </c>
      <c r="G85" s="534">
        <v>0</v>
      </c>
      <c r="H85" s="540">
        <v>0</v>
      </c>
      <c r="I85" s="536">
        <f t="shared" si="43"/>
        <v>0</v>
      </c>
      <c r="J85" s="533"/>
      <c r="K85" s="534">
        <v>0</v>
      </c>
      <c r="L85" s="534">
        <v>0</v>
      </c>
      <c r="M85" s="534">
        <v>0</v>
      </c>
      <c r="N85" s="534">
        <v>0</v>
      </c>
      <c r="O85" s="534">
        <v>0</v>
      </c>
      <c r="P85" s="534">
        <v>0</v>
      </c>
      <c r="Q85" s="534">
        <v>0</v>
      </c>
      <c r="R85" s="534">
        <v>0</v>
      </c>
      <c r="S85" s="536">
        <f t="shared" si="44"/>
        <v>0</v>
      </c>
      <c r="T85" s="533"/>
      <c r="U85" s="534">
        <v>3.5</v>
      </c>
      <c r="V85" s="534">
        <v>0</v>
      </c>
      <c r="W85" s="534">
        <v>0</v>
      </c>
      <c r="X85" s="534">
        <v>0</v>
      </c>
      <c r="Y85" s="534">
        <v>0</v>
      </c>
      <c r="Z85" s="534">
        <v>0</v>
      </c>
      <c r="AA85" s="534">
        <v>0</v>
      </c>
      <c r="AB85" s="534">
        <v>0</v>
      </c>
      <c r="AC85" s="534">
        <v>0</v>
      </c>
      <c r="AD85" s="534">
        <v>0</v>
      </c>
      <c r="AE85" s="536">
        <f t="shared" si="45"/>
        <v>3.5</v>
      </c>
      <c r="AF85" s="533"/>
      <c r="AG85" s="534">
        <v>0</v>
      </c>
      <c r="AH85" s="534">
        <v>0</v>
      </c>
      <c r="AI85" s="534">
        <v>0</v>
      </c>
      <c r="AJ85" s="534">
        <v>0</v>
      </c>
      <c r="AK85" s="536">
        <f t="shared" si="46"/>
        <v>0</v>
      </c>
      <c r="AL85" s="533"/>
      <c r="AM85" s="534">
        <v>3.5</v>
      </c>
      <c r="AN85" s="534">
        <v>0</v>
      </c>
      <c r="AO85" s="534">
        <v>0</v>
      </c>
      <c r="AP85" s="537">
        <v>0</v>
      </c>
      <c r="AQ85" s="535">
        <v>0</v>
      </c>
      <c r="AR85" s="534">
        <v>0</v>
      </c>
      <c r="AS85" s="534">
        <v>0</v>
      </c>
      <c r="AT85" s="534">
        <v>0</v>
      </c>
      <c r="AU85" s="536">
        <f t="shared" si="47"/>
        <v>3.5</v>
      </c>
      <c r="AV85" s="533"/>
      <c r="AW85" s="538">
        <f t="shared" si="48"/>
        <v>0</v>
      </c>
      <c r="AX85" s="538">
        <f t="shared" si="49"/>
        <v>0</v>
      </c>
      <c r="AY85" s="533"/>
      <c r="AZ85" s="534">
        <f t="shared" si="50"/>
        <v>0</v>
      </c>
      <c r="BA85" s="534">
        <v>0</v>
      </c>
      <c r="BD85" s="392">
        <f t="shared" si="41"/>
        <v>0</v>
      </c>
      <c r="BE85" s="425">
        <f t="shared" si="42"/>
        <v>0</v>
      </c>
      <c r="BF85" s="425">
        <f t="shared" si="37"/>
        <v>0</v>
      </c>
      <c r="BG85" s="425">
        <f t="shared" si="37"/>
        <v>-3.5</v>
      </c>
      <c r="BH85" s="425">
        <f t="shared" si="37"/>
        <v>0</v>
      </c>
      <c r="BI85" s="425">
        <f t="shared" si="37"/>
        <v>0</v>
      </c>
      <c r="BJ85" s="425">
        <f t="shared" si="37"/>
        <v>0</v>
      </c>
      <c r="BK85" s="425">
        <f t="shared" si="37"/>
        <v>0</v>
      </c>
      <c r="BL85" s="425">
        <f t="shared" si="37"/>
        <v>0</v>
      </c>
      <c r="BM85" s="425">
        <f t="shared" si="38"/>
        <v>0</v>
      </c>
      <c r="BN85" s="425">
        <f t="shared" si="38"/>
        <v>0</v>
      </c>
      <c r="BO85" s="425">
        <f t="shared" si="38"/>
        <v>0</v>
      </c>
      <c r="BP85" s="425">
        <f t="shared" si="39"/>
        <v>0</v>
      </c>
      <c r="BQ85" s="425">
        <f t="shared" si="39"/>
        <v>0</v>
      </c>
      <c r="BR85" s="425">
        <f t="shared" si="39"/>
        <v>0</v>
      </c>
      <c r="BS85" s="425">
        <f t="shared" si="40"/>
        <v>3.5</v>
      </c>
      <c r="BT85" s="426">
        <f t="shared" si="40"/>
        <v>0</v>
      </c>
    </row>
    <row r="86" spans="2:72" hidden="1" x14ac:dyDescent="0.25">
      <c r="B86" s="145"/>
      <c r="C86" s="539">
        <f t="shared" si="51"/>
        <v>40878</v>
      </c>
      <c r="D86" s="533"/>
      <c r="E86" s="534">
        <v>0</v>
      </c>
      <c r="F86" s="534">
        <v>0</v>
      </c>
      <c r="G86" s="534">
        <v>0</v>
      </c>
      <c r="H86" s="540">
        <v>0</v>
      </c>
      <c r="I86" s="536">
        <f t="shared" si="43"/>
        <v>0</v>
      </c>
      <c r="J86" s="533"/>
      <c r="K86" s="534">
        <v>0</v>
      </c>
      <c r="L86" s="534">
        <v>0</v>
      </c>
      <c r="M86" s="534">
        <v>0</v>
      </c>
      <c r="N86" s="534">
        <v>285.76</v>
      </c>
      <c r="O86" s="534">
        <v>0</v>
      </c>
      <c r="P86" s="534">
        <v>0</v>
      </c>
      <c r="Q86" s="534">
        <v>0</v>
      </c>
      <c r="R86" s="534">
        <v>0</v>
      </c>
      <c r="S86" s="536">
        <f t="shared" si="44"/>
        <v>285.76</v>
      </c>
      <c r="T86" s="533"/>
      <c r="U86" s="534">
        <v>0</v>
      </c>
      <c r="V86" s="534">
        <v>0</v>
      </c>
      <c r="W86" s="534">
        <v>0</v>
      </c>
      <c r="X86" s="534">
        <v>0</v>
      </c>
      <c r="Y86" s="534">
        <v>0</v>
      </c>
      <c r="Z86" s="534">
        <v>0</v>
      </c>
      <c r="AA86" s="534">
        <v>0</v>
      </c>
      <c r="AB86" s="534">
        <v>0</v>
      </c>
      <c r="AC86" s="534">
        <v>0</v>
      </c>
      <c r="AD86" s="534">
        <v>0</v>
      </c>
      <c r="AE86" s="536">
        <f t="shared" si="45"/>
        <v>0</v>
      </c>
      <c r="AF86" s="533"/>
      <c r="AG86" s="534">
        <v>0</v>
      </c>
      <c r="AH86" s="534">
        <v>0</v>
      </c>
      <c r="AI86" s="534">
        <v>0</v>
      </c>
      <c r="AJ86" s="534">
        <v>0</v>
      </c>
      <c r="AK86" s="536">
        <f t="shared" si="46"/>
        <v>0</v>
      </c>
      <c r="AL86" s="533"/>
      <c r="AM86" s="534">
        <v>285.76</v>
      </c>
      <c r="AN86" s="534">
        <v>0</v>
      </c>
      <c r="AO86" s="534">
        <v>0</v>
      </c>
      <c r="AP86" s="537">
        <v>0</v>
      </c>
      <c r="AQ86" s="535">
        <v>0</v>
      </c>
      <c r="AR86" s="534">
        <v>0</v>
      </c>
      <c r="AS86" s="534">
        <v>0</v>
      </c>
      <c r="AT86" s="534">
        <v>0</v>
      </c>
      <c r="AU86" s="536">
        <f t="shared" si="47"/>
        <v>285.76</v>
      </c>
      <c r="AV86" s="533"/>
      <c r="AW86" s="538">
        <f t="shared" si="48"/>
        <v>0</v>
      </c>
      <c r="AX86" s="538">
        <f t="shared" si="49"/>
        <v>0</v>
      </c>
      <c r="AY86" s="533"/>
      <c r="AZ86" s="534">
        <f t="shared" si="50"/>
        <v>0</v>
      </c>
      <c r="BA86" s="534">
        <v>0</v>
      </c>
      <c r="BD86" s="392">
        <f t="shared" si="41"/>
        <v>0</v>
      </c>
      <c r="BE86" s="425">
        <f t="shared" si="42"/>
        <v>0</v>
      </c>
      <c r="BF86" s="425">
        <f t="shared" si="37"/>
        <v>0</v>
      </c>
      <c r="BG86" s="425">
        <f t="shared" si="37"/>
        <v>-285.76</v>
      </c>
      <c r="BH86" s="425">
        <f t="shared" si="37"/>
        <v>0</v>
      </c>
      <c r="BI86" s="425">
        <f t="shared" si="37"/>
        <v>0</v>
      </c>
      <c r="BJ86" s="425">
        <f t="shared" si="37"/>
        <v>0</v>
      </c>
      <c r="BK86" s="425">
        <f t="shared" si="37"/>
        <v>0</v>
      </c>
      <c r="BL86" s="425">
        <f t="shared" si="37"/>
        <v>0</v>
      </c>
      <c r="BM86" s="425">
        <f t="shared" si="38"/>
        <v>0</v>
      </c>
      <c r="BN86" s="425">
        <f t="shared" si="38"/>
        <v>0</v>
      </c>
      <c r="BO86" s="425">
        <f t="shared" si="38"/>
        <v>0</v>
      </c>
      <c r="BP86" s="425">
        <f t="shared" si="39"/>
        <v>0</v>
      </c>
      <c r="BQ86" s="425">
        <f t="shared" si="39"/>
        <v>0</v>
      </c>
      <c r="BR86" s="425">
        <f t="shared" si="39"/>
        <v>0</v>
      </c>
      <c r="BS86" s="425">
        <f t="shared" si="40"/>
        <v>285.76</v>
      </c>
      <c r="BT86" s="426">
        <f t="shared" si="40"/>
        <v>0</v>
      </c>
    </row>
    <row r="87" spans="2:72" hidden="1" x14ac:dyDescent="0.25">
      <c r="B87" s="145"/>
      <c r="C87" s="539">
        <f t="shared" si="51"/>
        <v>40909</v>
      </c>
      <c r="D87" s="533"/>
      <c r="E87" s="534">
        <v>0</v>
      </c>
      <c r="F87" s="534">
        <v>0</v>
      </c>
      <c r="G87" s="534">
        <v>0</v>
      </c>
      <c r="H87" s="540">
        <v>0</v>
      </c>
      <c r="I87" s="536">
        <f t="shared" si="43"/>
        <v>0</v>
      </c>
      <c r="J87" s="533"/>
      <c r="K87" s="534">
        <v>0</v>
      </c>
      <c r="L87" s="534">
        <v>0</v>
      </c>
      <c r="M87" s="534">
        <v>0</v>
      </c>
      <c r="N87" s="534">
        <v>0</v>
      </c>
      <c r="O87" s="534">
        <v>0</v>
      </c>
      <c r="P87" s="534">
        <v>0</v>
      </c>
      <c r="Q87" s="534">
        <v>0</v>
      </c>
      <c r="R87" s="534">
        <v>0</v>
      </c>
      <c r="S87" s="536">
        <f t="shared" si="44"/>
        <v>0</v>
      </c>
      <c r="T87" s="533"/>
      <c r="U87" s="534">
        <v>0</v>
      </c>
      <c r="V87" s="534">
        <v>0</v>
      </c>
      <c r="W87" s="534">
        <v>0</v>
      </c>
      <c r="X87" s="534">
        <v>0</v>
      </c>
      <c r="Y87" s="534">
        <v>0</v>
      </c>
      <c r="Z87" s="534">
        <v>0</v>
      </c>
      <c r="AA87" s="534">
        <v>0</v>
      </c>
      <c r="AB87" s="534">
        <v>0</v>
      </c>
      <c r="AC87" s="534">
        <v>0</v>
      </c>
      <c r="AD87" s="534">
        <v>0</v>
      </c>
      <c r="AE87" s="536">
        <f t="shared" si="45"/>
        <v>0</v>
      </c>
      <c r="AF87" s="533"/>
      <c r="AG87" s="534">
        <v>0</v>
      </c>
      <c r="AH87" s="534">
        <v>0</v>
      </c>
      <c r="AI87" s="534">
        <v>0</v>
      </c>
      <c r="AJ87" s="534">
        <v>0</v>
      </c>
      <c r="AK87" s="536">
        <f t="shared" si="46"/>
        <v>0</v>
      </c>
      <c r="AL87" s="533"/>
      <c r="AM87" s="534">
        <v>0</v>
      </c>
      <c r="AN87" s="534">
        <v>0</v>
      </c>
      <c r="AO87" s="534">
        <v>0</v>
      </c>
      <c r="AP87" s="537">
        <v>0</v>
      </c>
      <c r="AQ87" s="535">
        <v>0</v>
      </c>
      <c r="AR87" s="534">
        <v>0</v>
      </c>
      <c r="AS87" s="534">
        <v>0</v>
      </c>
      <c r="AT87" s="534">
        <v>0</v>
      </c>
      <c r="AU87" s="536">
        <f t="shared" si="47"/>
        <v>0</v>
      </c>
      <c r="AV87" s="533"/>
      <c r="AW87" s="538">
        <f t="shared" si="48"/>
        <v>0</v>
      </c>
      <c r="AX87" s="538">
        <f t="shared" si="49"/>
        <v>0</v>
      </c>
      <c r="AY87" s="533"/>
      <c r="AZ87" s="534">
        <f t="shared" si="50"/>
        <v>0</v>
      </c>
      <c r="BA87" s="534">
        <v>0</v>
      </c>
      <c r="BD87" s="392">
        <f t="shared" si="41"/>
        <v>0</v>
      </c>
      <c r="BE87" s="425">
        <f t="shared" si="42"/>
        <v>0</v>
      </c>
      <c r="BF87" s="425">
        <f t="shared" si="37"/>
        <v>0</v>
      </c>
      <c r="BG87" s="425">
        <f t="shared" si="37"/>
        <v>0</v>
      </c>
      <c r="BH87" s="425">
        <f t="shared" si="37"/>
        <v>0</v>
      </c>
      <c r="BI87" s="425">
        <f t="shared" si="37"/>
        <v>0</v>
      </c>
      <c r="BJ87" s="425">
        <f t="shared" si="37"/>
        <v>0</v>
      </c>
      <c r="BK87" s="425">
        <f t="shared" si="37"/>
        <v>0</v>
      </c>
      <c r="BL87" s="425">
        <f t="shared" si="37"/>
        <v>0</v>
      </c>
      <c r="BM87" s="425">
        <f t="shared" si="38"/>
        <v>0</v>
      </c>
      <c r="BN87" s="425">
        <f t="shared" si="38"/>
        <v>0</v>
      </c>
      <c r="BO87" s="425">
        <f t="shared" si="38"/>
        <v>0</v>
      </c>
      <c r="BP87" s="425">
        <f t="shared" si="39"/>
        <v>0</v>
      </c>
      <c r="BQ87" s="425">
        <f t="shared" si="39"/>
        <v>0</v>
      </c>
      <c r="BR87" s="425">
        <f t="shared" si="39"/>
        <v>0</v>
      </c>
      <c r="BS87" s="425">
        <f t="shared" si="40"/>
        <v>0</v>
      </c>
      <c r="BT87" s="426">
        <f t="shared" si="40"/>
        <v>0</v>
      </c>
    </row>
    <row r="88" spans="2:72" hidden="1" x14ac:dyDescent="0.25">
      <c r="B88" s="145"/>
      <c r="C88" s="539">
        <f t="shared" si="51"/>
        <v>40940</v>
      </c>
      <c r="D88" s="533"/>
      <c r="E88" s="534">
        <v>0</v>
      </c>
      <c r="F88" s="534">
        <v>0</v>
      </c>
      <c r="G88" s="534">
        <v>0</v>
      </c>
      <c r="H88" s="540">
        <v>0</v>
      </c>
      <c r="I88" s="536">
        <f t="shared" si="43"/>
        <v>0</v>
      </c>
      <c r="J88" s="533"/>
      <c r="K88" s="534">
        <v>0</v>
      </c>
      <c r="L88" s="534">
        <v>0</v>
      </c>
      <c r="M88" s="534">
        <v>0</v>
      </c>
      <c r="N88" s="534">
        <v>0</v>
      </c>
      <c r="O88" s="534">
        <v>0</v>
      </c>
      <c r="P88" s="534">
        <v>0</v>
      </c>
      <c r="Q88" s="534">
        <v>0</v>
      </c>
      <c r="R88" s="534">
        <v>0</v>
      </c>
      <c r="S88" s="536">
        <f t="shared" si="44"/>
        <v>0</v>
      </c>
      <c r="T88" s="533"/>
      <c r="U88" s="534">
        <v>0</v>
      </c>
      <c r="V88" s="534">
        <v>0</v>
      </c>
      <c r="W88" s="534">
        <v>0</v>
      </c>
      <c r="X88" s="534">
        <v>0</v>
      </c>
      <c r="Y88" s="534">
        <v>0</v>
      </c>
      <c r="Z88" s="534">
        <v>0</v>
      </c>
      <c r="AA88" s="534">
        <v>0</v>
      </c>
      <c r="AB88" s="534">
        <v>0</v>
      </c>
      <c r="AC88" s="534">
        <v>0</v>
      </c>
      <c r="AD88" s="534">
        <v>0</v>
      </c>
      <c r="AE88" s="536">
        <f t="shared" si="45"/>
        <v>0</v>
      </c>
      <c r="AF88" s="533"/>
      <c r="AG88" s="534">
        <v>0</v>
      </c>
      <c r="AH88" s="534">
        <v>0</v>
      </c>
      <c r="AI88" s="534">
        <v>0</v>
      </c>
      <c r="AJ88" s="534">
        <v>0</v>
      </c>
      <c r="AK88" s="536">
        <f t="shared" si="46"/>
        <v>0</v>
      </c>
      <c r="AL88" s="533"/>
      <c r="AM88" s="534">
        <v>0</v>
      </c>
      <c r="AN88" s="534">
        <v>0</v>
      </c>
      <c r="AO88" s="534">
        <v>0</v>
      </c>
      <c r="AP88" s="537">
        <v>0</v>
      </c>
      <c r="AQ88" s="535">
        <v>0</v>
      </c>
      <c r="AR88" s="534">
        <v>0</v>
      </c>
      <c r="AS88" s="534">
        <v>0</v>
      </c>
      <c r="AT88" s="534">
        <v>0</v>
      </c>
      <c r="AU88" s="536">
        <f t="shared" si="47"/>
        <v>0</v>
      </c>
      <c r="AV88" s="533"/>
      <c r="AW88" s="538">
        <f t="shared" si="48"/>
        <v>0</v>
      </c>
      <c r="AX88" s="538">
        <f t="shared" si="49"/>
        <v>0</v>
      </c>
      <c r="AY88" s="533"/>
      <c r="AZ88" s="534">
        <f t="shared" si="50"/>
        <v>0</v>
      </c>
      <c r="BA88" s="534">
        <v>0</v>
      </c>
      <c r="BD88" s="392">
        <f t="shared" si="41"/>
        <v>0</v>
      </c>
      <c r="BE88" s="425">
        <f t="shared" si="42"/>
        <v>0</v>
      </c>
      <c r="BF88" s="425">
        <f t="shared" ref="BF88:BL97" si="52">-SUMIF($E$6:$BA$6, BF$6, $E88:$BA88)</f>
        <v>0</v>
      </c>
      <c r="BG88" s="425">
        <f t="shared" si="52"/>
        <v>0</v>
      </c>
      <c r="BH88" s="425">
        <f t="shared" si="52"/>
        <v>0</v>
      </c>
      <c r="BI88" s="425">
        <f t="shared" si="52"/>
        <v>0</v>
      </c>
      <c r="BJ88" s="425">
        <f t="shared" si="52"/>
        <v>0</v>
      </c>
      <c r="BK88" s="425">
        <f t="shared" si="52"/>
        <v>0</v>
      </c>
      <c r="BL88" s="425">
        <f t="shared" si="52"/>
        <v>0</v>
      </c>
      <c r="BM88" s="425">
        <f t="shared" si="38"/>
        <v>0</v>
      </c>
      <c r="BN88" s="425">
        <f t="shared" si="38"/>
        <v>0</v>
      </c>
      <c r="BO88" s="425">
        <f t="shared" si="38"/>
        <v>0</v>
      </c>
      <c r="BP88" s="425">
        <f t="shared" si="39"/>
        <v>0</v>
      </c>
      <c r="BQ88" s="425">
        <f t="shared" si="39"/>
        <v>0</v>
      </c>
      <c r="BR88" s="425">
        <f t="shared" si="39"/>
        <v>0</v>
      </c>
      <c r="BS88" s="425">
        <f t="shared" si="40"/>
        <v>0</v>
      </c>
      <c r="BT88" s="426">
        <f t="shared" si="40"/>
        <v>0</v>
      </c>
    </row>
    <row r="89" spans="2:72" hidden="1" x14ac:dyDescent="0.25">
      <c r="B89" s="145"/>
      <c r="C89" s="539">
        <f t="shared" si="51"/>
        <v>40969</v>
      </c>
      <c r="D89" s="533"/>
      <c r="E89" s="534">
        <v>0</v>
      </c>
      <c r="F89" s="534">
        <v>0</v>
      </c>
      <c r="G89" s="534">
        <v>0</v>
      </c>
      <c r="H89" s="540">
        <v>0</v>
      </c>
      <c r="I89" s="536">
        <f t="shared" si="43"/>
        <v>0</v>
      </c>
      <c r="J89" s="533"/>
      <c r="K89" s="534">
        <v>0</v>
      </c>
      <c r="L89" s="534">
        <v>0</v>
      </c>
      <c r="M89" s="534">
        <v>0</v>
      </c>
      <c r="N89" s="534">
        <v>0</v>
      </c>
      <c r="O89" s="534">
        <v>0</v>
      </c>
      <c r="P89" s="534">
        <v>0</v>
      </c>
      <c r="Q89" s="534">
        <v>0</v>
      </c>
      <c r="R89" s="534">
        <v>0</v>
      </c>
      <c r="S89" s="536">
        <f t="shared" si="44"/>
        <v>0</v>
      </c>
      <c r="T89" s="533"/>
      <c r="U89" s="534">
        <v>30.8</v>
      </c>
      <c r="V89" s="534">
        <v>0</v>
      </c>
      <c r="W89" s="534">
        <v>0</v>
      </c>
      <c r="X89" s="534">
        <v>0</v>
      </c>
      <c r="Y89" s="534">
        <v>0</v>
      </c>
      <c r="Z89" s="534">
        <v>0</v>
      </c>
      <c r="AA89" s="534">
        <v>0</v>
      </c>
      <c r="AB89" s="534">
        <v>0</v>
      </c>
      <c r="AC89" s="534">
        <v>0</v>
      </c>
      <c r="AD89" s="534">
        <v>0</v>
      </c>
      <c r="AE89" s="536">
        <f t="shared" si="45"/>
        <v>30.8</v>
      </c>
      <c r="AF89" s="533"/>
      <c r="AG89" s="534">
        <v>0</v>
      </c>
      <c r="AH89" s="534">
        <v>0</v>
      </c>
      <c r="AI89" s="534">
        <v>0</v>
      </c>
      <c r="AJ89" s="534">
        <v>0</v>
      </c>
      <c r="AK89" s="536">
        <f t="shared" si="46"/>
        <v>0</v>
      </c>
      <c r="AL89" s="533"/>
      <c r="AM89" s="534">
        <v>30.8</v>
      </c>
      <c r="AN89" s="534">
        <v>0</v>
      </c>
      <c r="AO89" s="534">
        <v>0</v>
      </c>
      <c r="AP89" s="537">
        <v>0</v>
      </c>
      <c r="AQ89" s="535">
        <v>0</v>
      </c>
      <c r="AR89" s="534">
        <v>0</v>
      </c>
      <c r="AS89" s="534">
        <v>0</v>
      </c>
      <c r="AT89" s="534">
        <v>0</v>
      </c>
      <c r="AU89" s="536">
        <f t="shared" si="47"/>
        <v>30.8</v>
      </c>
      <c r="AV89" s="533"/>
      <c r="AW89" s="538">
        <f t="shared" si="48"/>
        <v>0</v>
      </c>
      <c r="AX89" s="538">
        <f t="shared" si="49"/>
        <v>0</v>
      </c>
      <c r="AY89" s="533"/>
      <c r="AZ89" s="534">
        <f t="shared" si="50"/>
        <v>0</v>
      </c>
      <c r="BA89" s="534">
        <v>0</v>
      </c>
      <c r="BD89" s="392">
        <f t="shared" si="41"/>
        <v>0</v>
      </c>
      <c r="BE89" s="425">
        <f t="shared" si="42"/>
        <v>0</v>
      </c>
      <c r="BF89" s="425">
        <f t="shared" si="52"/>
        <v>0</v>
      </c>
      <c r="BG89" s="425">
        <f t="shared" si="52"/>
        <v>-30.8</v>
      </c>
      <c r="BH89" s="425">
        <f t="shared" si="52"/>
        <v>0</v>
      </c>
      <c r="BI89" s="425">
        <f t="shared" si="52"/>
        <v>0</v>
      </c>
      <c r="BJ89" s="425">
        <f t="shared" si="52"/>
        <v>0</v>
      </c>
      <c r="BK89" s="425">
        <f t="shared" si="52"/>
        <v>0</v>
      </c>
      <c r="BL89" s="425">
        <f t="shared" si="52"/>
        <v>0</v>
      </c>
      <c r="BM89" s="425">
        <f t="shared" si="38"/>
        <v>0</v>
      </c>
      <c r="BN89" s="425">
        <f t="shared" si="38"/>
        <v>0</v>
      </c>
      <c r="BO89" s="425">
        <f t="shared" si="38"/>
        <v>0</v>
      </c>
      <c r="BP89" s="425">
        <f t="shared" si="39"/>
        <v>0</v>
      </c>
      <c r="BQ89" s="425">
        <f t="shared" si="39"/>
        <v>0</v>
      </c>
      <c r="BR89" s="425">
        <f t="shared" si="39"/>
        <v>0</v>
      </c>
      <c r="BS89" s="425">
        <f t="shared" si="40"/>
        <v>30.8</v>
      </c>
      <c r="BT89" s="426">
        <f t="shared" si="40"/>
        <v>0</v>
      </c>
    </row>
    <row r="90" spans="2:72" hidden="1" x14ac:dyDescent="0.25">
      <c r="B90" s="145"/>
      <c r="C90" s="539">
        <f t="shared" si="51"/>
        <v>41000</v>
      </c>
      <c r="D90" s="533"/>
      <c r="E90" s="534">
        <v>0</v>
      </c>
      <c r="F90" s="534">
        <v>0</v>
      </c>
      <c r="G90" s="534">
        <v>0</v>
      </c>
      <c r="H90" s="540">
        <v>0</v>
      </c>
      <c r="I90" s="536">
        <f t="shared" si="43"/>
        <v>0</v>
      </c>
      <c r="J90" s="533"/>
      <c r="K90" s="534">
        <v>0</v>
      </c>
      <c r="L90" s="534">
        <v>0</v>
      </c>
      <c r="M90" s="534">
        <v>0</v>
      </c>
      <c r="N90" s="534">
        <v>0</v>
      </c>
      <c r="O90" s="534">
        <v>0</v>
      </c>
      <c r="P90" s="534">
        <v>0</v>
      </c>
      <c r="Q90" s="534">
        <v>0</v>
      </c>
      <c r="R90" s="534">
        <v>0</v>
      </c>
      <c r="S90" s="536">
        <f t="shared" si="44"/>
        <v>0</v>
      </c>
      <c r="T90" s="533"/>
      <c r="U90" s="534">
        <v>0</v>
      </c>
      <c r="V90" s="534">
        <v>0</v>
      </c>
      <c r="W90" s="534">
        <v>0</v>
      </c>
      <c r="X90" s="534">
        <v>0</v>
      </c>
      <c r="Y90" s="534">
        <v>0</v>
      </c>
      <c r="Z90" s="534">
        <v>0</v>
      </c>
      <c r="AA90" s="534">
        <v>0</v>
      </c>
      <c r="AB90" s="534">
        <v>0</v>
      </c>
      <c r="AC90" s="534">
        <v>0</v>
      </c>
      <c r="AD90" s="534">
        <v>0</v>
      </c>
      <c r="AE90" s="536">
        <f t="shared" si="45"/>
        <v>0</v>
      </c>
      <c r="AF90" s="533"/>
      <c r="AG90" s="534">
        <v>0</v>
      </c>
      <c r="AH90" s="534">
        <v>0</v>
      </c>
      <c r="AI90" s="534">
        <v>0</v>
      </c>
      <c r="AJ90" s="534">
        <v>0</v>
      </c>
      <c r="AK90" s="536">
        <f t="shared" si="46"/>
        <v>0</v>
      </c>
      <c r="AL90" s="533"/>
      <c r="AM90" s="534">
        <v>0</v>
      </c>
      <c r="AN90" s="534">
        <v>0</v>
      </c>
      <c r="AO90" s="534">
        <v>0</v>
      </c>
      <c r="AP90" s="537">
        <v>0</v>
      </c>
      <c r="AQ90" s="535">
        <v>0</v>
      </c>
      <c r="AR90" s="534">
        <v>0</v>
      </c>
      <c r="AS90" s="534">
        <v>0</v>
      </c>
      <c r="AT90" s="534">
        <v>0</v>
      </c>
      <c r="AU90" s="536">
        <f t="shared" si="47"/>
        <v>0</v>
      </c>
      <c r="AV90" s="533"/>
      <c r="AW90" s="538">
        <f t="shared" si="48"/>
        <v>0</v>
      </c>
      <c r="AX90" s="538">
        <f t="shared" si="49"/>
        <v>0</v>
      </c>
      <c r="AY90" s="533"/>
      <c r="AZ90" s="534">
        <f t="shared" si="50"/>
        <v>0</v>
      </c>
      <c r="BA90" s="534">
        <v>0</v>
      </c>
      <c r="BD90" s="392">
        <f t="shared" si="41"/>
        <v>0</v>
      </c>
      <c r="BE90" s="425">
        <f t="shared" si="42"/>
        <v>0</v>
      </c>
      <c r="BF90" s="425">
        <f t="shared" si="52"/>
        <v>0</v>
      </c>
      <c r="BG90" s="425">
        <f t="shared" si="52"/>
        <v>0</v>
      </c>
      <c r="BH90" s="425">
        <f t="shared" si="52"/>
        <v>0</v>
      </c>
      <c r="BI90" s="425">
        <f t="shared" si="52"/>
        <v>0</v>
      </c>
      <c r="BJ90" s="425">
        <f t="shared" si="52"/>
        <v>0</v>
      </c>
      <c r="BK90" s="425">
        <f t="shared" si="52"/>
        <v>0</v>
      </c>
      <c r="BL90" s="425">
        <f t="shared" si="52"/>
        <v>0</v>
      </c>
      <c r="BM90" s="425">
        <f t="shared" si="38"/>
        <v>0</v>
      </c>
      <c r="BN90" s="425">
        <f t="shared" si="38"/>
        <v>0</v>
      </c>
      <c r="BO90" s="425">
        <f t="shared" si="38"/>
        <v>0</v>
      </c>
      <c r="BP90" s="425">
        <f t="shared" si="39"/>
        <v>0</v>
      </c>
      <c r="BQ90" s="425">
        <f t="shared" si="39"/>
        <v>0</v>
      </c>
      <c r="BR90" s="425">
        <f t="shared" si="39"/>
        <v>0</v>
      </c>
      <c r="BS90" s="425">
        <f t="shared" si="40"/>
        <v>0</v>
      </c>
      <c r="BT90" s="426">
        <f t="shared" si="40"/>
        <v>0</v>
      </c>
    </row>
    <row r="91" spans="2:72" hidden="1" x14ac:dyDescent="0.25">
      <c r="B91" s="145"/>
      <c r="C91" s="539">
        <f t="shared" si="51"/>
        <v>41030</v>
      </c>
      <c r="D91" s="533"/>
      <c r="E91" s="534">
        <v>0</v>
      </c>
      <c r="F91" s="534">
        <v>0</v>
      </c>
      <c r="G91" s="534">
        <v>0</v>
      </c>
      <c r="H91" s="540">
        <v>0</v>
      </c>
      <c r="I91" s="536">
        <f t="shared" si="43"/>
        <v>0</v>
      </c>
      <c r="J91" s="533"/>
      <c r="K91" s="534">
        <v>0</v>
      </c>
      <c r="L91" s="534">
        <v>0</v>
      </c>
      <c r="M91" s="534">
        <v>0</v>
      </c>
      <c r="N91" s="534">
        <v>0</v>
      </c>
      <c r="O91" s="534">
        <v>0</v>
      </c>
      <c r="P91" s="534">
        <v>0</v>
      </c>
      <c r="Q91" s="534">
        <v>0</v>
      </c>
      <c r="R91" s="534">
        <v>0</v>
      </c>
      <c r="S91" s="536">
        <f t="shared" si="44"/>
        <v>0</v>
      </c>
      <c r="T91" s="533"/>
      <c r="U91" s="534">
        <v>61.6</v>
      </c>
      <c r="V91" s="534">
        <v>0</v>
      </c>
      <c r="W91" s="534">
        <v>0</v>
      </c>
      <c r="X91" s="534">
        <v>0</v>
      </c>
      <c r="Y91" s="534">
        <v>0</v>
      </c>
      <c r="Z91" s="534">
        <v>0</v>
      </c>
      <c r="AA91" s="534">
        <v>153.54</v>
      </c>
      <c r="AB91" s="534">
        <v>0</v>
      </c>
      <c r="AC91" s="534">
        <v>0</v>
      </c>
      <c r="AD91" s="534">
        <v>0</v>
      </c>
      <c r="AE91" s="536">
        <f t="shared" si="45"/>
        <v>215.14</v>
      </c>
      <c r="AF91" s="533"/>
      <c r="AG91" s="534">
        <v>0</v>
      </c>
      <c r="AH91" s="534">
        <v>0</v>
      </c>
      <c r="AI91" s="534">
        <v>0</v>
      </c>
      <c r="AJ91" s="534">
        <v>0</v>
      </c>
      <c r="AK91" s="536">
        <f t="shared" si="46"/>
        <v>0</v>
      </c>
      <c r="AL91" s="533"/>
      <c r="AM91" s="534">
        <v>215.14</v>
      </c>
      <c r="AN91" s="534">
        <v>0</v>
      </c>
      <c r="AO91" s="534">
        <v>0</v>
      </c>
      <c r="AP91" s="537">
        <v>0</v>
      </c>
      <c r="AQ91" s="535">
        <v>0</v>
      </c>
      <c r="AR91" s="534">
        <v>0</v>
      </c>
      <c r="AS91" s="534">
        <v>0</v>
      </c>
      <c r="AT91" s="534">
        <v>0</v>
      </c>
      <c r="AU91" s="536">
        <f t="shared" si="47"/>
        <v>215.14</v>
      </c>
      <c r="AV91" s="533"/>
      <c r="AW91" s="538">
        <f t="shared" si="48"/>
        <v>0</v>
      </c>
      <c r="AX91" s="538">
        <f t="shared" si="49"/>
        <v>0</v>
      </c>
      <c r="AY91" s="533"/>
      <c r="AZ91" s="534">
        <f t="shared" si="50"/>
        <v>0</v>
      </c>
      <c r="BA91" s="534">
        <v>0</v>
      </c>
      <c r="BD91" s="392">
        <f t="shared" si="41"/>
        <v>0</v>
      </c>
      <c r="BE91" s="425">
        <f t="shared" si="42"/>
        <v>0</v>
      </c>
      <c r="BF91" s="425">
        <f t="shared" si="52"/>
        <v>0</v>
      </c>
      <c r="BG91" s="425">
        <f t="shared" si="52"/>
        <v>-61.6</v>
      </c>
      <c r="BH91" s="425">
        <f t="shared" si="52"/>
        <v>0</v>
      </c>
      <c r="BI91" s="425">
        <f t="shared" si="52"/>
        <v>0</v>
      </c>
      <c r="BJ91" s="425">
        <f t="shared" si="52"/>
        <v>0</v>
      </c>
      <c r="BK91" s="425">
        <f t="shared" si="52"/>
        <v>0</v>
      </c>
      <c r="BL91" s="425">
        <f t="shared" si="52"/>
        <v>-153.54</v>
      </c>
      <c r="BM91" s="425">
        <f t="shared" si="38"/>
        <v>0</v>
      </c>
      <c r="BN91" s="425">
        <f t="shared" si="38"/>
        <v>0</v>
      </c>
      <c r="BO91" s="425">
        <f t="shared" si="38"/>
        <v>0</v>
      </c>
      <c r="BP91" s="425">
        <f t="shared" si="39"/>
        <v>0</v>
      </c>
      <c r="BQ91" s="425">
        <f t="shared" si="39"/>
        <v>0</v>
      </c>
      <c r="BR91" s="425">
        <f t="shared" si="39"/>
        <v>0</v>
      </c>
      <c r="BS91" s="425">
        <f t="shared" si="40"/>
        <v>215.14</v>
      </c>
      <c r="BT91" s="426">
        <f t="shared" si="40"/>
        <v>0</v>
      </c>
    </row>
    <row r="92" spans="2:72" hidden="1" x14ac:dyDescent="0.25">
      <c r="B92" s="145"/>
      <c r="C92" s="539">
        <f t="shared" si="51"/>
        <v>41061</v>
      </c>
      <c r="D92" s="533"/>
      <c r="E92" s="534">
        <v>0</v>
      </c>
      <c r="F92" s="534">
        <v>0</v>
      </c>
      <c r="G92" s="534">
        <v>0</v>
      </c>
      <c r="H92" s="540">
        <v>0</v>
      </c>
      <c r="I92" s="536">
        <f t="shared" si="43"/>
        <v>0</v>
      </c>
      <c r="J92" s="533"/>
      <c r="K92" s="534">
        <v>0</v>
      </c>
      <c r="L92" s="534">
        <v>0</v>
      </c>
      <c r="M92" s="534">
        <v>0</v>
      </c>
      <c r="N92" s="534">
        <v>0</v>
      </c>
      <c r="O92" s="534">
        <v>0</v>
      </c>
      <c r="P92" s="534">
        <v>0</v>
      </c>
      <c r="Q92" s="534">
        <v>0</v>
      </c>
      <c r="R92" s="534">
        <v>0</v>
      </c>
      <c r="S92" s="536">
        <f t="shared" si="44"/>
        <v>0</v>
      </c>
      <c r="T92" s="533"/>
      <c r="U92" s="534">
        <v>0</v>
      </c>
      <c r="V92" s="534">
        <v>0</v>
      </c>
      <c r="W92" s="534">
        <v>0</v>
      </c>
      <c r="X92" s="534">
        <v>0</v>
      </c>
      <c r="Y92" s="534">
        <v>0</v>
      </c>
      <c r="Z92" s="534">
        <v>0</v>
      </c>
      <c r="AA92" s="534">
        <v>0</v>
      </c>
      <c r="AB92" s="534">
        <v>0</v>
      </c>
      <c r="AC92" s="534">
        <v>0</v>
      </c>
      <c r="AD92" s="534">
        <v>0</v>
      </c>
      <c r="AE92" s="536">
        <f t="shared" si="45"/>
        <v>0</v>
      </c>
      <c r="AF92" s="533"/>
      <c r="AG92" s="534">
        <v>0</v>
      </c>
      <c r="AH92" s="534">
        <v>0</v>
      </c>
      <c r="AI92" s="534">
        <v>0</v>
      </c>
      <c r="AJ92" s="534">
        <v>0</v>
      </c>
      <c r="AK92" s="536">
        <f t="shared" si="46"/>
        <v>0</v>
      </c>
      <c r="AL92" s="533"/>
      <c r="AM92" s="534">
        <v>0</v>
      </c>
      <c r="AN92" s="534">
        <v>0</v>
      </c>
      <c r="AO92" s="534">
        <v>0</v>
      </c>
      <c r="AP92" s="537">
        <v>0</v>
      </c>
      <c r="AQ92" s="535">
        <v>0</v>
      </c>
      <c r="AR92" s="534">
        <v>0</v>
      </c>
      <c r="AS92" s="534">
        <v>0</v>
      </c>
      <c r="AT92" s="534">
        <v>0</v>
      </c>
      <c r="AU92" s="536">
        <f t="shared" si="47"/>
        <v>0</v>
      </c>
      <c r="AV92" s="533"/>
      <c r="AW92" s="538">
        <f t="shared" si="48"/>
        <v>0</v>
      </c>
      <c r="AX92" s="538">
        <f t="shared" si="49"/>
        <v>0</v>
      </c>
      <c r="AY92" s="533"/>
      <c r="AZ92" s="534">
        <f t="shared" si="50"/>
        <v>0</v>
      </c>
      <c r="BA92" s="534">
        <v>0</v>
      </c>
      <c r="BD92" s="392">
        <f t="shared" si="41"/>
        <v>0</v>
      </c>
      <c r="BE92" s="425">
        <f t="shared" si="42"/>
        <v>0</v>
      </c>
      <c r="BF92" s="425">
        <f t="shared" si="52"/>
        <v>0</v>
      </c>
      <c r="BG92" s="425">
        <f t="shared" si="52"/>
        <v>0</v>
      </c>
      <c r="BH92" s="425">
        <f t="shared" si="52"/>
        <v>0</v>
      </c>
      <c r="BI92" s="425">
        <f t="shared" si="52"/>
        <v>0</v>
      </c>
      <c r="BJ92" s="425">
        <f t="shared" si="52"/>
        <v>0</v>
      </c>
      <c r="BK92" s="425">
        <f t="shared" si="52"/>
        <v>0</v>
      </c>
      <c r="BL92" s="425">
        <f t="shared" si="52"/>
        <v>0</v>
      </c>
      <c r="BM92" s="425">
        <f t="shared" si="38"/>
        <v>0</v>
      </c>
      <c r="BN92" s="425">
        <f t="shared" si="38"/>
        <v>0</v>
      </c>
      <c r="BO92" s="425">
        <f t="shared" si="38"/>
        <v>0</v>
      </c>
      <c r="BP92" s="425">
        <f t="shared" si="39"/>
        <v>0</v>
      </c>
      <c r="BQ92" s="425">
        <f t="shared" si="39"/>
        <v>0</v>
      </c>
      <c r="BR92" s="425">
        <f t="shared" si="39"/>
        <v>0</v>
      </c>
      <c r="BS92" s="425">
        <f t="shared" si="40"/>
        <v>0</v>
      </c>
      <c r="BT92" s="426">
        <f t="shared" si="40"/>
        <v>0</v>
      </c>
    </row>
    <row r="93" spans="2:72" hidden="1" x14ac:dyDescent="0.25">
      <c r="B93" s="145"/>
      <c r="C93" s="539">
        <f t="shared" si="51"/>
        <v>41091</v>
      </c>
      <c r="D93" s="533"/>
      <c r="E93" s="534">
        <v>0</v>
      </c>
      <c r="F93" s="534">
        <v>0</v>
      </c>
      <c r="G93" s="534">
        <v>0</v>
      </c>
      <c r="H93" s="540">
        <v>0</v>
      </c>
      <c r="I93" s="536">
        <f t="shared" si="43"/>
        <v>0</v>
      </c>
      <c r="J93" s="533"/>
      <c r="K93" s="534">
        <v>0</v>
      </c>
      <c r="L93" s="534">
        <v>0</v>
      </c>
      <c r="M93" s="534">
        <v>0</v>
      </c>
      <c r="N93" s="534">
        <v>0</v>
      </c>
      <c r="O93" s="534">
        <v>0</v>
      </c>
      <c r="P93" s="534">
        <v>0</v>
      </c>
      <c r="Q93" s="534">
        <v>0</v>
      </c>
      <c r="R93" s="534">
        <v>0</v>
      </c>
      <c r="S93" s="536">
        <f t="shared" si="44"/>
        <v>0</v>
      </c>
      <c r="T93" s="533"/>
      <c r="U93" s="534">
        <v>0</v>
      </c>
      <c r="V93" s="534">
        <v>0</v>
      </c>
      <c r="W93" s="534">
        <v>0</v>
      </c>
      <c r="X93" s="534">
        <v>0</v>
      </c>
      <c r="Y93" s="534">
        <v>0</v>
      </c>
      <c r="Z93" s="534">
        <v>0</v>
      </c>
      <c r="AA93" s="534">
        <v>108.66</v>
      </c>
      <c r="AB93" s="534">
        <v>0</v>
      </c>
      <c r="AC93" s="534">
        <v>0</v>
      </c>
      <c r="AD93" s="534">
        <v>0</v>
      </c>
      <c r="AE93" s="536">
        <f t="shared" si="45"/>
        <v>108.66</v>
      </c>
      <c r="AF93" s="533"/>
      <c r="AG93" s="534">
        <v>0</v>
      </c>
      <c r="AH93" s="534">
        <v>0</v>
      </c>
      <c r="AI93" s="534">
        <v>0</v>
      </c>
      <c r="AJ93" s="534">
        <v>0</v>
      </c>
      <c r="AK93" s="536">
        <f t="shared" si="46"/>
        <v>0</v>
      </c>
      <c r="AL93" s="533"/>
      <c r="AM93" s="534">
        <v>108.66</v>
      </c>
      <c r="AN93" s="534">
        <v>0</v>
      </c>
      <c r="AO93" s="534">
        <v>0</v>
      </c>
      <c r="AP93" s="537">
        <v>0</v>
      </c>
      <c r="AQ93" s="535">
        <v>0</v>
      </c>
      <c r="AR93" s="534">
        <v>0</v>
      </c>
      <c r="AS93" s="534">
        <v>0</v>
      </c>
      <c r="AT93" s="534">
        <v>0</v>
      </c>
      <c r="AU93" s="536">
        <f t="shared" si="47"/>
        <v>108.66</v>
      </c>
      <c r="AV93" s="533"/>
      <c r="AW93" s="538">
        <f t="shared" si="48"/>
        <v>0</v>
      </c>
      <c r="AX93" s="538">
        <f t="shared" si="49"/>
        <v>0</v>
      </c>
      <c r="AY93" s="533"/>
      <c r="AZ93" s="534">
        <f t="shared" si="50"/>
        <v>0</v>
      </c>
      <c r="BA93" s="534">
        <v>0</v>
      </c>
      <c r="BD93" s="392">
        <f t="shared" si="41"/>
        <v>0</v>
      </c>
      <c r="BE93" s="425">
        <f t="shared" si="42"/>
        <v>0</v>
      </c>
      <c r="BF93" s="425">
        <f t="shared" si="52"/>
        <v>0</v>
      </c>
      <c r="BG93" s="425">
        <f t="shared" si="52"/>
        <v>0</v>
      </c>
      <c r="BH93" s="425">
        <f t="shared" si="52"/>
        <v>0</v>
      </c>
      <c r="BI93" s="425">
        <f t="shared" si="52"/>
        <v>0</v>
      </c>
      <c r="BJ93" s="425">
        <f t="shared" si="52"/>
        <v>0</v>
      </c>
      <c r="BK93" s="425">
        <f t="shared" si="52"/>
        <v>0</v>
      </c>
      <c r="BL93" s="425">
        <f t="shared" si="52"/>
        <v>-108.66</v>
      </c>
      <c r="BM93" s="425">
        <f t="shared" si="38"/>
        <v>0</v>
      </c>
      <c r="BN93" s="425">
        <f t="shared" si="38"/>
        <v>0</v>
      </c>
      <c r="BO93" s="425">
        <f t="shared" si="38"/>
        <v>0</v>
      </c>
      <c r="BP93" s="425">
        <f t="shared" si="39"/>
        <v>0</v>
      </c>
      <c r="BQ93" s="425">
        <f t="shared" si="39"/>
        <v>0</v>
      </c>
      <c r="BR93" s="425">
        <f t="shared" si="39"/>
        <v>0</v>
      </c>
      <c r="BS93" s="425">
        <f t="shared" si="40"/>
        <v>108.66</v>
      </c>
      <c r="BT93" s="426">
        <f t="shared" si="40"/>
        <v>0</v>
      </c>
    </row>
    <row r="94" spans="2:72" hidden="1" x14ac:dyDescent="0.25">
      <c r="B94" s="145"/>
      <c r="C94" s="539">
        <f t="shared" si="51"/>
        <v>41122</v>
      </c>
      <c r="D94" s="533"/>
      <c r="E94" s="534">
        <v>0</v>
      </c>
      <c r="F94" s="534">
        <v>0</v>
      </c>
      <c r="G94" s="534">
        <v>0</v>
      </c>
      <c r="H94" s="540">
        <v>0</v>
      </c>
      <c r="I94" s="536">
        <f t="shared" si="43"/>
        <v>0</v>
      </c>
      <c r="J94" s="533"/>
      <c r="K94" s="534">
        <v>0</v>
      </c>
      <c r="L94" s="534">
        <v>0</v>
      </c>
      <c r="M94" s="534">
        <v>0</v>
      </c>
      <c r="N94" s="534">
        <v>0</v>
      </c>
      <c r="O94" s="534">
        <v>0</v>
      </c>
      <c r="P94" s="534">
        <v>0</v>
      </c>
      <c r="Q94" s="534">
        <v>0</v>
      </c>
      <c r="R94" s="534">
        <v>0</v>
      </c>
      <c r="S94" s="536">
        <f t="shared" si="44"/>
        <v>0</v>
      </c>
      <c r="T94" s="533"/>
      <c r="U94" s="534">
        <v>0</v>
      </c>
      <c r="V94" s="534">
        <v>0</v>
      </c>
      <c r="W94" s="534">
        <v>0</v>
      </c>
      <c r="X94" s="534">
        <v>0</v>
      </c>
      <c r="Y94" s="534">
        <v>0</v>
      </c>
      <c r="Z94" s="534">
        <v>0</v>
      </c>
      <c r="AA94" s="534">
        <v>0</v>
      </c>
      <c r="AB94" s="534">
        <v>0</v>
      </c>
      <c r="AC94" s="534">
        <v>0</v>
      </c>
      <c r="AD94" s="534">
        <v>0</v>
      </c>
      <c r="AE94" s="536">
        <f t="shared" si="45"/>
        <v>0</v>
      </c>
      <c r="AF94" s="533"/>
      <c r="AG94" s="534">
        <v>0</v>
      </c>
      <c r="AH94" s="534">
        <v>0</v>
      </c>
      <c r="AI94" s="534">
        <v>0</v>
      </c>
      <c r="AJ94" s="534">
        <v>0</v>
      </c>
      <c r="AK94" s="536">
        <f t="shared" si="46"/>
        <v>0</v>
      </c>
      <c r="AL94" s="533"/>
      <c r="AM94" s="534">
        <v>0</v>
      </c>
      <c r="AN94" s="534">
        <v>0</v>
      </c>
      <c r="AO94" s="534">
        <v>0</v>
      </c>
      <c r="AP94" s="537">
        <v>0</v>
      </c>
      <c r="AQ94" s="535">
        <v>0</v>
      </c>
      <c r="AR94" s="534">
        <v>0</v>
      </c>
      <c r="AS94" s="534">
        <v>0</v>
      </c>
      <c r="AT94" s="534">
        <v>0</v>
      </c>
      <c r="AU94" s="536">
        <f t="shared" si="47"/>
        <v>0</v>
      </c>
      <c r="AV94" s="533"/>
      <c r="AW94" s="538">
        <f t="shared" si="48"/>
        <v>0</v>
      </c>
      <c r="AX94" s="538">
        <f t="shared" si="49"/>
        <v>0</v>
      </c>
      <c r="AY94" s="533"/>
      <c r="AZ94" s="534">
        <f t="shared" si="50"/>
        <v>0</v>
      </c>
      <c r="BA94" s="534">
        <v>0</v>
      </c>
      <c r="BD94" s="392">
        <f t="shared" si="41"/>
        <v>0</v>
      </c>
      <c r="BE94" s="425">
        <f t="shared" si="42"/>
        <v>0</v>
      </c>
      <c r="BF94" s="425">
        <f t="shared" si="52"/>
        <v>0</v>
      </c>
      <c r="BG94" s="425">
        <f t="shared" si="52"/>
        <v>0</v>
      </c>
      <c r="BH94" s="425">
        <f t="shared" si="52"/>
        <v>0</v>
      </c>
      <c r="BI94" s="425">
        <f t="shared" si="52"/>
        <v>0</v>
      </c>
      <c r="BJ94" s="425">
        <f t="shared" si="52"/>
        <v>0</v>
      </c>
      <c r="BK94" s="425">
        <f t="shared" si="52"/>
        <v>0</v>
      </c>
      <c r="BL94" s="425">
        <f t="shared" si="52"/>
        <v>0</v>
      </c>
      <c r="BM94" s="425">
        <f t="shared" si="38"/>
        <v>0</v>
      </c>
      <c r="BN94" s="425">
        <f t="shared" si="38"/>
        <v>0</v>
      </c>
      <c r="BO94" s="425">
        <f t="shared" si="38"/>
        <v>0</v>
      </c>
      <c r="BP94" s="425">
        <f t="shared" si="39"/>
        <v>0</v>
      </c>
      <c r="BQ94" s="425">
        <f t="shared" si="39"/>
        <v>0</v>
      </c>
      <c r="BR94" s="425">
        <f t="shared" si="39"/>
        <v>0</v>
      </c>
      <c r="BS94" s="425">
        <f t="shared" si="40"/>
        <v>0</v>
      </c>
      <c r="BT94" s="426">
        <f t="shared" si="40"/>
        <v>0</v>
      </c>
    </row>
    <row r="95" spans="2:72" hidden="1" x14ac:dyDescent="0.25">
      <c r="B95" s="145"/>
      <c r="C95" s="539">
        <f t="shared" si="51"/>
        <v>41153</v>
      </c>
      <c r="D95" s="533"/>
      <c r="E95" s="534">
        <v>0</v>
      </c>
      <c r="F95" s="534">
        <v>0</v>
      </c>
      <c r="G95" s="534">
        <v>0</v>
      </c>
      <c r="H95" s="540">
        <v>0</v>
      </c>
      <c r="I95" s="536">
        <f t="shared" si="43"/>
        <v>0</v>
      </c>
      <c r="J95" s="533"/>
      <c r="K95" s="534">
        <v>0</v>
      </c>
      <c r="L95" s="534">
        <v>0</v>
      </c>
      <c r="M95" s="534">
        <v>0</v>
      </c>
      <c r="N95" s="534">
        <v>0</v>
      </c>
      <c r="O95" s="534">
        <v>0</v>
      </c>
      <c r="P95" s="534">
        <v>0</v>
      </c>
      <c r="Q95" s="534">
        <v>0</v>
      </c>
      <c r="R95" s="534">
        <v>0</v>
      </c>
      <c r="S95" s="536">
        <f t="shared" si="44"/>
        <v>0</v>
      </c>
      <c r="T95" s="533"/>
      <c r="U95" s="534">
        <v>240</v>
      </c>
      <c r="V95" s="534">
        <v>0</v>
      </c>
      <c r="W95" s="534">
        <v>0</v>
      </c>
      <c r="X95" s="534">
        <v>0</v>
      </c>
      <c r="Y95" s="534">
        <v>0</v>
      </c>
      <c r="Z95" s="534">
        <v>0</v>
      </c>
      <c r="AA95" s="534">
        <v>0</v>
      </c>
      <c r="AB95" s="534">
        <v>0</v>
      </c>
      <c r="AC95" s="534">
        <v>0</v>
      </c>
      <c r="AD95" s="534">
        <v>0</v>
      </c>
      <c r="AE95" s="536">
        <f t="shared" si="45"/>
        <v>240</v>
      </c>
      <c r="AF95" s="533"/>
      <c r="AG95" s="534">
        <v>0</v>
      </c>
      <c r="AH95" s="534">
        <v>0</v>
      </c>
      <c r="AI95" s="534">
        <v>0</v>
      </c>
      <c r="AJ95" s="534">
        <v>0</v>
      </c>
      <c r="AK95" s="536">
        <f t="shared" si="46"/>
        <v>0</v>
      </c>
      <c r="AL95" s="533"/>
      <c r="AM95" s="534">
        <v>240</v>
      </c>
      <c r="AN95" s="534">
        <v>0</v>
      </c>
      <c r="AO95" s="534">
        <v>0</v>
      </c>
      <c r="AP95" s="537">
        <v>0</v>
      </c>
      <c r="AQ95" s="535">
        <v>0</v>
      </c>
      <c r="AR95" s="534">
        <v>0</v>
      </c>
      <c r="AS95" s="534">
        <v>0</v>
      </c>
      <c r="AT95" s="534">
        <v>0</v>
      </c>
      <c r="AU95" s="536">
        <f t="shared" si="47"/>
        <v>240</v>
      </c>
      <c r="AV95" s="533"/>
      <c r="AW95" s="538">
        <f t="shared" si="48"/>
        <v>0</v>
      </c>
      <c r="AX95" s="538">
        <f t="shared" si="49"/>
        <v>0</v>
      </c>
      <c r="AY95" s="533"/>
      <c r="AZ95" s="534">
        <f t="shared" si="50"/>
        <v>0</v>
      </c>
      <c r="BA95" s="534">
        <v>0</v>
      </c>
      <c r="BD95" s="392">
        <f t="shared" si="41"/>
        <v>0</v>
      </c>
      <c r="BE95" s="425">
        <f t="shared" si="42"/>
        <v>0</v>
      </c>
      <c r="BF95" s="425">
        <f t="shared" si="52"/>
        <v>0</v>
      </c>
      <c r="BG95" s="425">
        <f t="shared" si="52"/>
        <v>-240</v>
      </c>
      <c r="BH95" s="425">
        <f t="shared" si="52"/>
        <v>0</v>
      </c>
      <c r="BI95" s="425">
        <f t="shared" si="52"/>
        <v>0</v>
      </c>
      <c r="BJ95" s="425">
        <f t="shared" si="52"/>
        <v>0</v>
      </c>
      <c r="BK95" s="425">
        <f t="shared" si="52"/>
        <v>0</v>
      </c>
      <c r="BL95" s="425">
        <f t="shared" si="52"/>
        <v>0</v>
      </c>
      <c r="BM95" s="425">
        <f t="shared" si="38"/>
        <v>0</v>
      </c>
      <c r="BN95" s="425">
        <f t="shared" si="38"/>
        <v>0</v>
      </c>
      <c r="BO95" s="425">
        <f t="shared" si="38"/>
        <v>0</v>
      </c>
      <c r="BP95" s="425">
        <f t="shared" si="39"/>
        <v>0</v>
      </c>
      <c r="BQ95" s="425">
        <f t="shared" si="39"/>
        <v>0</v>
      </c>
      <c r="BR95" s="425">
        <f t="shared" si="39"/>
        <v>0</v>
      </c>
      <c r="BS95" s="425">
        <f t="shared" si="40"/>
        <v>240</v>
      </c>
      <c r="BT95" s="426">
        <f t="shared" si="40"/>
        <v>0</v>
      </c>
    </row>
    <row r="96" spans="2:72" hidden="1" x14ac:dyDescent="0.25">
      <c r="B96" s="145"/>
      <c r="C96" s="539">
        <f t="shared" si="51"/>
        <v>41183</v>
      </c>
      <c r="D96" s="533"/>
      <c r="E96" s="534">
        <v>0</v>
      </c>
      <c r="F96" s="534">
        <v>0</v>
      </c>
      <c r="G96" s="534">
        <v>0</v>
      </c>
      <c r="H96" s="540">
        <v>0</v>
      </c>
      <c r="I96" s="536">
        <f t="shared" si="43"/>
        <v>0</v>
      </c>
      <c r="J96" s="533"/>
      <c r="K96" s="534">
        <v>0</v>
      </c>
      <c r="L96" s="534">
        <v>0</v>
      </c>
      <c r="M96" s="534">
        <v>0</v>
      </c>
      <c r="N96" s="534">
        <v>0</v>
      </c>
      <c r="O96" s="534">
        <v>0</v>
      </c>
      <c r="P96" s="534">
        <v>0</v>
      </c>
      <c r="Q96" s="534">
        <v>0</v>
      </c>
      <c r="R96" s="534">
        <v>0</v>
      </c>
      <c r="S96" s="536">
        <f t="shared" si="44"/>
        <v>0</v>
      </c>
      <c r="T96" s="533"/>
      <c r="U96" s="534">
        <v>0</v>
      </c>
      <c r="V96" s="534">
        <v>0</v>
      </c>
      <c r="W96" s="534">
        <v>0</v>
      </c>
      <c r="X96" s="534">
        <v>0</v>
      </c>
      <c r="Y96" s="534">
        <v>0</v>
      </c>
      <c r="Z96" s="534">
        <v>0</v>
      </c>
      <c r="AA96" s="534">
        <v>0</v>
      </c>
      <c r="AB96" s="534">
        <v>0</v>
      </c>
      <c r="AC96" s="534">
        <v>0</v>
      </c>
      <c r="AD96" s="534">
        <v>0</v>
      </c>
      <c r="AE96" s="536">
        <f t="shared" si="45"/>
        <v>0</v>
      </c>
      <c r="AF96" s="533"/>
      <c r="AG96" s="534">
        <v>0</v>
      </c>
      <c r="AH96" s="534">
        <v>0</v>
      </c>
      <c r="AI96" s="534">
        <v>0</v>
      </c>
      <c r="AJ96" s="534">
        <v>0</v>
      </c>
      <c r="AK96" s="536">
        <f t="shared" si="46"/>
        <v>0</v>
      </c>
      <c r="AL96" s="533"/>
      <c r="AM96" s="534">
        <v>0</v>
      </c>
      <c r="AN96" s="534">
        <v>0</v>
      </c>
      <c r="AO96" s="534">
        <v>0</v>
      </c>
      <c r="AP96" s="537">
        <v>0</v>
      </c>
      <c r="AQ96" s="535">
        <v>0</v>
      </c>
      <c r="AR96" s="534">
        <v>0</v>
      </c>
      <c r="AS96" s="534">
        <v>0</v>
      </c>
      <c r="AT96" s="534">
        <v>0</v>
      </c>
      <c r="AU96" s="536">
        <f t="shared" si="47"/>
        <v>0</v>
      </c>
      <c r="AV96" s="533"/>
      <c r="AW96" s="538">
        <f t="shared" si="48"/>
        <v>0</v>
      </c>
      <c r="AX96" s="538">
        <f t="shared" si="49"/>
        <v>0</v>
      </c>
      <c r="AY96" s="533"/>
      <c r="AZ96" s="534">
        <f t="shared" si="50"/>
        <v>0</v>
      </c>
      <c r="BA96" s="534">
        <v>0</v>
      </c>
      <c r="BD96" s="392">
        <f t="shared" si="41"/>
        <v>0</v>
      </c>
      <c r="BE96" s="425">
        <f t="shared" si="42"/>
        <v>0</v>
      </c>
      <c r="BF96" s="425">
        <f t="shared" si="52"/>
        <v>0</v>
      </c>
      <c r="BG96" s="425">
        <f t="shared" si="52"/>
        <v>0</v>
      </c>
      <c r="BH96" s="425">
        <f t="shared" si="52"/>
        <v>0</v>
      </c>
      <c r="BI96" s="425">
        <f t="shared" si="52"/>
        <v>0</v>
      </c>
      <c r="BJ96" s="425">
        <f t="shared" si="52"/>
        <v>0</v>
      </c>
      <c r="BK96" s="425">
        <f t="shared" si="52"/>
        <v>0</v>
      </c>
      <c r="BL96" s="425">
        <f t="shared" si="52"/>
        <v>0</v>
      </c>
      <c r="BM96" s="425">
        <f t="shared" si="38"/>
        <v>0</v>
      </c>
      <c r="BN96" s="425">
        <f t="shared" si="38"/>
        <v>0</v>
      </c>
      <c r="BO96" s="425">
        <f t="shared" si="38"/>
        <v>0</v>
      </c>
      <c r="BP96" s="425">
        <f t="shared" si="39"/>
        <v>0</v>
      </c>
      <c r="BQ96" s="425">
        <f t="shared" si="39"/>
        <v>0</v>
      </c>
      <c r="BR96" s="425">
        <f t="shared" si="39"/>
        <v>0</v>
      </c>
      <c r="BS96" s="425">
        <f t="shared" si="40"/>
        <v>0</v>
      </c>
      <c r="BT96" s="426">
        <f t="shared" si="40"/>
        <v>0</v>
      </c>
    </row>
    <row r="97" spans="2:72" hidden="1" x14ac:dyDescent="0.25">
      <c r="B97" s="145"/>
      <c r="C97" s="539">
        <f t="shared" si="51"/>
        <v>41214</v>
      </c>
      <c r="D97" s="533"/>
      <c r="E97" s="534">
        <v>0</v>
      </c>
      <c r="F97" s="534">
        <v>0</v>
      </c>
      <c r="G97" s="534">
        <v>0</v>
      </c>
      <c r="H97" s="540">
        <v>0</v>
      </c>
      <c r="I97" s="536">
        <f t="shared" si="43"/>
        <v>0</v>
      </c>
      <c r="J97" s="533"/>
      <c r="K97" s="534">
        <v>0</v>
      </c>
      <c r="L97" s="534">
        <v>0</v>
      </c>
      <c r="M97" s="534">
        <v>0</v>
      </c>
      <c r="N97" s="534">
        <v>0</v>
      </c>
      <c r="O97" s="534">
        <v>0</v>
      </c>
      <c r="P97" s="534">
        <v>0</v>
      </c>
      <c r="Q97" s="534">
        <v>0</v>
      </c>
      <c r="R97" s="534">
        <v>0</v>
      </c>
      <c r="S97" s="536">
        <f t="shared" si="44"/>
        <v>0</v>
      </c>
      <c r="T97" s="533"/>
      <c r="U97" s="534">
        <v>0</v>
      </c>
      <c r="V97" s="534">
        <v>0</v>
      </c>
      <c r="W97" s="534">
        <v>0</v>
      </c>
      <c r="X97" s="534">
        <v>0</v>
      </c>
      <c r="Y97" s="534">
        <v>0</v>
      </c>
      <c r="Z97" s="534">
        <v>0</v>
      </c>
      <c r="AA97" s="534">
        <v>0</v>
      </c>
      <c r="AB97" s="534">
        <v>0</v>
      </c>
      <c r="AC97" s="534">
        <v>0</v>
      </c>
      <c r="AD97" s="534">
        <v>0</v>
      </c>
      <c r="AE97" s="536">
        <f t="shared" si="45"/>
        <v>0</v>
      </c>
      <c r="AF97" s="533"/>
      <c r="AG97" s="534">
        <v>0</v>
      </c>
      <c r="AH97" s="534">
        <v>0</v>
      </c>
      <c r="AI97" s="534">
        <v>0</v>
      </c>
      <c r="AJ97" s="534">
        <v>0</v>
      </c>
      <c r="AK97" s="536">
        <f t="shared" si="46"/>
        <v>0</v>
      </c>
      <c r="AL97" s="533"/>
      <c r="AM97" s="534">
        <v>0</v>
      </c>
      <c r="AN97" s="534">
        <v>0</v>
      </c>
      <c r="AO97" s="534">
        <v>0</v>
      </c>
      <c r="AP97" s="537">
        <v>0</v>
      </c>
      <c r="AQ97" s="535">
        <v>0</v>
      </c>
      <c r="AR97" s="534">
        <v>0</v>
      </c>
      <c r="AS97" s="534">
        <v>0</v>
      </c>
      <c r="AT97" s="534">
        <v>0</v>
      </c>
      <c r="AU97" s="536">
        <f t="shared" si="47"/>
        <v>0</v>
      </c>
      <c r="AV97" s="533"/>
      <c r="AW97" s="538">
        <f t="shared" si="48"/>
        <v>0</v>
      </c>
      <c r="AX97" s="538">
        <f t="shared" si="49"/>
        <v>0</v>
      </c>
      <c r="AY97" s="533"/>
      <c r="AZ97" s="534">
        <f t="shared" si="50"/>
        <v>0</v>
      </c>
      <c r="BA97" s="534">
        <v>0</v>
      </c>
      <c r="BD97" s="392">
        <f t="shared" si="41"/>
        <v>0</v>
      </c>
      <c r="BE97" s="425">
        <f t="shared" si="42"/>
        <v>0</v>
      </c>
      <c r="BF97" s="425">
        <f t="shared" si="52"/>
        <v>0</v>
      </c>
      <c r="BG97" s="425">
        <f t="shared" si="52"/>
        <v>0</v>
      </c>
      <c r="BH97" s="425">
        <f t="shared" si="52"/>
        <v>0</v>
      </c>
      <c r="BI97" s="425">
        <f t="shared" si="52"/>
        <v>0</v>
      </c>
      <c r="BJ97" s="425">
        <f t="shared" si="52"/>
        <v>0</v>
      </c>
      <c r="BK97" s="425">
        <f t="shared" si="52"/>
        <v>0</v>
      </c>
      <c r="BL97" s="425">
        <f t="shared" si="52"/>
        <v>0</v>
      </c>
      <c r="BM97" s="425">
        <f t="shared" si="38"/>
        <v>0</v>
      </c>
      <c r="BN97" s="425">
        <f t="shared" si="38"/>
        <v>0</v>
      </c>
      <c r="BO97" s="425">
        <f t="shared" si="38"/>
        <v>0</v>
      </c>
      <c r="BP97" s="425">
        <f t="shared" si="39"/>
        <v>0</v>
      </c>
      <c r="BQ97" s="425">
        <f t="shared" si="39"/>
        <v>0</v>
      </c>
      <c r="BR97" s="425">
        <f t="shared" si="39"/>
        <v>0</v>
      </c>
      <c r="BS97" s="425">
        <f t="shared" si="40"/>
        <v>0</v>
      </c>
      <c r="BT97" s="426">
        <f t="shared" si="40"/>
        <v>0</v>
      </c>
    </row>
    <row r="98" spans="2:72" hidden="1" x14ac:dyDescent="0.25">
      <c r="B98" s="145"/>
      <c r="C98" s="539">
        <f t="shared" si="51"/>
        <v>41244</v>
      </c>
      <c r="D98" s="533"/>
      <c r="E98" s="534">
        <v>0</v>
      </c>
      <c r="F98" s="534">
        <v>0</v>
      </c>
      <c r="G98" s="534">
        <v>0</v>
      </c>
      <c r="H98" s="540">
        <v>0</v>
      </c>
      <c r="I98" s="536">
        <f t="shared" si="43"/>
        <v>0</v>
      </c>
      <c r="J98" s="533"/>
      <c r="K98" s="534">
        <v>0</v>
      </c>
      <c r="L98" s="534">
        <v>0</v>
      </c>
      <c r="M98" s="534">
        <v>0</v>
      </c>
      <c r="N98" s="534">
        <v>0</v>
      </c>
      <c r="O98" s="534">
        <v>0</v>
      </c>
      <c r="P98" s="534">
        <v>0</v>
      </c>
      <c r="Q98" s="534">
        <v>0</v>
      </c>
      <c r="R98" s="534">
        <v>0</v>
      </c>
      <c r="S98" s="536">
        <f t="shared" si="44"/>
        <v>0</v>
      </c>
      <c r="T98" s="533"/>
      <c r="U98" s="534">
        <v>100</v>
      </c>
      <c r="V98" s="534">
        <v>0</v>
      </c>
      <c r="W98" s="534">
        <v>0</v>
      </c>
      <c r="X98" s="534">
        <v>0</v>
      </c>
      <c r="Y98" s="534">
        <v>0</v>
      </c>
      <c r="Z98" s="534">
        <v>0</v>
      </c>
      <c r="AA98" s="534">
        <v>0</v>
      </c>
      <c r="AB98" s="534">
        <v>0</v>
      </c>
      <c r="AC98" s="534">
        <v>0</v>
      </c>
      <c r="AD98" s="534">
        <v>0</v>
      </c>
      <c r="AE98" s="536">
        <f t="shared" si="45"/>
        <v>100</v>
      </c>
      <c r="AF98" s="533"/>
      <c r="AG98" s="534">
        <v>0</v>
      </c>
      <c r="AH98" s="534">
        <v>0</v>
      </c>
      <c r="AI98" s="534">
        <v>0</v>
      </c>
      <c r="AJ98" s="534">
        <v>0</v>
      </c>
      <c r="AK98" s="536">
        <f t="shared" si="46"/>
        <v>0</v>
      </c>
      <c r="AL98" s="533"/>
      <c r="AM98" s="534">
        <v>100</v>
      </c>
      <c r="AN98" s="534">
        <v>0</v>
      </c>
      <c r="AO98" s="534">
        <v>0</v>
      </c>
      <c r="AP98" s="537">
        <v>0</v>
      </c>
      <c r="AQ98" s="535">
        <v>0</v>
      </c>
      <c r="AR98" s="534">
        <v>0</v>
      </c>
      <c r="AS98" s="534">
        <v>0</v>
      </c>
      <c r="AT98" s="534">
        <v>0</v>
      </c>
      <c r="AU98" s="536">
        <f t="shared" si="47"/>
        <v>100</v>
      </c>
      <c r="AV98" s="533"/>
      <c r="AW98" s="538">
        <f t="shared" si="48"/>
        <v>0</v>
      </c>
      <c r="AX98" s="538">
        <f t="shared" si="49"/>
        <v>0</v>
      </c>
      <c r="AY98" s="533"/>
      <c r="AZ98" s="534">
        <f t="shared" si="50"/>
        <v>0</v>
      </c>
      <c r="BA98" s="534">
        <v>0</v>
      </c>
      <c r="BD98" s="392">
        <f t="shared" si="41"/>
        <v>0</v>
      </c>
      <c r="BE98" s="425">
        <f t="shared" si="42"/>
        <v>0</v>
      </c>
      <c r="BF98" s="425">
        <f t="shared" ref="BF98:BL107" si="53">-SUMIF($E$6:$BA$6, BF$6, $E98:$BA98)</f>
        <v>0</v>
      </c>
      <c r="BG98" s="425">
        <f t="shared" si="53"/>
        <v>-100</v>
      </c>
      <c r="BH98" s="425">
        <f t="shared" si="53"/>
        <v>0</v>
      </c>
      <c r="BI98" s="425">
        <f t="shared" si="53"/>
        <v>0</v>
      </c>
      <c r="BJ98" s="425">
        <f t="shared" si="53"/>
        <v>0</v>
      </c>
      <c r="BK98" s="425">
        <f t="shared" si="53"/>
        <v>0</v>
      </c>
      <c r="BL98" s="425">
        <f t="shared" si="53"/>
        <v>0</v>
      </c>
      <c r="BM98" s="425">
        <f t="shared" ref="BM98:BO117" si="54">SUMIF($E$6:$BA$6, BM$6, $E98:$BA98)</f>
        <v>0</v>
      </c>
      <c r="BN98" s="425">
        <f t="shared" si="54"/>
        <v>0</v>
      </c>
      <c r="BO98" s="425">
        <f t="shared" si="54"/>
        <v>0</v>
      </c>
      <c r="BP98" s="425">
        <f t="shared" ref="BP98:BR117" si="55">-SUMIF($E$6:$BA$6, BP$6, $E98:$BA98)</f>
        <v>0</v>
      </c>
      <c r="BQ98" s="425">
        <f t="shared" si="55"/>
        <v>0</v>
      </c>
      <c r="BR98" s="425">
        <f t="shared" si="55"/>
        <v>0</v>
      </c>
      <c r="BS98" s="425">
        <f t="shared" ref="BS98:BT117" si="56">SUMIF($E$6:$BA$6, BS$6, $E98:$BA98)</f>
        <v>100</v>
      </c>
      <c r="BT98" s="426">
        <f t="shared" si="56"/>
        <v>0</v>
      </c>
    </row>
    <row r="99" spans="2:72" hidden="1" x14ac:dyDescent="0.25">
      <c r="B99" s="145"/>
      <c r="C99" s="539">
        <f t="shared" si="51"/>
        <v>41275</v>
      </c>
      <c r="D99" s="533"/>
      <c r="E99" s="534">
        <v>0</v>
      </c>
      <c r="F99" s="534">
        <v>0</v>
      </c>
      <c r="G99" s="534">
        <v>0</v>
      </c>
      <c r="H99" s="540">
        <v>0</v>
      </c>
      <c r="I99" s="536">
        <f t="shared" si="43"/>
        <v>0</v>
      </c>
      <c r="J99" s="533"/>
      <c r="K99" s="534">
        <v>0</v>
      </c>
      <c r="L99" s="534">
        <v>0</v>
      </c>
      <c r="M99" s="534">
        <v>0</v>
      </c>
      <c r="N99" s="534">
        <v>0</v>
      </c>
      <c r="O99" s="534">
        <v>0</v>
      </c>
      <c r="P99" s="534">
        <v>0</v>
      </c>
      <c r="Q99" s="534">
        <v>0</v>
      </c>
      <c r="R99" s="534">
        <v>0</v>
      </c>
      <c r="S99" s="536">
        <f t="shared" si="44"/>
        <v>0</v>
      </c>
      <c r="T99" s="533"/>
      <c r="U99" s="534">
        <v>0</v>
      </c>
      <c r="V99" s="534">
        <v>0</v>
      </c>
      <c r="W99" s="534">
        <v>0</v>
      </c>
      <c r="X99" s="534">
        <v>0</v>
      </c>
      <c r="Y99" s="534">
        <v>0</v>
      </c>
      <c r="Z99" s="534">
        <v>0</v>
      </c>
      <c r="AA99" s="534">
        <v>0</v>
      </c>
      <c r="AB99" s="534">
        <v>0</v>
      </c>
      <c r="AC99" s="534">
        <v>0</v>
      </c>
      <c r="AD99" s="534">
        <v>0</v>
      </c>
      <c r="AE99" s="536">
        <f t="shared" si="45"/>
        <v>0</v>
      </c>
      <c r="AF99" s="533"/>
      <c r="AG99" s="534">
        <v>0</v>
      </c>
      <c r="AH99" s="534">
        <v>0</v>
      </c>
      <c r="AI99" s="534">
        <v>0</v>
      </c>
      <c r="AJ99" s="534">
        <v>0</v>
      </c>
      <c r="AK99" s="536">
        <f t="shared" si="46"/>
        <v>0</v>
      </c>
      <c r="AL99" s="533"/>
      <c r="AM99" s="534">
        <v>0</v>
      </c>
      <c r="AN99" s="534">
        <v>0</v>
      </c>
      <c r="AO99" s="534">
        <v>0</v>
      </c>
      <c r="AP99" s="537">
        <v>0</v>
      </c>
      <c r="AQ99" s="535">
        <v>0</v>
      </c>
      <c r="AR99" s="534">
        <v>0</v>
      </c>
      <c r="AS99" s="534">
        <v>0</v>
      </c>
      <c r="AT99" s="534">
        <v>0</v>
      </c>
      <c r="AU99" s="536">
        <f t="shared" si="47"/>
        <v>0</v>
      </c>
      <c r="AV99" s="533"/>
      <c r="AW99" s="538">
        <f t="shared" si="48"/>
        <v>0</v>
      </c>
      <c r="AX99" s="538">
        <f t="shared" si="49"/>
        <v>0</v>
      </c>
      <c r="AY99" s="533"/>
      <c r="AZ99" s="534">
        <f t="shared" si="50"/>
        <v>0</v>
      </c>
      <c r="BA99" s="534">
        <v>0</v>
      </c>
      <c r="BD99" s="392">
        <f t="shared" si="41"/>
        <v>0</v>
      </c>
      <c r="BE99" s="425">
        <f t="shared" si="42"/>
        <v>0</v>
      </c>
      <c r="BF99" s="425">
        <f t="shared" si="53"/>
        <v>0</v>
      </c>
      <c r="BG99" s="425">
        <f t="shared" si="53"/>
        <v>0</v>
      </c>
      <c r="BH99" s="425">
        <f t="shared" si="53"/>
        <v>0</v>
      </c>
      <c r="BI99" s="425">
        <f t="shared" si="53"/>
        <v>0</v>
      </c>
      <c r="BJ99" s="425">
        <f t="shared" si="53"/>
        <v>0</v>
      </c>
      <c r="BK99" s="425">
        <f t="shared" si="53"/>
        <v>0</v>
      </c>
      <c r="BL99" s="425">
        <f t="shared" si="53"/>
        <v>0</v>
      </c>
      <c r="BM99" s="425">
        <f t="shared" si="54"/>
        <v>0</v>
      </c>
      <c r="BN99" s="425">
        <f t="shared" si="54"/>
        <v>0</v>
      </c>
      <c r="BO99" s="425">
        <f t="shared" si="54"/>
        <v>0</v>
      </c>
      <c r="BP99" s="425">
        <f t="shared" si="55"/>
        <v>0</v>
      </c>
      <c r="BQ99" s="425">
        <f t="shared" si="55"/>
        <v>0</v>
      </c>
      <c r="BR99" s="425">
        <f t="shared" si="55"/>
        <v>0</v>
      </c>
      <c r="BS99" s="425">
        <f t="shared" si="56"/>
        <v>0</v>
      </c>
      <c r="BT99" s="426">
        <f t="shared" si="56"/>
        <v>0</v>
      </c>
    </row>
    <row r="100" spans="2:72" hidden="1" x14ac:dyDescent="0.25">
      <c r="B100" s="145"/>
      <c r="C100" s="539">
        <f t="shared" si="51"/>
        <v>41306</v>
      </c>
      <c r="D100" s="533"/>
      <c r="E100" s="534">
        <v>0</v>
      </c>
      <c r="F100" s="534">
        <v>0</v>
      </c>
      <c r="G100" s="534">
        <v>0</v>
      </c>
      <c r="H100" s="540">
        <v>0</v>
      </c>
      <c r="I100" s="536">
        <f t="shared" si="43"/>
        <v>0</v>
      </c>
      <c r="J100" s="533"/>
      <c r="K100" s="534">
        <v>0</v>
      </c>
      <c r="L100" s="534">
        <v>0</v>
      </c>
      <c r="M100" s="534">
        <v>0</v>
      </c>
      <c r="N100" s="534">
        <v>0</v>
      </c>
      <c r="O100" s="534">
        <v>0</v>
      </c>
      <c r="P100" s="534">
        <v>0</v>
      </c>
      <c r="Q100" s="534">
        <v>0</v>
      </c>
      <c r="R100" s="534">
        <v>0</v>
      </c>
      <c r="S100" s="536">
        <f t="shared" si="44"/>
        <v>0</v>
      </c>
      <c r="T100" s="533"/>
      <c r="U100" s="534">
        <v>0</v>
      </c>
      <c r="V100" s="534">
        <v>0</v>
      </c>
      <c r="W100" s="534">
        <v>0</v>
      </c>
      <c r="X100" s="534">
        <v>0</v>
      </c>
      <c r="Y100" s="534">
        <v>0</v>
      </c>
      <c r="Z100" s="534">
        <v>0</v>
      </c>
      <c r="AA100" s="534">
        <v>0</v>
      </c>
      <c r="AB100" s="534">
        <v>0</v>
      </c>
      <c r="AC100" s="534">
        <v>0</v>
      </c>
      <c r="AD100" s="534">
        <v>0</v>
      </c>
      <c r="AE100" s="536">
        <f t="shared" si="45"/>
        <v>0</v>
      </c>
      <c r="AF100" s="533"/>
      <c r="AG100" s="534">
        <v>0</v>
      </c>
      <c r="AH100" s="534">
        <v>0</v>
      </c>
      <c r="AI100" s="534">
        <v>0</v>
      </c>
      <c r="AJ100" s="534">
        <v>0</v>
      </c>
      <c r="AK100" s="536">
        <f t="shared" si="46"/>
        <v>0</v>
      </c>
      <c r="AL100" s="533"/>
      <c r="AM100" s="534">
        <v>0</v>
      </c>
      <c r="AN100" s="534">
        <v>0</v>
      </c>
      <c r="AO100" s="534">
        <v>0</v>
      </c>
      <c r="AP100" s="537">
        <v>0</v>
      </c>
      <c r="AQ100" s="535">
        <v>0</v>
      </c>
      <c r="AR100" s="534">
        <v>0</v>
      </c>
      <c r="AS100" s="534">
        <v>0</v>
      </c>
      <c r="AT100" s="534">
        <v>0</v>
      </c>
      <c r="AU100" s="536">
        <f t="shared" si="47"/>
        <v>0</v>
      </c>
      <c r="AV100" s="533"/>
      <c r="AW100" s="538">
        <f t="shared" si="48"/>
        <v>0</v>
      </c>
      <c r="AX100" s="538">
        <f t="shared" si="49"/>
        <v>0</v>
      </c>
      <c r="AY100" s="533"/>
      <c r="AZ100" s="534">
        <f t="shared" si="50"/>
        <v>0</v>
      </c>
      <c r="BA100" s="534">
        <v>0</v>
      </c>
      <c r="BD100" s="392">
        <f t="shared" si="41"/>
        <v>0</v>
      </c>
      <c r="BE100" s="425">
        <f t="shared" si="42"/>
        <v>0</v>
      </c>
      <c r="BF100" s="425">
        <f t="shared" si="53"/>
        <v>0</v>
      </c>
      <c r="BG100" s="425">
        <f t="shared" si="53"/>
        <v>0</v>
      </c>
      <c r="BH100" s="425">
        <f t="shared" si="53"/>
        <v>0</v>
      </c>
      <c r="BI100" s="425">
        <f t="shared" si="53"/>
        <v>0</v>
      </c>
      <c r="BJ100" s="425">
        <f t="shared" si="53"/>
        <v>0</v>
      </c>
      <c r="BK100" s="425">
        <f t="shared" si="53"/>
        <v>0</v>
      </c>
      <c r="BL100" s="425">
        <f t="shared" si="53"/>
        <v>0</v>
      </c>
      <c r="BM100" s="425">
        <f t="shared" si="54"/>
        <v>0</v>
      </c>
      <c r="BN100" s="425">
        <f t="shared" si="54"/>
        <v>0</v>
      </c>
      <c r="BO100" s="425">
        <f t="shared" si="54"/>
        <v>0</v>
      </c>
      <c r="BP100" s="425">
        <f t="shared" si="55"/>
        <v>0</v>
      </c>
      <c r="BQ100" s="425">
        <f t="shared" si="55"/>
        <v>0</v>
      </c>
      <c r="BR100" s="425">
        <f t="shared" si="55"/>
        <v>0</v>
      </c>
      <c r="BS100" s="425">
        <f t="shared" si="56"/>
        <v>0</v>
      </c>
      <c r="BT100" s="426">
        <f t="shared" si="56"/>
        <v>0</v>
      </c>
    </row>
    <row r="101" spans="2:72" hidden="1" x14ac:dyDescent="0.25">
      <c r="B101" s="145"/>
      <c r="C101" s="539">
        <f t="shared" si="51"/>
        <v>41334</v>
      </c>
      <c r="D101" s="533"/>
      <c r="E101" s="534">
        <v>0</v>
      </c>
      <c r="F101" s="534">
        <v>0</v>
      </c>
      <c r="G101" s="534">
        <v>0</v>
      </c>
      <c r="H101" s="540">
        <v>0</v>
      </c>
      <c r="I101" s="536">
        <f t="shared" si="43"/>
        <v>0</v>
      </c>
      <c r="J101" s="533"/>
      <c r="K101" s="534">
        <v>0</v>
      </c>
      <c r="L101" s="534">
        <v>0</v>
      </c>
      <c r="M101" s="534">
        <v>0</v>
      </c>
      <c r="N101" s="534">
        <v>0</v>
      </c>
      <c r="O101" s="534">
        <v>0</v>
      </c>
      <c r="P101" s="534">
        <v>0</v>
      </c>
      <c r="Q101" s="534">
        <v>0</v>
      </c>
      <c r="R101" s="534">
        <v>0</v>
      </c>
      <c r="S101" s="536">
        <f t="shared" si="44"/>
        <v>0</v>
      </c>
      <c r="T101" s="533"/>
      <c r="U101" s="534">
        <v>0</v>
      </c>
      <c r="V101" s="534">
        <v>0</v>
      </c>
      <c r="W101" s="534">
        <v>0</v>
      </c>
      <c r="X101" s="534">
        <v>0</v>
      </c>
      <c r="Y101" s="534">
        <v>0</v>
      </c>
      <c r="Z101" s="534">
        <v>0</v>
      </c>
      <c r="AA101" s="534">
        <v>0</v>
      </c>
      <c r="AB101" s="534">
        <v>0</v>
      </c>
      <c r="AC101" s="534">
        <v>0</v>
      </c>
      <c r="AD101" s="534">
        <v>0</v>
      </c>
      <c r="AE101" s="536">
        <f t="shared" si="45"/>
        <v>0</v>
      </c>
      <c r="AF101" s="533"/>
      <c r="AG101" s="534">
        <v>0</v>
      </c>
      <c r="AH101" s="534">
        <v>0</v>
      </c>
      <c r="AI101" s="534">
        <v>0</v>
      </c>
      <c r="AJ101" s="534">
        <v>0</v>
      </c>
      <c r="AK101" s="536">
        <f t="shared" si="46"/>
        <v>0</v>
      </c>
      <c r="AL101" s="533"/>
      <c r="AM101" s="534">
        <v>0</v>
      </c>
      <c r="AN101" s="534">
        <v>0</v>
      </c>
      <c r="AO101" s="534">
        <v>0</v>
      </c>
      <c r="AP101" s="537">
        <v>0</v>
      </c>
      <c r="AQ101" s="535">
        <v>0</v>
      </c>
      <c r="AR101" s="534">
        <v>0</v>
      </c>
      <c r="AS101" s="534">
        <v>0</v>
      </c>
      <c r="AT101" s="534">
        <v>0</v>
      </c>
      <c r="AU101" s="536">
        <f t="shared" si="47"/>
        <v>0</v>
      </c>
      <c r="AV101" s="533"/>
      <c r="AW101" s="538">
        <f t="shared" si="48"/>
        <v>0</v>
      </c>
      <c r="AX101" s="538">
        <f t="shared" si="49"/>
        <v>0</v>
      </c>
      <c r="AY101" s="533"/>
      <c r="AZ101" s="534">
        <f t="shared" si="50"/>
        <v>0</v>
      </c>
      <c r="BA101" s="534">
        <v>0</v>
      </c>
      <c r="BD101" s="392">
        <f t="shared" si="41"/>
        <v>0</v>
      </c>
      <c r="BE101" s="425">
        <f t="shared" si="42"/>
        <v>0</v>
      </c>
      <c r="BF101" s="425">
        <f t="shared" si="53"/>
        <v>0</v>
      </c>
      <c r="BG101" s="425">
        <f t="shared" si="53"/>
        <v>0</v>
      </c>
      <c r="BH101" s="425">
        <f t="shared" si="53"/>
        <v>0</v>
      </c>
      <c r="BI101" s="425">
        <f t="shared" si="53"/>
        <v>0</v>
      </c>
      <c r="BJ101" s="425">
        <f t="shared" si="53"/>
        <v>0</v>
      </c>
      <c r="BK101" s="425">
        <f t="shared" si="53"/>
        <v>0</v>
      </c>
      <c r="BL101" s="425">
        <f t="shared" si="53"/>
        <v>0</v>
      </c>
      <c r="BM101" s="425">
        <f t="shared" si="54"/>
        <v>0</v>
      </c>
      <c r="BN101" s="425">
        <f t="shared" si="54"/>
        <v>0</v>
      </c>
      <c r="BO101" s="425">
        <f t="shared" si="54"/>
        <v>0</v>
      </c>
      <c r="BP101" s="425">
        <f t="shared" si="55"/>
        <v>0</v>
      </c>
      <c r="BQ101" s="425">
        <f t="shared" si="55"/>
        <v>0</v>
      </c>
      <c r="BR101" s="425">
        <f t="shared" si="55"/>
        <v>0</v>
      </c>
      <c r="BS101" s="425">
        <f t="shared" si="56"/>
        <v>0</v>
      </c>
      <c r="BT101" s="426">
        <f t="shared" si="56"/>
        <v>0</v>
      </c>
    </row>
    <row r="102" spans="2:72" hidden="1" x14ac:dyDescent="0.25">
      <c r="B102" s="145"/>
      <c r="C102" s="539">
        <f t="shared" si="51"/>
        <v>41365</v>
      </c>
      <c r="D102" s="533"/>
      <c r="E102" s="534">
        <v>0</v>
      </c>
      <c r="F102" s="534">
        <v>0</v>
      </c>
      <c r="G102" s="534">
        <v>0</v>
      </c>
      <c r="H102" s="540">
        <v>0</v>
      </c>
      <c r="I102" s="536">
        <f t="shared" si="43"/>
        <v>0</v>
      </c>
      <c r="J102" s="533"/>
      <c r="K102" s="534">
        <v>0</v>
      </c>
      <c r="L102" s="534">
        <v>0</v>
      </c>
      <c r="M102" s="534">
        <v>0</v>
      </c>
      <c r="N102" s="534">
        <v>0</v>
      </c>
      <c r="O102" s="534">
        <v>0</v>
      </c>
      <c r="P102" s="534">
        <v>0</v>
      </c>
      <c r="Q102" s="534">
        <v>0</v>
      </c>
      <c r="R102" s="534">
        <v>0</v>
      </c>
      <c r="S102" s="536">
        <f t="shared" si="44"/>
        <v>0</v>
      </c>
      <c r="T102" s="533"/>
      <c r="U102" s="534">
        <v>260</v>
      </c>
      <c r="V102" s="534">
        <v>0</v>
      </c>
      <c r="W102" s="534">
        <v>0</v>
      </c>
      <c r="X102" s="534">
        <v>0</v>
      </c>
      <c r="Y102" s="534">
        <v>0</v>
      </c>
      <c r="Z102" s="534">
        <v>0</v>
      </c>
      <c r="AA102" s="534">
        <v>0</v>
      </c>
      <c r="AB102" s="534">
        <v>0</v>
      </c>
      <c r="AC102" s="534">
        <v>0</v>
      </c>
      <c r="AD102" s="534">
        <v>0</v>
      </c>
      <c r="AE102" s="536">
        <f t="shared" si="45"/>
        <v>260</v>
      </c>
      <c r="AF102" s="533"/>
      <c r="AG102" s="534">
        <v>0</v>
      </c>
      <c r="AH102" s="534">
        <v>0</v>
      </c>
      <c r="AI102" s="534">
        <v>0</v>
      </c>
      <c r="AJ102" s="534">
        <v>0</v>
      </c>
      <c r="AK102" s="536">
        <f t="shared" si="46"/>
        <v>0</v>
      </c>
      <c r="AL102" s="533"/>
      <c r="AM102" s="534">
        <v>260</v>
      </c>
      <c r="AN102" s="534">
        <v>0</v>
      </c>
      <c r="AO102" s="534">
        <v>0</v>
      </c>
      <c r="AP102" s="537">
        <v>0</v>
      </c>
      <c r="AQ102" s="535">
        <v>0</v>
      </c>
      <c r="AR102" s="534">
        <v>0</v>
      </c>
      <c r="AS102" s="534">
        <v>0</v>
      </c>
      <c r="AT102" s="534">
        <v>0</v>
      </c>
      <c r="AU102" s="536">
        <f t="shared" si="47"/>
        <v>260</v>
      </c>
      <c r="AV102" s="533"/>
      <c r="AW102" s="538">
        <f t="shared" si="48"/>
        <v>0</v>
      </c>
      <c r="AX102" s="538">
        <f t="shared" si="49"/>
        <v>0</v>
      </c>
      <c r="AY102" s="533"/>
      <c r="AZ102" s="534">
        <f t="shared" si="50"/>
        <v>0</v>
      </c>
      <c r="BA102" s="534">
        <v>0</v>
      </c>
      <c r="BD102" s="392">
        <f t="shared" si="41"/>
        <v>0</v>
      </c>
      <c r="BE102" s="425">
        <f t="shared" si="42"/>
        <v>0</v>
      </c>
      <c r="BF102" s="425">
        <f t="shared" si="53"/>
        <v>0</v>
      </c>
      <c r="BG102" s="425">
        <f t="shared" si="53"/>
        <v>-260</v>
      </c>
      <c r="BH102" s="425">
        <f t="shared" si="53"/>
        <v>0</v>
      </c>
      <c r="BI102" s="425">
        <f t="shared" si="53"/>
        <v>0</v>
      </c>
      <c r="BJ102" s="425">
        <f t="shared" si="53"/>
        <v>0</v>
      </c>
      <c r="BK102" s="425">
        <f t="shared" si="53"/>
        <v>0</v>
      </c>
      <c r="BL102" s="425">
        <f t="shared" si="53"/>
        <v>0</v>
      </c>
      <c r="BM102" s="425">
        <f t="shared" si="54"/>
        <v>0</v>
      </c>
      <c r="BN102" s="425">
        <f t="shared" si="54"/>
        <v>0</v>
      </c>
      <c r="BO102" s="425">
        <f t="shared" si="54"/>
        <v>0</v>
      </c>
      <c r="BP102" s="425">
        <f t="shared" si="55"/>
        <v>0</v>
      </c>
      <c r="BQ102" s="425">
        <f t="shared" si="55"/>
        <v>0</v>
      </c>
      <c r="BR102" s="425">
        <f t="shared" si="55"/>
        <v>0</v>
      </c>
      <c r="BS102" s="425">
        <f t="shared" si="56"/>
        <v>260</v>
      </c>
      <c r="BT102" s="426">
        <f t="shared" si="56"/>
        <v>0</v>
      </c>
    </row>
    <row r="103" spans="2:72" hidden="1" x14ac:dyDescent="0.25">
      <c r="B103" s="145"/>
      <c r="C103" s="539">
        <f t="shared" si="51"/>
        <v>41395</v>
      </c>
      <c r="D103" s="533"/>
      <c r="E103" s="534">
        <v>0</v>
      </c>
      <c r="F103" s="534">
        <v>0</v>
      </c>
      <c r="G103" s="534">
        <v>0</v>
      </c>
      <c r="H103" s="540">
        <v>0</v>
      </c>
      <c r="I103" s="536">
        <f t="shared" si="43"/>
        <v>0</v>
      </c>
      <c r="J103" s="533"/>
      <c r="K103" s="534">
        <v>0</v>
      </c>
      <c r="L103" s="534">
        <v>0</v>
      </c>
      <c r="M103" s="534">
        <v>0</v>
      </c>
      <c r="N103" s="534">
        <v>0</v>
      </c>
      <c r="O103" s="534">
        <v>0</v>
      </c>
      <c r="P103" s="534">
        <v>0</v>
      </c>
      <c r="Q103" s="534">
        <v>0</v>
      </c>
      <c r="R103" s="534">
        <v>0</v>
      </c>
      <c r="S103" s="536">
        <f t="shared" si="44"/>
        <v>0</v>
      </c>
      <c r="T103" s="533"/>
      <c r="U103" s="534">
        <v>0</v>
      </c>
      <c r="V103" s="534">
        <v>0</v>
      </c>
      <c r="W103" s="534">
        <v>0</v>
      </c>
      <c r="X103" s="534">
        <v>0</v>
      </c>
      <c r="Y103" s="534">
        <v>0</v>
      </c>
      <c r="Z103" s="534">
        <v>0</v>
      </c>
      <c r="AA103" s="534">
        <v>0</v>
      </c>
      <c r="AB103" s="534">
        <v>0</v>
      </c>
      <c r="AC103" s="534">
        <v>0</v>
      </c>
      <c r="AD103" s="534">
        <v>0</v>
      </c>
      <c r="AE103" s="536">
        <f t="shared" si="45"/>
        <v>0</v>
      </c>
      <c r="AF103" s="533"/>
      <c r="AG103" s="534">
        <v>0</v>
      </c>
      <c r="AH103" s="534">
        <v>0</v>
      </c>
      <c r="AI103" s="534">
        <v>0</v>
      </c>
      <c r="AJ103" s="534">
        <v>0</v>
      </c>
      <c r="AK103" s="536">
        <f t="shared" si="46"/>
        <v>0</v>
      </c>
      <c r="AL103" s="533"/>
      <c r="AM103" s="534">
        <v>0</v>
      </c>
      <c r="AN103" s="534">
        <v>0</v>
      </c>
      <c r="AO103" s="534">
        <v>0</v>
      </c>
      <c r="AP103" s="537">
        <v>0</v>
      </c>
      <c r="AQ103" s="535">
        <v>0</v>
      </c>
      <c r="AR103" s="534">
        <v>0</v>
      </c>
      <c r="AS103" s="534">
        <v>0</v>
      </c>
      <c r="AT103" s="534">
        <v>0</v>
      </c>
      <c r="AU103" s="536">
        <f t="shared" si="47"/>
        <v>0</v>
      </c>
      <c r="AV103" s="533"/>
      <c r="AW103" s="538">
        <f t="shared" si="48"/>
        <v>0</v>
      </c>
      <c r="AX103" s="538">
        <f t="shared" si="49"/>
        <v>0</v>
      </c>
      <c r="AY103" s="533"/>
      <c r="AZ103" s="534">
        <f t="shared" si="50"/>
        <v>0</v>
      </c>
      <c r="BA103" s="534">
        <v>0</v>
      </c>
      <c r="BD103" s="392">
        <f t="shared" si="41"/>
        <v>0</v>
      </c>
      <c r="BE103" s="425">
        <f t="shared" si="42"/>
        <v>0</v>
      </c>
      <c r="BF103" s="425">
        <f t="shared" si="53"/>
        <v>0</v>
      </c>
      <c r="BG103" s="425">
        <f t="shared" si="53"/>
        <v>0</v>
      </c>
      <c r="BH103" s="425">
        <f t="shared" si="53"/>
        <v>0</v>
      </c>
      <c r="BI103" s="425">
        <f t="shared" si="53"/>
        <v>0</v>
      </c>
      <c r="BJ103" s="425">
        <f t="shared" si="53"/>
        <v>0</v>
      </c>
      <c r="BK103" s="425">
        <f t="shared" si="53"/>
        <v>0</v>
      </c>
      <c r="BL103" s="425">
        <f t="shared" si="53"/>
        <v>0</v>
      </c>
      <c r="BM103" s="425">
        <f t="shared" si="54"/>
        <v>0</v>
      </c>
      <c r="BN103" s="425">
        <f t="shared" si="54"/>
        <v>0</v>
      </c>
      <c r="BO103" s="425">
        <f t="shared" si="54"/>
        <v>0</v>
      </c>
      <c r="BP103" s="425">
        <f t="shared" si="55"/>
        <v>0</v>
      </c>
      <c r="BQ103" s="425">
        <f t="shared" si="55"/>
        <v>0</v>
      </c>
      <c r="BR103" s="425">
        <f t="shared" si="55"/>
        <v>0</v>
      </c>
      <c r="BS103" s="425">
        <f t="shared" si="56"/>
        <v>0</v>
      </c>
      <c r="BT103" s="426">
        <f t="shared" si="56"/>
        <v>0</v>
      </c>
    </row>
    <row r="104" spans="2:72" hidden="1" x14ac:dyDescent="0.25">
      <c r="B104" s="145"/>
      <c r="C104" s="539">
        <f t="shared" si="51"/>
        <v>41426</v>
      </c>
      <c r="D104" s="533"/>
      <c r="E104" s="534">
        <v>0</v>
      </c>
      <c r="F104" s="534">
        <v>0</v>
      </c>
      <c r="G104" s="534">
        <v>0</v>
      </c>
      <c r="H104" s="540">
        <v>0</v>
      </c>
      <c r="I104" s="536">
        <f t="shared" si="43"/>
        <v>0</v>
      </c>
      <c r="J104" s="533"/>
      <c r="K104" s="534">
        <v>0</v>
      </c>
      <c r="L104" s="534">
        <v>0</v>
      </c>
      <c r="M104" s="534">
        <v>0</v>
      </c>
      <c r="N104" s="534">
        <v>0</v>
      </c>
      <c r="O104" s="534">
        <v>0</v>
      </c>
      <c r="P104" s="534">
        <v>0</v>
      </c>
      <c r="Q104" s="534">
        <v>0</v>
      </c>
      <c r="R104" s="534">
        <v>0</v>
      </c>
      <c r="S104" s="536">
        <f t="shared" si="44"/>
        <v>0</v>
      </c>
      <c r="T104" s="533"/>
      <c r="U104" s="534">
        <v>0</v>
      </c>
      <c r="V104" s="534">
        <v>0</v>
      </c>
      <c r="W104" s="534">
        <v>0</v>
      </c>
      <c r="X104" s="534">
        <v>0</v>
      </c>
      <c r="Y104" s="534">
        <v>0</v>
      </c>
      <c r="Z104" s="534">
        <v>0</v>
      </c>
      <c r="AA104" s="534">
        <v>0</v>
      </c>
      <c r="AB104" s="534">
        <v>0</v>
      </c>
      <c r="AC104" s="534">
        <v>0</v>
      </c>
      <c r="AD104" s="534">
        <v>0</v>
      </c>
      <c r="AE104" s="536">
        <f t="shared" si="45"/>
        <v>0</v>
      </c>
      <c r="AF104" s="533"/>
      <c r="AG104" s="534">
        <v>0</v>
      </c>
      <c r="AH104" s="534">
        <v>0</v>
      </c>
      <c r="AI104" s="534">
        <v>0</v>
      </c>
      <c r="AJ104" s="534">
        <v>0</v>
      </c>
      <c r="AK104" s="536">
        <f t="shared" si="46"/>
        <v>0</v>
      </c>
      <c r="AL104" s="533"/>
      <c r="AM104" s="534">
        <v>0</v>
      </c>
      <c r="AN104" s="534">
        <v>0</v>
      </c>
      <c r="AO104" s="534">
        <v>0</v>
      </c>
      <c r="AP104" s="537">
        <v>0</v>
      </c>
      <c r="AQ104" s="535">
        <v>0</v>
      </c>
      <c r="AR104" s="534">
        <v>0</v>
      </c>
      <c r="AS104" s="534">
        <v>0</v>
      </c>
      <c r="AT104" s="534">
        <v>0</v>
      </c>
      <c r="AU104" s="536">
        <f t="shared" si="47"/>
        <v>0</v>
      </c>
      <c r="AV104" s="533"/>
      <c r="AW104" s="538">
        <f t="shared" si="48"/>
        <v>0</v>
      </c>
      <c r="AX104" s="538">
        <f t="shared" si="49"/>
        <v>0</v>
      </c>
      <c r="AY104" s="533"/>
      <c r="AZ104" s="534">
        <f t="shared" si="50"/>
        <v>0</v>
      </c>
      <c r="BA104" s="534">
        <v>0</v>
      </c>
      <c r="BD104" s="392">
        <f t="shared" si="41"/>
        <v>0</v>
      </c>
      <c r="BE104" s="425">
        <f t="shared" si="42"/>
        <v>0</v>
      </c>
      <c r="BF104" s="425">
        <f t="shared" si="53"/>
        <v>0</v>
      </c>
      <c r="BG104" s="425">
        <f t="shared" si="53"/>
        <v>0</v>
      </c>
      <c r="BH104" s="425">
        <f t="shared" si="53"/>
        <v>0</v>
      </c>
      <c r="BI104" s="425">
        <f t="shared" si="53"/>
        <v>0</v>
      </c>
      <c r="BJ104" s="425">
        <f t="shared" si="53"/>
        <v>0</v>
      </c>
      <c r="BK104" s="425">
        <f t="shared" si="53"/>
        <v>0</v>
      </c>
      <c r="BL104" s="425">
        <f t="shared" si="53"/>
        <v>0</v>
      </c>
      <c r="BM104" s="425">
        <f t="shared" si="54"/>
        <v>0</v>
      </c>
      <c r="BN104" s="425">
        <f t="shared" si="54"/>
        <v>0</v>
      </c>
      <c r="BO104" s="425">
        <f t="shared" si="54"/>
        <v>0</v>
      </c>
      <c r="BP104" s="425">
        <f t="shared" si="55"/>
        <v>0</v>
      </c>
      <c r="BQ104" s="425">
        <f t="shared" si="55"/>
        <v>0</v>
      </c>
      <c r="BR104" s="425">
        <f t="shared" si="55"/>
        <v>0</v>
      </c>
      <c r="BS104" s="425">
        <f t="shared" si="56"/>
        <v>0</v>
      </c>
      <c r="BT104" s="426">
        <f t="shared" si="56"/>
        <v>0</v>
      </c>
    </row>
    <row r="105" spans="2:72" hidden="1" x14ac:dyDescent="0.25">
      <c r="B105" s="145"/>
      <c r="C105" s="539">
        <f t="shared" si="51"/>
        <v>41456</v>
      </c>
      <c r="D105" s="533"/>
      <c r="E105" s="534">
        <v>0</v>
      </c>
      <c r="F105" s="534">
        <v>0</v>
      </c>
      <c r="G105" s="534">
        <v>0</v>
      </c>
      <c r="H105" s="540">
        <v>0</v>
      </c>
      <c r="I105" s="536">
        <f t="shared" si="43"/>
        <v>0</v>
      </c>
      <c r="J105" s="533"/>
      <c r="K105" s="534">
        <v>0</v>
      </c>
      <c r="L105" s="534">
        <v>0</v>
      </c>
      <c r="M105" s="534">
        <v>0</v>
      </c>
      <c r="N105" s="534">
        <v>0</v>
      </c>
      <c r="O105" s="534">
        <v>0</v>
      </c>
      <c r="P105" s="534">
        <v>0</v>
      </c>
      <c r="Q105" s="534">
        <v>0</v>
      </c>
      <c r="R105" s="534">
        <v>0</v>
      </c>
      <c r="S105" s="536">
        <f t="shared" si="44"/>
        <v>0</v>
      </c>
      <c r="T105" s="533"/>
      <c r="U105" s="534">
        <v>0</v>
      </c>
      <c r="V105" s="534">
        <v>0</v>
      </c>
      <c r="W105" s="534">
        <v>0</v>
      </c>
      <c r="X105" s="534">
        <v>0</v>
      </c>
      <c r="Y105" s="534">
        <v>0</v>
      </c>
      <c r="Z105" s="534">
        <v>0</v>
      </c>
      <c r="AA105" s="534">
        <v>115</v>
      </c>
      <c r="AB105" s="534">
        <v>0</v>
      </c>
      <c r="AC105" s="534">
        <v>0</v>
      </c>
      <c r="AD105" s="534">
        <v>0</v>
      </c>
      <c r="AE105" s="536">
        <f t="shared" si="45"/>
        <v>115</v>
      </c>
      <c r="AF105" s="533"/>
      <c r="AG105" s="534">
        <v>0</v>
      </c>
      <c r="AH105" s="534">
        <v>0</v>
      </c>
      <c r="AI105" s="534">
        <v>0</v>
      </c>
      <c r="AJ105" s="534">
        <v>0</v>
      </c>
      <c r="AK105" s="536">
        <f t="shared" si="46"/>
        <v>0</v>
      </c>
      <c r="AL105" s="533"/>
      <c r="AM105" s="534">
        <v>200</v>
      </c>
      <c r="AN105" s="534">
        <v>0</v>
      </c>
      <c r="AO105" s="534">
        <v>0</v>
      </c>
      <c r="AP105" s="537">
        <v>0</v>
      </c>
      <c r="AQ105" s="535">
        <v>0</v>
      </c>
      <c r="AR105" s="534">
        <v>0</v>
      </c>
      <c r="AS105" s="534">
        <v>0</v>
      </c>
      <c r="AT105" s="534">
        <v>0</v>
      </c>
      <c r="AU105" s="536">
        <f t="shared" si="47"/>
        <v>200</v>
      </c>
      <c r="AV105" s="533"/>
      <c r="AW105" s="538">
        <f t="shared" si="48"/>
        <v>85</v>
      </c>
      <c r="AX105" s="538">
        <f t="shared" si="49"/>
        <v>85</v>
      </c>
      <c r="AY105" s="533"/>
      <c r="AZ105" s="534">
        <f t="shared" si="50"/>
        <v>0</v>
      </c>
      <c r="BA105" s="534">
        <v>0</v>
      </c>
      <c r="BD105" s="392">
        <f t="shared" si="41"/>
        <v>0</v>
      </c>
      <c r="BE105" s="425">
        <f t="shared" si="42"/>
        <v>0</v>
      </c>
      <c r="BF105" s="425">
        <f t="shared" si="53"/>
        <v>0</v>
      </c>
      <c r="BG105" s="425">
        <f t="shared" si="53"/>
        <v>0</v>
      </c>
      <c r="BH105" s="425">
        <f t="shared" si="53"/>
        <v>0</v>
      </c>
      <c r="BI105" s="425">
        <f t="shared" si="53"/>
        <v>0</v>
      </c>
      <c r="BJ105" s="425">
        <f t="shared" si="53"/>
        <v>0</v>
      </c>
      <c r="BK105" s="425">
        <f t="shared" si="53"/>
        <v>0</v>
      </c>
      <c r="BL105" s="425">
        <f t="shared" si="53"/>
        <v>-115</v>
      </c>
      <c r="BM105" s="425">
        <f t="shared" si="54"/>
        <v>0</v>
      </c>
      <c r="BN105" s="425">
        <f t="shared" si="54"/>
        <v>0</v>
      </c>
      <c r="BO105" s="425">
        <f t="shared" si="54"/>
        <v>0</v>
      </c>
      <c r="BP105" s="425">
        <f t="shared" si="55"/>
        <v>0</v>
      </c>
      <c r="BQ105" s="425">
        <f t="shared" si="55"/>
        <v>0</v>
      </c>
      <c r="BR105" s="425">
        <f t="shared" si="55"/>
        <v>0</v>
      </c>
      <c r="BS105" s="425">
        <f t="shared" si="56"/>
        <v>200</v>
      </c>
      <c r="BT105" s="426">
        <f t="shared" si="56"/>
        <v>0</v>
      </c>
    </row>
    <row r="106" spans="2:72" hidden="1" x14ac:dyDescent="0.25">
      <c r="B106" s="145"/>
      <c r="C106" s="539">
        <f t="shared" si="51"/>
        <v>41487</v>
      </c>
      <c r="D106" s="533"/>
      <c r="E106" s="534">
        <v>0</v>
      </c>
      <c r="F106" s="534">
        <v>0</v>
      </c>
      <c r="G106" s="534">
        <v>0</v>
      </c>
      <c r="H106" s="540">
        <v>0</v>
      </c>
      <c r="I106" s="536">
        <f t="shared" si="43"/>
        <v>0</v>
      </c>
      <c r="J106" s="533"/>
      <c r="K106" s="534">
        <v>0</v>
      </c>
      <c r="L106" s="534">
        <v>0</v>
      </c>
      <c r="M106" s="534">
        <v>0</v>
      </c>
      <c r="N106" s="534">
        <v>0</v>
      </c>
      <c r="O106" s="534">
        <v>0</v>
      </c>
      <c r="P106" s="534">
        <v>0</v>
      </c>
      <c r="Q106" s="534">
        <v>0</v>
      </c>
      <c r="R106" s="534">
        <v>0</v>
      </c>
      <c r="S106" s="536">
        <f t="shared" si="44"/>
        <v>0</v>
      </c>
      <c r="T106" s="533"/>
      <c r="U106" s="534">
        <v>0</v>
      </c>
      <c r="V106" s="534">
        <v>0</v>
      </c>
      <c r="W106" s="534">
        <v>0</v>
      </c>
      <c r="X106" s="534">
        <v>0</v>
      </c>
      <c r="Y106" s="534">
        <v>0</v>
      </c>
      <c r="Z106" s="534">
        <v>0</v>
      </c>
      <c r="AA106" s="534">
        <v>0</v>
      </c>
      <c r="AB106" s="534">
        <v>0</v>
      </c>
      <c r="AC106" s="534">
        <v>0</v>
      </c>
      <c r="AD106" s="534">
        <v>0</v>
      </c>
      <c r="AE106" s="536">
        <f t="shared" si="45"/>
        <v>0</v>
      </c>
      <c r="AF106" s="533"/>
      <c r="AG106" s="534">
        <v>0</v>
      </c>
      <c r="AH106" s="534">
        <v>0</v>
      </c>
      <c r="AI106" s="534">
        <v>0</v>
      </c>
      <c r="AJ106" s="534">
        <v>0</v>
      </c>
      <c r="AK106" s="536">
        <f t="shared" si="46"/>
        <v>0</v>
      </c>
      <c r="AL106" s="533"/>
      <c r="AM106" s="534">
        <v>0</v>
      </c>
      <c r="AN106" s="534">
        <v>0</v>
      </c>
      <c r="AO106" s="534">
        <v>0</v>
      </c>
      <c r="AP106" s="537">
        <v>0</v>
      </c>
      <c r="AQ106" s="535">
        <v>0</v>
      </c>
      <c r="AR106" s="534">
        <v>0</v>
      </c>
      <c r="AS106" s="534">
        <v>0</v>
      </c>
      <c r="AT106" s="534">
        <v>0</v>
      </c>
      <c r="AU106" s="536">
        <f t="shared" si="47"/>
        <v>0</v>
      </c>
      <c r="AV106" s="533"/>
      <c r="AW106" s="538">
        <f t="shared" si="48"/>
        <v>0</v>
      </c>
      <c r="AX106" s="538">
        <f t="shared" si="49"/>
        <v>85</v>
      </c>
      <c r="AY106" s="533"/>
      <c r="AZ106" s="534">
        <f t="shared" si="50"/>
        <v>0</v>
      </c>
      <c r="BA106" s="534">
        <v>0</v>
      </c>
      <c r="BD106" s="392">
        <f t="shared" si="41"/>
        <v>0</v>
      </c>
      <c r="BE106" s="425">
        <f t="shared" si="42"/>
        <v>0</v>
      </c>
      <c r="BF106" s="425">
        <f t="shared" si="53"/>
        <v>0</v>
      </c>
      <c r="BG106" s="425">
        <f t="shared" si="53"/>
        <v>0</v>
      </c>
      <c r="BH106" s="425">
        <f t="shared" si="53"/>
        <v>0</v>
      </c>
      <c r="BI106" s="425">
        <f t="shared" si="53"/>
        <v>0</v>
      </c>
      <c r="BJ106" s="425">
        <f t="shared" si="53"/>
        <v>0</v>
      </c>
      <c r="BK106" s="425">
        <f t="shared" si="53"/>
        <v>0</v>
      </c>
      <c r="BL106" s="425">
        <f t="shared" si="53"/>
        <v>0</v>
      </c>
      <c r="BM106" s="425">
        <f t="shared" si="54"/>
        <v>0</v>
      </c>
      <c r="BN106" s="425">
        <f t="shared" si="54"/>
        <v>0</v>
      </c>
      <c r="BO106" s="425">
        <f t="shared" si="54"/>
        <v>0</v>
      </c>
      <c r="BP106" s="425">
        <f t="shared" si="55"/>
        <v>0</v>
      </c>
      <c r="BQ106" s="425">
        <f t="shared" si="55"/>
        <v>0</v>
      </c>
      <c r="BR106" s="425">
        <f t="shared" si="55"/>
        <v>0</v>
      </c>
      <c r="BS106" s="425">
        <f t="shared" si="56"/>
        <v>0</v>
      </c>
      <c r="BT106" s="426">
        <f t="shared" si="56"/>
        <v>0</v>
      </c>
    </row>
    <row r="107" spans="2:72" hidden="1" x14ac:dyDescent="0.25">
      <c r="B107" s="145"/>
      <c r="C107" s="539">
        <f t="shared" si="51"/>
        <v>41518</v>
      </c>
      <c r="D107" s="533"/>
      <c r="E107" s="534">
        <v>0</v>
      </c>
      <c r="F107" s="534">
        <v>0</v>
      </c>
      <c r="G107" s="534">
        <v>0</v>
      </c>
      <c r="H107" s="540">
        <v>0</v>
      </c>
      <c r="I107" s="536">
        <f t="shared" si="43"/>
        <v>0</v>
      </c>
      <c r="J107" s="533"/>
      <c r="K107" s="534">
        <v>0</v>
      </c>
      <c r="L107" s="534">
        <v>0</v>
      </c>
      <c r="M107" s="534">
        <v>0</v>
      </c>
      <c r="N107" s="534">
        <v>0</v>
      </c>
      <c r="O107" s="534">
        <v>0</v>
      </c>
      <c r="P107" s="534">
        <v>0</v>
      </c>
      <c r="Q107" s="534">
        <v>0</v>
      </c>
      <c r="R107" s="534">
        <v>0</v>
      </c>
      <c r="S107" s="536">
        <f t="shared" si="44"/>
        <v>0</v>
      </c>
      <c r="T107" s="533"/>
      <c r="U107" s="534">
        <v>0</v>
      </c>
      <c r="V107" s="534">
        <v>0</v>
      </c>
      <c r="W107" s="534">
        <v>0</v>
      </c>
      <c r="X107" s="534">
        <v>0</v>
      </c>
      <c r="Y107" s="534">
        <v>0</v>
      </c>
      <c r="Z107" s="534">
        <v>0</v>
      </c>
      <c r="AA107" s="534">
        <v>0</v>
      </c>
      <c r="AB107" s="534">
        <v>0</v>
      </c>
      <c r="AC107" s="534">
        <v>0</v>
      </c>
      <c r="AD107" s="534">
        <v>0</v>
      </c>
      <c r="AE107" s="536">
        <f t="shared" si="45"/>
        <v>0</v>
      </c>
      <c r="AF107" s="533"/>
      <c r="AG107" s="534">
        <v>0</v>
      </c>
      <c r="AH107" s="534">
        <v>0</v>
      </c>
      <c r="AI107" s="534">
        <v>0</v>
      </c>
      <c r="AJ107" s="534">
        <v>0</v>
      </c>
      <c r="AK107" s="536">
        <f t="shared" si="46"/>
        <v>0</v>
      </c>
      <c r="AL107" s="533"/>
      <c r="AM107" s="534">
        <v>0</v>
      </c>
      <c r="AN107" s="534">
        <v>0</v>
      </c>
      <c r="AO107" s="534">
        <v>0</v>
      </c>
      <c r="AP107" s="537">
        <v>0</v>
      </c>
      <c r="AQ107" s="535">
        <v>0</v>
      </c>
      <c r="AR107" s="534">
        <v>0</v>
      </c>
      <c r="AS107" s="534">
        <v>0</v>
      </c>
      <c r="AT107" s="534">
        <v>0</v>
      </c>
      <c r="AU107" s="536">
        <f t="shared" si="47"/>
        <v>0</v>
      </c>
      <c r="AV107" s="533"/>
      <c r="AW107" s="538">
        <f t="shared" si="48"/>
        <v>0</v>
      </c>
      <c r="AX107" s="538">
        <f t="shared" si="49"/>
        <v>85</v>
      </c>
      <c r="AY107" s="533"/>
      <c r="AZ107" s="534">
        <f t="shared" si="50"/>
        <v>0</v>
      </c>
      <c r="BA107" s="534">
        <v>0</v>
      </c>
      <c r="BD107" s="392">
        <f t="shared" si="41"/>
        <v>0</v>
      </c>
      <c r="BE107" s="425">
        <f t="shared" si="42"/>
        <v>0</v>
      </c>
      <c r="BF107" s="425">
        <f t="shared" si="53"/>
        <v>0</v>
      </c>
      <c r="BG107" s="425">
        <f t="shared" si="53"/>
        <v>0</v>
      </c>
      <c r="BH107" s="425">
        <f t="shared" si="53"/>
        <v>0</v>
      </c>
      <c r="BI107" s="425">
        <f t="shared" si="53"/>
        <v>0</v>
      </c>
      <c r="BJ107" s="425">
        <f t="shared" si="53"/>
        <v>0</v>
      </c>
      <c r="BK107" s="425">
        <f t="shared" si="53"/>
        <v>0</v>
      </c>
      <c r="BL107" s="425">
        <f t="shared" si="53"/>
        <v>0</v>
      </c>
      <c r="BM107" s="425">
        <f t="shared" si="54"/>
        <v>0</v>
      </c>
      <c r="BN107" s="425">
        <f t="shared" si="54"/>
        <v>0</v>
      </c>
      <c r="BO107" s="425">
        <f t="shared" si="54"/>
        <v>0</v>
      </c>
      <c r="BP107" s="425">
        <f t="shared" si="55"/>
        <v>0</v>
      </c>
      <c r="BQ107" s="425">
        <f t="shared" si="55"/>
        <v>0</v>
      </c>
      <c r="BR107" s="425">
        <f t="shared" si="55"/>
        <v>0</v>
      </c>
      <c r="BS107" s="425">
        <f t="shared" si="56"/>
        <v>0</v>
      </c>
      <c r="BT107" s="426">
        <f t="shared" si="56"/>
        <v>0</v>
      </c>
    </row>
    <row r="108" spans="2:72" hidden="1" x14ac:dyDescent="0.25">
      <c r="B108" s="145"/>
      <c r="C108" s="539">
        <f t="shared" si="51"/>
        <v>41548</v>
      </c>
      <c r="D108" s="533"/>
      <c r="E108" s="534">
        <v>0</v>
      </c>
      <c r="F108" s="534">
        <v>0</v>
      </c>
      <c r="G108" s="534">
        <v>0</v>
      </c>
      <c r="H108" s="540">
        <v>0</v>
      </c>
      <c r="I108" s="536">
        <f t="shared" si="43"/>
        <v>0</v>
      </c>
      <c r="J108" s="533"/>
      <c r="K108" s="534">
        <v>0</v>
      </c>
      <c r="L108" s="534">
        <v>0</v>
      </c>
      <c r="M108" s="534">
        <v>0</v>
      </c>
      <c r="N108" s="534">
        <v>0</v>
      </c>
      <c r="O108" s="534">
        <v>0</v>
      </c>
      <c r="P108" s="534">
        <v>0</v>
      </c>
      <c r="Q108" s="534">
        <v>0</v>
      </c>
      <c r="R108" s="534">
        <v>0</v>
      </c>
      <c r="S108" s="536">
        <f t="shared" si="44"/>
        <v>0</v>
      </c>
      <c r="T108" s="533"/>
      <c r="U108" s="534">
        <v>0</v>
      </c>
      <c r="V108" s="534">
        <v>0</v>
      </c>
      <c r="W108" s="534">
        <v>0</v>
      </c>
      <c r="X108" s="534">
        <v>0</v>
      </c>
      <c r="Y108" s="534">
        <v>0</v>
      </c>
      <c r="Z108" s="534">
        <v>0</v>
      </c>
      <c r="AA108" s="534">
        <v>0</v>
      </c>
      <c r="AB108" s="534">
        <v>0</v>
      </c>
      <c r="AC108" s="534">
        <v>0</v>
      </c>
      <c r="AD108" s="534">
        <v>0</v>
      </c>
      <c r="AE108" s="536">
        <f t="shared" si="45"/>
        <v>0</v>
      </c>
      <c r="AF108" s="533"/>
      <c r="AG108" s="534">
        <v>0</v>
      </c>
      <c r="AH108" s="534">
        <v>0</v>
      </c>
      <c r="AI108" s="534">
        <v>0</v>
      </c>
      <c r="AJ108" s="534">
        <v>0</v>
      </c>
      <c r="AK108" s="536">
        <f t="shared" si="46"/>
        <v>0</v>
      </c>
      <c r="AL108" s="533"/>
      <c r="AM108" s="534">
        <v>0</v>
      </c>
      <c r="AN108" s="534">
        <v>0</v>
      </c>
      <c r="AO108" s="534">
        <v>0</v>
      </c>
      <c r="AP108" s="537">
        <v>0</v>
      </c>
      <c r="AQ108" s="535">
        <v>0</v>
      </c>
      <c r="AR108" s="534">
        <v>0</v>
      </c>
      <c r="AS108" s="534">
        <v>0</v>
      </c>
      <c r="AT108" s="534">
        <v>0</v>
      </c>
      <c r="AU108" s="536">
        <f t="shared" si="47"/>
        <v>0</v>
      </c>
      <c r="AV108" s="533"/>
      <c r="AW108" s="538">
        <f t="shared" si="48"/>
        <v>0</v>
      </c>
      <c r="AX108" s="538">
        <f t="shared" si="49"/>
        <v>85</v>
      </c>
      <c r="AY108" s="533"/>
      <c r="AZ108" s="534">
        <f t="shared" si="50"/>
        <v>0</v>
      </c>
      <c r="BA108" s="534">
        <v>0</v>
      </c>
      <c r="BD108" s="392">
        <f t="shared" si="41"/>
        <v>0</v>
      </c>
      <c r="BE108" s="425">
        <f t="shared" si="42"/>
        <v>0</v>
      </c>
      <c r="BF108" s="425">
        <f t="shared" ref="BF108:BL117" si="57">-SUMIF($E$6:$BA$6, BF$6, $E108:$BA108)</f>
        <v>0</v>
      </c>
      <c r="BG108" s="425">
        <f t="shared" si="57"/>
        <v>0</v>
      </c>
      <c r="BH108" s="425">
        <f t="shared" si="57"/>
        <v>0</v>
      </c>
      <c r="BI108" s="425">
        <f t="shared" si="57"/>
        <v>0</v>
      </c>
      <c r="BJ108" s="425">
        <f t="shared" si="57"/>
        <v>0</v>
      </c>
      <c r="BK108" s="425">
        <f t="shared" si="57"/>
        <v>0</v>
      </c>
      <c r="BL108" s="425">
        <f t="shared" si="57"/>
        <v>0</v>
      </c>
      <c r="BM108" s="425">
        <f t="shared" si="54"/>
        <v>0</v>
      </c>
      <c r="BN108" s="425">
        <f t="shared" si="54"/>
        <v>0</v>
      </c>
      <c r="BO108" s="425">
        <f t="shared" si="54"/>
        <v>0</v>
      </c>
      <c r="BP108" s="425">
        <f t="shared" si="55"/>
        <v>0</v>
      </c>
      <c r="BQ108" s="425">
        <f t="shared" si="55"/>
        <v>0</v>
      </c>
      <c r="BR108" s="425">
        <f t="shared" si="55"/>
        <v>0</v>
      </c>
      <c r="BS108" s="425">
        <f t="shared" si="56"/>
        <v>0</v>
      </c>
      <c r="BT108" s="426">
        <f t="shared" si="56"/>
        <v>0</v>
      </c>
    </row>
    <row r="109" spans="2:72" hidden="1" x14ac:dyDescent="0.25">
      <c r="B109" s="145"/>
      <c r="C109" s="539">
        <f t="shared" si="51"/>
        <v>41579</v>
      </c>
      <c r="D109" s="533"/>
      <c r="E109" s="534">
        <v>0</v>
      </c>
      <c r="F109" s="534">
        <v>0</v>
      </c>
      <c r="G109" s="534">
        <v>0</v>
      </c>
      <c r="H109" s="540">
        <v>0</v>
      </c>
      <c r="I109" s="536">
        <f t="shared" si="43"/>
        <v>0</v>
      </c>
      <c r="J109" s="533"/>
      <c r="K109" s="534">
        <v>0</v>
      </c>
      <c r="L109" s="534">
        <v>0</v>
      </c>
      <c r="M109" s="534">
        <v>0</v>
      </c>
      <c r="N109" s="534">
        <v>0</v>
      </c>
      <c r="O109" s="534">
        <v>0</v>
      </c>
      <c r="P109" s="534">
        <v>0</v>
      </c>
      <c r="Q109" s="534">
        <v>0</v>
      </c>
      <c r="R109" s="534">
        <v>0</v>
      </c>
      <c r="S109" s="536">
        <f t="shared" si="44"/>
        <v>0</v>
      </c>
      <c r="T109" s="533"/>
      <c r="U109" s="534">
        <v>0</v>
      </c>
      <c r="V109" s="534">
        <v>0</v>
      </c>
      <c r="W109" s="534">
        <v>0</v>
      </c>
      <c r="X109" s="534">
        <v>0</v>
      </c>
      <c r="Y109" s="534">
        <v>0</v>
      </c>
      <c r="Z109" s="534">
        <v>0</v>
      </c>
      <c r="AA109" s="534">
        <v>0</v>
      </c>
      <c r="AB109" s="534">
        <v>0</v>
      </c>
      <c r="AC109" s="534">
        <v>0</v>
      </c>
      <c r="AD109" s="534">
        <v>0</v>
      </c>
      <c r="AE109" s="536">
        <f t="shared" si="45"/>
        <v>0</v>
      </c>
      <c r="AF109" s="533"/>
      <c r="AG109" s="534">
        <v>0</v>
      </c>
      <c r="AH109" s="534">
        <v>0</v>
      </c>
      <c r="AI109" s="534">
        <v>0</v>
      </c>
      <c r="AJ109" s="534">
        <v>0</v>
      </c>
      <c r="AK109" s="536">
        <f t="shared" si="46"/>
        <v>0</v>
      </c>
      <c r="AL109" s="533"/>
      <c r="AM109" s="534">
        <v>0</v>
      </c>
      <c r="AN109" s="534">
        <v>0</v>
      </c>
      <c r="AO109" s="534">
        <v>0</v>
      </c>
      <c r="AP109" s="537">
        <v>0</v>
      </c>
      <c r="AQ109" s="535">
        <v>0</v>
      </c>
      <c r="AR109" s="534">
        <v>0</v>
      </c>
      <c r="AS109" s="534">
        <v>0</v>
      </c>
      <c r="AT109" s="534">
        <v>0</v>
      </c>
      <c r="AU109" s="536">
        <f t="shared" si="47"/>
        <v>0</v>
      </c>
      <c r="AV109" s="533"/>
      <c r="AW109" s="538">
        <f t="shared" si="48"/>
        <v>0</v>
      </c>
      <c r="AX109" s="538">
        <f t="shared" si="49"/>
        <v>85</v>
      </c>
      <c r="AY109" s="533"/>
      <c r="AZ109" s="534">
        <f t="shared" si="50"/>
        <v>0</v>
      </c>
      <c r="BA109" s="534">
        <v>0</v>
      </c>
      <c r="BD109" s="392">
        <f t="shared" si="41"/>
        <v>0</v>
      </c>
      <c r="BE109" s="425">
        <f t="shared" si="42"/>
        <v>0</v>
      </c>
      <c r="BF109" s="425">
        <f t="shared" si="57"/>
        <v>0</v>
      </c>
      <c r="BG109" s="425">
        <f t="shared" si="57"/>
        <v>0</v>
      </c>
      <c r="BH109" s="425">
        <f t="shared" si="57"/>
        <v>0</v>
      </c>
      <c r="BI109" s="425">
        <f t="shared" si="57"/>
        <v>0</v>
      </c>
      <c r="BJ109" s="425">
        <f t="shared" si="57"/>
        <v>0</v>
      </c>
      <c r="BK109" s="425">
        <f t="shared" si="57"/>
        <v>0</v>
      </c>
      <c r="BL109" s="425">
        <f t="shared" si="57"/>
        <v>0</v>
      </c>
      <c r="BM109" s="425">
        <f t="shared" si="54"/>
        <v>0</v>
      </c>
      <c r="BN109" s="425">
        <f t="shared" si="54"/>
        <v>0</v>
      </c>
      <c r="BO109" s="425">
        <f t="shared" si="54"/>
        <v>0</v>
      </c>
      <c r="BP109" s="425">
        <f t="shared" si="55"/>
        <v>0</v>
      </c>
      <c r="BQ109" s="425">
        <f t="shared" si="55"/>
        <v>0</v>
      </c>
      <c r="BR109" s="425">
        <f t="shared" si="55"/>
        <v>0</v>
      </c>
      <c r="BS109" s="425">
        <f t="shared" si="56"/>
        <v>0</v>
      </c>
      <c r="BT109" s="426">
        <f t="shared" si="56"/>
        <v>0</v>
      </c>
    </row>
    <row r="110" spans="2:72" hidden="1" x14ac:dyDescent="0.25">
      <c r="B110" s="145"/>
      <c r="C110" s="539">
        <f t="shared" si="51"/>
        <v>41609</v>
      </c>
      <c r="D110" s="533"/>
      <c r="E110" s="534">
        <v>0</v>
      </c>
      <c r="F110" s="534">
        <v>0</v>
      </c>
      <c r="G110" s="534">
        <v>0</v>
      </c>
      <c r="H110" s="540">
        <v>0</v>
      </c>
      <c r="I110" s="536">
        <f t="shared" si="43"/>
        <v>0</v>
      </c>
      <c r="J110" s="533"/>
      <c r="K110" s="534">
        <v>0</v>
      </c>
      <c r="L110" s="534">
        <v>0</v>
      </c>
      <c r="M110" s="534">
        <v>0</v>
      </c>
      <c r="N110" s="534">
        <v>0</v>
      </c>
      <c r="O110" s="534">
        <v>0</v>
      </c>
      <c r="P110" s="534">
        <v>0</v>
      </c>
      <c r="Q110" s="534">
        <v>0</v>
      </c>
      <c r="R110" s="534">
        <v>0</v>
      </c>
      <c r="S110" s="536">
        <f t="shared" si="44"/>
        <v>0</v>
      </c>
      <c r="T110" s="533"/>
      <c r="U110" s="534">
        <v>0</v>
      </c>
      <c r="V110" s="534">
        <v>0</v>
      </c>
      <c r="W110" s="534">
        <v>0</v>
      </c>
      <c r="X110" s="534">
        <v>0</v>
      </c>
      <c r="Y110" s="534">
        <v>0</v>
      </c>
      <c r="Z110" s="534">
        <v>0</v>
      </c>
      <c r="AA110" s="534">
        <v>0</v>
      </c>
      <c r="AB110" s="534">
        <v>0</v>
      </c>
      <c r="AC110" s="534">
        <v>0</v>
      </c>
      <c r="AD110" s="534">
        <v>0</v>
      </c>
      <c r="AE110" s="536">
        <f t="shared" si="45"/>
        <v>0</v>
      </c>
      <c r="AF110" s="533"/>
      <c r="AG110" s="534">
        <v>0</v>
      </c>
      <c r="AH110" s="534">
        <v>0</v>
      </c>
      <c r="AI110" s="534">
        <v>0</v>
      </c>
      <c r="AJ110" s="534">
        <v>0</v>
      </c>
      <c r="AK110" s="536">
        <f t="shared" si="46"/>
        <v>0</v>
      </c>
      <c r="AL110" s="533"/>
      <c r="AM110" s="534">
        <v>0</v>
      </c>
      <c r="AN110" s="534">
        <v>0</v>
      </c>
      <c r="AO110" s="534">
        <v>0</v>
      </c>
      <c r="AP110" s="537">
        <v>0</v>
      </c>
      <c r="AQ110" s="535">
        <v>0</v>
      </c>
      <c r="AR110" s="534">
        <v>0</v>
      </c>
      <c r="AS110" s="534">
        <v>0</v>
      </c>
      <c r="AT110" s="534">
        <v>0</v>
      </c>
      <c r="AU110" s="536">
        <f t="shared" si="47"/>
        <v>0</v>
      </c>
      <c r="AV110" s="533"/>
      <c r="AW110" s="538">
        <f t="shared" si="48"/>
        <v>0</v>
      </c>
      <c r="AX110" s="538">
        <f t="shared" si="49"/>
        <v>85</v>
      </c>
      <c r="AY110" s="533"/>
      <c r="AZ110" s="534">
        <f t="shared" si="50"/>
        <v>0</v>
      </c>
      <c r="BA110" s="534">
        <v>0</v>
      </c>
      <c r="BD110" s="392">
        <f t="shared" si="41"/>
        <v>0</v>
      </c>
      <c r="BE110" s="425">
        <f t="shared" si="42"/>
        <v>0</v>
      </c>
      <c r="BF110" s="425">
        <f t="shared" si="57"/>
        <v>0</v>
      </c>
      <c r="BG110" s="425">
        <f t="shared" si="57"/>
        <v>0</v>
      </c>
      <c r="BH110" s="425">
        <f t="shared" si="57"/>
        <v>0</v>
      </c>
      <c r="BI110" s="425">
        <f t="shared" si="57"/>
        <v>0</v>
      </c>
      <c r="BJ110" s="425">
        <f t="shared" si="57"/>
        <v>0</v>
      </c>
      <c r="BK110" s="425">
        <f t="shared" si="57"/>
        <v>0</v>
      </c>
      <c r="BL110" s="425">
        <f t="shared" si="57"/>
        <v>0</v>
      </c>
      <c r="BM110" s="425">
        <f t="shared" si="54"/>
        <v>0</v>
      </c>
      <c r="BN110" s="425">
        <f t="shared" si="54"/>
        <v>0</v>
      </c>
      <c r="BO110" s="425">
        <f t="shared" si="54"/>
        <v>0</v>
      </c>
      <c r="BP110" s="425">
        <f t="shared" si="55"/>
        <v>0</v>
      </c>
      <c r="BQ110" s="425">
        <f t="shared" si="55"/>
        <v>0</v>
      </c>
      <c r="BR110" s="425">
        <f t="shared" si="55"/>
        <v>0</v>
      </c>
      <c r="BS110" s="425">
        <f t="shared" si="56"/>
        <v>0</v>
      </c>
      <c r="BT110" s="426">
        <f t="shared" si="56"/>
        <v>0</v>
      </c>
    </row>
    <row r="111" spans="2:72" hidden="1" x14ac:dyDescent="0.25">
      <c r="B111" s="145"/>
      <c r="C111" s="539">
        <f t="shared" si="51"/>
        <v>41640</v>
      </c>
      <c r="D111" s="533"/>
      <c r="E111" s="534">
        <v>0</v>
      </c>
      <c r="F111" s="534">
        <v>0</v>
      </c>
      <c r="G111" s="534">
        <v>0</v>
      </c>
      <c r="H111" s="540">
        <v>0</v>
      </c>
      <c r="I111" s="536">
        <f t="shared" si="43"/>
        <v>0</v>
      </c>
      <c r="J111" s="533"/>
      <c r="K111" s="534">
        <v>0</v>
      </c>
      <c r="L111" s="534">
        <v>0</v>
      </c>
      <c r="M111" s="534">
        <v>0</v>
      </c>
      <c r="N111" s="534">
        <v>0</v>
      </c>
      <c r="O111" s="534">
        <v>0</v>
      </c>
      <c r="P111" s="534">
        <v>0</v>
      </c>
      <c r="Q111" s="534">
        <v>0</v>
      </c>
      <c r="R111" s="534">
        <v>0</v>
      </c>
      <c r="S111" s="536">
        <f t="shared" si="44"/>
        <v>0</v>
      </c>
      <c r="T111" s="533"/>
      <c r="U111" s="534">
        <v>43.25</v>
      </c>
      <c r="V111" s="534">
        <v>0</v>
      </c>
      <c r="W111" s="534">
        <v>0</v>
      </c>
      <c r="X111" s="534">
        <v>0</v>
      </c>
      <c r="Y111" s="534">
        <v>0</v>
      </c>
      <c r="Z111" s="534">
        <v>0</v>
      </c>
      <c r="AA111" s="534">
        <v>0</v>
      </c>
      <c r="AB111" s="534">
        <v>0</v>
      </c>
      <c r="AC111" s="534">
        <v>0</v>
      </c>
      <c r="AD111" s="534">
        <v>0</v>
      </c>
      <c r="AE111" s="536">
        <f t="shared" si="45"/>
        <v>43.25</v>
      </c>
      <c r="AF111" s="533"/>
      <c r="AG111" s="534">
        <v>0</v>
      </c>
      <c r="AH111" s="534">
        <v>0</v>
      </c>
      <c r="AI111" s="534">
        <v>0</v>
      </c>
      <c r="AJ111" s="534">
        <v>0</v>
      </c>
      <c r="AK111" s="536">
        <f t="shared" si="46"/>
        <v>0</v>
      </c>
      <c r="AL111" s="533"/>
      <c r="AM111" s="534">
        <v>0</v>
      </c>
      <c r="AN111" s="534">
        <v>0</v>
      </c>
      <c r="AO111" s="534">
        <v>0</v>
      </c>
      <c r="AP111" s="537">
        <v>0</v>
      </c>
      <c r="AQ111" s="535">
        <v>0</v>
      </c>
      <c r="AR111" s="534">
        <v>0</v>
      </c>
      <c r="AS111" s="534">
        <v>0</v>
      </c>
      <c r="AT111" s="534">
        <v>0</v>
      </c>
      <c r="AU111" s="536">
        <f t="shared" si="47"/>
        <v>0</v>
      </c>
      <c r="AV111" s="533"/>
      <c r="AW111" s="538">
        <f t="shared" si="48"/>
        <v>-43.25</v>
      </c>
      <c r="AX111" s="538">
        <f t="shared" si="49"/>
        <v>41.75</v>
      </c>
      <c r="AY111" s="533"/>
      <c r="AZ111" s="534">
        <f t="shared" si="50"/>
        <v>0</v>
      </c>
      <c r="BA111" s="534">
        <v>0</v>
      </c>
      <c r="BD111" s="392">
        <f t="shared" si="41"/>
        <v>0</v>
      </c>
      <c r="BE111" s="425">
        <f t="shared" si="42"/>
        <v>0</v>
      </c>
      <c r="BF111" s="425">
        <f t="shared" si="57"/>
        <v>0</v>
      </c>
      <c r="BG111" s="425">
        <f t="shared" si="57"/>
        <v>-43.25</v>
      </c>
      <c r="BH111" s="425">
        <f t="shared" si="57"/>
        <v>0</v>
      </c>
      <c r="BI111" s="425">
        <f t="shared" si="57"/>
        <v>0</v>
      </c>
      <c r="BJ111" s="425">
        <f t="shared" si="57"/>
        <v>0</v>
      </c>
      <c r="BK111" s="425">
        <f t="shared" si="57"/>
        <v>0</v>
      </c>
      <c r="BL111" s="425">
        <f t="shared" si="57"/>
        <v>0</v>
      </c>
      <c r="BM111" s="425">
        <f t="shared" si="54"/>
        <v>0</v>
      </c>
      <c r="BN111" s="425">
        <f t="shared" si="54"/>
        <v>0</v>
      </c>
      <c r="BO111" s="425">
        <f t="shared" si="54"/>
        <v>0</v>
      </c>
      <c r="BP111" s="425">
        <f t="shared" si="55"/>
        <v>0</v>
      </c>
      <c r="BQ111" s="425">
        <f t="shared" si="55"/>
        <v>0</v>
      </c>
      <c r="BR111" s="425">
        <f t="shared" si="55"/>
        <v>0</v>
      </c>
      <c r="BS111" s="425">
        <f t="shared" si="56"/>
        <v>0</v>
      </c>
      <c r="BT111" s="426">
        <f t="shared" si="56"/>
        <v>0</v>
      </c>
    </row>
    <row r="112" spans="2:72" hidden="1" x14ac:dyDescent="0.25">
      <c r="B112" s="145"/>
      <c r="C112" s="539">
        <f t="shared" si="51"/>
        <v>41671</v>
      </c>
      <c r="D112" s="533"/>
      <c r="E112" s="534">
        <v>0</v>
      </c>
      <c r="F112" s="534">
        <v>0</v>
      </c>
      <c r="G112" s="534">
        <v>0</v>
      </c>
      <c r="H112" s="540">
        <v>0</v>
      </c>
      <c r="I112" s="536">
        <f t="shared" si="43"/>
        <v>0</v>
      </c>
      <c r="J112" s="533"/>
      <c r="K112" s="534">
        <v>0</v>
      </c>
      <c r="L112" s="534">
        <v>0</v>
      </c>
      <c r="M112" s="534">
        <v>0</v>
      </c>
      <c r="N112" s="534">
        <v>0</v>
      </c>
      <c r="O112" s="534">
        <v>0</v>
      </c>
      <c r="P112" s="534">
        <v>0</v>
      </c>
      <c r="Q112" s="534">
        <v>0</v>
      </c>
      <c r="R112" s="534">
        <v>0</v>
      </c>
      <c r="S112" s="536">
        <f t="shared" si="44"/>
        <v>0</v>
      </c>
      <c r="T112" s="533"/>
      <c r="U112" s="534">
        <v>0</v>
      </c>
      <c r="V112" s="534">
        <v>0</v>
      </c>
      <c r="W112" s="534">
        <v>0</v>
      </c>
      <c r="X112" s="534">
        <v>0</v>
      </c>
      <c r="Y112" s="534">
        <v>0</v>
      </c>
      <c r="Z112" s="534">
        <v>0</v>
      </c>
      <c r="AA112" s="534">
        <v>0</v>
      </c>
      <c r="AB112" s="534">
        <v>0</v>
      </c>
      <c r="AC112" s="534">
        <v>0</v>
      </c>
      <c r="AD112" s="534">
        <v>0</v>
      </c>
      <c r="AE112" s="536">
        <f t="shared" si="45"/>
        <v>0</v>
      </c>
      <c r="AF112" s="533"/>
      <c r="AG112" s="534">
        <v>0</v>
      </c>
      <c r="AH112" s="534">
        <v>0</v>
      </c>
      <c r="AI112" s="534">
        <v>0</v>
      </c>
      <c r="AJ112" s="534">
        <v>0</v>
      </c>
      <c r="AK112" s="536">
        <f t="shared" si="46"/>
        <v>0</v>
      </c>
      <c r="AL112" s="533"/>
      <c r="AM112" s="534">
        <v>0</v>
      </c>
      <c r="AN112" s="534">
        <v>0</v>
      </c>
      <c r="AO112" s="534">
        <v>0</v>
      </c>
      <c r="AP112" s="537">
        <v>0</v>
      </c>
      <c r="AQ112" s="535">
        <v>0</v>
      </c>
      <c r="AR112" s="534">
        <v>0</v>
      </c>
      <c r="AS112" s="534">
        <v>0</v>
      </c>
      <c r="AT112" s="534">
        <v>0</v>
      </c>
      <c r="AU112" s="536">
        <f t="shared" si="47"/>
        <v>0</v>
      </c>
      <c r="AV112" s="533"/>
      <c r="AW112" s="538">
        <f t="shared" si="48"/>
        <v>0</v>
      </c>
      <c r="AX112" s="538">
        <f t="shared" si="49"/>
        <v>41.75</v>
      </c>
      <c r="AY112" s="533"/>
      <c r="AZ112" s="534">
        <f t="shared" si="50"/>
        <v>0</v>
      </c>
      <c r="BA112" s="534">
        <v>0</v>
      </c>
      <c r="BD112" s="392">
        <f t="shared" si="41"/>
        <v>0</v>
      </c>
      <c r="BE112" s="425">
        <f t="shared" si="42"/>
        <v>0</v>
      </c>
      <c r="BF112" s="425">
        <f t="shared" si="57"/>
        <v>0</v>
      </c>
      <c r="BG112" s="425">
        <f t="shared" si="57"/>
        <v>0</v>
      </c>
      <c r="BH112" s="425">
        <f t="shared" si="57"/>
        <v>0</v>
      </c>
      <c r="BI112" s="425">
        <f t="shared" si="57"/>
        <v>0</v>
      </c>
      <c r="BJ112" s="425">
        <f t="shared" si="57"/>
        <v>0</v>
      </c>
      <c r="BK112" s="425">
        <f t="shared" si="57"/>
        <v>0</v>
      </c>
      <c r="BL112" s="425">
        <f t="shared" si="57"/>
        <v>0</v>
      </c>
      <c r="BM112" s="425">
        <f t="shared" si="54"/>
        <v>0</v>
      </c>
      <c r="BN112" s="425">
        <f t="shared" si="54"/>
        <v>0</v>
      </c>
      <c r="BO112" s="425">
        <f t="shared" si="54"/>
        <v>0</v>
      </c>
      <c r="BP112" s="425">
        <f t="shared" si="55"/>
        <v>0</v>
      </c>
      <c r="BQ112" s="425">
        <f t="shared" si="55"/>
        <v>0</v>
      </c>
      <c r="BR112" s="425">
        <f t="shared" si="55"/>
        <v>0</v>
      </c>
      <c r="BS112" s="425">
        <f t="shared" si="56"/>
        <v>0</v>
      </c>
      <c r="BT112" s="426">
        <f t="shared" si="56"/>
        <v>0</v>
      </c>
    </row>
    <row r="113" spans="2:72" hidden="1" x14ac:dyDescent="0.25">
      <c r="B113" s="145"/>
      <c r="C113" s="539">
        <f t="shared" si="51"/>
        <v>41699</v>
      </c>
      <c r="D113" s="533"/>
      <c r="E113" s="534">
        <v>0</v>
      </c>
      <c r="F113" s="534">
        <v>0</v>
      </c>
      <c r="G113" s="534">
        <v>0</v>
      </c>
      <c r="H113" s="540">
        <v>0</v>
      </c>
      <c r="I113" s="536">
        <f t="shared" si="43"/>
        <v>0</v>
      </c>
      <c r="J113" s="533"/>
      <c r="K113" s="534">
        <v>0</v>
      </c>
      <c r="L113" s="534">
        <v>0</v>
      </c>
      <c r="M113" s="534">
        <v>0</v>
      </c>
      <c r="N113" s="534">
        <v>0</v>
      </c>
      <c r="O113" s="534">
        <v>0</v>
      </c>
      <c r="P113" s="534">
        <v>0</v>
      </c>
      <c r="Q113" s="534">
        <v>0</v>
      </c>
      <c r="R113" s="534">
        <v>0</v>
      </c>
      <c r="S113" s="536">
        <f t="shared" si="44"/>
        <v>0</v>
      </c>
      <c r="T113" s="533"/>
      <c r="U113" s="534">
        <v>0</v>
      </c>
      <c r="V113" s="534">
        <v>0</v>
      </c>
      <c r="W113" s="534">
        <v>0</v>
      </c>
      <c r="X113" s="534">
        <v>0</v>
      </c>
      <c r="Y113" s="534">
        <v>0</v>
      </c>
      <c r="Z113" s="534">
        <v>0</v>
      </c>
      <c r="AA113" s="534">
        <v>0</v>
      </c>
      <c r="AB113" s="534">
        <v>0</v>
      </c>
      <c r="AC113" s="534">
        <v>0</v>
      </c>
      <c r="AD113" s="534">
        <v>0</v>
      </c>
      <c r="AE113" s="536">
        <f t="shared" si="45"/>
        <v>0</v>
      </c>
      <c r="AF113" s="533"/>
      <c r="AG113" s="534">
        <v>0</v>
      </c>
      <c r="AH113" s="534">
        <v>0</v>
      </c>
      <c r="AI113" s="534">
        <v>0</v>
      </c>
      <c r="AJ113" s="534">
        <v>0</v>
      </c>
      <c r="AK113" s="536">
        <f t="shared" si="46"/>
        <v>0</v>
      </c>
      <c r="AL113" s="533"/>
      <c r="AM113" s="534">
        <v>0</v>
      </c>
      <c r="AN113" s="534">
        <v>0</v>
      </c>
      <c r="AO113" s="534">
        <v>0</v>
      </c>
      <c r="AP113" s="537">
        <v>0</v>
      </c>
      <c r="AQ113" s="535">
        <v>0</v>
      </c>
      <c r="AR113" s="534">
        <v>0</v>
      </c>
      <c r="AS113" s="534">
        <v>0</v>
      </c>
      <c r="AT113" s="534">
        <v>0</v>
      </c>
      <c r="AU113" s="536">
        <f t="shared" si="47"/>
        <v>0</v>
      </c>
      <c r="AV113" s="533"/>
      <c r="AW113" s="538">
        <f t="shared" si="48"/>
        <v>0</v>
      </c>
      <c r="AX113" s="538">
        <f t="shared" si="49"/>
        <v>41.75</v>
      </c>
      <c r="AY113" s="533"/>
      <c r="AZ113" s="534">
        <f t="shared" si="50"/>
        <v>0</v>
      </c>
      <c r="BA113" s="534">
        <v>0</v>
      </c>
      <c r="BD113" s="392">
        <f t="shared" si="41"/>
        <v>0</v>
      </c>
      <c r="BE113" s="425">
        <f t="shared" si="42"/>
        <v>0</v>
      </c>
      <c r="BF113" s="425">
        <f t="shared" si="57"/>
        <v>0</v>
      </c>
      <c r="BG113" s="425">
        <f t="shared" si="57"/>
        <v>0</v>
      </c>
      <c r="BH113" s="425">
        <f t="shared" si="57"/>
        <v>0</v>
      </c>
      <c r="BI113" s="425">
        <f t="shared" si="57"/>
        <v>0</v>
      </c>
      <c r="BJ113" s="425">
        <f t="shared" si="57"/>
        <v>0</v>
      </c>
      <c r="BK113" s="425">
        <f t="shared" si="57"/>
        <v>0</v>
      </c>
      <c r="BL113" s="425">
        <f t="shared" si="57"/>
        <v>0</v>
      </c>
      <c r="BM113" s="425">
        <f t="shared" si="54"/>
        <v>0</v>
      </c>
      <c r="BN113" s="425">
        <f t="shared" si="54"/>
        <v>0</v>
      </c>
      <c r="BO113" s="425">
        <f t="shared" si="54"/>
        <v>0</v>
      </c>
      <c r="BP113" s="425">
        <f t="shared" si="55"/>
        <v>0</v>
      </c>
      <c r="BQ113" s="425">
        <f t="shared" si="55"/>
        <v>0</v>
      </c>
      <c r="BR113" s="425">
        <f t="shared" si="55"/>
        <v>0</v>
      </c>
      <c r="BS113" s="425">
        <f t="shared" si="56"/>
        <v>0</v>
      </c>
      <c r="BT113" s="426">
        <f t="shared" si="56"/>
        <v>0</v>
      </c>
    </row>
    <row r="114" spans="2:72" hidden="1" x14ac:dyDescent="0.25">
      <c r="B114" s="145"/>
      <c r="C114" s="539">
        <f t="shared" si="51"/>
        <v>41730</v>
      </c>
      <c r="D114" s="533"/>
      <c r="E114" s="534">
        <v>0</v>
      </c>
      <c r="F114" s="534">
        <v>0</v>
      </c>
      <c r="G114" s="534">
        <v>0</v>
      </c>
      <c r="H114" s="540">
        <v>0</v>
      </c>
      <c r="I114" s="536">
        <f t="shared" si="43"/>
        <v>0</v>
      </c>
      <c r="J114" s="533"/>
      <c r="K114" s="534">
        <v>0</v>
      </c>
      <c r="L114" s="534">
        <v>0</v>
      </c>
      <c r="M114" s="534">
        <v>0</v>
      </c>
      <c r="N114" s="534">
        <v>0</v>
      </c>
      <c r="O114" s="534">
        <v>0</v>
      </c>
      <c r="P114" s="534">
        <v>0</v>
      </c>
      <c r="Q114" s="534">
        <v>0</v>
      </c>
      <c r="R114" s="534">
        <v>0</v>
      </c>
      <c r="S114" s="536">
        <f t="shared" si="44"/>
        <v>0</v>
      </c>
      <c r="T114" s="533"/>
      <c r="U114" s="534">
        <v>28.6</v>
      </c>
      <c r="V114" s="534">
        <v>0</v>
      </c>
      <c r="W114" s="534">
        <v>0</v>
      </c>
      <c r="X114" s="534">
        <v>0</v>
      </c>
      <c r="Y114" s="534">
        <v>0</v>
      </c>
      <c r="Z114" s="534">
        <v>0</v>
      </c>
      <c r="AA114" s="534">
        <v>0</v>
      </c>
      <c r="AB114" s="534">
        <v>0</v>
      </c>
      <c r="AC114" s="534">
        <v>0</v>
      </c>
      <c r="AD114" s="534">
        <v>0</v>
      </c>
      <c r="AE114" s="536">
        <f t="shared" si="45"/>
        <v>28.6</v>
      </c>
      <c r="AF114" s="533"/>
      <c r="AG114" s="534">
        <v>0</v>
      </c>
      <c r="AH114" s="534">
        <v>0</v>
      </c>
      <c r="AI114" s="534">
        <v>0</v>
      </c>
      <c r="AJ114" s="534">
        <v>0</v>
      </c>
      <c r="AK114" s="536">
        <f t="shared" si="46"/>
        <v>0</v>
      </c>
      <c r="AL114" s="533"/>
      <c r="AM114" s="534">
        <v>0</v>
      </c>
      <c r="AN114" s="534">
        <v>0</v>
      </c>
      <c r="AO114" s="534">
        <v>0</v>
      </c>
      <c r="AP114" s="537">
        <v>0</v>
      </c>
      <c r="AQ114" s="535">
        <v>0</v>
      </c>
      <c r="AR114" s="534">
        <v>0</v>
      </c>
      <c r="AS114" s="534">
        <v>0</v>
      </c>
      <c r="AT114" s="534">
        <v>0</v>
      </c>
      <c r="AU114" s="536">
        <f t="shared" si="47"/>
        <v>0</v>
      </c>
      <c r="AV114" s="533"/>
      <c r="AW114" s="538">
        <f t="shared" si="48"/>
        <v>-28.6</v>
      </c>
      <c r="AX114" s="538">
        <f t="shared" si="49"/>
        <v>13.149999999999999</v>
      </c>
      <c r="AY114" s="533"/>
      <c r="AZ114" s="534">
        <f t="shared" si="50"/>
        <v>0</v>
      </c>
      <c r="BA114" s="534">
        <v>0</v>
      </c>
      <c r="BD114" s="392">
        <f t="shared" ref="BD114:BD145" si="58">SUMIF($E$6:$BA$6, BD$6, $E114:$BA114)</f>
        <v>0</v>
      </c>
      <c r="BE114" s="425">
        <f t="shared" ref="BE114:BE145" si="59">-SUMIF($E$6:$BA$6, BE$6, $E114:$BA114)+2*H114</f>
        <v>0</v>
      </c>
      <c r="BF114" s="425">
        <f t="shared" si="57"/>
        <v>0</v>
      </c>
      <c r="BG114" s="425">
        <f t="shared" si="57"/>
        <v>-28.6</v>
      </c>
      <c r="BH114" s="425">
        <f t="shared" si="57"/>
        <v>0</v>
      </c>
      <c r="BI114" s="425">
        <f t="shared" si="57"/>
        <v>0</v>
      </c>
      <c r="BJ114" s="425">
        <f t="shared" si="57"/>
        <v>0</v>
      </c>
      <c r="BK114" s="425">
        <f t="shared" si="57"/>
        <v>0</v>
      </c>
      <c r="BL114" s="425">
        <f t="shared" si="57"/>
        <v>0</v>
      </c>
      <c r="BM114" s="425">
        <f t="shared" si="54"/>
        <v>0</v>
      </c>
      <c r="BN114" s="425">
        <f t="shared" si="54"/>
        <v>0</v>
      </c>
      <c r="BO114" s="425">
        <f t="shared" si="54"/>
        <v>0</v>
      </c>
      <c r="BP114" s="425">
        <f t="shared" si="55"/>
        <v>0</v>
      </c>
      <c r="BQ114" s="425">
        <f t="shared" si="55"/>
        <v>0</v>
      </c>
      <c r="BR114" s="425">
        <f t="shared" si="55"/>
        <v>0</v>
      </c>
      <c r="BS114" s="425">
        <f t="shared" si="56"/>
        <v>0</v>
      </c>
      <c r="BT114" s="426">
        <f t="shared" si="56"/>
        <v>0</v>
      </c>
    </row>
    <row r="115" spans="2:72" hidden="1" x14ac:dyDescent="0.25">
      <c r="B115" s="145"/>
      <c r="C115" s="539">
        <f t="shared" si="51"/>
        <v>41760</v>
      </c>
      <c r="D115" s="533"/>
      <c r="E115" s="534">
        <v>0</v>
      </c>
      <c r="F115" s="534">
        <v>0</v>
      </c>
      <c r="G115" s="534">
        <v>0</v>
      </c>
      <c r="H115" s="540">
        <v>0</v>
      </c>
      <c r="I115" s="536">
        <f t="shared" ref="I115:I146" si="60">SUM(E115:H115)</f>
        <v>0</v>
      </c>
      <c r="J115" s="533"/>
      <c r="K115" s="534">
        <v>0</v>
      </c>
      <c r="L115" s="534">
        <v>0</v>
      </c>
      <c r="M115" s="534">
        <v>0</v>
      </c>
      <c r="N115" s="534">
        <v>0</v>
      </c>
      <c r="O115" s="534">
        <v>0</v>
      </c>
      <c r="P115" s="534">
        <v>0</v>
      </c>
      <c r="Q115" s="534">
        <v>0</v>
      </c>
      <c r="R115" s="534">
        <v>0</v>
      </c>
      <c r="S115" s="536">
        <f t="shared" ref="S115:S146" si="61">K115+SUM(L115:N115)+O115+SUM(P115:R115)</f>
        <v>0</v>
      </c>
      <c r="T115" s="533"/>
      <c r="U115" s="534">
        <v>474.15</v>
      </c>
      <c r="V115" s="534">
        <v>0</v>
      </c>
      <c r="W115" s="534">
        <v>0</v>
      </c>
      <c r="X115" s="534">
        <v>0</v>
      </c>
      <c r="Y115" s="534">
        <v>0</v>
      </c>
      <c r="Z115" s="534">
        <v>0</v>
      </c>
      <c r="AA115" s="534">
        <v>0</v>
      </c>
      <c r="AB115" s="534">
        <v>0</v>
      </c>
      <c r="AC115" s="534">
        <v>0</v>
      </c>
      <c r="AD115" s="534">
        <v>5</v>
      </c>
      <c r="AE115" s="536">
        <f t="shared" ref="AE115:AE146" si="62">SUM(U115:AD115)</f>
        <v>479.15</v>
      </c>
      <c r="AF115" s="533"/>
      <c r="AG115" s="534">
        <v>0</v>
      </c>
      <c r="AH115" s="534">
        <v>0</v>
      </c>
      <c r="AI115" s="534">
        <v>0</v>
      </c>
      <c r="AJ115" s="534">
        <v>0</v>
      </c>
      <c r="AK115" s="536">
        <f t="shared" ref="AK115:AK146" si="63">SUM(AG115:AJ115)</f>
        <v>0</v>
      </c>
      <c r="AL115" s="533"/>
      <c r="AM115" s="534">
        <v>1000</v>
      </c>
      <c r="AN115" s="534">
        <v>0</v>
      </c>
      <c r="AO115" s="534">
        <v>0</v>
      </c>
      <c r="AP115" s="537">
        <v>0</v>
      </c>
      <c r="AQ115" s="535">
        <v>0</v>
      </c>
      <c r="AR115" s="534">
        <v>0</v>
      </c>
      <c r="AS115" s="534">
        <v>0</v>
      </c>
      <c r="AT115" s="534">
        <v>0</v>
      </c>
      <c r="AU115" s="536">
        <f t="shared" ref="AU115:AU146" si="64">SUM(AM115:AT115)</f>
        <v>1000</v>
      </c>
      <c r="AV115" s="533"/>
      <c r="AW115" s="538">
        <f t="shared" ref="AW115:AW146" si="65">SUM(I115,-S115,-AE115,AK115,AU115)</f>
        <v>520.85</v>
      </c>
      <c r="AX115" s="538">
        <f t="shared" ref="AX115:AX146" si="66">AX114+AW115</f>
        <v>534</v>
      </c>
      <c r="AY115" s="533"/>
      <c r="AZ115" s="534">
        <f t="shared" ref="AZ115:AZ146" si="67">K115-BA115</f>
        <v>0</v>
      </c>
      <c r="BA115" s="534">
        <v>0</v>
      </c>
      <c r="BD115" s="392">
        <f t="shared" si="58"/>
        <v>0</v>
      </c>
      <c r="BE115" s="425">
        <f t="shared" si="59"/>
        <v>0</v>
      </c>
      <c r="BF115" s="425">
        <f t="shared" si="57"/>
        <v>0</v>
      </c>
      <c r="BG115" s="425">
        <f t="shared" si="57"/>
        <v>-474.15</v>
      </c>
      <c r="BH115" s="425">
        <f t="shared" si="57"/>
        <v>0</v>
      </c>
      <c r="BI115" s="425">
        <f t="shared" si="57"/>
        <v>0</v>
      </c>
      <c r="BJ115" s="425">
        <f t="shared" si="57"/>
        <v>0</v>
      </c>
      <c r="BK115" s="425">
        <f t="shared" si="57"/>
        <v>0</v>
      </c>
      <c r="BL115" s="425">
        <f t="shared" si="57"/>
        <v>0</v>
      </c>
      <c r="BM115" s="425">
        <f t="shared" si="54"/>
        <v>0</v>
      </c>
      <c r="BN115" s="425">
        <f t="shared" si="54"/>
        <v>0</v>
      </c>
      <c r="BO115" s="425">
        <f t="shared" si="54"/>
        <v>0</v>
      </c>
      <c r="BP115" s="425">
        <f t="shared" si="55"/>
        <v>0</v>
      </c>
      <c r="BQ115" s="425">
        <f t="shared" si="55"/>
        <v>0</v>
      </c>
      <c r="BR115" s="425">
        <f t="shared" si="55"/>
        <v>-5</v>
      </c>
      <c r="BS115" s="425">
        <f t="shared" si="56"/>
        <v>1000</v>
      </c>
      <c r="BT115" s="426">
        <f t="shared" si="56"/>
        <v>0</v>
      </c>
    </row>
    <row r="116" spans="2:72" hidden="1" x14ac:dyDescent="0.25">
      <c r="B116" s="145"/>
      <c r="C116" s="539">
        <f t="shared" ref="C116:C147" si="68">EDATE(C115, 1)</f>
        <v>41791</v>
      </c>
      <c r="D116" s="533"/>
      <c r="E116" s="534">
        <v>0</v>
      </c>
      <c r="F116" s="534">
        <v>0</v>
      </c>
      <c r="G116" s="534">
        <v>0</v>
      </c>
      <c r="H116" s="540">
        <v>0</v>
      </c>
      <c r="I116" s="536">
        <f t="shared" si="60"/>
        <v>0</v>
      </c>
      <c r="J116" s="533"/>
      <c r="K116" s="534">
        <v>0</v>
      </c>
      <c r="L116" s="534">
        <v>0</v>
      </c>
      <c r="M116" s="534">
        <v>0</v>
      </c>
      <c r="N116" s="534">
        <v>0</v>
      </c>
      <c r="O116" s="534">
        <v>0</v>
      </c>
      <c r="P116" s="534">
        <v>0</v>
      </c>
      <c r="Q116" s="534">
        <v>0</v>
      </c>
      <c r="R116" s="534">
        <v>0</v>
      </c>
      <c r="S116" s="536">
        <f t="shared" si="61"/>
        <v>0</v>
      </c>
      <c r="T116" s="533"/>
      <c r="U116" s="534">
        <v>0</v>
      </c>
      <c r="V116" s="534">
        <v>0</v>
      </c>
      <c r="W116" s="534">
        <v>0</v>
      </c>
      <c r="X116" s="534">
        <v>0</v>
      </c>
      <c r="Y116" s="534">
        <v>0</v>
      </c>
      <c r="Z116" s="534">
        <v>0</v>
      </c>
      <c r="AA116" s="534">
        <v>0</v>
      </c>
      <c r="AB116" s="534">
        <v>0</v>
      </c>
      <c r="AC116" s="534">
        <v>0</v>
      </c>
      <c r="AD116" s="534">
        <v>0</v>
      </c>
      <c r="AE116" s="536">
        <f t="shared" si="62"/>
        <v>0</v>
      </c>
      <c r="AF116" s="533"/>
      <c r="AG116" s="534">
        <v>0</v>
      </c>
      <c r="AH116" s="534">
        <v>0</v>
      </c>
      <c r="AI116" s="534">
        <v>0</v>
      </c>
      <c r="AJ116" s="534">
        <v>0</v>
      </c>
      <c r="AK116" s="536">
        <f t="shared" si="63"/>
        <v>0</v>
      </c>
      <c r="AL116" s="533"/>
      <c r="AM116" s="534">
        <v>0</v>
      </c>
      <c r="AN116" s="534">
        <v>0</v>
      </c>
      <c r="AO116" s="534">
        <v>0</v>
      </c>
      <c r="AP116" s="537">
        <v>0</v>
      </c>
      <c r="AQ116" s="535">
        <v>0</v>
      </c>
      <c r="AR116" s="534">
        <v>0</v>
      </c>
      <c r="AS116" s="534">
        <v>0</v>
      </c>
      <c r="AT116" s="534">
        <v>0</v>
      </c>
      <c r="AU116" s="536">
        <f t="shared" si="64"/>
        <v>0</v>
      </c>
      <c r="AV116" s="533"/>
      <c r="AW116" s="538">
        <f t="shared" si="65"/>
        <v>0</v>
      </c>
      <c r="AX116" s="538">
        <f t="shared" si="66"/>
        <v>534</v>
      </c>
      <c r="AY116" s="533"/>
      <c r="AZ116" s="534">
        <f t="shared" si="67"/>
        <v>0</v>
      </c>
      <c r="BA116" s="534">
        <v>0</v>
      </c>
      <c r="BD116" s="392">
        <f t="shared" si="58"/>
        <v>0</v>
      </c>
      <c r="BE116" s="425">
        <f t="shared" si="59"/>
        <v>0</v>
      </c>
      <c r="BF116" s="425">
        <f t="shared" si="57"/>
        <v>0</v>
      </c>
      <c r="BG116" s="425">
        <f t="shared" si="57"/>
        <v>0</v>
      </c>
      <c r="BH116" s="425">
        <f t="shared" si="57"/>
        <v>0</v>
      </c>
      <c r="BI116" s="425">
        <f t="shared" si="57"/>
        <v>0</v>
      </c>
      <c r="BJ116" s="425">
        <f t="shared" si="57"/>
        <v>0</v>
      </c>
      <c r="BK116" s="425">
        <f t="shared" si="57"/>
        <v>0</v>
      </c>
      <c r="BL116" s="425">
        <f t="shared" si="57"/>
        <v>0</v>
      </c>
      <c r="BM116" s="425">
        <f t="shared" si="54"/>
        <v>0</v>
      </c>
      <c r="BN116" s="425">
        <f t="shared" si="54"/>
        <v>0</v>
      </c>
      <c r="BO116" s="425">
        <f t="shared" si="54"/>
        <v>0</v>
      </c>
      <c r="BP116" s="425">
        <f t="shared" si="55"/>
        <v>0</v>
      </c>
      <c r="BQ116" s="425">
        <f t="shared" si="55"/>
        <v>0</v>
      </c>
      <c r="BR116" s="425">
        <f t="shared" si="55"/>
        <v>0</v>
      </c>
      <c r="BS116" s="425">
        <f t="shared" si="56"/>
        <v>0</v>
      </c>
      <c r="BT116" s="426">
        <f t="shared" si="56"/>
        <v>0</v>
      </c>
    </row>
    <row r="117" spans="2:72" hidden="1" x14ac:dyDescent="0.25">
      <c r="B117" s="145"/>
      <c r="C117" s="539">
        <f t="shared" si="68"/>
        <v>41821</v>
      </c>
      <c r="D117" s="533"/>
      <c r="E117" s="534">
        <v>0</v>
      </c>
      <c r="F117" s="534">
        <v>0</v>
      </c>
      <c r="G117" s="534">
        <v>0</v>
      </c>
      <c r="H117" s="540">
        <v>0</v>
      </c>
      <c r="I117" s="536">
        <f t="shared" si="60"/>
        <v>0</v>
      </c>
      <c r="J117" s="533"/>
      <c r="K117" s="534">
        <v>0</v>
      </c>
      <c r="L117" s="534">
        <v>0</v>
      </c>
      <c r="M117" s="534">
        <v>0</v>
      </c>
      <c r="N117" s="534">
        <v>0</v>
      </c>
      <c r="O117" s="534">
        <v>0</v>
      </c>
      <c r="P117" s="534">
        <v>0</v>
      </c>
      <c r="Q117" s="534">
        <v>0</v>
      </c>
      <c r="R117" s="534">
        <v>0</v>
      </c>
      <c r="S117" s="536">
        <f t="shared" si="61"/>
        <v>0</v>
      </c>
      <c r="T117" s="533"/>
      <c r="U117" s="534">
        <v>0</v>
      </c>
      <c r="V117" s="534">
        <v>0</v>
      </c>
      <c r="W117" s="534">
        <v>0</v>
      </c>
      <c r="X117" s="534">
        <v>0</v>
      </c>
      <c r="Y117" s="534">
        <v>0</v>
      </c>
      <c r="Z117" s="534">
        <v>0</v>
      </c>
      <c r="AA117" s="534">
        <v>121.8</v>
      </c>
      <c r="AB117" s="534">
        <v>0</v>
      </c>
      <c r="AC117" s="534">
        <v>0</v>
      </c>
      <c r="AD117" s="534">
        <v>0</v>
      </c>
      <c r="AE117" s="536">
        <f t="shared" si="62"/>
        <v>121.8</v>
      </c>
      <c r="AF117" s="533"/>
      <c r="AG117" s="534">
        <v>0</v>
      </c>
      <c r="AH117" s="534">
        <v>0</v>
      </c>
      <c r="AI117" s="534">
        <v>0</v>
      </c>
      <c r="AJ117" s="534">
        <v>0</v>
      </c>
      <c r="AK117" s="536">
        <f t="shared" si="63"/>
        <v>0</v>
      </c>
      <c r="AL117" s="533"/>
      <c r="AM117" s="534">
        <v>0</v>
      </c>
      <c r="AN117" s="534">
        <v>0</v>
      </c>
      <c r="AO117" s="534">
        <v>0</v>
      </c>
      <c r="AP117" s="537">
        <v>0</v>
      </c>
      <c r="AQ117" s="535">
        <v>0</v>
      </c>
      <c r="AR117" s="534">
        <v>0</v>
      </c>
      <c r="AS117" s="534">
        <v>0</v>
      </c>
      <c r="AT117" s="534">
        <v>0</v>
      </c>
      <c r="AU117" s="536">
        <f t="shared" si="64"/>
        <v>0</v>
      </c>
      <c r="AV117" s="533"/>
      <c r="AW117" s="538">
        <f t="shared" si="65"/>
        <v>-121.8</v>
      </c>
      <c r="AX117" s="538">
        <f t="shared" si="66"/>
        <v>412.2</v>
      </c>
      <c r="AY117" s="533"/>
      <c r="AZ117" s="534">
        <f t="shared" si="67"/>
        <v>0</v>
      </c>
      <c r="BA117" s="534">
        <v>0</v>
      </c>
      <c r="BD117" s="392">
        <f t="shared" si="58"/>
        <v>0</v>
      </c>
      <c r="BE117" s="425">
        <f t="shared" si="59"/>
        <v>0</v>
      </c>
      <c r="BF117" s="425">
        <f t="shared" si="57"/>
        <v>0</v>
      </c>
      <c r="BG117" s="425">
        <f t="shared" si="57"/>
        <v>0</v>
      </c>
      <c r="BH117" s="425">
        <f t="shared" si="57"/>
        <v>0</v>
      </c>
      <c r="BI117" s="425">
        <f t="shared" si="57"/>
        <v>0</v>
      </c>
      <c r="BJ117" s="425">
        <f t="shared" si="57"/>
        <v>0</v>
      </c>
      <c r="BK117" s="425">
        <f t="shared" si="57"/>
        <v>0</v>
      </c>
      <c r="BL117" s="425">
        <f t="shared" si="57"/>
        <v>-121.8</v>
      </c>
      <c r="BM117" s="425">
        <f t="shared" si="54"/>
        <v>0</v>
      </c>
      <c r="BN117" s="425">
        <f t="shared" si="54"/>
        <v>0</v>
      </c>
      <c r="BO117" s="425">
        <f t="shared" si="54"/>
        <v>0</v>
      </c>
      <c r="BP117" s="425">
        <f t="shared" si="55"/>
        <v>0</v>
      </c>
      <c r="BQ117" s="425">
        <f t="shared" si="55"/>
        <v>0</v>
      </c>
      <c r="BR117" s="425">
        <f t="shared" si="55"/>
        <v>0</v>
      </c>
      <c r="BS117" s="425">
        <f t="shared" si="56"/>
        <v>0</v>
      </c>
      <c r="BT117" s="426">
        <f t="shared" si="56"/>
        <v>0</v>
      </c>
    </row>
    <row r="118" spans="2:72" hidden="1" x14ac:dyDescent="0.25">
      <c r="B118" s="145"/>
      <c r="C118" s="539">
        <f t="shared" si="68"/>
        <v>41852</v>
      </c>
      <c r="D118" s="533"/>
      <c r="E118" s="534">
        <v>0</v>
      </c>
      <c r="F118" s="534">
        <v>0</v>
      </c>
      <c r="G118" s="534">
        <v>0</v>
      </c>
      <c r="H118" s="540">
        <v>0</v>
      </c>
      <c r="I118" s="536">
        <f t="shared" si="60"/>
        <v>0</v>
      </c>
      <c r="J118" s="533"/>
      <c r="K118" s="534">
        <v>0</v>
      </c>
      <c r="L118" s="534">
        <v>0</v>
      </c>
      <c r="M118" s="534">
        <v>0</v>
      </c>
      <c r="N118" s="534">
        <v>0</v>
      </c>
      <c r="O118" s="534">
        <v>0</v>
      </c>
      <c r="P118" s="534">
        <v>0</v>
      </c>
      <c r="Q118" s="534">
        <v>0</v>
      </c>
      <c r="R118" s="534">
        <v>0</v>
      </c>
      <c r="S118" s="536">
        <f t="shared" si="61"/>
        <v>0</v>
      </c>
      <c r="T118" s="533"/>
      <c r="U118" s="534">
        <v>0</v>
      </c>
      <c r="V118" s="534">
        <v>0</v>
      </c>
      <c r="W118" s="534">
        <v>0</v>
      </c>
      <c r="X118" s="534">
        <v>0</v>
      </c>
      <c r="Y118" s="534">
        <v>0</v>
      </c>
      <c r="Z118" s="534">
        <v>0</v>
      </c>
      <c r="AA118" s="534">
        <v>0</v>
      </c>
      <c r="AB118" s="534">
        <v>0</v>
      </c>
      <c r="AC118" s="534">
        <v>0</v>
      </c>
      <c r="AD118" s="534">
        <v>0</v>
      </c>
      <c r="AE118" s="536">
        <f t="shared" si="62"/>
        <v>0</v>
      </c>
      <c r="AF118" s="533"/>
      <c r="AG118" s="534">
        <v>0</v>
      </c>
      <c r="AH118" s="534">
        <v>0</v>
      </c>
      <c r="AI118" s="534">
        <v>0</v>
      </c>
      <c r="AJ118" s="534">
        <v>0</v>
      </c>
      <c r="AK118" s="536">
        <f t="shared" si="63"/>
        <v>0</v>
      </c>
      <c r="AL118" s="533"/>
      <c r="AM118" s="534">
        <v>0</v>
      </c>
      <c r="AN118" s="534">
        <v>0</v>
      </c>
      <c r="AO118" s="534">
        <v>0</v>
      </c>
      <c r="AP118" s="537">
        <v>0</v>
      </c>
      <c r="AQ118" s="535">
        <v>0</v>
      </c>
      <c r="AR118" s="534">
        <v>0</v>
      </c>
      <c r="AS118" s="534">
        <v>0</v>
      </c>
      <c r="AT118" s="534">
        <v>0</v>
      </c>
      <c r="AU118" s="536">
        <f t="shared" si="64"/>
        <v>0</v>
      </c>
      <c r="AV118" s="533"/>
      <c r="AW118" s="538">
        <f t="shared" si="65"/>
        <v>0</v>
      </c>
      <c r="AX118" s="538">
        <f t="shared" si="66"/>
        <v>412.2</v>
      </c>
      <c r="AY118" s="533"/>
      <c r="AZ118" s="534">
        <f t="shared" si="67"/>
        <v>0</v>
      </c>
      <c r="BA118" s="534">
        <v>0</v>
      </c>
      <c r="BD118" s="392">
        <f t="shared" si="58"/>
        <v>0</v>
      </c>
      <c r="BE118" s="425">
        <f t="shared" si="59"/>
        <v>0</v>
      </c>
      <c r="BF118" s="425">
        <f t="shared" ref="BF118:BL127" si="69">-SUMIF($E$6:$BA$6, BF$6, $E118:$BA118)</f>
        <v>0</v>
      </c>
      <c r="BG118" s="425">
        <f t="shared" si="69"/>
        <v>0</v>
      </c>
      <c r="BH118" s="425">
        <f t="shared" si="69"/>
        <v>0</v>
      </c>
      <c r="BI118" s="425">
        <f t="shared" si="69"/>
        <v>0</v>
      </c>
      <c r="BJ118" s="425">
        <f t="shared" si="69"/>
        <v>0</v>
      </c>
      <c r="BK118" s="425">
        <f t="shared" si="69"/>
        <v>0</v>
      </c>
      <c r="BL118" s="425">
        <f t="shared" si="69"/>
        <v>0</v>
      </c>
      <c r="BM118" s="425">
        <f t="shared" ref="BM118:BO137" si="70">SUMIF($E$6:$BA$6, BM$6, $E118:$BA118)</f>
        <v>0</v>
      </c>
      <c r="BN118" s="425">
        <f t="shared" si="70"/>
        <v>0</v>
      </c>
      <c r="BO118" s="425">
        <f t="shared" si="70"/>
        <v>0</v>
      </c>
      <c r="BP118" s="425">
        <f t="shared" ref="BP118:BR137" si="71">-SUMIF($E$6:$BA$6, BP$6, $E118:$BA118)</f>
        <v>0</v>
      </c>
      <c r="BQ118" s="425">
        <f t="shared" si="71"/>
        <v>0</v>
      </c>
      <c r="BR118" s="425">
        <f t="shared" si="71"/>
        <v>0</v>
      </c>
      <c r="BS118" s="425">
        <f t="shared" ref="BS118:BT137" si="72">SUMIF($E$6:$BA$6, BS$6, $E118:$BA118)</f>
        <v>0</v>
      </c>
      <c r="BT118" s="426">
        <f t="shared" si="72"/>
        <v>0</v>
      </c>
    </row>
    <row r="119" spans="2:72" hidden="1" x14ac:dyDescent="0.25">
      <c r="B119" s="145"/>
      <c r="C119" s="539">
        <f t="shared" si="68"/>
        <v>41883</v>
      </c>
      <c r="D119" s="533"/>
      <c r="E119" s="534">
        <v>0</v>
      </c>
      <c r="F119" s="534">
        <v>0</v>
      </c>
      <c r="G119" s="534">
        <v>0</v>
      </c>
      <c r="H119" s="540">
        <v>0</v>
      </c>
      <c r="I119" s="536">
        <f t="shared" si="60"/>
        <v>0</v>
      </c>
      <c r="J119" s="533"/>
      <c r="K119" s="534">
        <v>0</v>
      </c>
      <c r="L119" s="534">
        <v>0</v>
      </c>
      <c r="M119" s="534">
        <v>0</v>
      </c>
      <c r="N119" s="534">
        <v>0</v>
      </c>
      <c r="O119" s="534">
        <v>0</v>
      </c>
      <c r="P119" s="534">
        <v>0</v>
      </c>
      <c r="Q119" s="534">
        <v>0</v>
      </c>
      <c r="R119" s="534">
        <v>0</v>
      </c>
      <c r="S119" s="536">
        <f t="shared" si="61"/>
        <v>0</v>
      </c>
      <c r="T119" s="533"/>
      <c r="U119" s="534">
        <v>75</v>
      </c>
      <c r="V119" s="534">
        <v>0</v>
      </c>
      <c r="W119" s="534">
        <v>0</v>
      </c>
      <c r="X119" s="534">
        <v>0</v>
      </c>
      <c r="Y119" s="534">
        <v>0</v>
      </c>
      <c r="Z119" s="534">
        <v>0</v>
      </c>
      <c r="AA119" s="534">
        <v>0</v>
      </c>
      <c r="AB119" s="534">
        <v>0</v>
      </c>
      <c r="AC119" s="534">
        <v>0</v>
      </c>
      <c r="AD119" s="534">
        <v>0</v>
      </c>
      <c r="AE119" s="536">
        <f t="shared" si="62"/>
        <v>75</v>
      </c>
      <c r="AF119" s="533"/>
      <c r="AG119" s="534">
        <v>0</v>
      </c>
      <c r="AH119" s="534">
        <v>0</v>
      </c>
      <c r="AI119" s="534">
        <v>0</v>
      </c>
      <c r="AJ119" s="534">
        <v>0</v>
      </c>
      <c r="AK119" s="536">
        <f t="shared" si="63"/>
        <v>0</v>
      </c>
      <c r="AL119" s="533"/>
      <c r="AM119" s="534">
        <v>0</v>
      </c>
      <c r="AN119" s="534">
        <v>0</v>
      </c>
      <c r="AO119" s="534">
        <v>0</v>
      </c>
      <c r="AP119" s="537">
        <v>0</v>
      </c>
      <c r="AQ119" s="535">
        <v>0</v>
      </c>
      <c r="AR119" s="534">
        <v>0</v>
      </c>
      <c r="AS119" s="534">
        <v>0</v>
      </c>
      <c r="AT119" s="534">
        <v>0</v>
      </c>
      <c r="AU119" s="536">
        <f t="shared" si="64"/>
        <v>0</v>
      </c>
      <c r="AV119" s="533"/>
      <c r="AW119" s="538">
        <f t="shared" si="65"/>
        <v>-75</v>
      </c>
      <c r="AX119" s="538">
        <f t="shared" si="66"/>
        <v>337.2</v>
      </c>
      <c r="AY119" s="533"/>
      <c r="AZ119" s="534">
        <f t="shared" si="67"/>
        <v>0</v>
      </c>
      <c r="BA119" s="534">
        <v>0</v>
      </c>
      <c r="BD119" s="392">
        <f t="shared" si="58"/>
        <v>0</v>
      </c>
      <c r="BE119" s="425">
        <f t="shared" si="59"/>
        <v>0</v>
      </c>
      <c r="BF119" s="425">
        <f t="shared" si="69"/>
        <v>0</v>
      </c>
      <c r="BG119" s="425">
        <f t="shared" si="69"/>
        <v>-75</v>
      </c>
      <c r="BH119" s="425">
        <f t="shared" si="69"/>
        <v>0</v>
      </c>
      <c r="BI119" s="425">
        <f t="shared" si="69"/>
        <v>0</v>
      </c>
      <c r="BJ119" s="425">
        <f t="shared" si="69"/>
        <v>0</v>
      </c>
      <c r="BK119" s="425">
        <f t="shared" si="69"/>
        <v>0</v>
      </c>
      <c r="BL119" s="425">
        <f t="shared" si="69"/>
        <v>0</v>
      </c>
      <c r="BM119" s="425">
        <f t="shared" si="70"/>
        <v>0</v>
      </c>
      <c r="BN119" s="425">
        <f t="shared" si="70"/>
        <v>0</v>
      </c>
      <c r="BO119" s="425">
        <f t="shared" si="70"/>
        <v>0</v>
      </c>
      <c r="BP119" s="425">
        <f t="shared" si="71"/>
        <v>0</v>
      </c>
      <c r="BQ119" s="425">
        <f t="shared" si="71"/>
        <v>0</v>
      </c>
      <c r="BR119" s="425">
        <f t="shared" si="71"/>
        <v>0</v>
      </c>
      <c r="BS119" s="425">
        <f t="shared" si="72"/>
        <v>0</v>
      </c>
      <c r="BT119" s="426">
        <f t="shared" si="72"/>
        <v>0</v>
      </c>
    </row>
    <row r="120" spans="2:72" hidden="1" x14ac:dyDescent="0.25">
      <c r="B120" s="145"/>
      <c r="C120" s="539">
        <f t="shared" si="68"/>
        <v>41913</v>
      </c>
      <c r="D120" s="533"/>
      <c r="E120" s="534">
        <v>0</v>
      </c>
      <c r="F120" s="534">
        <v>0</v>
      </c>
      <c r="G120" s="534">
        <v>0</v>
      </c>
      <c r="H120" s="540">
        <v>0</v>
      </c>
      <c r="I120" s="536">
        <f t="shared" si="60"/>
        <v>0</v>
      </c>
      <c r="J120" s="533"/>
      <c r="K120" s="534">
        <v>0</v>
      </c>
      <c r="L120" s="534">
        <v>0</v>
      </c>
      <c r="M120" s="534">
        <v>0</v>
      </c>
      <c r="N120" s="534">
        <v>0</v>
      </c>
      <c r="O120" s="534">
        <v>0</v>
      </c>
      <c r="P120" s="534">
        <v>0</v>
      </c>
      <c r="Q120" s="534">
        <v>0</v>
      </c>
      <c r="R120" s="534">
        <v>0</v>
      </c>
      <c r="S120" s="536">
        <f t="shared" si="61"/>
        <v>0</v>
      </c>
      <c r="T120" s="533"/>
      <c r="U120" s="534">
        <v>0</v>
      </c>
      <c r="V120" s="534">
        <v>0</v>
      </c>
      <c r="W120" s="534">
        <v>0</v>
      </c>
      <c r="X120" s="534">
        <v>0</v>
      </c>
      <c r="Y120" s="534">
        <v>0</v>
      </c>
      <c r="Z120" s="534">
        <v>0</v>
      </c>
      <c r="AA120" s="534">
        <v>0</v>
      </c>
      <c r="AB120" s="534">
        <v>0</v>
      </c>
      <c r="AC120" s="534">
        <v>0</v>
      </c>
      <c r="AD120" s="534">
        <v>0</v>
      </c>
      <c r="AE120" s="536">
        <f t="shared" si="62"/>
        <v>0</v>
      </c>
      <c r="AF120" s="533"/>
      <c r="AG120" s="534">
        <v>0</v>
      </c>
      <c r="AH120" s="534">
        <v>0</v>
      </c>
      <c r="AI120" s="534">
        <v>0</v>
      </c>
      <c r="AJ120" s="534">
        <v>0</v>
      </c>
      <c r="AK120" s="536">
        <f t="shared" si="63"/>
        <v>0</v>
      </c>
      <c r="AL120" s="533"/>
      <c r="AM120" s="534">
        <v>0</v>
      </c>
      <c r="AN120" s="534">
        <v>0</v>
      </c>
      <c r="AO120" s="534">
        <v>0</v>
      </c>
      <c r="AP120" s="537">
        <v>0</v>
      </c>
      <c r="AQ120" s="535">
        <v>0</v>
      </c>
      <c r="AR120" s="534">
        <v>0</v>
      </c>
      <c r="AS120" s="534">
        <v>0</v>
      </c>
      <c r="AT120" s="534">
        <v>0</v>
      </c>
      <c r="AU120" s="536">
        <f t="shared" si="64"/>
        <v>0</v>
      </c>
      <c r="AV120" s="533"/>
      <c r="AW120" s="538">
        <f t="shared" si="65"/>
        <v>0</v>
      </c>
      <c r="AX120" s="538">
        <f t="shared" si="66"/>
        <v>337.2</v>
      </c>
      <c r="AY120" s="533"/>
      <c r="AZ120" s="534">
        <f t="shared" si="67"/>
        <v>0</v>
      </c>
      <c r="BA120" s="534">
        <v>0</v>
      </c>
      <c r="BD120" s="392">
        <f t="shared" si="58"/>
        <v>0</v>
      </c>
      <c r="BE120" s="425">
        <f t="shared" si="59"/>
        <v>0</v>
      </c>
      <c r="BF120" s="425">
        <f t="shared" si="69"/>
        <v>0</v>
      </c>
      <c r="BG120" s="425">
        <f t="shared" si="69"/>
        <v>0</v>
      </c>
      <c r="BH120" s="425">
        <f t="shared" si="69"/>
        <v>0</v>
      </c>
      <c r="BI120" s="425">
        <f t="shared" si="69"/>
        <v>0</v>
      </c>
      <c r="BJ120" s="425">
        <f t="shared" si="69"/>
        <v>0</v>
      </c>
      <c r="BK120" s="425">
        <f t="shared" si="69"/>
        <v>0</v>
      </c>
      <c r="BL120" s="425">
        <f t="shared" si="69"/>
        <v>0</v>
      </c>
      <c r="BM120" s="425">
        <f t="shared" si="70"/>
        <v>0</v>
      </c>
      <c r="BN120" s="425">
        <f t="shared" si="70"/>
        <v>0</v>
      </c>
      <c r="BO120" s="425">
        <f t="shared" si="70"/>
        <v>0</v>
      </c>
      <c r="BP120" s="425">
        <f t="shared" si="71"/>
        <v>0</v>
      </c>
      <c r="BQ120" s="425">
        <f t="shared" si="71"/>
        <v>0</v>
      </c>
      <c r="BR120" s="425">
        <f t="shared" si="71"/>
        <v>0</v>
      </c>
      <c r="BS120" s="425">
        <f t="shared" si="72"/>
        <v>0</v>
      </c>
      <c r="BT120" s="426">
        <f t="shared" si="72"/>
        <v>0</v>
      </c>
    </row>
    <row r="121" spans="2:72" hidden="1" x14ac:dyDescent="0.25">
      <c r="B121" s="145"/>
      <c r="C121" s="539">
        <f t="shared" si="68"/>
        <v>41944</v>
      </c>
      <c r="D121" s="533"/>
      <c r="E121" s="534">
        <v>0</v>
      </c>
      <c r="F121" s="534">
        <v>0</v>
      </c>
      <c r="G121" s="534">
        <v>0</v>
      </c>
      <c r="H121" s="540">
        <v>0</v>
      </c>
      <c r="I121" s="536">
        <f t="shared" si="60"/>
        <v>0</v>
      </c>
      <c r="J121" s="533"/>
      <c r="K121" s="534">
        <v>0</v>
      </c>
      <c r="L121" s="534">
        <v>0</v>
      </c>
      <c r="M121" s="534">
        <v>0</v>
      </c>
      <c r="N121" s="534">
        <v>0</v>
      </c>
      <c r="O121" s="534">
        <v>0</v>
      </c>
      <c r="P121" s="534">
        <v>0</v>
      </c>
      <c r="Q121" s="534">
        <v>0</v>
      </c>
      <c r="R121" s="534">
        <v>0</v>
      </c>
      <c r="S121" s="536">
        <f t="shared" si="61"/>
        <v>0</v>
      </c>
      <c r="T121" s="533"/>
      <c r="U121" s="534">
        <v>0</v>
      </c>
      <c r="V121" s="534">
        <v>0</v>
      </c>
      <c r="W121" s="534">
        <v>0</v>
      </c>
      <c r="X121" s="534">
        <v>0</v>
      </c>
      <c r="Y121" s="534">
        <v>0</v>
      </c>
      <c r="Z121" s="534">
        <v>0</v>
      </c>
      <c r="AA121" s="534">
        <v>0</v>
      </c>
      <c r="AB121" s="534">
        <v>0</v>
      </c>
      <c r="AC121" s="534">
        <v>0</v>
      </c>
      <c r="AD121" s="534">
        <v>0</v>
      </c>
      <c r="AE121" s="536">
        <f t="shared" si="62"/>
        <v>0</v>
      </c>
      <c r="AF121" s="533"/>
      <c r="AG121" s="534">
        <v>0</v>
      </c>
      <c r="AH121" s="534">
        <v>0</v>
      </c>
      <c r="AI121" s="534">
        <v>0</v>
      </c>
      <c r="AJ121" s="534">
        <v>0</v>
      </c>
      <c r="AK121" s="536">
        <f t="shared" si="63"/>
        <v>0</v>
      </c>
      <c r="AL121" s="533"/>
      <c r="AM121" s="534">
        <v>0</v>
      </c>
      <c r="AN121" s="534">
        <v>0</v>
      </c>
      <c r="AO121" s="534">
        <v>0</v>
      </c>
      <c r="AP121" s="537">
        <v>0</v>
      </c>
      <c r="AQ121" s="535">
        <v>0</v>
      </c>
      <c r="AR121" s="534">
        <v>0</v>
      </c>
      <c r="AS121" s="534">
        <v>0</v>
      </c>
      <c r="AT121" s="534">
        <v>0</v>
      </c>
      <c r="AU121" s="536">
        <f t="shared" si="64"/>
        <v>0</v>
      </c>
      <c r="AV121" s="533"/>
      <c r="AW121" s="538">
        <f t="shared" si="65"/>
        <v>0</v>
      </c>
      <c r="AX121" s="538">
        <f t="shared" si="66"/>
        <v>337.2</v>
      </c>
      <c r="AY121" s="533"/>
      <c r="AZ121" s="534">
        <f t="shared" si="67"/>
        <v>0</v>
      </c>
      <c r="BA121" s="534">
        <v>0</v>
      </c>
      <c r="BD121" s="392">
        <f t="shared" si="58"/>
        <v>0</v>
      </c>
      <c r="BE121" s="425">
        <f t="shared" si="59"/>
        <v>0</v>
      </c>
      <c r="BF121" s="425">
        <f t="shared" si="69"/>
        <v>0</v>
      </c>
      <c r="BG121" s="425">
        <f t="shared" si="69"/>
        <v>0</v>
      </c>
      <c r="BH121" s="425">
        <f t="shared" si="69"/>
        <v>0</v>
      </c>
      <c r="BI121" s="425">
        <f t="shared" si="69"/>
        <v>0</v>
      </c>
      <c r="BJ121" s="425">
        <f t="shared" si="69"/>
        <v>0</v>
      </c>
      <c r="BK121" s="425">
        <f t="shared" si="69"/>
        <v>0</v>
      </c>
      <c r="BL121" s="425">
        <f t="shared" si="69"/>
        <v>0</v>
      </c>
      <c r="BM121" s="425">
        <f t="shared" si="70"/>
        <v>0</v>
      </c>
      <c r="BN121" s="425">
        <f t="shared" si="70"/>
        <v>0</v>
      </c>
      <c r="BO121" s="425">
        <f t="shared" si="70"/>
        <v>0</v>
      </c>
      <c r="BP121" s="425">
        <f t="shared" si="71"/>
        <v>0</v>
      </c>
      <c r="BQ121" s="425">
        <f t="shared" si="71"/>
        <v>0</v>
      </c>
      <c r="BR121" s="425">
        <f t="shared" si="71"/>
        <v>0</v>
      </c>
      <c r="BS121" s="425">
        <f t="shared" si="72"/>
        <v>0</v>
      </c>
      <c r="BT121" s="426">
        <f t="shared" si="72"/>
        <v>0</v>
      </c>
    </row>
    <row r="122" spans="2:72" hidden="1" x14ac:dyDescent="0.25">
      <c r="B122" s="145"/>
      <c r="C122" s="539">
        <f t="shared" si="68"/>
        <v>41974</v>
      </c>
      <c r="D122" s="533"/>
      <c r="E122" s="534">
        <v>0</v>
      </c>
      <c r="F122" s="534">
        <v>0</v>
      </c>
      <c r="G122" s="534">
        <v>0</v>
      </c>
      <c r="H122" s="540">
        <v>0</v>
      </c>
      <c r="I122" s="536">
        <f t="shared" si="60"/>
        <v>0</v>
      </c>
      <c r="J122" s="533"/>
      <c r="K122" s="534">
        <v>0</v>
      </c>
      <c r="L122" s="534">
        <v>0</v>
      </c>
      <c r="M122" s="534">
        <v>0</v>
      </c>
      <c r="N122" s="534">
        <v>0</v>
      </c>
      <c r="O122" s="534">
        <v>0</v>
      </c>
      <c r="P122" s="534">
        <v>0</v>
      </c>
      <c r="Q122" s="534">
        <v>0</v>
      </c>
      <c r="R122" s="534">
        <v>0</v>
      </c>
      <c r="S122" s="536">
        <f t="shared" si="61"/>
        <v>0</v>
      </c>
      <c r="T122" s="533"/>
      <c r="U122" s="534">
        <v>533</v>
      </c>
      <c r="V122" s="534">
        <v>0</v>
      </c>
      <c r="W122" s="534">
        <v>0</v>
      </c>
      <c r="X122" s="534">
        <v>0</v>
      </c>
      <c r="Y122" s="534">
        <v>0</v>
      </c>
      <c r="Z122" s="534">
        <v>0</v>
      </c>
      <c r="AA122" s="534">
        <v>0</v>
      </c>
      <c r="AB122" s="534">
        <v>0</v>
      </c>
      <c r="AC122" s="534">
        <v>0</v>
      </c>
      <c r="AD122" s="534">
        <v>0</v>
      </c>
      <c r="AE122" s="536">
        <f t="shared" si="62"/>
        <v>533</v>
      </c>
      <c r="AF122" s="533"/>
      <c r="AG122" s="534">
        <v>0</v>
      </c>
      <c r="AH122" s="534">
        <v>0</v>
      </c>
      <c r="AI122" s="534">
        <v>0</v>
      </c>
      <c r="AJ122" s="534">
        <v>0</v>
      </c>
      <c r="AK122" s="536">
        <f t="shared" si="63"/>
        <v>0</v>
      </c>
      <c r="AL122" s="533"/>
      <c r="AM122" s="534">
        <v>1000</v>
      </c>
      <c r="AN122" s="534">
        <v>0</v>
      </c>
      <c r="AO122" s="534">
        <v>0</v>
      </c>
      <c r="AP122" s="537">
        <v>0</v>
      </c>
      <c r="AQ122" s="535">
        <v>0</v>
      </c>
      <c r="AR122" s="534">
        <v>0</v>
      </c>
      <c r="AS122" s="534">
        <v>0</v>
      </c>
      <c r="AT122" s="534">
        <v>0</v>
      </c>
      <c r="AU122" s="536">
        <f t="shared" si="64"/>
        <v>1000</v>
      </c>
      <c r="AV122" s="533"/>
      <c r="AW122" s="538">
        <f t="shared" si="65"/>
        <v>467</v>
      </c>
      <c r="AX122" s="538">
        <f t="shared" si="66"/>
        <v>804.2</v>
      </c>
      <c r="AY122" s="533"/>
      <c r="AZ122" s="534">
        <f t="shared" si="67"/>
        <v>0</v>
      </c>
      <c r="BA122" s="534">
        <v>0</v>
      </c>
      <c r="BD122" s="392">
        <f t="shared" si="58"/>
        <v>0</v>
      </c>
      <c r="BE122" s="425">
        <f t="shared" si="59"/>
        <v>0</v>
      </c>
      <c r="BF122" s="425">
        <f t="shared" si="69"/>
        <v>0</v>
      </c>
      <c r="BG122" s="425">
        <f t="shared" si="69"/>
        <v>-533</v>
      </c>
      <c r="BH122" s="425">
        <f t="shared" si="69"/>
        <v>0</v>
      </c>
      <c r="BI122" s="425">
        <f t="shared" si="69"/>
        <v>0</v>
      </c>
      <c r="BJ122" s="425">
        <f t="shared" si="69"/>
        <v>0</v>
      </c>
      <c r="BK122" s="425">
        <f t="shared" si="69"/>
        <v>0</v>
      </c>
      <c r="BL122" s="425">
        <f t="shared" si="69"/>
        <v>0</v>
      </c>
      <c r="BM122" s="425">
        <f t="shared" si="70"/>
        <v>0</v>
      </c>
      <c r="BN122" s="425">
        <f t="shared" si="70"/>
        <v>0</v>
      </c>
      <c r="BO122" s="425">
        <f t="shared" si="70"/>
        <v>0</v>
      </c>
      <c r="BP122" s="425">
        <f t="shared" si="71"/>
        <v>0</v>
      </c>
      <c r="BQ122" s="425">
        <f t="shared" si="71"/>
        <v>0</v>
      </c>
      <c r="BR122" s="425">
        <f t="shared" si="71"/>
        <v>0</v>
      </c>
      <c r="BS122" s="425">
        <f t="shared" si="72"/>
        <v>1000</v>
      </c>
      <c r="BT122" s="426">
        <f t="shared" si="72"/>
        <v>0</v>
      </c>
    </row>
    <row r="123" spans="2:72" hidden="1" x14ac:dyDescent="0.25">
      <c r="B123" s="145"/>
      <c r="C123" s="539">
        <f t="shared" si="68"/>
        <v>42005</v>
      </c>
      <c r="D123" s="533"/>
      <c r="E123" s="534">
        <v>0</v>
      </c>
      <c r="F123" s="534">
        <v>0</v>
      </c>
      <c r="G123" s="534">
        <v>0</v>
      </c>
      <c r="H123" s="540">
        <v>0</v>
      </c>
      <c r="I123" s="536">
        <f t="shared" si="60"/>
        <v>0</v>
      </c>
      <c r="J123" s="533"/>
      <c r="K123" s="534">
        <v>0</v>
      </c>
      <c r="L123" s="534">
        <v>0</v>
      </c>
      <c r="M123" s="534">
        <v>0</v>
      </c>
      <c r="N123" s="534">
        <v>0</v>
      </c>
      <c r="O123" s="534">
        <v>0</v>
      </c>
      <c r="P123" s="534">
        <v>0</v>
      </c>
      <c r="Q123" s="534">
        <v>0</v>
      </c>
      <c r="R123" s="534">
        <v>0</v>
      </c>
      <c r="S123" s="536">
        <f t="shared" si="61"/>
        <v>0</v>
      </c>
      <c r="T123" s="533"/>
      <c r="U123" s="534">
        <v>0</v>
      </c>
      <c r="V123" s="534">
        <v>0</v>
      </c>
      <c r="W123" s="534">
        <v>0</v>
      </c>
      <c r="X123" s="534">
        <v>0</v>
      </c>
      <c r="Y123" s="534">
        <v>0</v>
      </c>
      <c r="Z123" s="534">
        <v>0</v>
      </c>
      <c r="AA123" s="534">
        <v>0</v>
      </c>
      <c r="AB123" s="534">
        <v>0</v>
      </c>
      <c r="AC123" s="534">
        <v>0</v>
      </c>
      <c r="AD123" s="534">
        <v>0</v>
      </c>
      <c r="AE123" s="536">
        <f t="shared" si="62"/>
        <v>0</v>
      </c>
      <c r="AF123" s="533"/>
      <c r="AG123" s="534">
        <v>0</v>
      </c>
      <c r="AH123" s="534">
        <v>0</v>
      </c>
      <c r="AI123" s="534">
        <v>0</v>
      </c>
      <c r="AJ123" s="534">
        <v>0</v>
      </c>
      <c r="AK123" s="536">
        <f t="shared" si="63"/>
        <v>0</v>
      </c>
      <c r="AL123" s="533"/>
      <c r="AM123" s="534">
        <v>0</v>
      </c>
      <c r="AN123" s="534">
        <v>0</v>
      </c>
      <c r="AO123" s="534">
        <v>0</v>
      </c>
      <c r="AP123" s="537">
        <v>0</v>
      </c>
      <c r="AQ123" s="535">
        <v>0</v>
      </c>
      <c r="AR123" s="534">
        <v>0</v>
      </c>
      <c r="AS123" s="534">
        <v>0</v>
      </c>
      <c r="AT123" s="534">
        <v>0</v>
      </c>
      <c r="AU123" s="536">
        <f t="shared" si="64"/>
        <v>0</v>
      </c>
      <c r="AV123" s="533"/>
      <c r="AW123" s="538">
        <f t="shared" si="65"/>
        <v>0</v>
      </c>
      <c r="AX123" s="538">
        <f t="shared" si="66"/>
        <v>804.2</v>
      </c>
      <c r="AY123" s="533"/>
      <c r="AZ123" s="534">
        <f t="shared" si="67"/>
        <v>0</v>
      </c>
      <c r="BA123" s="534">
        <v>0</v>
      </c>
      <c r="BD123" s="392">
        <f t="shared" si="58"/>
        <v>0</v>
      </c>
      <c r="BE123" s="425">
        <f t="shared" si="59"/>
        <v>0</v>
      </c>
      <c r="BF123" s="425">
        <f t="shared" si="69"/>
        <v>0</v>
      </c>
      <c r="BG123" s="425">
        <f t="shared" si="69"/>
        <v>0</v>
      </c>
      <c r="BH123" s="425">
        <f t="shared" si="69"/>
        <v>0</v>
      </c>
      <c r="BI123" s="425">
        <f t="shared" si="69"/>
        <v>0</v>
      </c>
      <c r="BJ123" s="425">
        <f t="shared" si="69"/>
        <v>0</v>
      </c>
      <c r="BK123" s="425">
        <f t="shared" si="69"/>
        <v>0</v>
      </c>
      <c r="BL123" s="425">
        <f t="shared" si="69"/>
        <v>0</v>
      </c>
      <c r="BM123" s="425">
        <f t="shared" si="70"/>
        <v>0</v>
      </c>
      <c r="BN123" s="425">
        <f t="shared" si="70"/>
        <v>0</v>
      </c>
      <c r="BO123" s="425">
        <f t="shared" si="70"/>
        <v>0</v>
      </c>
      <c r="BP123" s="425">
        <f t="shared" si="71"/>
        <v>0</v>
      </c>
      <c r="BQ123" s="425">
        <f t="shared" si="71"/>
        <v>0</v>
      </c>
      <c r="BR123" s="425">
        <f t="shared" si="71"/>
        <v>0</v>
      </c>
      <c r="BS123" s="425">
        <f t="shared" si="72"/>
        <v>0</v>
      </c>
      <c r="BT123" s="426">
        <f t="shared" si="72"/>
        <v>0</v>
      </c>
    </row>
    <row r="124" spans="2:72" hidden="1" x14ac:dyDescent="0.25">
      <c r="B124" s="145"/>
      <c r="C124" s="539">
        <f t="shared" si="68"/>
        <v>42036</v>
      </c>
      <c r="D124" s="533"/>
      <c r="E124" s="534">
        <v>0</v>
      </c>
      <c r="F124" s="534">
        <v>0</v>
      </c>
      <c r="G124" s="534">
        <v>0</v>
      </c>
      <c r="H124" s="540">
        <v>0</v>
      </c>
      <c r="I124" s="536">
        <f t="shared" si="60"/>
        <v>0</v>
      </c>
      <c r="J124" s="533"/>
      <c r="K124" s="534">
        <v>0</v>
      </c>
      <c r="L124" s="534">
        <v>0</v>
      </c>
      <c r="M124" s="534">
        <v>0</v>
      </c>
      <c r="N124" s="534">
        <v>0</v>
      </c>
      <c r="O124" s="534">
        <v>0</v>
      </c>
      <c r="P124" s="534">
        <v>0</v>
      </c>
      <c r="Q124" s="534">
        <v>0</v>
      </c>
      <c r="R124" s="534">
        <v>0</v>
      </c>
      <c r="S124" s="536">
        <f t="shared" si="61"/>
        <v>0</v>
      </c>
      <c r="T124" s="533"/>
      <c r="U124" s="534">
        <v>0</v>
      </c>
      <c r="V124" s="534">
        <v>0</v>
      </c>
      <c r="W124" s="534">
        <v>0</v>
      </c>
      <c r="X124" s="534">
        <v>0</v>
      </c>
      <c r="Y124" s="534">
        <v>0</v>
      </c>
      <c r="Z124" s="534">
        <v>0</v>
      </c>
      <c r="AA124" s="534">
        <v>0</v>
      </c>
      <c r="AB124" s="534">
        <v>0</v>
      </c>
      <c r="AC124" s="534">
        <v>0</v>
      </c>
      <c r="AD124" s="534">
        <v>0</v>
      </c>
      <c r="AE124" s="536">
        <f t="shared" si="62"/>
        <v>0</v>
      </c>
      <c r="AF124" s="533"/>
      <c r="AG124" s="534">
        <v>0</v>
      </c>
      <c r="AH124" s="534">
        <v>0</v>
      </c>
      <c r="AI124" s="534">
        <v>0</v>
      </c>
      <c r="AJ124" s="534">
        <v>0</v>
      </c>
      <c r="AK124" s="536">
        <f t="shared" si="63"/>
        <v>0</v>
      </c>
      <c r="AL124" s="533"/>
      <c r="AM124" s="534">
        <v>0</v>
      </c>
      <c r="AN124" s="534">
        <v>0</v>
      </c>
      <c r="AO124" s="534">
        <v>0</v>
      </c>
      <c r="AP124" s="537">
        <v>0</v>
      </c>
      <c r="AQ124" s="535">
        <v>0</v>
      </c>
      <c r="AR124" s="534">
        <v>0</v>
      </c>
      <c r="AS124" s="534">
        <v>0</v>
      </c>
      <c r="AT124" s="534">
        <v>0</v>
      </c>
      <c r="AU124" s="536">
        <f t="shared" si="64"/>
        <v>0</v>
      </c>
      <c r="AV124" s="533"/>
      <c r="AW124" s="538">
        <f t="shared" si="65"/>
        <v>0</v>
      </c>
      <c r="AX124" s="538">
        <f t="shared" si="66"/>
        <v>804.2</v>
      </c>
      <c r="AY124" s="533"/>
      <c r="AZ124" s="534">
        <f t="shared" si="67"/>
        <v>0</v>
      </c>
      <c r="BA124" s="534">
        <v>0</v>
      </c>
      <c r="BD124" s="392">
        <f t="shared" si="58"/>
        <v>0</v>
      </c>
      <c r="BE124" s="425">
        <f t="shared" si="59"/>
        <v>0</v>
      </c>
      <c r="BF124" s="425">
        <f t="shared" si="69"/>
        <v>0</v>
      </c>
      <c r="BG124" s="425">
        <f t="shared" si="69"/>
        <v>0</v>
      </c>
      <c r="BH124" s="425">
        <f t="shared" si="69"/>
        <v>0</v>
      </c>
      <c r="BI124" s="425">
        <f t="shared" si="69"/>
        <v>0</v>
      </c>
      <c r="BJ124" s="425">
        <f t="shared" si="69"/>
        <v>0</v>
      </c>
      <c r="BK124" s="425">
        <f t="shared" si="69"/>
        <v>0</v>
      </c>
      <c r="BL124" s="425">
        <f t="shared" si="69"/>
        <v>0</v>
      </c>
      <c r="BM124" s="425">
        <f t="shared" si="70"/>
        <v>0</v>
      </c>
      <c r="BN124" s="425">
        <f t="shared" si="70"/>
        <v>0</v>
      </c>
      <c r="BO124" s="425">
        <f t="shared" si="70"/>
        <v>0</v>
      </c>
      <c r="BP124" s="425">
        <f t="shared" si="71"/>
        <v>0</v>
      </c>
      <c r="BQ124" s="425">
        <f t="shared" si="71"/>
        <v>0</v>
      </c>
      <c r="BR124" s="425">
        <f t="shared" si="71"/>
        <v>0</v>
      </c>
      <c r="BS124" s="425">
        <f t="shared" si="72"/>
        <v>0</v>
      </c>
      <c r="BT124" s="426">
        <f t="shared" si="72"/>
        <v>0</v>
      </c>
    </row>
    <row r="125" spans="2:72" hidden="1" x14ac:dyDescent="0.25">
      <c r="B125" s="145"/>
      <c r="C125" s="539">
        <f t="shared" si="68"/>
        <v>42064</v>
      </c>
      <c r="D125" s="533"/>
      <c r="E125" s="534">
        <v>0</v>
      </c>
      <c r="F125" s="534">
        <v>0</v>
      </c>
      <c r="G125" s="534">
        <v>0</v>
      </c>
      <c r="H125" s="540">
        <v>0</v>
      </c>
      <c r="I125" s="536">
        <f t="shared" si="60"/>
        <v>0</v>
      </c>
      <c r="J125" s="533"/>
      <c r="K125" s="534">
        <v>0</v>
      </c>
      <c r="L125" s="534">
        <v>0</v>
      </c>
      <c r="M125" s="534">
        <v>0</v>
      </c>
      <c r="N125" s="534">
        <v>0</v>
      </c>
      <c r="O125" s="534">
        <v>0</v>
      </c>
      <c r="P125" s="534">
        <v>0</v>
      </c>
      <c r="Q125" s="534">
        <v>0</v>
      </c>
      <c r="R125" s="534">
        <v>0</v>
      </c>
      <c r="S125" s="536">
        <f t="shared" si="61"/>
        <v>0</v>
      </c>
      <c r="T125" s="533"/>
      <c r="U125" s="534">
        <v>0</v>
      </c>
      <c r="V125" s="534">
        <v>0</v>
      </c>
      <c r="W125" s="534">
        <v>0</v>
      </c>
      <c r="X125" s="534">
        <v>0</v>
      </c>
      <c r="Y125" s="534">
        <v>0</v>
      </c>
      <c r="Z125" s="534">
        <v>0</v>
      </c>
      <c r="AA125" s="534">
        <v>0</v>
      </c>
      <c r="AB125" s="534">
        <v>0</v>
      </c>
      <c r="AC125" s="534">
        <v>0</v>
      </c>
      <c r="AD125" s="534">
        <v>0</v>
      </c>
      <c r="AE125" s="536">
        <f t="shared" si="62"/>
        <v>0</v>
      </c>
      <c r="AF125" s="533"/>
      <c r="AG125" s="534">
        <v>0</v>
      </c>
      <c r="AH125" s="534">
        <v>0</v>
      </c>
      <c r="AI125" s="534">
        <v>0</v>
      </c>
      <c r="AJ125" s="534">
        <v>0</v>
      </c>
      <c r="AK125" s="536">
        <f t="shared" si="63"/>
        <v>0</v>
      </c>
      <c r="AL125" s="533"/>
      <c r="AM125" s="534">
        <v>0</v>
      </c>
      <c r="AN125" s="534">
        <v>0</v>
      </c>
      <c r="AO125" s="534">
        <v>0</v>
      </c>
      <c r="AP125" s="537">
        <v>0</v>
      </c>
      <c r="AQ125" s="535">
        <v>0</v>
      </c>
      <c r="AR125" s="534">
        <v>0</v>
      </c>
      <c r="AS125" s="534">
        <v>0</v>
      </c>
      <c r="AT125" s="534">
        <v>0</v>
      </c>
      <c r="AU125" s="536">
        <f t="shared" si="64"/>
        <v>0</v>
      </c>
      <c r="AV125" s="533"/>
      <c r="AW125" s="538">
        <f t="shared" si="65"/>
        <v>0</v>
      </c>
      <c r="AX125" s="538">
        <f t="shared" si="66"/>
        <v>804.2</v>
      </c>
      <c r="AY125" s="533"/>
      <c r="AZ125" s="534">
        <f t="shared" si="67"/>
        <v>0</v>
      </c>
      <c r="BA125" s="534">
        <v>0</v>
      </c>
      <c r="BD125" s="392">
        <f t="shared" si="58"/>
        <v>0</v>
      </c>
      <c r="BE125" s="425">
        <f t="shared" si="59"/>
        <v>0</v>
      </c>
      <c r="BF125" s="425">
        <f t="shared" si="69"/>
        <v>0</v>
      </c>
      <c r="BG125" s="425">
        <f t="shared" si="69"/>
        <v>0</v>
      </c>
      <c r="BH125" s="425">
        <f t="shared" si="69"/>
        <v>0</v>
      </c>
      <c r="BI125" s="425">
        <f t="shared" si="69"/>
        <v>0</v>
      </c>
      <c r="BJ125" s="425">
        <f t="shared" si="69"/>
        <v>0</v>
      </c>
      <c r="BK125" s="425">
        <f t="shared" si="69"/>
        <v>0</v>
      </c>
      <c r="BL125" s="425">
        <f t="shared" si="69"/>
        <v>0</v>
      </c>
      <c r="BM125" s="425">
        <f t="shared" si="70"/>
        <v>0</v>
      </c>
      <c r="BN125" s="425">
        <f t="shared" si="70"/>
        <v>0</v>
      </c>
      <c r="BO125" s="425">
        <f t="shared" si="70"/>
        <v>0</v>
      </c>
      <c r="BP125" s="425">
        <f t="shared" si="71"/>
        <v>0</v>
      </c>
      <c r="BQ125" s="425">
        <f t="shared" si="71"/>
        <v>0</v>
      </c>
      <c r="BR125" s="425">
        <f t="shared" si="71"/>
        <v>0</v>
      </c>
      <c r="BS125" s="425">
        <f t="shared" si="72"/>
        <v>0</v>
      </c>
      <c r="BT125" s="426">
        <f t="shared" si="72"/>
        <v>0</v>
      </c>
    </row>
    <row r="126" spans="2:72" hidden="1" x14ac:dyDescent="0.25">
      <c r="B126" s="145"/>
      <c r="C126" s="539">
        <f t="shared" si="68"/>
        <v>42095</v>
      </c>
      <c r="D126" s="533"/>
      <c r="E126" s="534">
        <v>0</v>
      </c>
      <c r="F126" s="534">
        <v>0</v>
      </c>
      <c r="G126" s="534">
        <v>0</v>
      </c>
      <c r="H126" s="540">
        <v>0</v>
      </c>
      <c r="I126" s="536">
        <f t="shared" si="60"/>
        <v>0</v>
      </c>
      <c r="J126" s="533"/>
      <c r="K126" s="534">
        <v>0</v>
      </c>
      <c r="L126" s="534">
        <v>0</v>
      </c>
      <c r="M126" s="534">
        <v>0</v>
      </c>
      <c r="N126" s="534">
        <v>0</v>
      </c>
      <c r="O126" s="534">
        <v>0</v>
      </c>
      <c r="P126" s="534">
        <v>0</v>
      </c>
      <c r="Q126" s="534">
        <v>0</v>
      </c>
      <c r="R126" s="534">
        <v>0</v>
      </c>
      <c r="S126" s="536">
        <f t="shared" si="61"/>
        <v>0</v>
      </c>
      <c r="T126" s="533"/>
      <c r="U126" s="534">
        <v>0</v>
      </c>
      <c r="V126" s="534">
        <v>0</v>
      </c>
      <c r="W126" s="534">
        <v>0</v>
      </c>
      <c r="X126" s="534">
        <v>0</v>
      </c>
      <c r="Y126" s="534">
        <v>0</v>
      </c>
      <c r="Z126" s="534">
        <v>0</v>
      </c>
      <c r="AA126" s="534">
        <v>0</v>
      </c>
      <c r="AB126" s="534">
        <v>0</v>
      </c>
      <c r="AC126" s="534">
        <v>0</v>
      </c>
      <c r="AD126" s="534">
        <v>0</v>
      </c>
      <c r="AE126" s="536">
        <f t="shared" si="62"/>
        <v>0</v>
      </c>
      <c r="AF126" s="533"/>
      <c r="AG126" s="534">
        <v>0</v>
      </c>
      <c r="AH126" s="534">
        <v>0</v>
      </c>
      <c r="AI126" s="534">
        <v>0</v>
      </c>
      <c r="AJ126" s="534">
        <v>0</v>
      </c>
      <c r="AK126" s="536">
        <f t="shared" si="63"/>
        <v>0</v>
      </c>
      <c r="AL126" s="533"/>
      <c r="AM126" s="534">
        <v>0</v>
      </c>
      <c r="AN126" s="534">
        <v>0</v>
      </c>
      <c r="AO126" s="534">
        <v>0</v>
      </c>
      <c r="AP126" s="537">
        <v>0</v>
      </c>
      <c r="AQ126" s="535">
        <v>0</v>
      </c>
      <c r="AR126" s="534">
        <v>0</v>
      </c>
      <c r="AS126" s="534">
        <v>0</v>
      </c>
      <c r="AT126" s="534">
        <v>0</v>
      </c>
      <c r="AU126" s="536">
        <f t="shared" si="64"/>
        <v>0</v>
      </c>
      <c r="AV126" s="533"/>
      <c r="AW126" s="538">
        <f t="shared" si="65"/>
        <v>0</v>
      </c>
      <c r="AX126" s="538">
        <f t="shared" si="66"/>
        <v>804.2</v>
      </c>
      <c r="AY126" s="533"/>
      <c r="AZ126" s="534">
        <f t="shared" si="67"/>
        <v>0</v>
      </c>
      <c r="BA126" s="534">
        <v>0</v>
      </c>
      <c r="BD126" s="392">
        <f t="shared" si="58"/>
        <v>0</v>
      </c>
      <c r="BE126" s="425">
        <f t="shared" si="59"/>
        <v>0</v>
      </c>
      <c r="BF126" s="425">
        <f t="shared" si="69"/>
        <v>0</v>
      </c>
      <c r="BG126" s="425">
        <f t="shared" si="69"/>
        <v>0</v>
      </c>
      <c r="BH126" s="425">
        <f t="shared" si="69"/>
        <v>0</v>
      </c>
      <c r="BI126" s="425">
        <f t="shared" si="69"/>
        <v>0</v>
      </c>
      <c r="BJ126" s="425">
        <f t="shared" si="69"/>
        <v>0</v>
      </c>
      <c r="BK126" s="425">
        <f t="shared" si="69"/>
        <v>0</v>
      </c>
      <c r="BL126" s="425">
        <f t="shared" si="69"/>
        <v>0</v>
      </c>
      <c r="BM126" s="425">
        <f t="shared" si="70"/>
        <v>0</v>
      </c>
      <c r="BN126" s="425">
        <f t="shared" si="70"/>
        <v>0</v>
      </c>
      <c r="BO126" s="425">
        <f t="shared" si="70"/>
        <v>0</v>
      </c>
      <c r="BP126" s="425">
        <f t="shared" si="71"/>
        <v>0</v>
      </c>
      <c r="BQ126" s="425">
        <f t="shared" si="71"/>
        <v>0</v>
      </c>
      <c r="BR126" s="425">
        <f t="shared" si="71"/>
        <v>0</v>
      </c>
      <c r="BS126" s="425">
        <f t="shared" si="72"/>
        <v>0</v>
      </c>
      <c r="BT126" s="426">
        <f t="shared" si="72"/>
        <v>0</v>
      </c>
    </row>
    <row r="127" spans="2:72" hidden="1" x14ac:dyDescent="0.25">
      <c r="B127" s="145"/>
      <c r="C127" s="539">
        <f t="shared" si="68"/>
        <v>42125</v>
      </c>
      <c r="D127" s="533"/>
      <c r="E127" s="534">
        <v>0</v>
      </c>
      <c r="F127" s="534">
        <v>0</v>
      </c>
      <c r="G127" s="534">
        <v>0</v>
      </c>
      <c r="H127" s="540">
        <v>0</v>
      </c>
      <c r="I127" s="536">
        <f t="shared" si="60"/>
        <v>0</v>
      </c>
      <c r="J127" s="533"/>
      <c r="K127" s="534">
        <v>0</v>
      </c>
      <c r="L127" s="534">
        <v>0</v>
      </c>
      <c r="M127" s="534">
        <v>0</v>
      </c>
      <c r="N127" s="534">
        <v>0</v>
      </c>
      <c r="O127" s="534">
        <v>0</v>
      </c>
      <c r="P127" s="534">
        <v>0</v>
      </c>
      <c r="Q127" s="534">
        <v>0</v>
      </c>
      <c r="R127" s="534">
        <v>0</v>
      </c>
      <c r="S127" s="536">
        <f t="shared" si="61"/>
        <v>0</v>
      </c>
      <c r="T127" s="533"/>
      <c r="U127" s="534">
        <v>0</v>
      </c>
      <c r="V127" s="534">
        <v>0</v>
      </c>
      <c r="W127" s="534">
        <v>0</v>
      </c>
      <c r="X127" s="534">
        <v>0</v>
      </c>
      <c r="Y127" s="534">
        <v>0</v>
      </c>
      <c r="Z127" s="534">
        <v>0</v>
      </c>
      <c r="AA127" s="534">
        <v>0</v>
      </c>
      <c r="AB127" s="534">
        <v>0</v>
      </c>
      <c r="AC127" s="534">
        <v>0</v>
      </c>
      <c r="AD127" s="534">
        <v>0</v>
      </c>
      <c r="AE127" s="536">
        <f t="shared" si="62"/>
        <v>0</v>
      </c>
      <c r="AF127" s="533"/>
      <c r="AG127" s="534">
        <v>0</v>
      </c>
      <c r="AH127" s="534">
        <v>0</v>
      </c>
      <c r="AI127" s="534">
        <v>0</v>
      </c>
      <c r="AJ127" s="534">
        <v>0</v>
      </c>
      <c r="AK127" s="536">
        <f t="shared" si="63"/>
        <v>0</v>
      </c>
      <c r="AL127" s="533"/>
      <c r="AM127" s="534">
        <v>0</v>
      </c>
      <c r="AN127" s="534">
        <v>0</v>
      </c>
      <c r="AO127" s="534">
        <v>0</v>
      </c>
      <c r="AP127" s="537">
        <v>0</v>
      </c>
      <c r="AQ127" s="535">
        <v>0</v>
      </c>
      <c r="AR127" s="534">
        <v>0</v>
      </c>
      <c r="AS127" s="534">
        <v>0</v>
      </c>
      <c r="AT127" s="534">
        <v>0</v>
      </c>
      <c r="AU127" s="536">
        <f t="shared" si="64"/>
        <v>0</v>
      </c>
      <c r="AV127" s="533"/>
      <c r="AW127" s="538">
        <f t="shared" si="65"/>
        <v>0</v>
      </c>
      <c r="AX127" s="538">
        <f t="shared" si="66"/>
        <v>804.2</v>
      </c>
      <c r="AY127" s="533"/>
      <c r="AZ127" s="534">
        <f t="shared" si="67"/>
        <v>0</v>
      </c>
      <c r="BA127" s="534">
        <v>0</v>
      </c>
      <c r="BD127" s="392">
        <f t="shared" si="58"/>
        <v>0</v>
      </c>
      <c r="BE127" s="425">
        <f t="shared" si="59"/>
        <v>0</v>
      </c>
      <c r="BF127" s="425">
        <f t="shared" si="69"/>
        <v>0</v>
      </c>
      <c r="BG127" s="425">
        <f t="shared" si="69"/>
        <v>0</v>
      </c>
      <c r="BH127" s="425">
        <f t="shared" si="69"/>
        <v>0</v>
      </c>
      <c r="BI127" s="425">
        <f t="shared" si="69"/>
        <v>0</v>
      </c>
      <c r="BJ127" s="425">
        <f t="shared" si="69"/>
        <v>0</v>
      </c>
      <c r="BK127" s="425">
        <f t="shared" si="69"/>
        <v>0</v>
      </c>
      <c r="BL127" s="425">
        <f t="shared" si="69"/>
        <v>0</v>
      </c>
      <c r="BM127" s="425">
        <f t="shared" si="70"/>
        <v>0</v>
      </c>
      <c r="BN127" s="425">
        <f t="shared" si="70"/>
        <v>0</v>
      </c>
      <c r="BO127" s="425">
        <f t="shared" si="70"/>
        <v>0</v>
      </c>
      <c r="BP127" s="425">
        <f t="shared" si="71"/>
        <v>0</v>
      </c>
      <c r="BQ127" s="425">
        <f t="shared" si="71"/>
        <v>0</v>
      </c>
      <c r="BR127" s="425">
        <f t="shared" si="71"/>
        <v>0</v>
      </c>
      <c r="BS127" s="425">
        <f t="shared" si="72"/>
        <v>0</v>
      </c>
      <c r="BT127" s="426">
        <f t="shared" si="72"/>
        <v>0</v>
      </c>
    </row>
    <row r="128" spans="2:72" hidden="1" x14ac:dyDescent="0.25">
      <c r="B128" s="145"/>
      <c r="C128" s="539">
        <f t="shared" si="68"/>
        <v>42156</v>
      </c>
      <c r="D128" s="533"/>
      <c r="E128" s="534">
        <v>0</v>
      </c>
      <c r="F128" s="534">
        <v>0</v>
      </c>
      <c r="G128" s="534">
        <v>0</v>
      </c>
      <c r="H128" s="540">
        <v>0</v>
      </c>
      <c r="I128" s="536">
        <f t="shared" si="60"/>
        <v>0</v>
      </c>
      <c r="J128" s="533"/>
      <c r="K128" s="534">
        <v>0</v>
      </c>
      <c r="L128" s="534">
        <v>0</v>
      </c>
      <c r="M128" s="534">
        <v>0</v>
      </c>
      <c r="N128" s="534">
        <v>0</v>
      </c>
      <c r="O128" s="534">
        <v>0</v>
      </c>
      <c r="P128" s="534">
        <v>0</v>
      </c>
      <c r="Q128" s="534">
        <v>0</v>
      </c>
      <c r="R128" s="534">
        <v>0</v>
      </c>
      <c r="S128" s="536">
        <f t="shared" si="61"/>
        <v>0</v>
      </c>
      <c r="T128" s="533"/>
      <c r="U128" s="534">
        <v>0</v>
      </c>
      <c r="V128" s="534">
        <v>0</v>
      </c>
      <c r="W128" s="534">
        <v>0</v>
      </c>
      <c r="X128" s="534">
        <v>0</v>
      </c>
      <c r="Y128" s="534">
        <v>0</v>
      </c>
      <c r="Z128" s="534">
        <v>0</v>
      </c>
      <c r="AA128" s="534">
        <v>0</v>
      </c>
      <c r="AB128" s="534">
        <v>0</v>
      </c>
      <c r="AC128" s="534">
        <v>0</v>
      </c>
      <c r="AD128" s="534">
        <v>0</v>
      </c>
      <c r="AE128" s="536">
        <f t="shared" si="62"/>
        <v>0</v>
      </c>
      <c r="AF128" s="533"/>
      <c r="AG128" s="534">
        <v>0</v>
      </c>
      <c r="AH128" s="534">
        <v>0</v>
      </c>
      <c r="AI128" s="534">
        <v>0</v>
      </c>
      <c r="AJ128" s="534">
        <v>0</v>
      </c>
      <c r="AK128" s="536">
        <f t="shared" si="63"/>
        <v>0</v>
      </c>
      <c r="AL128" s="533"/>
      <c r="AM128" s="534">
        <v>0</v>
      </c>
      <c r="AN128" s="534">
        <v>0</v>
      </c>
      <c r="AO128" s="534">
        <v>0</v>
      </c>
      <c r="AP128" s="537">
        <v>0</v>
      </c>
      <c r="AQ128" s="535">
        <v>0</v>
      </c>
      <c r="AR128" s="534">
        <v>0</v>
      </c>
      <c r="AS128" s="534">
        <v>0</v>
      </c>
      <c r="AT128" s="534">
        <v>0</v>
      </c>
      <c r="AU128" s="536">
        <f t="shared" si="64"/>
        <v>0</v>
      </c>
      <c r="AV128" s="533"/>
      <c r="AW128" s="538">
        <f t="shared" si="65"/>
        <v>0</v>
      </c>
      <c r="AX128" s="538">
        <f t="shared" si="66"/>
        <v>804.2</v>
      </c>
      <c r="AY128" s="533"/>
      <c r="AZ128" s="534">
        <f t="shared" si="67"/>
        <v>0</v>
      </c>
      <c r="BA128" s="534">
        <v>0</v>
      </c>
      <c r="BD128" s="392">
        <f t="shared" si="58"/>
        <v>0</v>
      </c>
      <c r="BE128" s="425">
        <f t="shared" si="59"/>
        <v>0</v>
      </c>
      <c r="BF128" s="425">
        <f t="shared" ref="BF128:BL137" si="73">-SUMIF($E$6:$BA$6, BF$6, $E128:$BA128)</f>
        <v>0</v>
      </c>
      <c r="BG128" s="425">
        <f t="shared" si="73"/>
        <v>0</v>
      </c>
      <c r="BH128" s="425">
        <f t="shared" si="73"/>
        <v>0</v>
      </c>
      <c r="BI128" s="425">
        <f t="shared" si="73"/>
        <v>0</v>
      </c>
      <c r="BJ128" s="425">
        <f t="shared" si="73"/>
        <v>0</v>
      </c>
      <c r="BK128" s="425">
        <f t="shared" si="73"/>
        <v>0</v>
      </c>
      <c r="BL128" s="425">
        <f t="shared" si="73"/>
        <v>0</v>
      </c>
      <c r="BM128" s="425">
        <f t="shared" si="70"/>
        <v>0</v>
      </c>
      <c r="BN128" s="425">
        <f t="shared" si="70"/>
        <v>0</v>
      </c>
      <c r="BO128" s="425">
        <f t="shared" si="70"/>
        <v>0</v>
      </c>
      <c r="BP128" s="425">
        <f t="shared" si="71"/>
        <v>0</v>
      </c>
      <c r="BQ128" s="425">
        <f t="shared" si="71"/>
        <v>0</v>
      </c>
      <c r="BR128" s="425">
        <f t="shared" si="71"/>
        <v>0</v>
      </c>
      <c r="BS128" s="425">
        <f t="shared" si="72"/>
        <v>0</v>
      </c>
      <c r="BT128" s="426">
        <f t="shared" si="72"/>
        <v>0</v>
      </c>
    </row>
    <row r="129" spans="2:72" hidden="1" x14ac:dyDescent="0.25">
      <c r="B129" s="145"/>
      <c r="C129" s="539">
        <f t="shared" si="68"/>
        <v>42186</v>
      </c>
      <c r="D129" s="533"/>
      <c r="E129" s="534">
        <v>0</v>
      </c>
      <c r="F129" s="534">
        <v>0</v>
      </c>
      <c r="G129" s="534">
        <v>0</v>
      </c>
      <c r="H129" s="540">
        <v>0</v>
      </c>
      <c r="I129" s="536">
        <f t="shared" si="60"/>
        <v>0</v>
      </c>
      <c r="J129" s="533"/>
      <c r="K129" s="534">
        <v>0</v>
      </c>
      <c r="L129" s="534">
        <v>0</v>
      </c>
      <c r="M129" s="534">
        <v>0</v>
      </c>
      <c r="N129" s="534">
        <v>0</v>
      </c>
      <c r="O129" s="534">
        <v>0</v>
      </c>
      <c r="P129" s="534">
        <v>0</v>
      </c>
      <c r="Q129" s="534">
        <v>0</v>
      </c>
      <c r="R129" s="534">
        <v>0</v>
      </c>
      <c r="S129" s="536">
        <f t="shared" si="61"/>
        <v>0</v>
      </c>
      <c r="T129" s="533"/>
      <c r="U129" s="534">
        <v>0</v>
      </c>
      <c r="V129" s="534">
        <v>0</v>
      </c>
      <c r="W129" s="534">
        <v>0</v>
      </c>
      <c r="X129" s="534">
        <v>0</v>
      </c>
      <c r="Y129" s="534">
        <v>0</v>
      </c>
      <c r="Z129" s="534">
        <v>0</v>
      </c>
      <c r="AA129" s="534">
        <v>129.6</v>
      </c>
      <c r="AB129" s="534">
        <v>0</v>
      </c>
      <c r="AC129" s="534">
        <v>0</v>
      </c>
      <c r="AD129" s="534">
        <v>0</v>
      </c>
      <c r="AE129" s="536">
        <f t="shared" si="62"/>
        <v>129.6</v>
      </c>
      <c r="AF129" s="533"/>
      <c r="AG129" s="534">
        <v>0</v>
      </c>
      <c r="AH129" s="534">
        <v>0</v>
      </c>
      <c r="AI129" s="534">
        <v>0</v>
      </c>
      <c r="AJ129" s="534">
        <v>0</v>
      </c>
      <c r="AK129" s="536">
        <f t="shared" si="63"/>
        <v>0</v>
      </c>
      <c r="AL129" s="533"/>
      <c r="AM129" s="534">
        <v>0</v>
      </c>
      <c r="AN129" s="534">
        <v>0</v>
      </c>
      <c r="AO129" s="534">
        <v>0</v>
      </c>
      <c r="AP129" s="537">
        <v>0</v>
      </c>
      <c r="AQ129" s="535">
        <v>0</v>
      </c>
      <c r="AR129" s="534">
        <v>0</v>
      </c>
      <c r="AS129" s="534">
        <v>0</v>
      </c>
      <c r="AT129" s="534">
        <v>0</v>
      </c>
      <c r="AU129" s="536">
        <f t="shared" si="64"/>
        <v>0</v>
      </c>
      <c r="AV129" s="533"/>
      <c r="AW129" s="538">
        <f t="shared" si="65"/>
        <v>-129.6</v>
      </c>
      <c r="AX129" s="538">
        <f t="shared" si="66"/>
        <v>674.6</v>
      </c>
      <c r="AY129" s="533"/>
      <c r="AZ129" s="534">
        <f t="shared" si="67"/>
        <v>0</v>
      </c>
      <c r="BA129" s="534">
        <v>0</v>
      </c>
      <c r="BD129" s="392">
        <f t="shared" si="58"/>
        <v>0</v>
      </c>
      <c r="BE129" s="425">
        <f t="shared" si="59"/>
        <v>0</v>
      </c>
      <c r="BF129" s="425">
        <f t="shared" si="73"/>
        <v>0</v>
      </c>
      <c r="BG129" s="425">
        <f t="shared" si="73"/>
        <v>0</v>
      </c>
      <c r="BH129" s="425">
        <f t="shared" si="73"/>
        <v>0</v>
      </c>
      <c r="BI129" s="425">
        <f t="shared" si="73"/>
        <v>0</v>
      </c>
      <c r="BJ129" s="425">
        <f t="shared" si="73"/>
        <v>0</v>
      </c>
      <c r="BK129" s="425">
        <f t="shared" si="73"/>
        <v>0</v>
      </c>
      <c r="BL129" s="425">
        <f t="shared" si="73"/>
        <v>-129.6</v>
      </c>
      <c r="BM129" s="425">
        <f t="shared" si="70"/>
        <v>0</v>
      </c>
      <c r="BN129" s="425">
        <f t="shared" si="70"/>
        <v>0</v>
      </c>
      <c r="BO129" s="425">
        <f t="shared" si="70"/>
        <v>0</v>
      </c>
      <c r="BP129" s="425">
        <f t="shared" si="71"/>
        <v>0</v>
      </c>
      <c r="BQ129" s="425">
        <f t="shared" si="71"/>
        <v>0</v>
      </c>
      <c r="BR129" s="425">
        <f t="shared" si="71"/>
        <v>0</v>
      </c>
      <c r="BS129" s="425">
        <f t="shared" si="72"/>
        <v>0</v>
      </c>
      <c r="BT129" s="426">
        <f t="shared" si="72"/>
        <v>0</v>
      </c>
    </row>
    <row r="130" spans="2:72" hidden="1" x14ac:dyDescent="0.25">
      <c r="B130" s="145"/>
      <c r="C130" s="539">
        <f t="shared" si="68"/>
        <v>42217</v>
      </c>
      <c r="D130" s="533"/>
      <c r="E130" s="534">
        <v>0</v>
      </c>
      <c r="F130" s="534">
        <v>0</v>
      </c>
      <c r="G130" s="534">
        <v>0</v>
      </c>
      <c r="H130" s="540">
        <v>0</v>
      </c>
      <c r="I130" s="536">
        <f t="shared" si="60"/>
        <v>0</v>
      </c>
      <c r="J130" s="533"/>
      <c r="K130" s="534">
        <v>0</v>
      </c>
      <c r="L130" s="534">
        <v>0</v>
      </c>
      <c r="M130" s="534">
        <v>0</v>
      </c>
      <c r="N130" s="534">
        <v>0</v>
      </c>
      <c r="O130" s="534">
        <v>0</v>
      </c>
      <c r="P130" s="534">
        <v>0</v>
      </c>
      <c r="Q130" s="534">
        <v>0</v>
      </c>
      <c r="R130" s="534">
        <v>0</v>
      </c>
      <c r="S130" s="536">
        <f t="shared" si="61"/>
        <v>0</v>
      </c>
      <c r="T130" s="533"/>
      <c r="U130" s="534">
        <v>0</v>
      </c>
      <c r="V130" s="534">
        <v>0</v>
      </c>
      <c r="W130" s="534">
        <v>0</v>
      </c>
      <c r="X130" s="534">
        <v>0</v>
      </c>
      <c r="Y130" s="534">
        <v>0</v>
      </c>
      <c r="Z130" s="534">
        <v>0</v>
      </c>
      <c r="AA130" s="534">
        <v>0</v>
      </c>
      <c r="AB130" s="534">
        <v>0</v>
      </c>
      <c r="AC130" s="534">
        <v>0</v>
      </c>
      <c r="AD130" s="534">
        <v>0</v>
      </c>
      <c r="AE130" s="536">
        <f t="shared" si="62"/>
        <v>0</v>
      </c>
      <c r="AF130" s="533"/>
      <c r="AG130" s="534">
        <v>0</v>
      </c>
      <c r="AH130" s="534">
        <v>0</v>
      </c>
      <c r="AI130" s="534">
        <v>0</v>
      </c>
      <c r="AJ130" s="534">
        <v>0</v>
      </c>
      <c r="AK130" s="536">
        <f t="shared" si="63"/>
        <v>0</v>
      </c>
      <c r="AL130" s="533"/>
      <c r="AM130" s="534">
        <v>0</v>
      </c>
      <c r="AN130" s="534">
        <v>0</v>
      </c>
      <c r="AO130" s="534">
        <v>0</v>
      </c>
      <c r="AP130" s="537">
        <v>0</v>
      </c>
      <c r="AQ130" s="535">
        <v>0</v>
      </c>
      <c r="AR130" s="534">
        <v>0</v>
      </c>
      <c r="AS130" s="534">
        <v>0</v>
      </c>
      <c r="AT130" s="534">
        <v>0</v>
      </c>
      <c r="AU130" s="536">
        <f t="shared" si="64"/>
        <v>0</v>
      </c>
      <c r="AV130" s="533"/>
      <c r="AW130" s="538">
        <f t="shared" si="65"/>
        <v>0</v>
      </c>
      <c r="AX130" s="538">
        <f t="shared" si="66"/>
        <v>674.6</v>
      </c>
      <c r="AY130" s="533"/>
      <c r="AZ130" s="534">
        <f t="shared" si="67"/>
        <v>0</v>
      </c>
      <c r="BA130" s="534">
        <v>0</v>
      </c>
      <c r="BD130" s="392">
        <f t="shared" si="58"/>
        <v>0</v>
      </c>
      <c r="BE130" s="425">
        <f t="shared" si="59"/>
        <v>0</v>
      </c>
      <c r="BF130" s="425">
        <f t="shared" si="73"/>
        <v>0</v>
      </c>
      <c r="BG130" s="425">
        <f t="shared" si="73"/>
        <v>0</v>
      </c>
      <c r="BH130" s="425">
        <f t="shared" si="73"/>
        <v>0</v>
      </c>
      <c r="BI130" s="425">
        <f t="shared" si="73"/>
        <v>0</v>
      </c>
      <c r="BJ130" s="425">
        <f t="shared" si="73"/>
        <v>0</v>
      </c>
      <c r="BK130" s="425">
        <f t="shared" si="73"/>
        <v>0</v>
      </c>
      <c r="BL130" s="425">
        <f t="shared" si="73"/>
        <v>0</v>
      </c>
      <c r="BM130" s="425">
        <f t="shared" si="70"/>
        <v>0</v>
      </c>
      <c r="BN130" s="425">
        <f t="shared" si="70"/>
        <v>0</v>
      </c>
      <c r="BO130" s="425">
        <f t="shared" si="70"/>
        <v>0</v>
      </c>
      <c r="BP130" s="425">
        <f t="shared" si="71"/>
        <v>0</v>
      </c>
      <c r="BQ130" s="425">
        <f t="shared" si="71"/>
        <v>0</v>
      </c>
      <c r="BR130" s="425">
        <f t="shared" si="71"/>
        <v>0</v>
      </c>
      <c r="BS130" s="425">
        <f t="shared" si="72"/>
        <v>0</v>
      </c>
      <c r="BT130" s="426">
        <f t="shared" si="72"/>
        <v>0</v>
      </c>
    </row>
    <row r="131" spans="2:72" hidden="1" x14ac:dyDescent="0.25">
      <c r="B131" s="145"/>
      <c r="C131" s="539">
        <f t="shared" si="68"/>
        <v>42248</v>
      </c>
      <c r="D131" s="533"/>
      <c r="E131" s="534">
        <v>0</v>
      </c>
      <c r="F131" s="534">
        <v>0</v>
      </c>
      <c r="G131" s="534">
        <v>0</v>
      </c>
      <c r="H131" s="540">
        <v>0</v>
      </c>
      <c r="I131" s="536">
        <f t="shared" si="60"/>
        <v>0</v>
      </c>
      <c r="J131" s="533"/>
      <c r="K131" s="534">
        <v>0</v>
      </c>
      <c r="L131" s="534">
        <v>0</v>
      </c>
      <c r="M131" s="534">
        <v>0</v>
      </c>
      <c r="N131" s="534">
        <v>0</v>
      </c>
      <c r="O131" s="534">
        <v>0</v>
      </c>
      <c r="P131" s="534">
        <v>0</v>
      </c>
      <c r="Q131" s="534">
        <v>0</v>
      </c>
      <c r="R131" s="534">
        <v>0</v>
      </c>
      <c r="S131" s="536">
        <f t="shared" si="61"/>
        <v>0</v>
      </c>
      <c r="T131" s="533"/>
      <c r="U131" s="534">
        <v>0</v>
      </c>
      <c r="V131" s="534">
        <v>0</v>
      </c>
      <c r="W131" s="534">
        <v>0</v>
      </c>
      <c r="X131" s="534">
        <v>0</v>
      </c>
      <c r="Y131" s="534">
        <v>0</v>
      </c>
      <c r="Z131" s="534">
        <v>0</v>
      </c>
      <c r="AA131" s="534">
        <v>0</v>
      </c>
      <c r="AB131" s="534">
        <v>0</v>
      </c>
      <c r="AC131" s="534">
        <v>0</v>
      </c>
      <c r="AD131" s="534">
        <v>0</v>
      </c>
      <c r="AE131" s="536">
        <f t="shared" si="62"/>
        <v>0</v>
      </c>
      <c r="AF131" s="533"/>
      <c r="AG131" s="534">
        <v>0</v>
      </c>
      <c r="AH131" s="534">
        <v>0</v>
      </c>
      <c r="AI131" s="534">
        <v>0</v>
      </c>
      <c r="AJ131" s="534">
        <v>0</v>
      </c>
      <c r="AK131" s="536">
        <f t="shared" si="63"/>
        <v>0</v>
      </c>
      <c r="AL131" s="533"/>
      <c r="AM131" s="534">
        <v>0</v>
      </c>
      <c r="AN131" s="534">
        <v>0</v>
      </c>
      <c r="AO131" s="534">
        <v>0</v>
      </c>
      <c r="AP131" s="537">
        <v>0</v>
      </c>
      <c r="AQ131" s="535">
        <v>0</v>
      </c>
      <c r="AR131" s="534">
        <v>0</v>
      </c>
      <c r="AS131" s="534">
        <v>0</v>
      </c>
      <c r="AT131" s="534">
        <v>0</v>
      </c>
      <c r="AU131" s="536">
        <f t="shared" si="64"/>
        <v>0</v>
      </c>
      <c r="AV131" s="533"/>
      <c r="AW131" s="538">
        <f t="shared" si="65"/>
        <v>0</v>
      </c>
      <c r="AX131" s="538">
        <f t="shared" si="66"/>
        <v>674.6</v>
      </c>
      <c r="AY131" s="533"/>
      <c r="AZ131" s="534">
        <f t="shared" si="67"/>
        <v>0</v>
      </c>
      <c r="BA131" s="534">
        <v>0</v>
      </c>
      <c r="BD131" s="392">
        <f t="shared" si="58"/>
        <v>0</v>
      </c>
      <c r="BE131" s="425">
        <f t="shared" si="59"/>
        <v>0</v>
      </c>
      <c r="BF131" s="425">
        <f t="shared" si="73"/>
        <v>0</v>
      </c>
      <c r="BG131" s="425">
        <f t="shared" si="73"/>
        <v>0</v>
      </c>
      <c r="BH131" s="425">
        <f t="shared" si="73"/>
        <v>0</v>
      </c>
      <c r="BI131" s="425">
        <f t="shared" si="73"/>
        <v>0</v>
      </c>
      <c r="BJ131" s="425">
        <f t="shared" si="73"/>
        <v>0</v>
      </c>
      <c r="BK131" s="425">
        <f t="shared" si="73"/>
        <v>0</v>
      </c>
      <c r="BL131" s="425">
        <f t="shared" si="73"/>
        <v>0</v>
      </c>
      <c r="BM131" s="425">
        <f t="shared" si="70"/>
        <v>0</v>
      </c>
      <c r="BN131" s="425">
        <f t="shared" si="70"/>
        <v>0</v>
      </c>
      <c r="BO131" s="425">
        <f t="shared" si="70"/>
        <v>0</v>
      </c>
      <c r="BP131" s="425">
        <f t="shared" si="71"/>
        <v>0</v>
      </c>
      <c r="BQ131" s="425">
        <f t="shared" si="71"/>
        <v>0</v>
      </c>
      <c r="BR131" s="425">
        <f t="shared" si="71"/>
        <v>0</v>
      </c>
      <c r="BS131" s="425">
        <f t="shared" si="72"/>
        <v>0</v>
      </c>
      <c r="BT131" s="426">
        <f t="shared" si="72"/>
        <v>0</v>
      </c>
    </row>
    <row r="132" spans="2:72" hidden="1" x14ac:dyDescent="0.25">
      <c r="B132" s="145"/>
      <c r="C132" s="539">
        <f t="shared" si="68"/>
        <v>42278</v>
      </c>
      <c r="D132" s="533"/>
      <c r="E132" s="534">
        <v>0</v>
      </c>
      <c r="F132" s="534">
        <v>0</v>
      </c>
      <c r="G132" s="534">
        <v>0</v>
      </c>
      <c r="H132" s="540">
        <v>0</v>
      </c>
      <c r="I132" s="536">
        <f t="shared" si="60"/>
        <v>0</v>
      </c>
      <c r="J132" s="533"/>
      <c r="K132" s="534">
        <v>0</v>
      </c>
      <c r="L132" s="534">
        <v>0</v>
      </c>
      <c r="M132" s="534">
        <v>0</v>
      </c>
      <c r="N132" s="534">
        <v>0</v>
      </c>
      <c r="O132" s="534">
        <v>0</v>
      </c>
      <c r="P132" s="534">
        <v>0</v>
      </c>
      <c r="Q132" s="534">
        <v>0</v>
      </c>
      <c r="R132" s="534">
        <v>0</v>
      </c>
      <c r="S132" s="536">
        <f t="shared" si="61"/>
        <v>0</v>
      </c>
      <c r="T132" s="533"/>
      <c r="U132" s="534">
        <v>137.72999999999999</v>
      </c>
      <c r="V132" s="534">
        <v>0</v>
      </c>
      <c r="W132" s="534">
        <v>0</v>
      </c>
      <c r="X132" s="534">
        <v>0</v>
      </c>
      <c r="Y132" s="534">
        <v>0</v>
      </c>
      <c r="Z132" s="534">
        <v>0</v>
      </c>
      <c r="AA132" s="534">
        <v>0</v>
      </c>
      <c r="AB132" s="534">
        <v>0</v>
      </c>
      <c r="AC132" s="534">
        <v>0</v>
      </c>
      <c r="AD132" s="534">
        <v>2.5</v>
      </c>
      <c r="AE132" s="536">
        <f t="shared" si="62"/>
        <v>140.22999999999999</v>
      </c>
      <c r="AF132" s="533"/>
      <c r="AG132" s="534">
        <v>0</v>
      </c>
      <c r="AH132" s="534">
        <v>0</v>
      </c>
      <c r="AI132" s="534">
        <v>0</v>
      </c>
      <c r="AJ132" s="534">
        <v>0</v>
      </c>
      <c r="AK132" s="536">
        <f t="shared" si="63"/>
        <v>0</v>
      </c>
      <c r="AL132" s="533"/>
      <c r="AM132" s="534">
        <v>0</v>
      </c>
      <c r="AN132" s="534">
        <v>0</v>
      </c>
      <c r="AO132" s="534">
        <v>0</v>
      </c>
      <c r="AP132" s="537">
        <v>0</v>
      </c>
      <c r="AQ132" s="535">
        <v>0</v>
      </c>
      <c r="AR132" s="534">
        <v>0</v>
      </c>
      <c r="AS132" s="534">
        <v>0</v>
      </c>
      <c r="AT132" s="534">
        <v>0</v>
      </c>
      <c r="AU132" s="536">
        <f t="shared" si="64"/>
        <v>0</v>
      </c>
      <c r="AV132" s="533"/>
      <c r="AW132" s="538">
        <f t="shared" si="65"/>
        <v>-140.22999999999999</v>
      </c>
      <c r="AX132" s="538">
        <f t="shared" si="66"/>
        <v>534.37</v>
      </c>
      <c r="AY132" s="533"/>
      <c r="AZ132" s="534">
        <f t="shared" si="67"/>
        <v>0</v>
      </c>
      <c r="BA132" s="534">
        <v>0</v>
      </c>
      <c r="BD132" s="392">
        <f t="shared" si="58"/>
        <v>0</v>
      </c>
      <c r="BE132" s="425">
        <f t="shared" si="59"/>
        <v>0</v>
      </c>
      <c r="BF132" s="425">
        <f t="shared" si="73"/>
        <v>0</v>
      </c>
      <c r="BG132" s="425">
        <f t="shared" si="73"/>
        <v>-137.72999999999999</v>
      </c>
      <c r="BH132" s="425">
        <f t="shared" si="73"/>
        <v>0</v>
      </c>
      <c r="BI132" s="425">
        <f t="shared" si="73"/>
        <v>0</v>
      </c>
      <c r="BJ132" s="425">
        <f t="shared" si="73"/>
        <v>0</v>
      </c>
      <c r="BK132" s="425">
        <f t="shared" si="73"/>
        <v>0</v>
      </c>
      <c r="BL132" s="425">
        <f t="shared" si="73"/>
        <v>0</v>
      </c>
      <c r="BM132" s="425">
        <f t="shared" si="70"/>
        <v>0</v>
      </c>
      <c r="BN132" s="425">
        <f t="shared" si="70"/>
        <v>0</v>
      </c>
      <c r="BO132" s="425">
        <f t="shared" si="70"/>
        <v>0</v>
      </c>
      <c r="BP132" s="425">
        <f t="shared" si="71"/>
        <v>0</v>
      </c>
      <c r="BQ132" s="425">
        <f t="shared" si="71"/>
        <v>0</v>
      </c>
      <c r="BR132" s="425">
        <f t="shared" si="71"/>
        <v>-2.5</v>
      </c>
      <c r="BS132" s="425">
        <f t="shared" si="72"/>
        <v>0</v>
      </c>
      <c r="BT132" s="426">
        <f t="shared" si="72"/>
        <v>0</v>
      </c>
    </row>
    <row r="133" spans="2:72" hidden="1" x14ac:dyDescent="0.25">
      <c r="B133" s="145"/>
      <c r="C133" s="539">
        <f t="shared" si="68"/>
        <v>42309</v>
      </c>
      <c r="D133" s="533"/>
      <c r="E133" s="534">
        <v>0</v>
      </c>
      <c r="F133" s="534">
        <v>0</v>
      </c>
      <c r="G133" s="534">
        <v>0</v>
      </c>
      <c r="H133" s="540">
        <v>0</v>
      </c>
      <c r="I133" s="536">
        <f t="shared" si="60"/>
        <v>0</v>
      </c>
      <c r="J133" s="533"/>
      <c r="K133" s="534">
        <v>0</v>
      </c>
      <c r="L133" s="534">
        <v>0</v>
      </c>
      <c r="M133" s="534">
        <v>0</v>
      </c>
      <c r="N133" s="534">
        <v>0</v>
      </c>
      <c r="O133" s="534">
        <v>0</v>
      </c>
      <c r="P133" s="534">
        <v>0</v>
      </c>
      <c r="Q133" s="534">
        <v>0</v>
      </c>
      <c r="R133" s="534">
        <v>0</v>
      </c>
      <c r="S133" s="536">
        <f t="shared" si="61"/>
        <v>0</v>
      </c>
      <c r="T133" s="533"/>
      <c r="U133" s="534">
        <v>0</v>
      </c>
      <c r="V133" s="534">
        <v>0</v>
      </c>
      <c r="W133" s="534">
        <v>0</v>
      </c>
      <c r="X133" s="534">
        <v>0</v>
      </c>
      <c r="Y133" s="534">
        <v>0</v>
      </c>
      <c r="Z133" s="534">
        <v>0</v>
      </c>
      <c r="AA133" s="534">
        <v>0</v>
      </c>
      <c r="AB133" s="534">
        <v>0</v>
      </c>
      <c r="AC133" s="534">
        <v>0</v>
      </c>
      <c r="AD133" s="534">
        <v>0</v>
      </c>
      <c r="AE133" s="536">
        <f t="shared" si="62"/>
        <v>0</v>
      </c>
      <c r="AF133" s="533"/>
      <c r="AG133" s="534">
        <v>0</v>
      </c>
      <c r="AH133" s="534">
        <v>0</v>
      </c>
      <c r="AI133" s="534">
        <v>0</v>
      </c>
      <c r="AJ133" s="534">
        <v>0</v>
      </c>
      <c r="AK133" s="536">
        <f t="shared" si="63"/>
        <v>0</v>
      </c>
      <c r="AL133" s="533"/>
      <c r="AM133" s="534">
        <v>0</v>
      </c>
      <c r="AN133" s="534">
        <v>0</v>
      </c>
      <c r="AO133" s="534">
        <v>0</v>
      </c>
      <c r="AP133" s="537">
        <v>0</v>
      </c>
      <c r="AQ133" s="535">
        <v>0</v>
      </c>
      <c r="AR133" s="534">
        <v>0</v>
      </c>
      <c r="AS133" s="534">
        <v>0</v>
      </c>
      <c r="AT133" s="534">
        <v>0</v>
      </c>
      <c r="AU133" s="536">
        <f t="shared" si="64"/>
        <v>0</v>
      </c>
      <c r="AV133" s="533"/>
      <c r="AW133" s="538">
        <f t="shared" si="65"/>
        <v>0</v>
      </c>
      <c r="AX133" s="538">
        <f t="shared" si="66"/>
        <v>534.37</v>
      </c>
      <c r="AY133" s="533"/>
      <c r="AZ133" s="534">
        <f t="shared" si="67"/>
        <v>0</v>
      </c>
      <c r="BA133" s="534">
        <v>0</v>
      </c>
      <c r="BD133" s="392">
        <f t="shared" si="58"/>
        <v>0</v>
      </c>
      <c r="BE133" s="425">
        <f t="shared" si="59"/>
        <v>0</v>
      </c>
      <c r="BF133" s="425">
        <f t="shared" si="73"/>
        <v>0</v>
      </c>
      <c r="BG133" s="425">
        <f t="shared" si="73"/>
        <v>0</v>
      </c>
      <c r="BH133" s="425">
        <f t="shared" si="73"/>
        <v>0</v>
      </c>
      <c r="BI133" s="425">
        <f t="shared" si="73"/>
        <v>0</v>
      </c>
      <c r="BJ133" s="425">
        <f t="shared" si="73"/>
        <v>0</v>
      </c>
      <c r="BK133" s="425">
        <f t="shared" si="73"/>
        <v>0</v>
      </c>
      <c r="BL133" s="425">
        <f t="shared" si="73"/>
        <v>0</v>
      </c>
      <c r="BM133" s="425">
        <f t="shared" si="70"/>
        <v>0</v>
      </c>
      <c r="BN133" s="425">
        <f t="shared" si="70"/>
        <v>0</v>
      </c>
      <c r="BO133" s="425">
        <f t="shared" si="70"/>
        <v>0</v>
      </c>
      <c r="BP133" s="425">
        <f t="shared" si="71"/>
        <v>0</v>
      </c>
      <c r="BQ133" s="425">
        <f t="shared" si="71"/>
        <v>0</v>
      </c>
      <c r="BR133" s="425">
        <f t="shared" si="71"/>
        <v>0</v>
      </c>
      <c r="BS133" s="425">
        <f t="shared" si="72"/>
        <v>0</v>
      </c>
      <c r="BT133" s="426">
        <f t="shared" si="72"/>
        <v>0</v>
      </c>
    </row>
    <row r="134" spans="2:72" hidden="1" x14ac:dyDescent="0.25">
      <c r="B134" s="145"/>
      <c r="C134" s="539">
        <f t="shared" si="68"/>
        <v>42339</v>
      </c>
      <c r="D134" s="533"/>
      <c r="E134" s="534">
        <v>0</v>
      </c>
      <c r="F134" s="534">
        <v>0</v>
      </c>
      <c r="G134" s="534">
        <v>0</v>
      </c>
      <c r="H134" s="540">
        <v>0</v>
      </c>
      <c r="I134" s="536">
        <f t="shared" si="60"/>
        <v>0</v>
      </c>
      <c r="J134" s="533"/>
      <c r="K134" s="534">
        <v>0</v>
      </c>
      <c r="L134" s="534">
        <v>0</v>
      </c>
      <c r="M134" s="534">
        <v>0</v>
      </c>
      <c r="N134" s="534">
        <v>0</v>
      </c>
      <c r="O134" s="534">
        <v>0</v>
      </c>
      <c r="P134" s="534">
        <v>0</v>
      </c>
      <c r="Q134" s="534">
        <v>0</v>
      </c>
      <c r="R134" s="534">
        <v>0</v>
      </c>
      <c r="S134" s="536">
        <f t="shared" si="61"/>
        <v>0</v>
      </c>
      <c r="T134" s="533"/>
      <c r="U134" s="534">
        <v>147.33000000000001</v>
      </c>
      <c r="V134" s="534">
        <v>0</v>
      </c>
      <c r="W134" s="534">
        <v>0</v>
      </c>
      <c r="X134" s="534">
        <v>0</v>
      </c>
      <c r="Y134" s="534">
        <v>0</v>
      </c>
      <c r="Z134" s="534">
        <v>0</v>
      </c>
      <c r="AA134" s="534">
        <v>0</v>
      </c>
      <c r="AB134" s="534">
        <v>0</v>
      </c>
      <c r="AC134" s="534">
        <v>0</v>
      </c>
      <c r="AD134" s="534">
        <v>2.5</v>
      </c>
      <c r="AE134" s="536">
        <f t="shared" si="62"/>
        <v>149.83000000000001</v>
      </c>
      <c r="AF134" s="533"/>
      <c r="AG134" s="534">
        <v>0</v>
      </c>
      <c r="AH134" s="534">
        <v>0</v>
      </c>
      <c r="AI134" s="534">
        <v>0</v>
      </c>
      <c r="AJ134" s="534">
        <v>0</v>
      </c>
      <c r="AK134" s="536">
        <f t="shared" si="63"/>
        <v>0</v>
      </c>
      <c r="AL134" s="533"/>
      <c r="AM134" s="534">
        <v>0</v>
      </c>
      <c r="AN134" s="534">
        <v>0</v>
      </c>
      <c r="AO134" s="534">
        <v>0</v>
      </c>
      <c r="AP134" s="537">
        <v>0</v>
      </c>
      <c r="AQ134" s="535">
        <v>0</v>
      </c>
      <c r="AR134" s="534">
        <v>0</v>
      </c>
      <c r="AS134" s="534">
        <v>0</v>
      </c>
      <c r="AT134" s="534">
        <v>0</v>
      </c>
      <c r="AU134" s="536">
        <f t="shared" si="64"/>
        <v>0</v>
      </c>
      <c r="AV134" s="533"/>
      <c r="AW134" s="538">
        <f t="shared" si="65"/>
        <v>-149.83000000000001</v>
      </c>
      <c r="AX134" s="538">
        <f t="shared" si="66"/>
        <v>384.53999999999996</v>
      </c>
      <c r="AY134" s="533"/>
      <c r="AZ134" s="534">
        <f t="shared" si="67"/>
        <v>0</v>
      </c>
      <c r="BA134" s="534">
        <v>0</v>
      </c>
      <c r="BD134" s="392">
        <f t="shared" si="58"/>
        <v>0</v>
      </c>
      <c r="BE134" s="425">
        <f t="shared" si="59"/>
        <v>0</v>
      </c>
      <c r="BF134" s="425">
        <f t="shared" si="73"/>
        <v>0</v>
      </c>
      <c r="BG134" s="425">
        <f t="shared" si="73"/>
        <v>-147.33000000000001</v>
      </c>
      <c r="BH134" s="425">
        <f t="shared" si="73"/>
        <v>0</v>
      </c>
      <c r="BI134" s="425">
        <f t="shared" si="73"/>
        <v>0</v>
      </c>
      <c r="BJ134" s="425">
        <f t="shared" si="73"/>
        <v>0</v>
      </c>
      <c r="BK134" s="425">
        <f t="shared" si="73"/>
        <v>0</v>
      </c>
      <c r="BL134" s="425">
        <f t="shared" si="73"/>
        <v>0</v>
      </c>
      <c r="BM134" s="425">
        <f t="shared" si="70"/>
        <v>0</v>
      </c>
      <c r="BN134" s="425">
        <f t="shared" si="70"/>
        <v>0</v>
      </c>
      <c r="BO134" s="425">
        <f t="shared" si="70"/>
        <v>0</v>
      </c>
      <c r="BP134" s="425">
        <f t="shared" si="71"/>
        <v>0</v>
      </c>
      <c r="BQ134" s="425">
        <f t="shared" si="71"/>
        <v>0</v>
      </c>
      <c r="BR134" s="425">
        <f t="shared" si="71"/>
        <v>-2.5</v>
      </c>
      <c r="BS134" s="425">
        <f t="shared" si="72"/>
        <v>0</v>
      </c>
      <c r="BT134" s="426">
        <f t="shared" si="72"/>
        <v>0</v>
      </c>
    </row>
    <row r="135" spans="2:72" hidden="1" x14ac:dyDescent="0.25">
      <c r="B135" s="145"/>
      <c r="C135" s="539">
        <f t="shared" si="68"/>
        <v>42370</v>
      </c>
      <c r="D135" s="533"/>
      <c r="E135" s="534">
        <v>0</v>
      </c>
      <c r="F135" s="534">
        <v>0</v>
      </c>
      <c r="G135" s="534">
        <v>0</v>
      </c>
      <c r="H135" s="540">
        <v>0</v>
      </c>
      <c r="I135" s="536">
        <f t="shared" si="60"/>
        <v>0</v>
      </c>
      <c r="J135" s="533"/>
      <c r="K135" s="534">
        <v>0</v>
      </c>
      <c r="L135" s="534">
        <v>0</v>
      </c>
      <c r="M135" s="534">
        <v>0</v>
      </c>
      <c r="N135" s="534">
        <v>0</v>
      </c>
      <c r="O135" s="534">
        <v>0</v>
      </c>
      <c r="P135" s="534">
        <v>0</v>
      </c>
      <c r="Q135" s="534">
        <v>0</v>
      </c>
      <c r="R135" s="534">
        <v>0</v>
      </c>
      <c r="S135" s="536">
        <f t="shared" si="61"/>
        <v>0</v>
      </c>
      <c r="T135" s="533"/>
      <c r="U135" s="534">
        <v>0</v>
      </c>
      <c r="V135" s="534">
        <v>0</v>
      </c>
      <c r="W135" s="534">
        <v>0</v>
      </c>
      <c r="X135" s="534">
        <v>0</v>
      </c>
      <c r="Y135" s="534">
        <v>0</v>
      </c>
      <c r="Z135" s="534">
        <v>0</v>
      </c>
      <c r="AA135" s="534">
        <v>0</v>
      </c>
      <c r="AB135" s="534">
        <v>0</v>
      </c>
      <c r="AC135" s="534">
        <v>0</v>
      </c>
      <c r="AD135" s="534">
        <v>0</v>
      </c>
      <c r="AE135" s="536">
        <f t="shared" si="62"/>
        <v>0</v>
      </c>
      <c r="AF135" s="533"/>
      <c r="AG135" s="534">
        <v>0</v>
      </c>
      <c r="AH135" s="534">
        <v>0</v>
      </c>
      <c r="AI135" s="534">
        <v>0</v>
      </c>
      <c r="AJ135" s="534">
        <v>0</v>
      </c>
      <c r="AK135" s="536">
        <f t="shared" si="63"/>
        <v>0</v>
      </c>
      <c r="AL135" s="533"/>
      <c r="AM135" s="534">
        <v>0</v>
      </c>
      <c r="AN135" s="534">
        <v>0</v>
      </c>
      <c r="AO135" s="534">
        <v>0</v>
      </c>
      <c r="AP135" s="537">
        <v>0</v>
      </c>
      <c r="AQ135" s="535">
        <v>0</v>
      </c>
      <c r="AR135" s="534">
        <v>0</v>
      </c>
      <c r="AS135" s="534">
        <v>0</v>
      </c>
      <c r="AT135" s="534">
        <v>0</v>
      </c>
      <c r="AU135" s="536">
        <f t="shared" si="64"/>
        <v>0</v>
      </c>
      <c r="AV135" s="533"/>
      <c r="AW135" s="538">
        <f t="shared" si="65"/>
        <v>0</v>
      </c>
      <c r="AX135" s="538">
        <f t="shared" si="66"/>
        <v>384.53999999999996</v>
      </c>
      <c r="AY135" s="533"/>
      <c r="AZ135" s="534">
        <f t="shared" si="67"/>
        <v>0</v>
      </c>
      <c r="BA135" s="534">
        <v>0</v>
      </c>
      <c r="BD135" s="392">
        <f t="shared" si="58"/>
        <v>0</v>
      </c>
      <c r="BE135" s="425">
        <f t="shared" si="59"/>
        <v>0</v>
      </c>
      <c r="BF135" s="425">
        <f t="shared" si="73"/>
        <v>0</v>
      </c>
      <c r="BG135" s="425">
        <f t="shared" si="73"/>
        <v>0</v>
      </c>
      <c r="BH135" s="425">
        <f t="shared" si="73"/>
        <v>0</v>
      </c>
      <c r="BI135" s="425">
        <f t="shared" si="73"/>
        <v>0</v>
      </c>
      <c r="BJ135" s="425">
        <f t="shared" si="73"/>
        <v>0</v>
      </c>
      <c r="BK135" s="425">
        <f t="shared" si="73"/>
        <v>0</v>
      </c>
      <c r="BL135" s="425">
        <f t="shared" si="73"/>
        <v>0</v>
      </c>
      <c r="BM135" s="425">
        <f t="shared" si="70"/>
        <v>0</v>
      </c>
      <c r="BN135" s="425">
        <f t="shared" si="70"/>
        <v>0</v>
      </c>
      <c r="BO135" s="425">
        <f t="shared" si="70"/>
        <v>0</v>
      </c>
      <c r="BP135" s="425">
        <f t="shared" si="71"/>
        <v>0</v>
      </c>
      <c r="BQ135" s="425">
        <f t="shared" si="71"/>
        <v>0</v>
      </c>
      <c r="BR135" s="425">
        <f t="shared" si="71"/>
        <v>0</v>
      </c>
      <c r="BS135" s="425">
        <f t="shared" si="72"/>
        <v>0</v>
      </c>
      <c r="BT135" s="426">
        <f t="shared" si="72"/>
        <v>0</v>
      </c>
    </row>
    <row r="136" spans="2:72" hidden="1" x14ac:dyDescent="0.25">
      <c r="B136" s="145"/>
      <c r="C136" s="539">
        <f t="shared" si="68"/>
        <v>42401</v>
      </c>
      <c r="D136" s="533"/>
      <c r="E136" s="534">
        <v>0</v>
      </c>
      <c r="F136" s="534">
        <v>0</v>
      </c>
      <c r="G136" s="534">
        <v>0</v>
      </c>
      <c r="H136" s="540">
        <v>0</v>
      </c>
      <c r="I136" s="536">
        <f t="shared" si="60"/>
        <v>0</v>
      </c>
      <c r="J136" s="533"/>
      <c r="K136" s="534">
        <v>0</v>
      </c>
      <c r="L136" s="534">
        <v>0</v>
      </c>
      <c r="M136" s="534">
        <v>0</v>
      </c>
      <c r="N136" s="534">
        <v>0</v>
      </c>
      <c r="O136" s="534">
        <v>0</v>
      </c>
      <c r="P136" s="534">
        <v>0</v>
      </c>
      <c r="Q136" s="534">
        <v>0</v>
      </c>
      <c r="R136" s="534">
        <v>0</v>
      </c>
      <c r="S136" s="536">
        <f t="shared" si="61"/>
        <v>0</v>
      </c>
      <c r="T136" s="533"/>
      <c r="U136" s="534">
        <v>0</v>
      </c>
      <c r="V136" s="534">
        <v>0</v>
      </c>
      <c r="W136" s="534">
        <v>0</v>
      </c>
      <c r="X136" s="534">
        <v>0</v>
      </c>
      <c r="Y136" s="534">
        <v>0</v>
      </c>
      <c r="Z136" s="534">
        <v>0</v>
      </c>
      <c r="AA136" s="534">
        <v>0</v>
      </c>
      <c r="AB136" s="534">
        <v>0</v>
      </c>
      <c r="AC136" s="534">
        <v>0</v>
      </c>
      <c r="AD136" s="534">
        <v>0</v>
      </c>
      <c r="AE136" s="536">
        <f t="shared" si="62"/>
        <v>0</v>
      </c>
      <c r="AF136" s="533"/>
      <c r="AG136" s="534">
        <v>0</v>
      </c>
      <c r="AH136" s="534">
        <v>0</v>
      </c>
      <c r="AI136" s="534">
        <v>0</v>
      </c>
      <c r="AJ136" s="534">
        <v>0</v>
      </c>
      <c r="AK136" s="536">
        <f t="shared" si="63"/>
        <v>0</v>
      </c>
      <c r="AL136" s="533"/>
      <c r="AM136" s="534">
        <v>0</v>
      </c>
      <c r="AN136" s="534">
        <v>0</v>
      </c>
      <c r="AO136" s="534">
        <v>0</v>
      </c>
      <c r="AP136" s="537">
        <v>0</v>
      </c>
      <c r="AQ136" s="535">
        <v>0</v>
      </c>
      <c r="AR136" s="534">
        <v>0</v>
      </c>
      <c r="AS136" s="534">
        <v>0</v>
      </c>
      <c r="AT136" s="534">
        <v>0</v>
      </c>
      <c r="AU136" s="536">
        <f t="shared" si="64"/>
        <v>0</v>
      </c>
      <c r="AV136" s="533"/>
      <c r="AW136" s="538">
        <f t="shared" si="65"/>
        <v>0</v>
      </c>
      <c r="AX136" s="538">
        <f t="shared" si="66"/>
        <v>384.53999999999996</v>
      </c>
      <c r="AY136" s="533"/>
      <c r="AZ136" s="534">
        <f t="shared" si="67"/>
        <v>0</v>
      </c>
      <c r="BA136" s="534">
        <v>0</v>
      </c>
      <c r="BD136" s="392">
        <f t="shared" si="58"/>
        <v>0</v>
      </c>
      <c r="BE136" s="425">
        <f t="shared" si="59"/>
        <v>0</v>
      </c>
      <c r="BF136" s="425">
        <f t="shared" si="73"/>
        <v>0</v>
      </c>
      <c r="BG136" s="425">
        <f t="shared" si="73"/>
        <v>0</v>
      </c>
      <c r="BH136" s="425">
        <f t="shared" si="73"/>
        <v>0</v>
      </c>
      <c r="BI136" s="425">
        <f t="shared" si="73"/>
        <v>0</v>
      </c>
      <c r="BJ136" s="425">
        <f t="shared" si="73"/>
        <v>0</v>
      </c>
      <c r="BK136" s="425">
        <f t="shared" si="73"/>
        <v>0</v>
      </c>
      <c r="BL136" s="425">
        <f t="shared" si="73"/>
        <v>0</v>
      </c>
      <c r="BM136" s="425">
        <f t="shared" si="70"/>
        <v>0</v>
      </c>
      <c r="BN136" s="425">
        <f t="shared" si="70"/>
        <v>0</v>
      </c>
      <c r="BO136" s="425">
        <f t="shared" si="70"/>
        <v>0</v>
      </c>
      <c r="BP136" s="425">
        <f t="shared" si="71"/>
        <v>0</v>
      </c>
      <c r="BQ136" s="425">
        <f t="shared" si="71"/>
        <v>0</v>
      </c>
      <c r="BR136" s="425">
        <f t="shared" si="71"/>
        <v>0</v>
      </c>
      <c r="BS136" s="425">
        <f t="shared" si="72"/>
        <v>0</v>
      </c>
      <c r="BT136" s="426">
        <f t="shared" si="72"/>
        <v>0</v>
      </c>
    </row>
    <row r="137" spans="2:72" hidden="1" x14ac:dyDescent="0.25">
      <c r="B137" s="145"/>
      <c r="C137" s="539">
        <f t="shared" si="68"/>
        <v>42430</v>
      </c>
      <c r="D137" s="533"/>
      <c r="E137" s="534">
        <v>0</v>
      </c>
      <c r="F137" s="534">
        <v>0</v>
      </c>
      <c r="G137" s="534">
        <v>0</v>
      </c>
      <c r="H137" s="540">
        <v>0</v>
      </c>
      <c r="I137" s="536">
        <f t="shared" si="60"/>
        <v>0</v>
      </c>
      <c r="J137" s="533"/>
      <c r="K137" s="534">
        <v>0</v>
      </c>
      <c r="L137" s="534">
        <v>0</v>
      </c>
      <c r="M137" s="534">
        <v>0</v>
      </c>
      <c r="N137" s="534">
        <v>0</v>
      </c>
      <c r="O137" s="534">
        <v>0</v>
      </c>
      <c r="P137" s="534">
        <v>0</v>
      </c>
      <c r="Q137" s="534">
        <v>0</v>
      </c>
      <c r="R137" s="534">
        <v>0</v>
      </c>
      <c r="S137" s="536">
        <f t="shared" si="61"/>
        <v>0</v>
      </c>
      <c r="T137" s="533"/>
      <c r="U137" s="534">
        <v>0</v>
      </c>
      <c r="V137" s="534">
        <v>0</v>
      </c>
      <c r="W137" s="534">
        <v>0</v>
      </c>
      <c r="X137" s="534">
        <v>0</v>
      </c>
      <c r="Y137" s="534">
        <v>0</v>
      </c>
      <c r="Z137" s="534">
        <v>0</v>
      </c>
      <c r="AA137" s="534">
        <v>0</v>
      </c>
      <c r="AB137" s="534">
        <v>0</v>
      </c>
      <c r="AC137" s="534">
        <v>0</v>
      </c>
      <c r="AD137" s="534">
        <v>0</v>
      </c>
      <c r="AE137" s="536">
        <f t="shared" si="62"/>
        <v>0</v>
      </c>
      <c r="AF137" s="533"/>
      <c r="AG137" s="534">
        <v>0</v>
      </c>
      <c r="AH137" s="534">
        <v>0</v>
      </c>
      <c r="AI137" s="534">
        <v>0</v>
      </c>
      <c r="AJ137" s="534">
        <v>0</v>
      </c>
      <c r="AK137" s="536">
        <f t="shared" si="63"/>
        <v>0</v>
      </c>
      <c r="AL137" s="533"/>
      <c r="AM137" s="534">
        <v>0</v>
      </c>
      <c r="AN137" s="534">
        <v>0</v>
      </c>
      <c r="AO137" s="534">
        <v>0</v>
      </c>
      <c r="AP137" s="537">
        <v>0</v>
      </c>
      <c r="AQ137" s="535">
        <v>0</v>
      </c>
      <c r="AR137" s="534">
        <v>0</v>
      </c>
      <c r="AS137" s="534">
        <v>0</v>
      </c>
      <c r="AT137" s="534">
        <v>0</v>
      </c>
      <c r="AU137" s="536">
        <f t="shared" si="64"/>
        <v>0</v>
      </c>
      <c r="AV137" s="533"/>
      <c r="AW137" s="538">
        <f t="shared" si="65"/>
        <v>0</v>
      </c>
      <c r="AX137" s="538">
        <f t="shared" si="66"/>
        <v>384.53999999999996</v>
      </c>
      <c r="AY137" s="533"/>
      <c r="AZ137" s="534">
        <f t="shared" si="67"/>
        <v>0</v>
      </c>
      <c r="BA137" s="534">
        <v>0</v>
      </c>
      <c r="BD137" s="392">
        <f t="shared" si="58"/>
        <v>0</v>
      </c>
      <c r="BE137" s="425">
        <f t="shared" si="59"/>
        <v>0</v>
      </c>
      <c r="BF137" s="425">
        <f t="shared" si="73"/>
        <v>0</v>
      </c>
      <c r="BG137" s="425">
        <f t="shared" si="73"/>
        <v>0</v>
      </c>
      <c r="BH137" s="425">
        <f t="shared" si="73"/>
        <v>0</v>
      </c>
      <c r="BI137" s="425">
        <f t="shared" si="73"/>
        <v>0</v>
      </c>
      <c r="BJ137" s="425">
        <f t="shared" si="73"/>
        <v>0</v>
      </c>
      <c r="BK137" s="425">
        <f t="shared" si="73"/>
        <v>0</v>
      </c>
      <c r="BL137" s="425">
        <f t="shared" si="73"/>
        <v>0</v>
      </c>
      <c r="BM137" s="425">
        <f t="shared" si="70"/>
        <v>0</v>
      </c>
      <c r="BN137" s="425">
        <f t="shared" si="70"/>
        <v>0</v>
      </c>
      <c r="BO137" s="425">
        <f t="shared" si="70"/>
        <v>0</v>
      </c>
      <c r="BP137" s="425">
        <f t="shared" si="71"/>
        <v>0</v>
      </c>
      <c r="BQ137" s="425">
        <f t="shared" si="71"/>
        <v>0</v>
      </c>
      <c r="BR137" s="425">
        <f t="shared" si="71"/>
        <v>0</v>
      </c>
      <c r="BS137" s="425">
        <f t="shared" si="72"/>
        <v>0</v>
      </c>
      <c r="BT137" s="426">
        <f t="shared" si="72"/>
        <v>0</v>
      </c>
    </row>
    <row r="138" spans="2:72" hidden="1" x14ac:dyDescent="0.25">
      <c r="B138" s="145"/>
      <c r="C138" s="539">
        <f t="shared" si="68"/>
        <v>42461</v>
      </c>
      <c r="D138" s="533"/>
      <c r="E138" s="534">
        <v>0</v>
      </c>
      <c r="F138" s="534">
        <v>0</v>
      </c>
      <c r="G138" s="534">
        <v>0</v>
      </c>
      <c r="H138" s="540">
        <v>0</v>
      </c>
      <c r="I138" s="536">
        <f t="shared" si="60"/>
        <v>0</v>
      </c>
      <c r="J138" s="533"/>
      <c r="K138" s="534">
        <v>0</v>
      </c>
      <c r="L138" s="534">
        <v>0</v>
      </c>
      <c r="M138" s="534">
        <v>0</v>
      </c>
      <c r="N138" s="534">
        <v>0</v>
      </c>
      <c r="O138" s="534">
        <v>0</v>
      </c>
      <c r="P138" s="534">
        <v>0</v>
      </c>
      <c r="Q138" s="534">
        <v>0</v>
      </c>
      <c r="R138" s="534">
        <v>0</v>
      </c>
      <c r="S138" s="536">
        <f t="shared" si="61"/>
        <v>0</v>
      </c>
      <c r="T138" s="533"/>
      <c r="U138" s="534">
        <v>64.13</v>
      </c>
      <c r="V138" s="534">
        <v>0</v>
      </c>
      <c r="W138" s="534">
        <v>0</v>
      </c>
      <c r="X138" s="534">
        <v>0</v>
      </c>
      <c r="Y138" s="534">
        <v>0</v>
      </c>
      <c r="Z138" s="534">
        <v>0</v>
      </c>
      <c r="AA138" s="534">
        <v>0</v>
      </c>
      <c r="AB138" s="534">
        <v>0</v>
      </c>
      <c r="AC138" s="534">
        <v>0</v>
      </c>
      <c r="AD138" s="534">
        <v>0</v>
      </c>
      <c r="AE138" s="536">
        <f t="shared" si="62"/>
        <v>64.13</v>
      </c>
      <c r="AF138" s="533"/>
      <c r="AG138" s="534">
        <v>0</v>
      </c>
      <c r="AH138" s="534">
        <v>0</v>
      </c>
      <c r="AI138" s="534">
        <v>0</v>
      </c>
      <c r="AJ138" s="534">
        <v>0</v>
      </c>
      <c r="AK138" s="536">
        <f t="shared" si="63"/>
        <v>0</v>
      </c>
      <c r="AL138" s="533"/>
      <c r="AM138" s="534">
        <v>0</v>
      </c>
      <c r="AN138" s="534">
        <v>0</v>
      </c>
      <c r="AO138" s="534">
        <v>0</v>
      </c>
      <c r="AP138" s="537">
        <v>0</v>
      </c>
      <c r="AQ138" s="535">
        <v>0</v>
      </c>
      <c r="AR138" s="534">
        <v>0</v>
      </c>
      <c r="AS138" s="534">
        <v>0</v>
      </c>
      <c r="AT138" s="534">
        <v>0</v>
      </c>
      <c r="AU138" s="536">
        <f t="shared" si="64"/>
        <v>0</v>
      </c>
      <c r="AV138" s="533"/>
      <c r="AW138" s="538">
        <f t="shared" si="65"/>
        <v>-64.13</v>
      </c>
      <c r="AX138" s="538">
        <f t="shared" si="66"/>
        <v>320.40999999999997</v>
      </c>
      <c r="AY138" s="533"/>
      <c r="AZ138" s="534">
        <f t="shared" si="67"/>
        <v>0</v>
      </c>
      <c r="BA138" s="534">
        <v>0</v>
      </c>
      <c r="BD138" s="392">
        <f t="shared" si="58"/>
        <v>0</v>
      </c>
      <c r="BE138" s="425">
        <f t="shared" si="59"/>
        <v>0</v>
      </c>
      <c r="BF138" s="425">
        <f t="shared" ref="BF138:BL147" si="74">-SUMIF($E$6:$BA$6, BF$6, $E138:$BA138)</f>
        <v>0</v>
      </c>
      <c r="BG138" s="425">
        <f t="shared" si="74"/>
        <v>-64.13</v>
      </c>
      <c r="BH138" s="425">
        <f t="shared" si="74"/>
        <v>0</v>
      </c>
      <c r="BI138" s="425">
        <f t="shared" si="74"/>
        <v>0</v>
      </c>
      <c r="BJ138" s="425">
        <f t="shared" si="74"/>
        <v>0</v>
      </c>
      <c r="BK138" s="425">
        <f t="shared" si="74"/>
        <v>0</v>
      </c>
      <c r="BL138" s="425">
        <f t="shared" si="74"/>
        <v>0</v>
      </c>
      <c r="BM138" s="425">
        <f t="shared" ref="BM138:BO159" si="75">SUMIF($E$6:$BA$6, BM$6, $E138:$BA138)</f>
        <v>0</v>
      </c>
      <c r="BN138" s="425">
        <f t="shared" si="75"/>
        <v>0</v>
      </c>
      <c r="BO138" s="425">
        <f t="shared" si="75"/>
        <v>0</v>
      </c>
      <c r="BP138" s="425">
        <f t="shared" ref="BP138:BR159" si="76">-SUMIF($E$6:$BA$6, BP$6, $E138:$BA138)</f>
        <v>0</v>
      </c>
      <c r="BQ138" s="425">
        <f t="shared" si="76"/>
        <v>0</v>
      </c>
      <c r="BR138" s="425">
        <f t="shared" si="76"/>
        <v>0</v>
      </c>
      <c r="BS138" s="425">
        <f t="shared" ref="BS138:BT159" si="77">SUMIF($E$6:$BA$6, BS$6, $E138:$BA138)</f>
        <v>0</v>
      </c>
      <c r="BT138" s="426">
        <f t="shared" si="77"/>
        <v>0</v>
      </c>
    </row>
    <row r="139" spans="2:72" hidden="1" x14ac:dyDescent="0.25">
      <c r="B139" s="145"/>
      <c r="C139" s="539">
        <f t="shared" si="68"/>
        <v>42491</v>
      </c>
      <c r="D139" s="533"/>
      <c r="E139" s="534">
        <v>0</v>
      </c>
      <c r="F139" s="534">
        <v>0</v>
      </c>
      <c r="G139" s="534">
        <v>0</v>
      </c>
      <c r="H139" s="540">
        <v>0</v>
      </c>
      <c r="I139" s="536">
        <f t="shared" si="60"/>
        <v>0</v>
      </c>
      <c r="J139" s="533"/>
      <c r="K139" s="534">
        <v>0</v>
      </c>
      <c r="L139" s="534">
        <v>0</v>
      </c>
      <c r="M139" s="534">
        <v>0</v>
      </c>
      <c r="N139" s="534">
        <v>0</v>
      </c>
      <c r="O139" s="534">
        <v>0</v>
      </c>
      <c r="P139" s="534">
        <v>0</v>
      </c>
      <c r="Q139" s="534">
        <v>0</v>
      </c>
      <c r="R139" s="534">
        <v>0</v>
      </c>
      <c r="S139" s="536">
        <f t="shared" si="61"/>
        <v>0</v>
      </c>
      <c r="T139" s="533"/>
      <c r="U139" s="534">
        <v>0</v>
      </c>
      <c r="V139" s="534">
        <v>0</v>
      </c>
      <c r="W139" s="534">
        <v>0</v>
      </c>
      <c r="X139" s="534">
        <v>0</v>
      </c>
      <c r="Y139" s="534">
        <v>0</v>
      </c>
      <c r="Z139" s="534">
        <v>0</v>
      </c>
      <c r="AA139" s="534">
        <v>0</v>
      </c>
      <c r="AB139" s="534">
        <v>0</v>
      </c>
      <c r="AC139" s="534">
        <v>0</v>
      </c>
      <c r="AD139" s="534">
        <v>2.5</v>
      </c>
      <c r="AE139" s="536">
        <f t="shared" si="62"/>
        <v>2.5</v>
      </c>
      <c r="AF139" s="533"/>
      <c r="AG139" s="534">
        <v>0</v>
      </c>
      <c r="AH139" s="534">
        <v>0</v>
      </c>
      <c r="AI139" s="534">
        <v>0</v>
      </c>
      <c r="AJ139" s="534">
        <v>0</v>
      </c>
      <c r="AK139" s="536">
        <f t="shared" si="63"/>
        <v>0</v>
      </c>
      <c r="AL139" s="533"/>
      <c r="AM139" s="534">
        <v>0</v>
      </c>
      <c r="AN139" s="534">
        <v>0</v>
      </c>
      <c r="AO139" s="534">
        <v>0</v>
      </c>
      <c r="AP139" s="537">
        <v>0</v>
      </c>
      <c r="AQ139" s="535">
        <v>0</v>
      </c>
      <c r="AR139" s="534">
        <v>0</v>
      </c>
      <c r="AS139" s="534">
        <v>0</v>
      </c>
      <c r="AT139" s="534">
        <v>0</v>
      </c>
      <c r="AU139" s="536">
        <f t="shared" si="64"/>
        <v>0</v>
      </c>
      <c r="AV139" s="533"/>
      <c r="AW139" s="538">
        <f t="shared" si="65"/>
        <v>-2.5</v>
      </c>
      <c r="AX139" s="538">
        <f t="shared" si="66"/>
        <v>317.90999999999997</v>
      </c>
      <c r="AY139" s="533"/>
      <c r="AZ139" s="534">
        <f t="shared" si="67"/>
        <v>0</v>
      </c>
      <c r="BA139" s="534">
        <v>0</v>
      </c>
      <c r="BD139" s="392">
        <f t="shared" si="58"/>
        <v>0</v>
      </c>
      <c r="BE139" s="425">
        <f t="shared" si="59"/>
        <v>0</v>
      </c>
      <c r="BF139" s="425">
        <f t="shared" si="74"/>
        <v>0</v>
      </c>
      <c r="BG139" s="425">
        <f t="shared" si="74"/>
        <v>0</v>
      </c>
      <c r="BH139" s="425">
        <f t="shared" si="74"/>
        <v>0</v>
      </c>
      <c r="BI139" s="425">
        <f t="shared" si="74"/>
        <v>0</v>
      </c>
      <c r="BJ139" s="425">
        <f t="shared" si="74"/>
        <v>0</v>
      </c>
      <c r="BK139" s="425">
        <f t="shared" si="74"/>
        <v>0</v>
      </c>
      <c r="BL139" s="425">
        <f t="shared" si="74"/>
        <v>0</v>
      </c>
      <c r="BM139" s="425">
        <f t="shared" si="75"/>
        <v>0</v>
      </c>
      <c r="BN139" s="425">
        <f t="shared" si="75"/>
        <v>0</v>
      </c>
      <c r="BO139" s="425">
        <f t="shared" si="75"/>
        <v>0</v>
      </c>
      <c r="BP139" s="425">
        <f t="shared" si="76"/>
        <v>0</v>
      </c>
      <c r="BQ139" s="425">
        <f t="shared" si="76"/>
        <v>0</v>
      </c>
      <c r="BR139" s="425">
        <f t="shared" si="76"/>
        <v>-2.5</v>
      </c>
      <c r="BS139" s="425">
        <f t="shared" si="77"/>
        <v>0</v>
      </c>
      <c r="BT139" s="426">
        <f t="shared" si="77"/>
        <v>0</v>
      </c>
    </row>
    <row r="140" spans="2:72" hidden="1" x14ac:dyDescent="0.25">
      <c r="B140" s="145"/>
      <c r="C140" s="539">
        <f t="shared" si="68"/>
        <v>42522</v>
      </c>
      <c r="D140" s="533"/>
      <c r="E140" s="534">
        <v>0</v>
      </c>
      <c r="F140" s="534">
        <v>0</v>
      </c>
      <c r="G140" s="534">
        <v>0</v>
      </c>
      <c r="H140" s="540">
        <v>0</v>
      </c>
      <c r="I140" s="536">
        <f t="shared" si="60"/>
        <v>0</v>
      </c>
      <c r="J140" s="533"/>
      <c r="K140" s="534">
        <v>0</v>
      </c>
      <c r="L140" s="534">
        <v>0</v>
      </c>
      <c r="M140" s="534">
        <v>0</v>
      </c>
      <c r="N140" s="534">
        <v>0</v>
      </c>
      <c r="O140" s="534">
        <v>0</v>
      </c>
      <c r="P140" s="534">
        <v>0</v>
      </c>
      <c r="Q140" s="534">
        <v>0</v>
      </c>
      <c r="R140" s="534">
        <v>0</v>
      </c>
      <c r="S140" s="536">
        <f t="shared" si="61"/>
        <v>0</v>
      </c>
      <c r="T140" s="533"/>
      <c r="U140" s="534">
        <v>450.36</v>
      </c>
      <c r="V140" s="534">
        <v>0</v>
      </c>
      <c r="W140" s="534">
        <v>0</v>
      </c>
      <c r="X140" s="534">
        <v>0</v>
      </c>
      <c r="Y140" s="534">
        <v>0</v>
      </c>
      <c r="Z140" s="534">
        <v>0</v>
      </c>
      <c r="AA140" s="534">
        <v>0</v>
      </c>
      <c r="AB140" s="534">
        <v>0</v>
      </c>
      <c r="AC140" s="534">
        <v>0</v>
      </c>
      <c r="AD140" s="534">
        <v>5</v>
      </c>
      <c r="AE140" s="536">
        <f t="shared" si="62"/>
        <v>455.36</v>
      </c>
      <c r="AF140" s="533"/>
      <c r="AG140" s="534">
        <v>0</v>
      </c>
      <c r="AH140" s="534">
        <v>0</v>
      </c>
      <c r="AI140" s="534">
        <v>0</v>
      </c>
      <c r="AJ140" s="534">
        <v>0</v>
      </c>
      <c r="AK140" s="536">
        <f t="shared" si="63"/>
        <v>0</v>
      </c>
      <c r="AL140" s="533"/>
      <c r="AM140" s="534">
        <v>1000</v>
      </c>
      <c r="AN140" s="534">
        <v>0</v>
      </c>
      <c r="AO140" s="534">
        <v>0</v>
      </c>
      <c r="AP140" s="537">
        <v>0</v>
      </c>
      <c r="AQ140" s="535">
        <v>0</v>
      </c>
      <c r="AR140" s="534">
        <v>0</v>
      </c>
      <c r="AS140" s="534">
        <v>0</v>
      </c>
      <c r="AT140" s="534">
        <v>0</v>
      </c>
      <c r="AU140" s="536">
        <f t="shared" si="64"/>
        <v>1000</v>
      </c>
      <c r="AV140" s="533"/>
      <c r="AW140" s="538">
        <f t="shared" si="65"/>
        <v>544.64</v>
      </c>
      <c r="AX140" s="538">
        <f t="shared" si="66"/>
        <v>862.55</v>
      </c>
      <c r="AY140" s="533"/>
      <c r="AZ140" s="534">
        <f t="shared" si="67"/>
        <v>0</v>
      </c>
      <c r="BA140" s="534">
        <v>0</v>
      </c>
      <c r="BD140" s="392">
        <f t="shared" si="58"/>
        <v>0</v>
      </c>
      <c r="BE140" s="425">
        <f t="shared" si="59"/>
        <v>0</v>
      </c>
      <c r="BF140" s="425">
        <f t="shared" si="74"/>
        <v>0</v>
      </c>
      <c r="BG140" s="425">
        <f t="shared" si="74"/>
        <v>-450.36</v>
      </c>
      <c r="BH140" s="425">
        <f t="shared" si="74"/>
        <v>0</v>
      </c>
      <c r="BI140" s="425">
        <f t="shared" si="74"/>
        <v>0</v>
      </c>
      <c r="BJ140" s="425">
        <f t="shared" si="74"/>
        <v>0</v>
      </c>
      <c r="BK140" s="425">
        <f t="shared" si="74"/>
        <v>0</v>
      </c>
      <c r="BL140" s="425">
        <f t="shared" si="74"/>
        <v>0</v>
      </c>
      <c r="BM140" s="425">
        <f t="shared" si="75"/>
        <v>0</v>
      </c>
      <c r="BN140" s="425">
        <f t="shared" si="75"/>
        <v>0</v>
      </c>
      <c r="BO140" s="425">
        <f t="shared" si="75"/>
        <v>0</v>
      </c>
      <c r="BP140" s="425">
        <f t="shared" si="76"/>
        <v>0</v>
      </c>
      <c r="BQ140" s="425">
        <f t="shared" si="76"/>
        <v>0</v>
      </c>
      <c r="BR140" s="425">
        <f t="shared" si="76"/>
        <v>-5</v>
      </c>
      <c r="BS140" s="425">
        <f t="shared" si="77"/>
        <v>1000</v>
      </c>
      <c r="BT140" s="426">
        <f t="shared" si="77"/>
        <v>0</v>
      </c>
    </row>
    <row r="141" spans="2:72" hidden="1" x14ac:dyDescent="0.25">
      <c r="B141" s="145"/>
      <c r="C141" s="539">
        <f t="shared" si="68"/>
        <v>42552</v>
      </c>
      <c r="D141" s="533"/>
      <c r="E141" s="534">
        <v>0</v>
      </c>
      <c r="F141" s="534">
        <v>0</v>
      </c>
      <c r="G141" s="534">
        <v>0</v>
      </c>
      <c r="H141" s="540">
        <v>0</v>
      </c>
      <c r="I141" s="536">
        <f t="shared" si="60"/>
        <v>0</v>
      </c>
      <c r="J141" s="533"/>
      <c r="K141" s="534">
        <v>0</v>
      </c>
      <c r="L141" s="534">
        <v>0</v>
      </c>
      <c r="M141" s="534">
        <v>0</v>
      </c>
      <c r="N141" s="534">
        <v>0</v>
      </c>
      <c r="O141" s="534">
        <v>0</v>
      </c>
      <c r="P141" s="534">
        <v>0</v>
      </c>
      <c r="Q141" s="534">
        <v>0</v>
      </c>
      <c r="R141" s="534">
        <v>0</v>
      </c>
      <c r="S141" s="536">
        <f t="shared" si="61"/>
        <v>0</v>
      </c>
      <c r="T141" s="533"/>
      <c r="U141" s="534">
        <v>0</v>
      </c>
      <c r="V141" s="534">
        <v>0</v>
      </c>
      <c r="W141" s="534">
        <v>0</v>
      </c>
      <c r="X141" s="534">
        <v>0</v>
      </c>
      <c r="Y141" s="534">
        <v>0</v>
      </c>
      <c r="Z141" s="534">
        <v>0</v>
      </c>
      <c r="AA141" s="534">
        <v>143.44</v>
      </c>
      <c r="AB141" s="534">
        <v>0</v>
      </c>
      <c r="AC141" s="534">
        <v>0</v>
      </c>
      <c r="AD141" s="534">
        <v>0</v>
      </c>
      <c r="AE141" s="536">
        <f t="shared" si="62"/>
        <v>143.44</v>
      </c>
      <c r="AF141" s="533"/>
      <c r="AG141" s="534">
        <v>0</v>
      </c>
      <c r="AH141" s="534">
        <v>0</v>
      </c>
      <c r="AI141" s="534">
        <v>0</v>
      </c>
      <c r="AJ141" s="534">
        <v>0</v>
      </c>
      <c r="AK141" s="536">
        <f t="shared" si="63"/>
        <v>0</v>
      </c>
      <c r="AL141" s="533"/>
      <c r="AM141" s="534">
        <v>0</v>
      </c>
      <c r="AN141" s="534">
        <v>0</v>
      </c>
      <c r="AO141" s="534">
        <v>0</v>
      </c>
      <c r="AP141" s="537">
        <v>0</v>
      </c>
      <c r="AQ141" s="535">
        <v>0</v>
      </c>
      <c r="AR141" s="534">
        <v>0</v>
      </c>
      <c r="AS141" s="534">
        <v>0</v>
      </c>
      <c r="AT141" s="534">
        <v>0</v>
      </c>
      <c r="AU141" s="536">
        <f t="shared" si="64"/>
        <v>0</v>
      </c>
      <c r="AV141" s="533"/>
      <c r="AW141" s="538">
        <f t="shared" si="65"/>
        <v>-143.44</v>
      </c>
      <c r="AX141" s="538">
        <f t="shared" si="66"/>
        <v>719.1099999999999</v>
      </c>
      <c r="AY141" s="533"/>
      <c r="AZ141" s="534">
        <f t="shared" si="67"/>
        <v>0</v>
      </c>
      <c r="BA141" s="534">
        <v>0</v>
      </c>
      <c r="BD141" s="392">
        <f t="shared" si="58"/>
        <v>0</v>
      </c>
      <c r="BE141" s="425">
        <f t="shared" si="59"/>
        <v>0</v>
      </c>
      <c r="BF141" s="425">
        <f t="shared" si="74"/>
        <v>0</v>
      </c>
      <c r="BG141" s="425">
        <f t="shared" si="74"/>
        <v>0</v>
      </c>
      <c r="BH141" s="425">
        <f t="shared" si="74"/>
        <v>0</v>
      </c>
      <c r="BI141" s="425">
        <f t="shared" si="74"/>
        <v>0</v>
      </c>
      <c r="BJ141" s="425">
        <f t="shared" si="74"/>
        <v>0</v>
      </c>
      <c r="BK141" s="425">
        <f t="shared" si="74"/>
        <v>0</v>
      </c>
      <c r="BL141" s="425">
        <f t="shared" si="74"/>
        <v>-143.44</v>
      </c>
      <c r="BM141" s="425">
        <f t="shared" si="75"/>
        <v>0</v>
      </c>
      <c r="BN141" s="425">
        <f t="shared" si="75"/>
        <v>0</v>
      </c>
      <c r="BO141" s="425">
        <f t="shared" si="75"/>
        <v>0</v>
      </c>
      <c r="BP141" s="425">
        <f t="shared" si="76"/>
        <v>0</v>
      </c>
      <c r="BQ141" s="425">
        <f t="shared" si="76"/>
        <v>0</v>
      </c>
      <c r="BR141" s="425">
        <f t="shared" si="76"/>
        <v>0</v>
      </c>
      <c r="BS141" s="425">
        <f t="shared" si="77"/>
        <v>0</v>
      </c>
      <c r="BT141" s="426">
        <f t="shared" si="77"/>
        <v>0</v>
      </c>
    </row>
    <row r="142" spans="2:72" hidden="1" x14ac:dyDescent="0.25">
      <c r="B142" s="145"/>
      <c r="C142" s="539">
        <f t="shared" si="68"/>
        <v>42583</v>
      </c>
      <c r="D142" s="533"/>
      <c r="E142" s="534">
        <v>0</v>
      </c>
      <c r="F142" s="534">
        <v>0</v>
      </c>
      <c r="G142" s="534">
        <v>0</v>
      </c>
      <c r="H142" s="540">
        <v>0</v>
      </c>
      <c r="I142" s="536">
        <f t="shared" si="60"/>
        <v>0</v>
      </c>
      <c r="J142" s="533"/>
      <c r="K142" s="534">
        <v>0</v>
      </c>
      <c r="L142" s="534">
        <v>0</v>
      </c>
      <c r="M142" s="534">
        <v>0</v>
      </c>
      <c r="N142" s="534">
        <v>0</v>
      </c>
      <c r="O142" s="534">
        <v>0</v>
      </c>
      <c r="P142" s="534">
        <v>0</v>
      </c>
      <c r="Q142" s="534">
        <v>0</v>
      </c>
      <c r="R142" s="534">
        <v>0</v>
      </c>
      <c r="S142" s="536">
        <f t="shared" si="61"/>
        <v>0</v>
      </c>
      <c r="T142" s="533"/>
      <c r="U142" s="534">
        <v>0</v>
      </c>
      <c r="V142" s="534">
        <v>0</v>
      </c>
      <c r="W142" s="534">
        <v>0</v>
      </c>
      <c r="X142" s="534">
        <v>0</v>
      </c>
      <c r="Y142" s="534">
        <v>0</v>
      </c>
      <c r="Z142" s="534">
        <v>0</v>
      </c>
      <c r="AA142" s="534">
        <v>0</v>
      </c>
      <c r="AB142" s="534">
        <v>0</v>
      </c>
      <c r="AC142" s="534">
        <v>0</v>
      </c>
      <c r="AD142" s="534">
        <v>0</v>
      </c>
      <c r="AE142" s="536">
        <f t="shared" si="62"/>
        <v>0</v>
      </c>
      <c r="AF142" s="533"/>
      <c r="AG142" s="534">
        <v>0</v>
      </c>
      <c r="AH142" s="534">
        <v>0</v>
      </c>
      <c r="AI142" s="534">
        <v>0</v>
      </c>
      <c r="AJ142" s="534">
        <v>0</v>
      </c>
      <c r="AK142" s="536">
        <f t="shared" si="63"/>
        <v>0</v>
      </c>
      <c r="AL142" s="533"/>
      <c r="AM142" s="534">
        <v>0</v>
      </c>
      <c r="AN142" s="534">
        <v>0</v>
      </c>
      <c r="AO142" s="534">
        <v>0</v>
      </c>
      <c r="AP142" s="537">
        <v>0</v>
      </c>
      <c r="AQ142" s="535">
        <v>0</v>
      </c>
      <c r="AR142" s="534">
        <v>0</v>
      </c>
      <c r="AS142" s="534">
        <v>0</v>
      </c>
      <c r="AT142" s="534">
        <v>0</v>
      </c>
      <c r="AU142" s="536">
        <f t="shared" si="64"/>
        <v>0</v>
      </c>
      <c r="AV142" s="533"/>
      <c r="AW142" s="538">
        <f t="shared" si="65"/>
        <v>0</v>
      </c>
      <c r="AX142" s="538">
        <f t="shared" si="66"/>
        <v>719.1099999999999</v>
      </c>
      <c r="AY142" s="533"/>
      <c r="AZ142" s="534">
        <f t="shared" si="67"/>
        <v>0</v>
      </c>
      <c r="BA142" s="534">
        <v>0</v>
      </c>
      <c r="BD142" s="392">
        <f t="shared" si="58"/>
        <v>0</v>
      </c>
      <c r="BE142" s="425">
        <f t="shared" si="59"/>
        <v>0</v>
      </c>
      <c r="BF142" s="425">
        <f t="shared" si="74"/>
        <v>0</v>
      </c>
      <c r="BG142" s="425">
        <f t="shared" si="74"/>
        <v>0</v>
      </c>
      <c r="BH142" s="425">
        <f t="shared" si="74"/>
        <v>0</v>
      </c>
      <c r="BI142" s="425">
        <f t="shared" si="74"/>
        <v>0</v>
      </c>
      <c r="BJ142" s="425">
        <f t="shared" si="74"/>
        <v>0</v>
      </c>
      <c r="BK142" s="425">
        <f t="shared" si="74"/>
        <v>0</v>
      </c>
      <c r="BL142" s="425">
        <f t="shared" si="74"/>
        <v>0</v>
      </c>
      <c r="BM142" s="425">
        <f t="shared" si="75"/>
        <v>0</v>
      </c>
      <c r="BN142" s="425">
        <f t="shared" si="75"/>
        <v>0</v>
      </c>
      <c r="BO142" s="425">
        <f t="shared" si="75"/>
        <v>0</v>
      </c>
      <c r="BP142" s="425">
        <f t="shared" si="76"/>
        <v>0</v>
      </c>
      <c r="BQ142" s="425">
        <f t="shared" si="76"/>
        <v>0</v>
      </c>
      <c r="BR142" s="425">
        <f t="shared" si="76"/>
        <v>0</v>
      </c>
      <c r="BS142" s="425">
        <f t="shared" si="77"/>
        <v>0</v>
      </c>
      <c r="BT142" s="426">
        <f t="shared" si="77"/>
        <v>0</v>
      </c>
    </row>
    <row r="143" spans="2:72" hidden="1" x14ac:dyDescent="0.25">
      <c r="B143" s="145"/>
      <c r="C143" s="539">
        <f t="shared" si="68"/>
        <v>42614</v>
      </c>
      <c r="D143" s="533"/>
      <c r="E143" s="534">
        <v>0</v>
      </c>
      <c r="F143" s="534">
        <v>0</v>
      </c>
      <c r="G143" s="534">
        <v>0</v>
      </c>
      <c r="H143" s="540">
        <v>0</v>
      </c>
      <c r="I143" s="536">
        <f t="shared" si="60"/>
        <v>0</v>
      </c>
      <c r="J143" s="533"/>
      <c r="K143" s="534">
        <v>0</v>
      </c>
      <c r="L143" s="534">
        <v>0</v>
      </c>
      <c r="M143" s="534">
        <v>0</v>
      </c>
      <c r="N143" s="534">
        <v>0</v>
      </c>
      <c r="O143" s="534">
        <v>0</v>
      </c>
      <c r="P143" s="534">
        <v>0</v>
      </c>
      <c r="Q143" s="534">
        <v>0</v>
      </c>
      <c r="R143" s="534">
        <v>0</v>
      </c>
      <c r="S143" s="536">
        <f t="shared" si="61"/>
        <v>0</v>
      </c>
      <c r="T143" s="533"/>
      <c r="U143" s="534">
        <v>0</v>
      </c>
      <c r="V143" s="534">
        <v>0</v>
      </c>
      <c r="W143" s="534">
        <v>0</v>
      </c>
      <c r="X143" s="534">
        <v>0</v>
      </c>
      <c r="Y143" s="534">
        <v>0</v>
      </c>
      <c r="Z143" s="534">
        <v>0</v>
      </c>
      <c r="AA143" s="534">
        <v>0</v>
      </c>
      <c r="AB143" s="534">
        <v>0</v>
      </c>
      <c r="AC143" s="534">
        <v>0</v>
      </c>
      <c r="AD143" s="534">
        <v>0</v>
      </c>
      <c r="AE143" s="536">
        <f t="shared" si="62"/>
        <v>0</v>
      </c>
      <c r="AF143" s="533"/>
      <c r="AG143" s="534">
        <v>0</v>
      </c>
      <c r="AH143" s="534">
        <v>0</v>
      </c>
      <c r="AI143" s="534">
        <v>0</v>
      </c>
      <c r="AJ143" s="534">
        <v>0</v>
      </c>
      <c r="AK143" s="536">
        <f t="shared" si="63"/>
        <v>0</v>
      </c>
      <c r="AL143" s="533"/>
      <c r="AM143" s="534">
        <v>0</v>
      </c>
      <c r="AN143" s="534">
        <v>0</v>
      </c>
      <c r="AO143" s="534">
        <v>0</v>
      </c>
      <c r="AP143" s="537">
        <v>0</v>
      </c>
      <c r="AQ143" s="535">
        <v>0</v>
      </c>
      <c r="AR143" s="534">
        <v>0</v>
      </c>
      <c r="AS143" s="534">
        <v>0</v>
      </c>
      <c r="AT143" s="534">
        <v>0</v>
      </c>
      <c r="AU143" s="536">
        <f t="shared" si="64"/>
        <v>0</v>
      </c>
      <c r="AV143" s="533"/>
      <c r="AW143" s="538">
        <f t="shared" si="65"/>
        <v>0</v>
      </c>
      <c r="AX143" s="538">
        <f t="shared" si="66"/>
        <v>719.1099999999999</v>
      </c>
      <c r="AY143" s="533"/>
      <c r="AZ143" s="534">
        <f t="shared" si="67"/>
        <v>0</v>
      </c>
      <c r="BA143" s="534">
        <v>0</v>
      </c>
      <c r="BD143" s="392">
        <f t="shared" si="58"/>
        <v>0</v>
      </c>
      <c r="BE143" s="425">
        <f t="shared" si="59"/>
        <v>0</v>
      </c>
      <c r="BF143" s="425">
        <f t="shared" si="74"/>
        <v>0</v>
      </c>
      <c r="BG143" s="425">
        <f t="shared" si="74"/>
        <v>0</v>
      </c>
      <c r="BH143" s="425">
        <f t="shared" si="74"/>
        <v>0</v>
      </c>
      <c r="BI143" s="425">
        <f t="shared" si="74"/>
        <v>0</v>
      </c>
      <c r="BJ143" s="425">
        <f t="shared" si="74"/>
        <v>0</v>
      </c>
      <c r="BK143" s="425">
        <f t="shared" si="74"/>
        <v>0</v>
      </c>
      <c r="BL143" s="425">
        <f t="shared" si="74"/>
        <v>0</v>
      </c>
      <c r="BM143" s="425">
        <f t="shared" si="75"/>
        <v>0</v>
      </c>
      <c r="BN143" s="425">
        <f t="shared" si="75"/>
        <v>0</v>
      </c>
      <c r="BO143" s="425">
        <f t="shared" si="75"/>
        <v>0</v>
      </c>
      <c r="BP143" s="425">
        <f t="shared" si="76"/>
        <v>0</v>
      </c>
      <c r="BQ143" s="425">
        <f t="shared" si="76"/>
        <v>0</v>
      </c>
      <c r="BR143" s="425">
        <f t="shared" si="76"/>
        <v>0</v>
      </c>
      <c r="BS143" s="425">
        <f t="shared" si="77"/>
        <v>0</v>
      </c>
      <c r="BT143" s="426">
        <f t="shared" si="77"/>
        <v>0</v>
      </c>
    </row>
    <row r="144" spans="2:72" hidden="1" x14ac:dyDescent="0.25">
      <c r="B144" s="145"/>
      <c r="C144" s="539">
        <f t="shared" si="68"/>
        <v>42644</v>
      </c>
      <c r="D144" s="533"/>
      <c r="E144" s="534">
        <v>0</v>
      </c>
      <c r="F144" s="534">
        <v>0</v>
      </c>
      <c r="G144" s="534">
        <v>0</v>
      </c>
      <c r="H144" s="540">
        <v>0</v>
      </c>
      <c r="I144" s="536">
        <f t="shared" si="60"/>
        <v>0</v>
      </c>
      <c r="J144" s="533"/>
      <c r="K144" s="534">
        <v>0</v>
      </c>
      <c r="L144" s="534">
        <v>0</v>
      </c>
      <c r="M144" s="534">
        <v>0</v>
      </c>
      <c r="N144" s="534">
        <v>0</v>
      </c>
      <c r="O144" s="534">
        <v>0</v>
      </c>
      <c r="P144" s="534">
        <v>0</v>
      </c>
      <c r="Q144" s="534">
        <v>0</v>
      </c>
      <c r="R144" s="534">
        <v>0</v>
      </c>
      <c r="S144" s="536">
        <f t="shared" si="61"/>
        <v>0</v>
      </c>
      <c r="T144" s="533"/>
      <c r="U144" s="534">
        <v>0</v>
      </c>
      <c r="V144" s="534">
        <v>0</v>
      </c>
      <c r="W144" s="534">
        <v>0</v>
      </c>
      <c r="X144" s="534">
        <v>0</v>
      </c>
      <c r="Y144" s="534">
        <v>0</v>
      </c>
      <c r="Z144" s="534">
        <v>0</v>
      </c>
      <c r="AA144" s="534">
        <v>0</v>
      </c>
      <c r="AB144" s="534">
        <v>0</v>
      </c>
      <c r="AC144" s="534">
        <v>0</v>
      </c>
      <c r="AD144" s="534">
        <v>0</v>
      </c>
      <c r="AE144" s="536">
        <f t="shared" si="62"/>
        <v>0</v>
      </c>
      <c r="AF144" s="533"/>
      <c r="AG144" s="534">
        <v>0</v>
      </c>
      <c r="AH144" s="534">
        <v>0</v>
      </c>
      <c r="AI144" s="534">
        <v>0</v>
      </c>
      <c r="AJ144" s="534">
        <v>0</v>
      </c>
      <c r="AK144" s="536">
        <f t="shared" si="63"/>
        <v>0</v>
      </c>
      <c r="AL144" s="533"/>
      <c r="AM144" s="534">
        <v>0</v>
      </c>
      <c r="AN144" s="534">
        <v>0</v>
      </c>
      <c r="AO144" s="534">
        <v>0</v>
      </c>
      <c r="AP144" s="537">
        <v>0</v>
      </c>
      <c r="AQ144" s="535">
        <v>0</v>
      </c>
      <c r="AR144" s="534">
        <v>0</v>
      </c>
      <c r="AS144" s="534">
        <v>0</v>
      </c>
      <c r="AT144" s="534">
        <v>0</v>
      </c>
      <c r="AU144" s="536">
        <f t="shared" si="64"/>
        <v>0</v>
      </c>
      <c r="AV144" s="533"/>
      <c r="AW144" s="538">
        <f t="shared" si="65"/>
        <v>0</v>
      </c>
      <c r="AX144" s="538">
        <f t="shared" si="66"/>
        <v>719.1099999999999</v>
      </c>
      <c r="AY144" s="533"/>
      <c r="AZ144" s="534">
        <f t="shared" si="67"/>
        <v>0</v>
      </c>
      <c r="BA144" s="534">
        <v>0</v>
      </c>
      <c r="BD144" s="392">
        <f t="shared" si="58"/>
        <v>0</v>
      </c>
      <c r="BE144" s="425">
        <f t="shared" si="59"/>
        <v>0</v>
      </c>
      <c r="BF144" s="425">
        <f t="shared" si="74"/>
        <v>0</v>
      </c>
      <c r="BG144" s="425">
        <f t="shared" si="74"/>
        <v>0</v>
      </c>
      <c r="BH144" s="425">
        <f t="shared" si="74"/>
        <v>0</v>
      </c>
      <c r="BI144" s="425">
        <f t="shared" si="74"/>
        <v>0</v>
      </c>
      <c r="BJ144" s="425">
        <f t="shared" si="74"/>
        <v>0</v>
      </c>
      <c r="BK144" s="425">
        <f t="shared" si="74"/>
        <v>0</v>
      </c>
      <c r="BL144" s="425">
        <f t="shared" si="74"/>
        <v>0</v>
      </c>
      <c r="BM144" s="425">
        <f t="shared" si="75"/>
        <v>0</v>
      </c>
      <c r="BN144" s="425">
        <f t="shared" si="75"/>
        <v>0</v>
      </c>
      <c r="BO144" s="425">
        <f t="shared" si="75"/>
        <v>0</v>
      </c>
      <c r="BP144" s="425">
        <f t="shared" si="76"/>
        <v>0</v>
      </c>
      <c r="BQ144" s="425">
        <f t="shared" si="76"/>
        <v>0</v>
      </c>
      <c r="BR144" s="425">
        <f t="shared" si="76"/>
        <v>0</v>
      </c>
      <c r="BS144" s="425">
        <f t="shared" si="77"/>
        <v>0</v>
      </c>
      <c r="BT144" s="426">
        <f t="shared" si="77"/>
        <v>0</v>
      </c>
    </row>
    <row r="145" spans="2:72" hidden="1" x14ac:dyDescent="0.25">
      <c r="B145" s="145"/>
      <c r="C145" s="539">
        <f t="shared" si="68"/>
        <v>42675</v>
      </c>
      <c r="D145" s="533"/>
      <c r="E145" s="534">
        <v>0</v>
      </c>
      <c r="F145" s="534">
        <v>0</v>
      </c>
      <c r="G145" s="534">
        <v>0</v>
      </c>
      <c r="H145" s="540">
        <v>0</v>
      </c>
      <c r="I145" s="536">
        <f t="shared" si="60"/>
        <v>0</v>
      </c>
      <c r="J145" s="533"/>
      <c r="K145" s="534">
        <v>0</v>
      </c>
      <c r="L145" s="534">
        <v>0</v>
      </c>
      <c r="M145" s="534">
        <v>0</v>
      </c>
      <c r="N145" s="534">
        <v>0</v>
      </c>
      <c r="O145" s="534">
        <v>0</v>
      </c>
      <c r="P145" s="534">
        <v>0</v>
      </c>
      <c r="Q145" s="534">
        <v>0</v>
      </c>
      <c r="R145" s="534">
        <v>0</v>
      </c>
      <c r="S145" s="536">
        <f t="shared" si="61"/>
        <v>0</v>
      </c>
      <c r="T145" s="533"/>
      <c r="U145" s="534">
        <v>0</v>
      </c>
      <c r="V145" s="534">
        <v>0</v>
      </c>
      <c r="W145" s="534">
        <v>0</v>
      </c>
      <c r="X145" s="534">
        <v>0</v>
      </c>
      <c r="Y145" s="534">
        <v>0</v>
      </c>
      <c r="Z145" s="534">
        <v>0</v>
      </c>
      <c r="AA145" s="534">
        <v>0</v>
      </c>
      <c r="AB145" s="534">
        <v>0</v>
      </c>
      <c r="AC145" s="534">
        <v>0</v>
      </c>
      <c r="AD145" s="534">
        <v>0</v>
      </c>
      <c r="AE145" s="536">
        <f t="shared" si="62"/>
        <v>0</v>
      </c>
      <c r="AF145" s="533"/>
      <c r="AG145" s="534">
        <v>0</v>
      </c>
      <c r="AH145" s="534">
        <v>0</v>
      </c>
      <c r="AI145" s="534">
        <v>0</v>
      </c>
      <c r="AJ145" s="534">
        <v>0</v>
      </c>
      <c r="AK145" s="536">
        <f t="shared" si="63"/>
        <v>0</v>
      </c>
      <c r="AL145" s="533"/>
      <c r="AM145" s="534">
        <v>0</v>
      </c>
      <c r="AN145" s="534">
        <v>0</v>
      </c>
      <c r="AO145" s="534">
        <v>0</v>
      </c>
      <c r="AP145" s="537">
        <v>0</v>
      </c>
      <c r="AQ145" s="535">
        <v>0</v>
      </c>
      <c r="AR145" s="534">
        <v>0</v>
      </c>
      <c r="AS145" s="534">
        <v>0</v>
      </c>
      <c r="AT145" s="534">
        <v>0</v>
      </c>
      <c r="AU145" s="536">
        <f t="shared" si="64"/>
        <v>0</v>
      </c>
      <c r="AV145" s="533"/>
      <c r="AW145" s="538">
        <f t="shared" si="65"/>
        <v>0</v>
      </c>
      <c r="AX145" s="538">
        <f t="shared" si="66"/>
        <v>719.1099999999999</v>
      </c>
      <c r="AY145" s="533"/>
      <c r="AZ145" s="534">
        <f t="shared" si="67"/>
        <v>0</v>
      </c>
      <c r="BA145" s="534">
        <v>0</v>
      </c>
      <c r="BD145" s="392">
        <f t="shared" si="58"/>
        <v>0</v>
      </c>
      <c r="BE145" s="425">
        <f t="shared" si="59"/>
        <v>0</v>
      </c>
      <c r="BF145" s="425">
        <f t="shared" si="74"/>
        <v>0</v>
      </c>
      <c r="BG145" s="425">
        <f t="shared" si="74"/>
        <v>0</v>
      </c>
      <c r="BH145" s="425">
        <f t="shared" si="74"/>
        <v>0</v>
      </c>
      <c r="BI145" s="425">
        <f t="shared" si="74"/>
        <v>0</v>
      </c>
      <c r="BJ145" s="425">
        <f t="shared" si="74"/>
        <v>0</v>
      </c>
      <c r="BK145" s="425">
        <f t="shared" si="74"/>
        <v>0</v>
      </c>
      <c r="BL145" s="425">
        <f t="shared" si="74"/>
        <v>0</v>
      </c>
      <c r="BM145" s="425">
        <f t="shared" si="75"/>
        <v>0</v>
      </c>
      <c r="BN145" s="425">
        <f t="shared" si="75"/>
        <v>0</v>
      </c>
      <c r="BO145" s="425">
        <f t="shared" si="75"/>
        <v>0</v>
      </c>
      <c r="BP145" s="425">
        <f t="shared" si="76"/>
        <v>0</v>
      </c>
      <c r="BQ145" s="425">
        <f t="shared" si="76"/>
        <v>0</v>
      </c>
      <c r="BR145" s="425">
        <f t="shared" si="76"/>
        <v>0</v>
      </c>
      <c r="BS145" s="425">
        <f t="shared" si="77"/>
        <v>0</v>
      </c>
      <c r="BT145" s="426">
        <f t="shared" si="77"/>
        <v>0</v>
      </c>
    </row>
    <row r="146" spans="2:72" hidden="1" x14ac:dyDescent="0.25">
      <c r="B146" s="145"/>
      <c r="C146" s="539">
        <f t="shared" si="68"/>
        <v>42705</v>
      </c>
      <c r="D146" s="533"/>
      <c r="E146" s="534">
        <v>0</v>
      </c>
      <c r="F146" s="534">
        <v>0</v>
      </c>
      <c r="G146" s="534">
        <v>0</v>
      </c>
      <c r="H146" s="540">
        <v>0</v>
      </c>
      <c r="I146" s="536">
        <f t="shared" si="60"/>
        <v>0</v>
      </c>
      <c r="J146" s="533"/>
      <c r="K146" s="534">
        <v>0</v>
      </c>
      <c r="L146" s="534">
        <v>0</v>
      </c>
      <c r="M146" s="534">
        <v>0</v>
      </c>
      <c r="N146" s="534">
        <v>0</v>
      </c>
      <c r="O146" s="534">
        <v>0</v>
      </c>
      <c r="P146" s="534">
        <v>0</v>
      </c>
      <c r="Q146" s="534">
        <v>0</v>
      </c>
      <c r="R146" s="534">
        <v>0</v>
      </c>
      <c r="S146" s="536">
        <f t="shared" si="61"/>
        <v>0</v>
      </c>
      <c r="T146" s="533"/>
      <c r="U146" s="534">
        <v>0</v>
      </c>
      <c r="V146" s="534">
        <v>0</v>
      </c>
      <c r="W146" s="534">
        <v>0</v>
      </c>
      <c r="X146" s="534">
        <v>0</v>
      </c>
      <c r="Y146" s="534">
        <v>0</v>
      </c>
      <c r="Z146" s="534">
        <v>0</v>
      </c>
      <c r="AA146" s="534">
        <v>0</v>
      </c>
      <c r="AB146" s="534">
        <v>0</v>
      </c>
      <c r="AC146" s="534">
        <v>0</v>
      </c>
      <c r="AD146" s="534">
        <v>0</v>
      </c>
      <c r="AE146" s="536">
        <f t="shared" si="62"/>
        <v>0</v>
      </c>
      <c r="AF146" s="533"/>
      <c r="AG146" s="534">
        <v>0</v>
      </c>
      <c r="AH146" s="534">
        <v>0</v>
      </c>
      <c r="AI146" s="534">
        <v>0</v>
      </c>
      <c r="AJ146" s="534">
        <v>0</v>
      </c>
      <c r="AK146" s="536">
        <f t="shared" si="63"/>
        <v>0</v>
      </c>
      <c r="AL146" s="533"/>
      <c r="AM146" s="534">
        <v>0</v>
      </c>
      <c r="AN146" s="534">
        <v>0</v>
      </c>
      <c r="AO146" s="534">
        <v>0</v>
      </c>
      <c r="AP146" s="537">
        <v>0</v>
      </c>
      <c r="AQ146" s="535">
        <v>0</v>
      </c>
      <c r="AR146" s="534">
        <v>0</v>
      </c>
      <c r="AS146" s="534">
        <v>0</v>
      </c>
      <c r="AT146" s="534">
        <v>0</v>
      </c>
      <c r="AU146" s="536">
        <f t="shared" si="64"/>
        <v>0</v>
      </c>
      <c r="AV146" s="533"/>
      <c r="AW146" s="538">
        <f t="shared" si="65"/>
        <v>0</v>
      </c>
      <c r="AX146" s="538">
        <f t="shared" si="66"/>
        <v>719.1099999999999</v>
      </c>
      <c r="AY146" s="533"/>
      <c r="AZ146" s="534">
        <f t="shared" si="67"/>
        <v>0</v>
      </c>
      <c r="BA146" s="534">
        <v>0</v>
      </c>
      <c r="BD146" s="392">
        <f t="shared" ref="BD146:BD159" si="78">SUMIF($E$6:$BA$6, BD$6, $E146:$BA146)</f>
        <v>0</v>
      </c>
      <c r="BE146" s="425">
        <f t="shared" ref="BE146:BE159" si="79">-SUMIF($E$6:$BA$6, BE$6, $E146:$BA146)+2*H146</f>
        <v>0</v>
      </c>
      <c r="BF146" s="425">
        <f t="shared" si="74"/>
        <v>0</v>
      </c>
      <c r="BG146" s="425">
        <f t="shared" si="74"/>
        <v>0</v>
      </c>
      <c r="BH146" s="425">
        <f t="shared" si="74"/>
        <v>0</v>
      </c>
      <c r="BI146" s="425">
        <f t="shared" si="74"/>
        <v>0</v>
      </c>
      <c r="BJ146" s="425">
        <f t="shared" si="74"/>
        <v>0</v>
      </c>
      <c r="BK146" s="425">
        <f t="shared" si="74"/>
        <v>0</v>
      </c>
      <c r="BL146" s="425">
        <f t="shared" si="74"/>
        <v>0</v>
      </c>
      <c r="BM146" s="425">
        <f t="shared" si="75"/>
        <v>0</v>
      </c>
      <c r="BN146" s="425">
        <f t="shared" si="75"/>
        <v>0</v>
      </c>
      <c r="BO146" s="425">
        <f t="shared" si="75"/>
        <v>0</v>
      </c>
      <c r="BP146" s="425">
        <f t="shared" si="76"/>
        <v>0</v>
      </c>
      <c r="BQ146" s="425">
        <f t="shared" si="76"/>
        <v>0</v>
      </c>
      <c r="BR146" s="425">
        <f t="shared" si="76"/>
        <v>0</v>
      </c>
      <c r="BS146" s="425">
        <f t="shared" si="77"/>
        <v>0</v>
      </c>
      <c r="BT146" s="426">
        <f t="shared" si="77"/>
        <v>0</v>
      </c>
    </row>
    <row r="147" spans="2:72" hidden="1" x14ac:dyDescent="0.25">
      <c r="B147" s="145"/>
      <c r="C147" s="539">
        <f t="shared" si="68"/>
        <v>42736</v>
      </c>
      <c r="D147" s="533"/>
      <c r="E147" s="534">
        <v>0</v>
      </c>
      <c r="F147" s="534">
        <v>0</v>
      </c>
      <c r="G147" s="534">
        <v>0</v>
      </c>
      <c r="H147" s="540">
        <v>0</v>
      </c>
      <c r="I147" s="536">
        <f t="shared" ref="I147:I178" si="80">SUM(E147:H147)</f>
        <v>0</v>
      </c>
      <c r="J147" s="533"/>
      <c r="K147" s="534">
        <v>0</v>
      </c>
      <c r="L147" s="534">
        <v>0</v>
      </c>
      <c r="M147" s="534">
        <v>0</v>
      </c>
      <c r="N147" s="534">
        <v>0</v>
      </c>
      <c r="O147" s="534">
        <v>0</v>
      </c>
      <c r="P147" s="534">
        <v>0</v>
      </c>
      <c r="Q147" s="534">
        <v>0</v>
      </c>
      <c r="R147" s="534">
        <v>0</v>
      </c>
      <c r="S147" s="536">
        <f t="shared" ref="S147:S178" si="81">K147+SUM(L147:N147)+O147+SUM(P147:R147)</f>
        <v>0</v>
      </c>
      <c r="T147" s="533"/>
      <c r="U147" s="534">
        <v>0</v>
      </c>
      <c r="V147" s="534">
        <v>0</v>
      </c>
      <c r="W147" s="534">
        <v>0</v>
      </c>
      <c r="X147" s="534">
        <v>0</v>
      </c>
      <c r="Y147" s="534">
        <v>0</v>
      </c>
      <c r="Z147" s="534">
        <v>0</v>
      </c>
      <c r="AA147" s="534">
        <v>0</v>
      </c>
      <c r="AB147" s="534">
        <v>0</v>
      </c>
      <c r="AC147" s="534">
        <v>0</v>
      </c>
      <c r="AD147" s="534">
        <v>0</v>
      </c>
      <c r="AE147" s="536">
        <f t="shared" ref="AE147:AE178" si="82">SUM(U147:AD147)</f>
        <v>0</v>
      </c>
      <c r="AF147" s="533"/>
      <c r="AG147" s="534">
        <v>0</v>
      </c>
      <c r="AH147" s="534">
        <v>0</v>
      </c>
      <c r="AI147" s="534">
        <v>0</v>
      </c>
      <c r="AJ147" s="534">
        <v>0</v>
      </c>
      <c r="AK147" s="536">
        <f t="shared" ref="AK147:AK178" si="83">SUM(AG147:AJ147)</f>
        <v>0</v>
      </c>
      <c r="AL147" s="533"/>
      <c r="AM147" s="534">
        <v>0</v>
      </c>
      <c r="AN147" s="534">
        <v>0</v>
      </c>
      <c r="AO147" s="534">
        <v>0</v>
      </c>
      <c r="AP147" s="537">
        <v>0</v>
      </c>
      <c r="AQ147" s="535">
        <v>0</v>
      </c>
      <c r="AR147" s="534">
        <v>0</v>
      </c>
      <c r="AS147" s="534">
        <v>0</v>
      </c>
      <c r="AT147" s="534">
        <v>0</v>
      </c>
      <c r="AU147" s="536">
        <f t="shared" ref="AU147:AU178" si="84">SUM(AM147:AT147)</f>
        <v>0</v>
      </c>
      <c r="AV147" s="533"/>
      <c r="AW147" s="538">
        <f t="shared" ref="AW147:AW160" si="85">SUM(I147,-S147,-AE147,AK147,AU147)</f>
        <v>0</v>
      </c>
      <c r="AX147" s="538">
        <f t="shared" ref="AX147:AX178" si="86">AX146+AW147</f>
        <v>719.1099999999999</v>
      </c>
      <c r="AY147" s="533"/>
      <c r="AZ147" s="534">
        <f t="shared" ref="AZ147:AZ178" si="87">K147-BA147</f>
        <v>0</v>
      </c>
      <c r="BA147" s="534">
        <v>0</v>
      </c>
      <c r="BD147" s="392">
        <f t="shared" si="78"/>
        <v>0</v>
      </c>
      <c r="BE147" s="425">
        <f t="shared" si="79"/>
        <v>0</v>
      </c>
      <c r="BF147" s="425">
        <f t="shared" si="74"/>
        <v>0</v>
      </c>
      <c r="BG147" s="425">
        <f t="shared" si="74"/>
        <v>0</v>
      </c>
      <c r="BH147" s="425">
        <f t="shared" si="74"/>
        <v>0</v>
      </c>
      <c r="BI147" s="425">
        <f t="shared" si="74"/>
        <v>0</v>
      </c>
      <c r="BJ147" s="425">
        <f t="shared" si="74"/>
        <v>0</v>
      </c>
      <c r="BK147" s="425">
        <f t="shared" si="74"/>
        <v>0</v>
      </c>
      <c r="BL147" s="425">
        <f t="shared" si="74"/>
        <v>0</v>
      </c>
      <c r="BM147" s="425">
        <f t="shared" si="75"/>
        <v>0</v>
      </c>
      <c r="BN147" s="425">
        <f t="shared" si="75"/>
        <v>0</v>
      </c>
      <c r="BO147" s="425">
        <f t="shared" si="75"/>
        <v>0</v>
      </c>
      <c r="BP147" s="425">
        <f t="shared" si="76"/>
        <v>0</v>
      </c>
      <c r="BQ147" s="425">
        <f t="shared" si="76"/>
        <v>0</v>
      </c>
      <c r="BR147" s="425">
        <f t="shared" si="76"/>
        <v>0</v>
      </c>
      <c r="BS147" s="425">
        <f t="shared" si="77"/>
        <v>0</v>
      </c>
      <c r="BT147" s="426">
        <f t="shared" si="77"/>
        <v>0</v>
      </c>
    </row>
    <row r="148" spans="2:72" hidden="1" x14ac:dyDescent="0.25">
      <c r="B148" s="145"/>
      <c r="C148" s="539">
        <f t="shared" ref="C148:C160" si="88">EDATE(C147, 1)</f>
        <v>42767</v>
      </c>
      <c r="D148" s="533"/>
      <c r="E148" s="534">
        <v>0</v>
      </c>
      <c r="F148" s="534">
        <v>0</v>
      </c>
      <c r="G148" s="534">
        <v>0</v>
      </c>
      <c r="H148" s="540">
        <v>0</v>
      </c>
      <c r="I148" s="536">
        <f t="shared" si="80"/>
        <v>0</v>
      </c>
      <c r="J148" s="533"/>
      <c r="K148" s="534">
        <v>0</v>
      </c>
      <c r="L148" s="534">
        <v>0</v>
      </c>
      <c r="M148" s="534">
        <v>0</v>
      </c>
      <c r="N148" s="534">
        <v>0</v>
      </c>
      <c r="O148" s="534">
        <v>0</v>
      </c>
      <c r="P148" s="534">
        <v>0</v>
      </c>
      <c r="Q148" s="534">
        <v>0</v>
      </c>
      <c r="R148" s="534">
        <v>0</v>
      </c>
      <c r="S148" s="536">
        <f t="shared" si="81"/>
        <v>0</v>
      </c>
      <c r="T148" s="533"/>
      <c r="U148" s="534">
        <v>0</v>
      </c>
      <c r="V148" s="534">
        <v>0</v>
      </c>
      <c r="W148" s="534">
        <v>0</v>
      </c>
      <c r="X148" s="534">
        <v>0</v>
      </c>
      <c r="Y148" s="534">
        <v>0</v>
      </c>
      <c r="Z148" s="534">
        <v>0</v>
      </c>
      <c r="AA148" s="534">
        <v>0</v>
      </c>
      <c r="AB148" s="534">
        <v>0</v>
      </c>
      <c r="AC148" s="534">
        <v>0</v>
      </c>
      <c r="AD148" s="534">
        <v>0</v>
      </c>
      <c r="AE148" s="536">
        <f t="shared" si="82"/>
        <v>0</v>
      </c>
      <c r="AF148" s="533"/>
      <c r="AG148" s="534">
        <v>0</v>
      </c>
      <c r="AH148" s="534">
        <v>0</v>
      </c>
      <c r="AI148" s="534">
        <v>0</v>
      </c>
      <c r="AJ148" s="534">
        <v>0</v>
      </c>
      <c r="AK148" s="536">
        <f t="shared" si="83"/>
        <v>0</v>
      </c>
      <c r="AL148" s="533"/>
      <c r="AM148" s="534">
        <v>0</v>
      </c>
      <c r="AN148" s="534">
        <v>0</v>
      </c>
      <c r="AO148" s="534">
        <v>0</v>
      </c>
      <c r="AP148" s="537">
        <v>0</v>
      </c>
      <c r="AQ148" s="535">
        <v>0</v>
      </c>
      <c r="AR148" s="534">
        <v>0</v>
      </c>
      <c r="AS148" s="534">
        <v>0</v>
      </c>
      <c r="AT148" s="534">
        <v>0</v>
      </c>
      <c r="AU148" s="536">
        <f t="shared" si="84"/>
        <v>0</v>
      </c>
      <c r="AV148" s="533"/>
      <c r="AW148" s="538">
        <f t="shared" si="85"/>
        <v>0</v>
      </c>
      <c r="AX148" s="538">
        <f t="shared" si="86"/>
        <v>719.1099999999999</v>
      </c>
      <c r="AY148" s="533"/>
      <c r="AZ148" s="534">
        <f t="shared" si="87"/>
        <v>0</v>
      </c>
      <c r="BA148" s="534">
        <v>0</v>
      </c>
      <c r="BD148" s="392">
        <f t="shared" si="78"/>
        <v>0</v>
      </c>
      <c r="BE148" s="425">
        <f t="shared" si="79"/>
        <v>0</v>
      </c>
      <c r="BF148" s="425">
        <f t="shared" ref="BF148:BL159" si="89">-SUMIF($E$6:$BA$6, BF$6, $E148:$BA148)</f>
        <v>0</v>
      </c>
      <c r="BG148" s="425">
        <f t="shared" si="89"/>
        <v>0</v>
      </c>
      <c r="BH148" s="425">
        <f t="shared" si="89"/>
        <v>0</v>
      </c>
      <c r="BI148" s="425">
        <f t="shared" si="89"/>
        <v>0</v>
      </c>
      <c r="BJ148" s="425">
        <f t="shared" si="89"/>
        <v>0</v>
      </c>
      <c r="BK148" s="425">
        <f t="shared" si="89"/>
        <v>0</v>
      </c>
      <c r="BL148" s="425">
        <f t="shared" si="89"/>
        <v>0</v>
      </c>
      <c r="BM148" s="425">
        <f t="shared" si="75"/>
        <v>0</v>
      </c>
      <c r="BN148" s="425">
        <f t="shared" si="75"/>
        <v>0</v>
      </c>
      <c r="BO148" s="425">
        <f t="shared" si="75"/>
        <v>0</v>
      </c>
      <c r="BP148" s="425">
        <f t="shared" si="76"/>
        <v>0</v>
      </c>
      <c r="BQ148" s="425">
        <f t="shared" si="76"/>
        <v>0</v>
      </c>
      <c r="BR148" s="425">
        <f t="shared" si="76"/>
        <v>0</v>
      </c>
      <c r="BS148" s="425">
        <f t="shared" si="77"/>
        <v>0</v>
      </c>
      <c r="BT148" s="426">
        <f t="shared" si="77"/>
        <v>0</v>
      </c>
    </row>
    <row r="149" spans="2:72" hidden="1" x14ac:dyDescent="0.25">
      <c r="B149" s="145"/>
      <c r="C149" s="539">
        <f t="shared" si="88"/>
        <v>42795</v>
      </c>
      <c r="D149" s="533"/>
      <c r="E149" s="534">
        <v>0</v>
      </c>
      <c r="F149" s="534">
        <v>0</v>
      </c>
      <c r="G149" s="534">
        <v>0</v>
      </c>
      <c r="H149" s="540">
        <v>0</v>
      </c>
      <c r="I149" s="536">
        <f t="shared" si="80"/>
        <v>0</v>
      </c>
      <c r="J149" s="533"/>
      <c r="K149" s="534">
        <v>0</v>
      </c>
      <c r="L149" s="534">
        <v>0</v>
      </c>
      <c r="M149" s="534">
        <v>0</v>
      </c>
      <c r="N149" s="534">
        <v>0</v>
      </c>
      <c r="O149" s="534">
        <v>0</v>
      </c>
      <c r="P149" s="534">
        <v>0</v>
      </c>
      <c r="Q149" s="534">
        <v>0</v>
      </c>
      <c r="R149" s="534">
        <v>0</v>
      </c>
      <c r="S149" s="536">
        <f t="shared" si="81"/>
        <v>0</v>
      </c>
      <c r="T149" s="533"/>
      <c r="U149" s="534">
        <v>0</v>
      </c>
      <c r="V149" s="534">
        <v>0</v>
      </c>
      <c r="W149" s="534">
        <v>0</v>
      </c>
      <c r="X149" s="534">
        <v>0</v>
      </c>
      <c r="Y149" s="534">
        <v>0</v>
      </c>
      <c r="Z149" s="534">
        <v>0</v>
      </c>
      <c r="AA149" s="534">
        <v>0</v>
      </c>
      <c r="AB149" s="534">
        <v>0</v>
      </c>
      <c r="AC149" s="534">
        <v>0</v>
      </c>
      <c r="AD149" s="534">
        <v>0</v>
      </c>
      <c r="AE149" s="536">
        <f t="shared" si="82"/>
        <v>0</v>
      </c>
      <c r="AF149" s="533"/>
      <c r="AG149" s="534">
        <v>0</v>
      </c>
      <c r="AH149" s="534">
        <v>0</v>
      </c>
      <c r="AI149" s="534">
        <v>0</v>
      </c>
      <c r="AJ149" s="534">
        <v>0</v>
      </c>
      <c r="AK149" s="536">
        <f t="shared" si="83"/>
        <v>0</v>
      </c>
      <c r="AL149" s="533"/>
      <c r="AM149" s="534">
        <v>0</v>
      </c>
      <c r="AN149" s="534">
        <v>0</v>
      </c>
      <c r="AO149" s="534">
        <v>0</v>
      </c>
      <c r="AP149" s="537">
        <v>0</v>
      </c>
      <c r="AQ149" s="535">
        <v>0</v>
      </c>
      <c r="AR149" s="534">
        <v>0</v>
      </c>
      <c r="AS149" s="534">
        <v>0</v>
      </c>
      <c r="AT149" s="534">
        <v>0</v>
      </c>
      <c r="AU149" s="536">
        <f t="shared" si="84"/>
        <v>0</v>
      </c>
      <c r="AV149" s="533"/>
      <c r="AW149" s="538">
        <f t="shared" si="85"/>
        <v>0</v>
      </c>
      <c r="AX149" s="538">
        <f t="shared" si="86"/>
        <v>719.1099999999999</v>
      </c>
      <c r="AY149" s="533"/>
      <c r="AZ149" s="534">
        <f t="shared" si="87"/>
        <v>0</v>
      </c>
      <c r="BA149" s="534">
        <v>0</v>
      </c>
      <c r="BD149" s="392">
        <f t="shared" si="78"/>
        <v>0</v>
      </c>
      <c r="BE149" s="425">
        <f t="shared" si="79"/>
        <v>0</v>
      </c>
      <c r="BF149" s="425">
        <f t="shared" si="89"/>
        <v>0</v>
      </c>
      <c r="BG149" s="425">
        <f t="shared" si="89"/>
        <v>0</v>
      </c>
      <c r="BH149" s="425">
        <f t="shared" si="89"/>
        <v>0</v>
      </c>
      <c r="BI149" s="425">
        <f t="shared" si="89"/>
        <v>0</v>
      </c>
      <c r="BJ149" s="425">
        <f t="shared" si="89"/>
        <v>0</v>
      </c>
      <c r="BK149" s="425">
        <f t="shared" si="89"/>
        <v>0</v>
      </c>
      <c r="BL149" s="425">
        <f t="shared" si="89"/>
        <v>0</v>
      </c>
      <c r="BM149" s="425">
        <f t="shared" si="75"/>
        <v>0</v>
      </c>
      <c r="BN149" s="425">
        <f t="shared" si="75"/>
        <v>0</v>
      </c>
      <c r="BO149" s="425">
        <f t="shared" si="75"/>
        <v>0</v>
      </c>
      <c r="BP149" s="425">
        <f t="shared" si="76"/>
        <v>0</v>
      </c>
      <c r="BQ149" s="425">
        <f t="shared" si="76"/>
        <v>0</v>
      </c>
      <c r="BR149" s="425">
        <f t="shared" si="76"/>
        <v>0</v>
      </c>
      <c r="BS149" s="425">
        <f t="shared" si="77"/>
        <v>0</v>
      </c>
      <c r="BT149" s="426">
        <f t="shared" si="77"/>
        <v>0</v>
      </c>
    </row>
    <row r="150" spans="2:72" hidden="1" x14ac:dyDescent="0.25">
      <c r="B150" s="145"/>
      <c r="C150" s="539">
        <f t="shared" si="88"/>
        <v>42826</v>
      </c>
      <c r="D150" s="533"/>
      <c r="E150" s="534">
        <v>0</v>
      </c>
      <c r="F150" s="534">
        <v>0</v>
      </c>
      <c r="G150" s="534">
        <v>0</v>
      </c>
      <c r="H150" s="540">
        <v>0</v>
      </c>
      <c r="I150" s="536">
        <f t="shared" si="80"/>
        <v>0</v>
      </c>
      <c r="J150" s="533"/>
      <c r="K150" s="534">
        <v>0</v>
      </c>
      <c r="L150" s="534">
        <v>0</v>
      </c>
      <c r="M150" s="534">
        <v>0</v>
      </c>
      <c r="N150" s="534">
        <v>0</v>
      </c>
      <c r="O150" s="534">
        <v>0</v>
      </c>
      <c r="P150" s="534">
        <v>0</v>
      </c>
      <c r="Q150" s="534">
        <v>0</v>
      </c>
      <c r="R150" s="534">
        <v>0</v>
      </c>
      <c r="S150" s="536">
        <f t="shared" si="81"/>
        <v>0</v>
      </c>
      <c r="T150" s="533"/>
      <c r="U150" s="534">
        <v>0</v>
      </c>
      <c r="V150" s="534">
        <v>0</v>
      </c>
      <c r="W150" s="534">
        <v>0</v>
      </c>
      <c r="X150" s="534">
        <v>0</v>
      </c>
      <c r="Y150" s="534">
        <v>0</v>
      </c>
      <c r="Z150" s="534">
        <v>0</v>
      </c>
      <c r="AA150" s="534">
        <v>0</v>
      </c>
      <c r="AB150" s="534">
        <v>0</v>
      </c>
      <c r="AC150" s="534">
        <v>0</v>
      </c>
      <c r="AD150" s="534">
        <v>0</v>
      </c>
      <c r="AE150" s="536">
        <f t="shared" si="82"/>
        <v>0</v>
      </c>
      <c r="AF150" s="533"/>
      <c r="AG150" s="534">
        <v>0</v>
      </c>
      <c r="AH150" s="534">
        <v>0</v>
      </c>
      <c r="AI150" s="534">
        <v>0</v>
      </c>
      <c r="AJ150" s="534">
        <v>0</v>
      </c>
      <c r="AK150" s="536">
        <f t="shared" si="83"/>
        <v>0</v>
      </c>
      <c r="AL150" s="533"/>
      <c r="AM150" s="534">
        <v>0</v>
      </c>
      <c r="AN150" s="534">
        <v>0</v>
      </c>
      <c r="AO150" s="534">
        <v>0</v>
      </c>
      <c r="AP150" s="537">
        <v>0</v>
      </c>
      <c r="AQ150" s="535">
        <v>0</v>
      </c>
      <c r="AR150" s="534">
        <v>0</v>
      </c>
      <c r="AS150" s="534">
        <v>0</v>
      </c>
      <c r="AT150" s="534">
        <v>0</v>
      </c>
      <c r="AU150" s="536">
        <f t="shared" si="84"/>
        <v>0</v>
      </c>
      <c r="AV150" s="533"/>
      <c r="AW150" s="538">
        <f t="shared" si="85"/>
        <v>0</v>
      </c>
      <c r="AX150" s="538">
        <f t="shared" si="86"/>
        <v>719.1099999999999</v>
      </c>
      <c r="AY150" s="533"/>
      <c r="AZ150" s="534">
        <f t="shared" si="87"/>
        <v>0</v>
      </c>
      <c r="BA150" s="534">
        <v>0</v>
      </c>
      <c r="BD150" s="392">
        <f t="shared" si="78"/>
        <v>0</v>
      </c>
      <c r="BE150" s="425">
        <f t="shared" si="79"/>
        <v>0</v>
      </c>
      <c r="BF150" s="425">
        <f t="shared" si="89"/>
        <v>0</v>
      </c>
      <c r="BG150" s="425">
        <f t="shared" si="89"/>
        <v>0</v>
      </c>
      <c r="BH150" s="425">
        <f t="shared" si="89"/>
        <v>0</v>
      </c>
      <c r="BI150" s="425">
        <f t="shared" si="89"/>
        <v>0</v>
      </c>
      <c r="BJ150" s="425">
        <f t="shared" si="89"/>
        <v>0</v>
      </c>
      <c r="BK150" s="425">
        <f t="shared" si="89"/>
        <v>0</v>
      </c>
      <c r="BL150" s="425">
        <f t="shared" si="89"/>
        <v>0</v>
      </c>
      <c r="BM150" s="425">
        <f t="shared" si="75"/>
        <v>0</v>
      </c>
      <c r="BN150" s="425">
        <f t="shared" si="75"/>
        <v>0</v>
      </c>
      <c r="BO150" s="425">
        <f t="shared" si="75"/>
        <v>0</v>
      </c>
      <c r="BP150" s="425">
        <f t="shared" si="76"/>
        <v>0</v>
      </c>
      <c r="BQ150" s="425">
        <f t="shared" si="76"/>
        <v>0</v>
      </c>
      <c r="BR150" s="425">
        <f t="shared" si="76"/>
        <v>0</v>
      </c>
      <c r="BS150" s="425">
        <f t="shared" si="77"/>
        <v>0</v>
      </c>
      <c r="BT150" s="426">
        <f t="shared" si="77"/>
        <v>0</v>
      </c>
    </row>
    <row r="151" spans="2:72" hidden="1" x14ac:dyDescent="0.25">
      <c r="B151" s="145"/>
      <c r="C151" s="539">
        <f t="shared" si="88"/>
        <v>42856</v>
      </c>
      <c r="D151" s="533"/>
      <c r="E151" s="534">
        <v>0</v>
      </c>
      <c r="F151" s="534">
        <v>0</v>
      </c>
      <c r="G151" s="534">
        <v>0</v>
      </c>
      <c r="H151" s="540">
        <v>0</v>
      </c>
      <c r="I151" s="536">
        <f t="shared" si="80"/>
        <v>0</v>
      </c>
      <c r="J151" s="533"/>
      <c r="K151" s="534">
        <v>0</v>
      </c>
      <c r="L151" s="534">
        <v>0</v>
      </c>
      <c r="M151" s="534">
        <v>0</v>
      </c>
      <c r="N151" s="534">
        <v>0</v>
      </c>
      <c r="O151" s="534">
        <v>0</v>
      </c>
      <c r="P151" s="534">
        <v>0</v>
      </c>
      <c r="Q151" s="534">
        <v>0</v>
      </c>
      <c r="R151" s="534">
        <v>0</v>
      </c>
      <c r="S151" s="536">
        <f t="shared" si="81"/>
        <v>0</v>
      </c>
      <c r="T151" s="533"/>
      <c r="U151" s="534">
        <v>372.85</v>
      </c>
      <c r="V151" s="534">
        <v>0</v>
      </c>
      <c r="W151" s="534">
        <v>0</v>
      </c>
      <c r="X151" s="534">
        <v>0</v>
      </c>
      <c r="Y151" s="534">
        <v>0</v>
      </c>
      <c r="Z151" s="534">
        <v>0</v>
      </c>
      <c r="AA151" s="534">
        <v>0</v>
      </c>
      <c r="AB151" s="534">
        <v>0</v>
      </c>
      <c r="AC151" s="534">
        <v>0</v>
      </c>
      <c r="AD151" s="534">
        <v>2.5</v>
      </c>
      <c r="AE151" s="536">
        <f t="shared" si="82"/>
        <v>375.35</v>
      </c>
      <c r="AF151" s="533"/>
      <c r="AG151" s="534">
        <v>0</v>
      </c>
      <c r="AH151" s="534">
        <v>0</v>
      </c>
      <c r="AI151" s="534">
        <v>0</v>
      </c>
      <c r="AJ151" s="534">
        <v>0</v>
      </c>
      <c r="AK151" s="536">
        <f t="shared" si="83"/>
        <v>0</v>
      </c>
      <c r="AL151" s="533"/>
      <c r="AM151" s="534">
        <v>0</v>
      </c>
      <c r="AN151" s="534">
        <v>0</v>
      </c>
      <c r="AO151" s="534">
        <v>0</v>
      </c>
      <c r="AP151" s="537">
        <v>0</v>
      </c>
      <c r="AQ151" s="535">
        <v>0</v>
      </c>
      <c r="AR151" s="534">
        <v>0</v>
      </c>
      <c r="AS151" s="534">
        <v>0</v>
      </c>
      <c r="AT151" s="534">
        <v>0</v>
      </c>
      <c r="AU151" s="536">
        <f t="shared" si="84"/>
        <v>0</v>
      </c>
      <c r="AV151" s="533"/>
      <c r="AW151" s="538">
        <f t="shared" si="85"/>
        <v>-375.35</v>
      </c>
      <c r="AX151" s="538">
        <f t="shared" si="86"/>
        <v>343.75999999999988</v>
      </c>
      <c r="AY151" s="533"/>
      <c r="AZ151" s="534">
        <f t="shared" si="87"/>
        <v>0</v>
      </c>
      <c r="BA151" s="534">
        <v>0</v>
      </c>
      <c r="BD151" s="392">
        <f t="shared" si="78"/>
        <v>0</v>
      </c>
      <c r="BE151" s="425">
        <f t="shared" si="79"/>
        <v>0</v>
      </c>
      <c r="BF151" s="425">
        <f t="shared" si="89"/>
        <v>0</v>
      </c>
      <c r="BG151" s="425">
        <f t="shared" si="89"/>
        <v>-372.85</v>
      </c>
      <c r="BH151" s="425">
        <f t="shared" si="89"/>
        <v>0</v>
      </c>
      <c r="BI151" s="425">
        <f t="shared" si="89"/>
        <v>0</v>
      </c>
      <c r="BJ151" s="425">
        <f t="shared" si="89"/>
        <v>0</v>
      </c>
      <c r="BK151" s="425">
        <f t="shared" si="89"/>
        <v>0</v>
      </c>
      <c r="BL151" s="425">
        <f t="shared" si="89"/>
        <v>0</v>
      </c>
      <c r="BM151" s="425">
        <f t="shared" si="75"/>
        <v>0</v>
      </c>
      <c r="BN151" s="425">
        <f t="shared" si="75"/>
        <v>0</v>
      </c>
      <c r="BO151" s="425">
        <f t="shared" si="75"/>
        <v>0</v>
      </c>
      <c r="BP151" s="425">
        <f t="shared" si="76"/>
        <v>0</v>
      </c>
      <c r="BQ151" s="425">
        <f t="shared" si="76"/>
        <v>0</v>
      </c>
      <c r="BR151" s="425">
        <f t="shared" si="76"/>
        <v>-2.5</v>
      </c>
      <c r="BS151" s="425">
        <f t="shared" si="77"/>
        <v>0</v>
      </c>
      <c r="BT151" s="426">
        <f t="shared" si="77"/>
        <v>0</v>
      </c>
    </row>
    <row r="152" spans="2:72" hidden="1" x14ac:dyDescent="0.25">
      <c r="B152" s="145"/>
      <c r="C152" s="539">
        <f t="shared" si="88"/>
        <v>42887</v>
      </c>
      <c r="D152" s="533"/>
      <c r="E152" s="534">
        <v>0</v>
      </c>
      <c r="F152" s="534">
        <v>0</v>
      </c>
      <c r="G152" s="534">
        <v>0</v>
      </c>
      <c r="H152" s="540">
        <v>0</v>
      </c>
      <c r="I152" s="536">
        <f t="shared" si="80"/>
        <v>0</v>
      </c>
      <c r="J152" s="533"/>
      <c r="K152" s="534">
        <v>0</v>
      </c>
      <c r="L152" s="534">
        <v>0</v>
      </c>
      <c r="M152" s="534">
        <v>0</v>
      </c>
      <c r="N152" s="534">
        <v>0</v>
      </c>
      <c r="O152" s="534">
        <v>0</v>
      </c>
      <c r="P152" s="534">
        <v>0</v>
      </c>
      <c r="Q152" s="534">
        <v>0</v>
      </c>
      <c r="R152" s="534">
        <v>0</v>
      </c>
      <c r="S152" s="536">
        <f t="shared" si="81"/>
        <v>0</v>
      </c>
      <c r="T152" s="533"/>
      <c r="U152" s="534">
        <v>300</v>
      </c>
      <c r="V152" s="534">
        <v>0</v>
      </c>
      <c r="W152" s="534">
        <v>0</v>
      </c>
      <c r="X152" s="534">
        <v>0</v>
      </c>
      <c r="Y152" s="534">
        <v>0</v>
      </c>
      <c r="Z152" s="534">
        <v>0</v>
      </c>
      <c r="AA152" s="534">
        <v>0</v>
      </c>
      <c r="AB152" s="534">
        <v>0</v>
      </c>
      <c r="AC152" s="534">
        <v>0</v>
      </c>
      <c r="AD152" s="534">
        <v>2.5</v>
      </c>
      <c r="AE152" s="536">
        <f t="shared" si="82"/>
        <v>302.5</v>
      </c>
      <c r="AF152" s="533"/>
      <c r="AG152" s="534">
        <v>0</v>
      </c>
      <c r="AH152" s="534">
        <v>0</v>
      </c>
      <c r="AI152" s="534">
        <v>0</v>
      </c>
      <c r="AJ152" s="534">
        <v>0</v>
      </c>
      <c r="AK152" s="536">
        <f t="shared" si="83"/>
        <v>0</v>
      </c>
      <c r="AL152" s="533"/>
      <c r="AM152" s="534">
        <v>0</v>
      </c>
      <c r="AN152" s="534">
        <v>0</v>
      </c>
      <c r="AO152" s="534">
        <v>0</v>
      </c>
      <c r="AP152" s="537">
        <v>0</v>
      </c>
      <c r="AQ152" s="535">
        <v>0</v>
      </c>
      <c r="AR152" s="534">
        <v>0</v>
      </c>
      <c r="AS152" s="534">
        <v>0</v>
      </c>
      <c r="AT152" s="534">
        <v>0</v>
      </c>
      <c r="AU152" s="536">
        <f t="shared" si="84"/>
        <v>0</v>
      </c>
      <c r="AV152" s="533"/>
      <c r="AW152" s="538">
        <f t="shared" si="85"/>
        <v>-302.5</v>
      </c>
      <c r="AX152" s="538">
        <f t="shared" si="86"/>
        <v>41.259999999999877</v>
      </c>
      <c r="AY152" s="533"/>
      <c r="AZ152" s="534">
        <f t="shared" si="87"/>
        <v>0</v>
      </c>
      <c r="BA152" s="534">
        <v>0</v>
      </c>
      <c r="BD152" s="392">
        <f t="shared" si="78"/>
        <v>0</v>
      </c>
      <c r="BE152" s="425">
        <f t="shared" si="79"/>
        <v>0</v>
      </c>
      <c r="BF152" s="425">
        <f t="shared" si="89"/>
        <v>0</v>
      </c>
      <c r="BG152" s="425">
        <f t="shared" si="89"/>
        <v>-300</v>
      </c>
      <c r="BH152" s="425">
        <f t="shared" si="89"/>
        <v>0</v>
      </c>
      <c r="BI152" s="425">
        <f t="shared" si="89"/>
        <v>0</v>
      </c>
      <c r="BJ152" s="425">
        <f t="shared" si="89"/>
        <v>0</v>
      </c>
      <c r="BK152" s="425">
        <f t="shared" si="89"/>
        <v>0</v>
      </c>
      <c r="BL152" s="425">
        <f t="shared" si="89"/>
        <v>0</v>
      </c>
      <c r="BM152" s="425">
        <f t="shared" si="75"/>
        <v>0</v>
      </c>
      <c r="BN152" s="425">
        <f t="shared" si="75"/>
        <v>0</v>
      </c>
      <c r="BO152" s="425">
        <f t="shared" si="75"/>
        <v>0</v>
      </c>
      <c r="BP152" s="425">
        <f t="shared" si="76"/>
        <v>0</v>
      </c>
      <c r="BQ152" s="425">
        <f t="shared" si="76"/>
        <v>0</v>
      </c>
      <c r="BR152" s="425">
        <f t="shared" si="76"/>
        <v>-2.5</v>
      </c>
      <c r="BS152" s="425">
        <f t="shared" si="77"/>
        <v>0</v>
      </c>
      <c r="BT152" s="426">
        <f t="shared" si="77"/>
        <v>0</v>
      </c>
    </row>
    <row r="153" spans="2:72" hidden="1" x14ac:dyDescent="0.25">
      <c r="B153" s="145"/>
      <c r="C153" s="539">
        <f t="shared" si="88"/>
        <v>42917</v>
      </c>
      <c r="D153" s="533"/>
      <c r="E153" s="534">
        <v>0</v>
      </c>
      <c r="F153" s="534">
        <v>0</v>
      </c>
      <c r="G153" s="534">
        <v>0</v>
      </c>
      <c r="H153" s="540">
        <v>0</v>
      </c>
      <c r="I153" s="536">
        <f t="shared" si="80"/>
        <v>0</v>
      </c>
      <c r="J153" s="533"/>
      <c r="K153" s="534">
        <v>0</v>
      </c>
      <c r="L153" s="534">
        <v>0</v>
      </c>
      <c r="M153" s="534">
        <v>0</v>
      </c>
      <c r="N153" s="534">
        <v>0</v>
      </c>
      <c r="O153" s="534">
        <v>0</v>
      </c>
      <c r="P153" s="534">
        <v>0</v>
      </c>
      <c r="Q153" s="534">
        <v>0</v>
      </c>
      <c r="R153" s="534">
        <v>0</v>
      </c>
      <c r="S153" s="536">
        <f t="shared" si="81"/>
        <v>0</v>
      </c>
      <c r="T153" s="533"/>
      <c r="U153" s="534">
        <v>0</v>
      </c>
      <c r="V153" s="534">
        <v>0</v>
      </c>
      <c r="W153" s="534">
        <v>0</v>
      </c>
      <c r="X153" s="534">
        <v>0</v>
      </c>
      <c r="Y153" s="534">
        <v>0</v>
      </c>
      <c r="Z153" s="534">
        <v>0</v>
      </c>
      <c r="AA153" s="534">
        <v>152.46</v>
      </c>
      <c r="AB153" s="534">
        <v>0</v>
      </c>
      <c r="AC153" s="534">
        <v>0</v>
      </c>
      <c r="AD153" s="534">
        <v>0</v>
      </c>
      <c r="AE153" s="536">
        <f t="shared" si="82"/>
        <v>152.46</v>
      </c>
      <c r="AF153" s="533"/>
      <c r="AG153" s="534">
        <v>0</v>
      </c>
      <c r="AH153" s="534">
        <v>0</v>
      </c>
      <c r="AI153" s="534">
        <v>0</v>
      </c>
      <c r="AJ153" s="534">
        <v>0</v>
      </c>
      <c r="AK153" s="536">
        <f t="shared" si="83"/>
        <v>0</v>
      </c>
      <c r="AL153" s="533"/>
      <c r="AM153" s="534">
        <v>1000</v>
      </c>
      <c r="AN153" s="534">
        <v>0</v>
      </c>
      <c r="AO153" s="534">
        <v>0</v>
      </c>
      <c r="AP153" s="537">
        <v>0</v>
      </c>
      <c r="AQ153" s="535">
        <v>0</v>
      </c>
      <c r="AR153" s="534">
        <v>0</v>
      </c>
      <c r="AS153" s="534">
        <v>0</v>
      </c>
      <c r="AT153" s="534">
        <v>0</v>
      </c>
      <c r="AU153" s="536">
        <f t="shared" si="84"/>
        <v>1000</v>
      </c>
      <c r="AV153" s="533"/>
      <c r="AW153" s="538">
        <f t="shared" si="85"/>
        <v>847.54</v>
      </c>
      <c r="AX153" s="538">
        <f t="shared" si="86"/>
        <v>888.79999999999984</v>
      </c>
      <c r="AY153" s="533"/>
      <c r="AZ153" s="534">
        <f t="shared" si="87"/>
        <v>0</v>
      </c>
      <c r="BA153" s="534">
        <v>0</v>
      </c>
      <c r="BD153" s="392">
        <f t="shared" si="78"/>
        <v>0</v>
      </c>
      <c r="BE153" s="425">
        <f t="shared" si="79"/>
        <v>0</v>
      </c>
      <c r="BF153" s="425">
        <f t="shared" si="89"/>
        <v>0</v>
      </c>
      <c r="BG153" s="425">
        <f t="shared" si="89"/>
        <v>0</v>
      </c>
      <c r="BH153" s="425">
        <f t="shared" si="89"/>
        <v>0</v>
      </c>
      <c r="BI153" s="425">
        <f t="shared" si="89"/>
        <v>0</v>
      </c>
      <c r="BJ153" s="425">
        <f t="shared" si="89"/>
        <v>0</v>
      </c>
      <c r="BK153" s="425">
        <f t="shared" si="89"/>
        <v>0</v>
      </c>
      <c r="BL153" s="425">
        <f t="shared" si="89"/>
        <v>-152.46</v>
      </c>
      <c r="BM153" s="425">
        <f t="shared" si="75"/>
        <v>0</v>
      </c>
      <c r="BN153" s="425">
        <f t="shared" si="75"/>
        <v>0</v>
      </c>
      <c r="BO153" s="425">
        <f t="shared" si="75"/>
        <v>0</v>
      </c>
      <c r="BP153" s="425">
        <f t="shared" si="76"/>
        <v>0</v>
      </c>
      <c r="BQ153" s="425">
        <f t="shared" si="76"/>
        <v>0</v>
      </c>
      <c r="BR153" s="425">
        <f t="shared" si="76"/>
        <v>0</v>
      </c>
      <c r="BS153" s="425">
        <f t="shared" si="77"/>
        <v>1000</v>
      </c>
      <c r="BT153" s="426">
        <f t="shared" si="77"/>
        <v>0</v>
      </c>
    </row>
    <row r="154" spans="2:72" hidden="1" x14ac:dyDescent="0.25">
      <c r="B154" s="145"/>
      <c r="C154" s="539">
        <f t="shared" si="88"/>
        <v>42948</v>
      </c>
      <c r="D154" s="533"/>
      <c r="E154" s="534">
        <v>0</v>
      </c>
      <c r="F154" s="534">
        <v>0</v>
      </c>
      <c r="G154" s="534">
        <v>0</v>
      </c>
      <c r="H154" s="540">
        <v>0</v>
      </c>
      <c r="I154" s="536">
        <f t="shared" si="80"/>
        <v>0</v>
      </c>
      <c r="J154" s="533"/>
      <c r="K154" s="534">
        <v>0</v>
      </c>
      <c r="L154" s="534">
        <v>0</v>
      </c>
      <c r="M154" s="534">
        <v>0</v>
      </c>
      <c r="N154" s="534">
        <v>0</v>
      </c>
      <c r="O154" s="534">
        <v>0</v>
      </c>
      <c r="P154" s="534">
        <v>0</v>
      </c>
      <c r="Q154" s="534">
        <v>0</v>
      </c>
      <c r="R154" s="534">
        <v>0</v>
      </c>
      <c r="S154" s="536">
        <f t="shared" si="81"/>
        <v>0</v>
      </c>
      <c r="T154" s="533"/>
      <c r="U154" s="534">
        <v>0</v>
      </c>
      <c r="V154" s="534">
        <v>0</v>
      </c>
      <c r="W154" s="534">
        <v>0</v>
      </c>
      <c r="X154" s="534">
        <v>0</v>
      </c>
      <c r="Y154" s="534">
        <v>0</v>
      </c>
      <c r="Z154" s="534">
        <v>0</v>
      </c>
      <c r="AA154" s="534">
        <v>0</v>
      </c>
      <c r="AB154" s="534">
        <v>0</v>
      </c>
      <c r="AC154" s="534">
        <v>0</v>
      </c>
      <c r="AD154" s="534">
        <v>0</v>
      </c>
      <c r="AE154" s="536">
        <f t="shared" si="82"/>
        <v>0</v>
      </c>
      <c r="AF154" s="533"/>
      <c r="AG154" s="534">
        <v>0</v>
      </c>
      <c r="AH154" s="534">
        <v>0</v>
      </c>
      <c r="AI154" s="534">
        <v>0</v>
      </c>
      <c r="AJ154" s="534">
        <v>0</v>
      </c>
      <c r="AK154" s="536">
        <f t="shared" si="83"/>
        <v>0</v>
      </c>
      <c r="AL154" s="533"/>
      <c r="AM154" s="534">
        <v>0</v>
      </c>
      <c r="AN154" s="534">
        <v>0</v>
      </c>
      <c r="AO154" s="534">
        <v>0</v>
      </c>
      <c r="AP154" s="537">
        <v>0</v>
      </c>
      <c r="AQ154" s="535">
        <v>0</v>
      </c>
      <c r="AR154" s="534">
        <v>0</v>
      </c>
      <c r="AS154" s="534">
        <v>0</v>
      </c>
      <c r="AT154" s="534">
        <v>0</v>
      </c>
      <c r="AU154" s="536">
        <f t="shared" si="84"/>
        <v>0</v>
      </c>
      <c r="AV154" s="533"/>
      <c r="AW154" s="538">
        <f t="shared" si="85"/>
        <v>0</v>
      </c>
      <c r="AX154" s="538">
        <f t="shared" si="86"/>
        <v>888.79999999999984</v>
      </c>
      <c r="AY154" s="533"/>
      <c r="AZ154" s="534">
        <f t="shared" si="87"/>
        <v>0</v>
      </c>
      <c r="BA154" s="534">
        <v>0</v>
      </c>
      <c r="BD154" s="392">
        <f t="shared" si="78"/>
        <v>0</v>
      </c>
      <c r="BE154" s="425">
        <f t="shared" si="79"/>
        <v>0</v>
      </c>
      <c r="BF154" s="425">
        <f t="shared" si="89"/>
        <v>0</v>
      </c>
      <c r="BG154" s="425">
        <f t="shared" si="89"/>
        <v>0</v>
      </c>
      <c r="BH154" s="425">
        <f t="shared" si="89"/>
        <v>0</v>
      </c>
      <c r="BI154" s="425">
        <f t="shared" si="89"/>
        <v>0</v>
      </c>
      <c r="BJ154" s="425">
        <f t="shared" si="89"/>
        <v>0</v>
      </c>
      <c r="BK154" s="425">
        <f t="shared" si="89"/>
        <v>0</v>
      </c>
      <c r="BL154" s="425">
        <f t="shared" si="89"/>
        <v>0</v>
      </c>
      <c r="BM154" s="425">
        <f t="shared" si="75"/>
        <v>0</v>
      </c>
      <c r="BN154" s="425">
        <f t="shared" si="75"/>
        <v>0</v>
      </c>
      <c r="BO154" s="425">
        <f t="shared" si="75"/>
        <v>0</v>
      </c>
      <c r="BP154" s="425">
        <f t="shared" si="76"/>
        <v>0</v>
      </c>
      <c r="BQ154" s="425">
        <f t="shared" si="76"/>
        <v>0</v>
      </c>
      <c r="BR154" s="425">
        <f t="shared" si="76"/>
        <v>0</v>
      </c>
      <c r="BS154" s="425">
        <f t="shared" si="77"/>
        <v>0</v>
      </c>
      <c r="BT154" s="426">
        <f t="shared" si="77"/>
        <v>0</v>
      </c>
    </row>
    <row r="155" spans="2:72" hidden="1" x14ac:dyDescent="0.25">
      <c r="B155" s="145"/>
      <c r="C155" s="539">
        <f t="shared" si="88"/>
        <v>42979</v>
      </c>
      <c r="D155" s="533"/>
      <c r="E155" s="534">
        <v>0</v>
      </c>
      <c r="F155" s="534">
        <v>0</v>
      </c>
      <c r="G155" s="534">
        <v>0</v>
      </c>
      <c r="H155" s="540">
        <v>0</v>
      </c>
      <c r="I155" s="536">
        <f t="shared" si="80"/>
        <v>0</v>
      </c>
      <c r="J155" s="533"/>
      <c r="K155" s="534">
        <v>0</v>
      </c>
      <c r="L155" s="534">
        <v>0</v>
      </c>
      <c r="M155" s="534">
        <v>0</v>
      </c>
      <c r="N155" s="534">
        <v>0</v>
      </c>
      <c r="O155" s="534">
        <v>0</v>
      </c>
      <c r="P155" s="534">
        <v>0</v>
      </c>
      <c r="Q155" s="534">
        <v>0</v>
      </c>
      <c r="R155" s="534">
        <v>0</v>
      </c>
      <c r="S155" s="536">
        <f t="shared" si="81"/>
        <v>0</v>
      </c>
      <c r="T155" s="533"/>
      <c r="U155" s="534">
        <v>0</v>
      </c>
      <c r="V155" s="534">
        <v>0</v>
      </c>
      <c r="W155" s="534">
        <v>0</v>
      </c>
      <c r="X155" s="534">
        <v>0</v>
      </c>
      <c r="Y155" s="534">
        <v>0</v>
      </c>
      <c r="Z155" s="534">
        <v>0</v>
      </c>
      <c r="AA155" s="534">
        <v>250</v>
      </c>
      <c r="AB155" s="534">
        <v>0</v>
      </c>
      <c r="AC155" s="534">
        <v>0</v>
      </c>
      <c r="AD155" s="534">
        <v>0</v>
      </c>
      <c r="AE155" s="536">
        <f t="shared" si="82"/>
        <v>250</v>
      </c>
      <c r="AF155" s="533"/>
      <c r="AG155" s="534">
        <v>0</v>
      </c>
      <c r="AH155" s="534">
        <v>0</v>
      </c>
      <c r="AI155" s="534">
        <v>0</v>
      </c>
      <c r="AJ155" s="534">
        <v>0</v>
      </c>
      <c r="AK155" s="536">
        <f t="shared" si="83"/>
        <v>0</v>
      </c>
      <c r="AL155" s="533"/>
      <c r="AM155" s="534">
        <v>0</v>
      </c>
      <c r="AN155" s="534">
        <v>0</v>
      </c>
      <c r="AO155" s="534">
        <v>0</v>
      </c>
      <c r="AP155" s="537">
        <v>0</v>
      </c>
      <c r="AQ155" s="535">
        <v>0</v>
      </c>
      <c r="AR155" s="534">
        <v>0</v>
      </c>
      <c r="AS155" s="534">
        <v>0</v>
      </c>
      <c r="AT155" s="534">
        <v>0</v>
      </c>
      <c r="AU155" s="536">
        <f t="shared" si="84"/>
        <v>0</v>
      </c>
      <c r="AV155" s="533"/>
      <c r="AW155" s="538">
        <f t="shared" si="85"/>
        <v>-250</v>
      </c>
      <c r="AX155" s="538">
        <f t="shared" si="86"/>
        <v>638.79999999999984</v>
      </c>
      <c r="AY155" s="533"/>
      <c r="AZ155" s="534">
        <f t="shared" si="87"/>
        <v>0</v>
      </c>
      <c r="BA155" s="534">
        <v>0</v>
      </c>
      <c r="BD155" s="392">
        <f t="shared" si="78"/>
        <v>0</v>
      </c>
      <c r="BE155" s="425">
        <f t="shared" si="79"/>
        <v>0</v>
      </c>
      <c r="BF155" s="425">
        <f t="shared" si="89"/>
        <v>0</v>
      </c>
      <c r="BG155" s="425">
        <f t="shared" si="89"/>
        <v>0</v>
      </c>
      <c r="BH155" s="425">
        <f t="shared" si="89"/>
        <v>0</v>
      </c>
      <c r="BI155" s="425">
        <f t="shared" si="89"/>
        <v>0</v>
      </c>
      <c r="BJ155" s="425">
        <f t="shared" si="89"/>
        <v>0</v>
      </c>
      <c r="BK155" s="425">
        <f t="shared" si="89"/>
        <v>0</v>
      </c>
      <c r="BL155" s="425">
        <f t="shared" si="89"/>
        <v>-250</v>
      </c>
      <c r="BM155" s="425">
        <f t="shared" si="75"/>
        <v>0</v>
      </c>
      <c r="BN155" s="425">
        <f t="shared" si="75"/>
        <v>0</v>
      </c>
      <c r="BO155" s="425">
        <f t="shared" si="75"/>
        <v>0</v>
      </c>
      <c r="BP155" s="425">
        <f t="shared" si="76"/>
        <v>0</v>
      </c>
      <c r="BQ155" s="425">
        <f t="shared" si="76"/>
        <v>0</v>
      </c>
      <c r="BR155" s="425">
        <f t="shared" si="76"/>
        <v>0</v>
      </c>
      <c r="BS155" s="425">
        <f t="shared" si="77"/>
        <v>0</v>
      </c>
      <c r="BT155" s="426">
        <f t="shared" si="77"/>
        <v>0</v>
      </c>
    </row>
    <row r="156" spans="2:72" hidden="1" x14ac:dyDescent="0.25">
      <c r="B156" s="145"/>
      <c r="C156" s="539">
        <f t="shared" si="88"/>
        <v>43009</v>
      </c>
      <c r="D156" s="533"/>
      <c r="E156" s="534">
        <v>0</v>
      </c>
      <c r="F156" s="534">
        <v>0</v>
      </c>
      <c r="G156" s="534">
        <v>0</v>
      </c>
      <c r="H156" s="540">
        <v>0</v>
      </c>
      <c r="I156" s="536">
        <f t="shared" si="80"/>
        <v>0</v>
      </c>
      <c r="J156" s="533"/>
      <c r="K156" s="534">
        <v>0</v>
      </c>
      <c r="L156" s="534">
        <v>0</v>
      </c>
      <c r="M156" s="534">
        <v>0</v>
      </c>
      <c r="N156" s="534">
        <v>0</v>
      </c>
      <c r="O156" s="534">
        <v>0</v>
      </c>
      <c r="P156" s="534">
        <v>0</v>
      </c>
      <c r="Q156" s="534">
        <v>0</v>
      </c>
      <c r="R156" s="534">
        <v>0</v>
      </c>
      <c r="S156" s="536">
        <f t="shared" si="81"/>
        <v>0</v>
      </c>
      <c r="T156" s="533"/>
      <c r="U156" s="534">
        <v>0</v>
      </c>
      <c r="V156" s="534">
        <v>0</v>
      </c>
      <c r="W156" s="534">
        <v>0</v>
      </c>
      <c r="X156" s="534">
        <v>0</v>
      </c>
      <c r="Y156" s="534">
        <v>0</v>
      </c>
      <c r="Z156" s="534">
        <v>0</v>
      </c>
      <c r="AA156" s="534">
        <v>0</v>
      </c>
      <c r="AB156" s="534">
        <v>0</v>
      </c>
      <c r="AC156" s="534">
        <v>0</v>
      </c>
      <c r="AD156" s="534">
        <v>0</v>
      </c>
      <c r="AE156" s="536">
        <f t="shared" si="82"/>
        <v>0</v>
      </c>
      <c r="AF156" s="533"/>
      <c r="AG156" s="534">
        <v>0</v>
      </c>
      <c r="AH156" s="534">
        <v>0</v>
      </c>
      <c r="AI156" s="534">
        <v>0</v>
      </c>
      <c r="AJ156" s="534">
        <v>0</v>
      </c>
      <c r="AK156" s="536">
        <f t="shared" si="83"/>
        <v>0</v>
      </c>
      <c r="AL156" s="533"/>
      <c r="AM156" s="534">
        <v>0</v>
      </c>
      <c r="AN156" s="534">
        <v>0</v>
      </c>
      <c r="AO156" s="534">
        <v>0</v>
      </c>
      <c r="AP156" s="537">
        <v>0</v>
      </c>
      <c r="AQ156" s="535">
        <v>0</v>
      </c>
      <c r="AR156" s="534">
        <v>0</v>
      </c>
      <c r="AS156" s="534">
        <v>0</v>
      </c>
      <c r="AT156" s="534">
        <v>0</v>
      </c>
      <c r="AU156" s="536">
        <f t="shared" si="84"/>
        <v>0</v>
      </c>
      <c r="AV156" s="533"/>
      <c r="AW156" s="538">
        <f t="shared" si="85"/>
        <v>0</v>
      </c>
      <c r="AX156" s="538">
        <f t="shared" si="86"/>
        <v>638.79999999999984</v>
      </c>
      <c r="AY156" s="533"/>
      <c r="AZ156" s="534">
        <f t="shared" si="87"/>
        <v>0</v>
      </c>
      <c r="BA156" s="534">
        <v>0</v>
      </c>
      <c r="BD156" s="392">
        <f t="shared" si="78"/>
        <v>0</v>
      </c>
      <c r="BE156" s="425">
        <f t="shared" si="79"/>
        <v>0</v>
      </c>
      <c r="BF156" s="425">
        <f t="shared" si="89"/>
        <v>0</v>
      </c>
      <c r="BG156" s="425">
        <f t="shared" si="89"/>
        <v>0</v>
      </c>
      <c r="BH156" s="425">
        <f t="shared" si="89"/>
        <v>0</v>
      </c>
      <c r="BI156" s="425">
        <f t="shared" si="89"/>
        <v>0</v>
      </c>
      <c r="BJ156" s="425">
        <f t="shared" si="89"/>
        <v>0</v>
      </c>
      <c r="BK156" s="425">
        <f t="shared" si="89"/>
        <v>0</v>
      </c>
      <c r="BL156" s="425">
        <f t="shared" si="89"/>
        <v>0</v>
      </c>
      <c r="BM156" s="425">
        <f t="shared" si="75"/>
        <v>0</v>
      </c>
      <c r="BN156" s="425">
        <f t="shared" si="75"/>
        <v>0</v>
      </c>
      <c r="BO156" s="425">
        <f t="shared" si="75"/>
        <v>0</v>
      </c>
      <c r="BP156" s="425">
        <f t="shared" si="76"/>
        <v>0</v>
      </c>
      <c r="BQ156" s="425">
        <f t="shared" si="76"/>
        <v>0</v>
      </c>
      <c r="BR156" s="425">
        <f t="shared" si="76"/>
        <v>0</v>
      </c>
      <c r="BS156" s="425">
        <f t="shared" si="77"/>
        <v>0</v>
      </c>
      <c r="BT156" s="426">
        <f t="shared" si="77"/>
        <v>0</v>
      </c>
    </row>
    <row r="157" spans="2:72" hidden="1" x14ac:dyDescent="0.25">
      <c r="B157" s="145"/>
      <c r="C157" s="539">
        <f t="shared" si="88"/>
        <v>43040</v>
      </c>
      <c r="D157" s="533"/>
      <c r="E157" s="534">
        <v>0</v>
      </c>
      <c r="F157" s="534">
        <v>0</v>
      </c>
      <c r="G157" s="534">
        <v>0</v>
      </c>
      <c r="H157" s="540">
        <v>0</v>
      </c>
      <c r="I157" s="536">
        <f t="shared" si="80"/>
        <v>0</v>
      </c>
      <c r="J157" s="533"/>
      <c r="K157" s="534">
        <v>0</v>
      </c>
      <c r="L157" s="534">
        <v>0</v>
      </c>
      <c r="M157" s="534">
        <v>0</v>
      </c>
      <c r="N157" s="534">
        <v>0</v>
      </c>
      <c r="O157" s="534">
        <v>0</v>
      </c>
      <c r="P157" s="534">
        <v>0</v>
      </c>
      <c r="Q157" s="534">
        <v>0</v>
      </c>
      <c r="R157" s="534">
        <v>0</v>
      </c>
      <c r="S157" s="536">
        <f t="shared" si="81"/>
        <v>0</v>
      </c>
      <c r="T157" s="533"/>
      <c r="U157" s="534">
        <v>0</v>
      </c>
      <c r="V157" s="534">
        <v>0</v>
      </c>
      <c r="W157" s="534">
        <v>0</v>
      </c>
      <c r="X157" s="534">
        <v>0</v>
      </c>
      <c r="Y157" s="534">
        <v>0</v>
      </c>
      <c r="Z157" s="534">
        <v>0</v>
      </c>
      <c r="AA157" s="534">
        <v>0</v>
      </c>
      <c r="AB157" s="534">
        <v>0</v>
      </c>
      <c r="AC157" s="534">
        <v>0</v>
      </c>
      <c r="AD157" s="534">
        <v>0</v>
      </c>
      <c r="AE157" s="536">
        <f t="shared" si="82"/>
        <v>0</v>
      </c>
      <c r="AF157" s="533"/>
      <c r="AG157" s="534">
        <v>0</v>
      </c>
      <c r="AH157" s="534">
        <v>0</v>
      </c>
      <c r="AI157" s="534">
        <v>0</v>
      </c>
      <c r="AJ157" s="534">
        <v>0</v>
      </c>
      <c r="AK157" s="536">
        <f t="shared" si="83"/>
        <v>0</v>
      </c>
      <c r="AL157" s="533"/>
      <c r="AM157" s="534">
        <v>0</v>
      </c>
      <c r="AN157" s="534">
        <v>0</v>
      </c>
      <c r="AO157" s="534">
        <v>0</v>
      </c>
      <c r="AP157" s="537">
        <v>0</v>
      </c>
      <c r="AQ157" s="535">
        <v>0</v>
      </c>
      <c r="AR157" s="534">
        <v>0</v>
      </c>
      <c r="AS157" s="534">
        <v>0</v>
      </c>
      <c r="AT157" s="534">
        <v>0</v>
      </c>
      <c r="AU157" s="536">
        <f t="shared" si="84"/>
        <v>0</v>
      </c>
      <c r="AV157" s="533"/>
      <c r="AW157" s="538">
        <f t="shared" si="85"/>
        <v>0</v>
      </c>
      <c r="AX157" s="538">
        <f t="shared" si="86"/>
        <v>638.79999999999984</v>
      </c>
      <c r="AY157" s="533"/>
      <c r="AZ157" s="534">
        <f t="shared" si="87"/>
        <v>0</v>
      </c>
      <c r="BA157" s="534">
        <v>0</v>
      </c>
      <c r="BD157" s="392">
        <f t="shared" si="78"/>
        <v>0</v>
      </c>
      <c r="BE157" s="425">
        <f t="shared" si="79"/>
        <v>0</v>
      </c>
      <c r="BF157" s="425">
        <f t="shared" si="89"/>
        <v>0</v>
      </c>
      <c r="BG157" s="425">
        <f t="shared" si="89"/>
        <v>0</v>
      </c>
      <c r="BH157" s="425">
        <f t="shared" si="89"/>
        <v>0</v>
      </c>
      <c r="BI157" s="425">
        <f t="shared" si="89"/>
        <v>0</v>
      </c>
      <c r="BJ157" s="425">
        <f t="shared" si="89"/>
        <v>0</v>
      </c>
      <c r="BK157" s="425">
        <f t="shared" si="89"/>
        <v>0</v>
      </c>
      <c r="BL157" s="425">
        <f t="shared" si="89"/>
        <v>0</v>
      </c>
      <c r="BM157" s="425">
        <f t="shared" si="75"/>
        <v>0</v>
      </c>
      <c r="BN157" s="425">
        <f t="shared" si="75"/>
        <v>0</v>
      </c>
      <c r="BO157" s="425">
        <f t="shared" si="75"/>
        <v>0</v>
      </c>
      <c r="BP157" s="425">
        <f t="shared" si="76"/>
        <v>0</v>
      </c>
      <c r="BQ157" s="425">
        <f t="shared" si="76"/>
        <v>0</v>
      </c>
      <c r="BR157" s="425">
        <f t="shared" si="76"/>
        <v>0</v>
      </c>
      <c r="BS157" s="425">
        <f t="shared" si="77"/>
        <v>0</v>
      </c>
      <c r="BT157" s="426">
        <f t="shared" si="77"/>
        <v>0</v>
      </c>
    </row>
    <row r="158" spans="2:72" hidden="1" x14ac:dyDescent="0.25">
      <c r="B158" s="145"/>
      <c r="C158" s="539">
        <f t="shared" si="88"/>
        <v>43070</v>
      </c>
      <c r="D158" s="533"/>
      <c r="E158" s="534">
        <v>0</v>
      </c>
      <c r="F158" s="534">
        <v>0</v>
      </c>
      <c r="G158" s="534">
        <v>0</v>
      </c>
      <c r="H158" s="540">
        <v>0</v>
      </c>
      <c r="I158" s="536">
        <f t="shared" si="80"/>
        <v>0</v>
      </c>
      <c r="J158" s="533"/>
      <c r="K158" s="534">
        <v>0</v>
      </c>
      <c r="L158" s="534">
        <v>0</v>
      </c>
      <c r="M158" s="534">
        <v>0</v>
      </c>
      <c r="N158" s="534">
        <v>0</v>
      </c>
      <c r="O158" s="534">
        <v>0</v>
      </c>
      <c r="P158" s="534">
        <v>0</v>
      </c>
      <c r="Q158" s="534">
        <v>0</v>
      </c>
      <c r="R158" s="534">
        <v>0</v>
      </c>
      <c r="S158" s="536">
        <f t="shared" si="81"/>
        <v>0</v>
      </c>
      <c r="T158" s="533"/>
      <c r="U158" s="534">
        <v>408.7</v>
      </c>
      <c r="V158" s="534">
        <v>0</v>
      </c>
      <c r="W158" s="534">
        <v>0</v>
      </c>
      <c r="X158" s="534">
        <v>0</v>
      </c>
      <c r="Y158" s="534">
        <v>0</v>
      </c>
      <c r="Z158" s="534">
        <v>0</v>
      </c>
      <c r="AA158" s="534">
        <v>0</v>
      </c>
      <c r="AB158" s="534">
        <v>0</v>
      </c>
      <c r="AC158" s="534">
        <v>0</v>
      </c>
      <c r="AD158" s="534">
        <v>0</v>
      </c>
      <c r="AE158" s="536">
        <f t="shared" si="82"/>
        <v>408.7</v>
      </c>
      <c r="AF158" s="533"/>
      <c r="AG158" s="534">
        <v>0</v>
      </c>
      <c r="AH158" s="534">
        <v>0</v>
      </c>
      <c r="AI158" s="534">
        <v>0</v>
      </c>
      <c r="AJ158" s="534">
        <v>0</v>
      </c>
      <c r="AK158" s="536">
        <f t="shared" si="83"/>
        <v>0</v>
      </c>
      <c r="AL158" s="533"/>
      <c r="AM158" s="534">
        <v>0</v>
      </c>
      <c r="AN158" s="534">
        <v>0</v>
      </c>
      <c r="AO158" s="534">
        <v>0</v>
      </c>
      <c r="AP158" s="537">
        <v>0</v>
      </c>
      <c r="AQ158" s="535">
        <v>0</v>
      </c>
      <c r="AR158" s="534">
        <v>0</v>
      </c>
      <c r="AS158" s="534">
        <v>0</v>
      </c>
      <c r="AT158" s="534">
        <v>0</v>
      </c>
      <c r="AU158" s="536">
        <f t="shared" si="84"/>
        <v>0</v>
      </c>
      <c r="AV158" s="533"/>
      <c r="AW158" s="538">
        <f t="shared" si="85"/>
        <v>-408.7</v>
      </c>
      <c r="AX158" s="538">
        <f t="shared" si="86"/>
        <v>230.09999999999985</v>
      </c>
      <c r="AY158" s="533"/>
      <c r="AZ158" s="534">
        <f t="shared" si="87"/>
        <v>0</v>
      </c>
      <c r="BA158" s="534">
        <v>0</v>
      </c>
      <c r="BD158" s="392">
        <f t="shared" si="78"/>
        <v>0</v>
      </c>
      <c r="BE158" s="425">
        <f t="shared" si="79"/>
        <v>0</v>
      </c>
      <c r="BF158" s="425">
        <f t="shared" si="89"/>
        <v>0</v>
      </c>
      <c r="BG158" s="425">
        <f t="shared" si="89"/>
        <v>-408.7</v>
      </c>
      <c r="BH158" s="425">
        <f t="shared" si="89"/>
        <v>0</v>
      </c>
      <c r="BI158" s="425">
        <f t="shared" si="89"/>
        <v>0</v>
      </c>
      <c r="BJ158" s="425">
        <f t="shared" si="89"/>
        <v>0</v>
      </c>
      <c r="BK158" s="425">
        <f t="shared" si="89"/>
        <v>0</v>
      </c>
      <c r="BL158" s="425">
        <f t="shared" si="89"/>
        <v>0</v>
      </c>
      <c r="BM158" s="425">
        <f t="shared" si="75"/>
        <v>0</v>
      </c>
      <c r="BN158" s="425">
        <f t="shared" si="75"/>
        <v>0</v>
      </c>
      <c r="BO158" s="425">
        <f t="shared" si="75"/>
        <v>0</v>
      </c>
      <c r="BP158" s="425">
        <f t="shared" si="76"/>
        <v>0</v>
      </c>
      <c r="BQ158" s="425">
        <f t="shared" si="76"/>
        <v>0</v>
      </c>
      <c r="BR158" s="425">
        <f t="shared" si="76"/>
        <v>0</v>
      </c>
      <c r="BS158" s="425">
        <f t="shared" si="77"/>
        <v>0</v>
      </c>
      <c r="BT158" s="426">
        <f t="shared" si="77"/>
        <v>0</v>
      </c>
    </row>
    <row r="159" spans="2:72" hidden="1" x14ac:dyDescent="0.25">
      <c r="B159" s="145"/>
      <c r="C159" s="539">
        <f t="shared" si="88"/>
        <v>43101</v>
      </c>
      <c r="D159" s="533"/>
      <c r="E159" s="534">
        <v>0</v>
      </c>
      <c r="F159" s="534">
        <v>0</v>
      </c>
      <c r="G159" s="534">
        <v>0</v>
      </c>
      <c r="H159" s="540">
        <v>0</v>
      </c>
      <c r="I159" s="536">
        <f t="shared" si="80"/>
        <v>0</v>
      </c>
      <c r="J159" s="533"/>
      <c r="K159" s="534">
        <v>0</v>
      </c>
      <c r="L159" s="534">
        <v>0</v>
      </c>
      <c r="M159" s="534">
        <v>0</v>
      </c>
      <c r="N159" s="534">
        <v>0</v>
      </c>
      <c r="O159" s="534">
        <v>0</v>
      </c>
      <c r="P159" s="534">
        <v>0</v>
      </c>
      <c r="Q159" s="534">
        <v>0</v>
      </c>
      <c r="R159" s="534">
        <v>0</v>
      </c>
      <c r="S159" s="536">
        <f t="shared" si="81"/>
        <v>0</v>
      </c>
      <c r="T159" s="533"/>
      <c r="U159" s="534">
        <v>0</v>
      </c>
      <c r="V159" s="534">
        <v>0</v>
      </c>
      <c r="W159" s="534">
        <v>0</v>
      </c>
      <c r="X159" s="534">
        <v>0</v>
      </c>
      <c r="Y159" s="534">
        <v>0</v>
      </c>
      <c r="Z159" s="534">
        <v>0</v>
      </c>
      <c r="AA159" s="534">
        <v>0</v>
      </c>
      <c r="AB159" s="534">
        <v>0</v>
      </c>
      <c r="AC159" s="534">
        <v>0</v>
      </c>
      <c r="AD159" s="534">
        <v>5</v>
      </c>
      <c r="AE159" s="536">
        <f t="shared" si="82"/>
        <v>5</v>
      </c>
      <c r="AF159" s="533"/>
      <c r="AG159" s="534">
        <v>0</v>
      </c>
      <c r="AH159" s="534">
        <v>0</v>
      </c>
      <c r="AI159" s="534">
        <v>0</v>
      </c>
      <c r="AJ159" s="534">
        <v>0</v>
      </c>
      <c r="AK159" s="536">
        <f t="shared" si="83"/>
        <v>0</v>
      </c>
      <c r="AL159" s="533"/>
      <c r="AM159" s="534">
        <v>0</v>
      </c>
      <c r="AN159" s="534">
        <v>0</v>
      </c>
      <c r="AO159" s="534">
        <v>0</v>
      </c>
      <c r="AP159" s="537">
        <v>0</v>
      </c>
      <c r="AQ159" s="535">
        <v>0</v>
      </c>
      <c r="AR159" s="534">
        <v>0</v>
      </c>
      <c r="AS159" s="534">
        <v>0</v>
      </c>
      <c r="AT159" s="534">
        <v>0</v>
      </c>
      <c r="AU159" s="536">
        <f t="shared" si="84"/>
        <v>0</v>
      </c>
      <c r="AV159" s="533"/>
      <c r="AW159" s="538">
        <f t="shared" si="85"/>
        <v>-5</v>
      </c>
      <c r="AX159" s="538">
        <f t="shared" si="86"/>
        <v>225.09999999999985</v>
      </c>
      <c r="AY159" s="533"/>
      <c r="AZ159" s="534">
        <f t="shared" si="87"/>
        <v>0</v>
      </c>
      <c r="BA159" s="534">
        <v>0</v>
      </c>
      <c r="BD159" s="392">
        <f t="shared" si="78"/>
        <v>0</v>
      </c>
      <c r="BE159" s="425">
        <f t="shared" si="79"/>
        <v>0</v>
      </c>
      <c r="BF159" s="425">
        <f t="shared" si="89"/>
        <v>0</v>
      </c>
      <c r="BG159" s="425">
        <f t="shared" si="89"/>
        <v>0</v>
      </c>
      <c r="BH159" s="425">
        <f t="shared" si="89"/>
        <v>0</v>
      </c>
      <c r="BI159" s="425">
        <f t="shared" si="89"/>
        <v>0</v>
      </c>
      <c r="BJ159" s="425">
        <f t="shared" si="89"/>
        <v>0</v>
      </c>
      <c r="BK159" s="425">
        <f t="shared" si="89"/>
        <v>0</v>
      </c>
      <c r="BL159" s="425">
        <f t="shared" si="89"/>
        <v>0</v>
      </c>
      <c r="BM159" s="425">
        <f t="shared" si="75"/>
        <v>0</v>
      </c>
      <c r="BN159" s="425">
        <f t="shared" si="75"/>
        <v>0</v>
      </c>
      <c r="BO159" s="425">
        <f t="shared" si="75"/>
        <v>0</v>
      </c>
      <c r="BP159" s="425">
        <f t="shared" si="76"/>
        <v>0</v>
      </c>
      <c r="BQ159" s="425">
        <f t="shared" si="76"/>
        <v>0</v>
      </c>
      <c r="BR159" s="425">
        <f t="shared" si="76"/>
        <v>-5</v>
      </c>
      <c r="BS159" s="425">
        <f t="shared" si="77"/>
        <v>0</v>
      </c>
      <c r="BT159" s="426">
        <f t="shared" si="77"/>
        <v>0</v>
      </c>
    </row>
    <row r="160" spans="2:72" hidden="1" x14ac:dyDescent="0.25">
      <c r="B160" s="145"/>
      <c r="C160" s="539">
        <f t="shared" si="88"/>
        <v>43132</v>
      </c>
      <c r="D160" s="533"/>
      <c r="E160" s="534">
        <v>0</v>
      </c>
      <c r="F160" s="534">
        <v>0</v>
      </c>
      <c r="G160" s="534">
        <v>0</v>
      </c>
      <c r="H160" s="540">
        <v>0</v>
      </c>
      <c r="I160" s="536">
        <f t="shared" si="80"/>
        <v>0</v>
      </c>
      <c r="J160" s="533"/>
      <c r="K160" s="534">
        <v>0</v>
      </c>
      <c r="L160" s="534">
        <v>0</v>
      </c>
      <c r="M160" s="534">
        <v>0</v>
      </c>
      <c r="N160" s="534">
        <v>0</v>
      </c>
      <c r="O160" s="534">
        <v>0</v>
      </c>
      <c r="P160" s="534">
        <v>0</v>
      </c>
      <c r="Q160" s="534">
        <v>0</v>
      </c>
      <c r="R160" s="534">
        <v>0</v>
      </c>
      <c r="S160" s="536">
        <f t="shared" si="81"/>
        <v>0</v>
      </c>
      <c r="T160" s="533"/>
      <c r="U160" s="534">
        <v>0</v>
      </c>
      <c r="V160" s="534">
        <v>0</v>
      </c>
      <c r="W160" s="534">
        <v>0</v>
      </c>
      <c r="X160" s="534">
        <v>0</v>
      </c>
      <c r="Y160" s="534">
        <v>0</v>
      </c>
      <c r="Z160" s="534">
        <v>0</v>
      </c>
      <c r="AA160" s="534">
        <v>0</v>
      </c>
      <c r="AB160" s="534">
        <v>0</v>
      </c>
      <c r="AC160" s="534">
        <v>0</v>
      </c>
      <c r="AD160" s="534">
        <v>0</v>
      </c>
      <c r="AE160" s="536">
        <f t="shared" si="82"/>
        <v>0</v>
      </c>
      <c r="AF160" s="533"/>
      <c r="AG160" s="534">
        <v>0</v>
      </c>
      <c r="AH160" s="534">
        <v>0</v>
      </c>
      <c r="AI160" s="534">
        <v>0</v>
      </c>
      <c r="AJ160" s="534">
        <v>0</v>
      </c>
      <c r="AK160" s="536">
        <f t="shared" si="83"/>
        <v>0</v>
      </c>
      <c r="AL160" s="533"/>
      <c r="AM160" s="534">
        <v>0</v>
      </c>
      <c r="AN160" s="534">
        <v>0</v>
      </c>
      <c r="AO160" s="534">
        <v>0</v>
      </c>
      <c r="AP160" s="537">
        <v>0</v>
      </c>
      <c r="AQ160" s="535">
        <v>0</v>
      </c>
      <c r="AR160" s="534">
        <v>0</v>
      </c>
      <c r="AS160" s="534">
        <v>0</v>
      </c>
      <c r="AT160" s="534">
        <v>0</v>
      </c>
      <c r="AU160" s="536">
        <f t="shared" si="84"/>
        <v>0</v>
      </c>
      <c r="AV160" s="533"/>
      <c r="AW160" s="538">
        <f t="shared" si="85"/>
        <v>0</v>
      </c>
      <c r="AX160" s="538">
        <f t="shared" si="86"/>
        <v>225.09999999999985</v>
      </c>
      <c r="AY160" s="533"/>
      <c r="AZ160" s="534">
        <f t="shared" si="87"/>
        <v>0</v>
      </c>
      <c r="BA160" s="534">
        <v>0</v>
      </c>
      <c r="BD160" s="392">
        <f t="shared" ref="BD160:BT160" si="90">SUM(BD18:BD159)</f>
        <v>0</v>
      </c>
      <c r="BE160" s="425">
        <f t="shared" si="90"/>
        <v>0</v>
      </c>
      <c r="BF160" s="425">
        <f t="shared" si="90"/>
        <v>0</v>
      </c>
      <c r="BG160" s="425">
        <f t="shared" si="90"/>
        <v>-4246.76</v>
      </c>
      <c r="BH160" s="425">
        <f t="shared" si="90"/>
        <v>0</v>
      </c>
      <c r="BI160" s="425">
        <f t="shared" si="90"/>
        <v>0</v>
      </c>
      <c r="BJ160" s="425">
        <f t="shared" si="90"/>
        <v>0</v>
      </c>
      <c r="BK160" s="425">
        <f t="shared" si="90"/>
        <v>0</v>
      </c>
      <c r="BL160" s="425">
        <f t="shared" si="90"/>
        <v>-1276.52</v>
      </c>
      <c r="BM160" s="425">
        <f t="shared" si="90"/>
        <v>0</v>
      </c>
      <c r="BN160" s="425">
        <f t="shared" si="90"/>
        <v>0</v>
      </c>
      <c r="BO160" s="425">
        <f t="shared" si="90"/>
        <v>0</v>
      </c>
      <c r="BP160" s="425">
        <f t="shared" si="90"/>
        <v>0</v>
      </c>
      <c r="BQ160" s="425">
        <f t="shared" si="90"/>
        <v>0</v>
      </c>
      <c r="BR160" s="425">
        <f t="shared" si="90"/>
        <v>-27.5</v>
      </c>
      <c r="BS160" s="425">
        <f t="shared" si="90"/>
        <v>5775.88</v>
      </c>
      <c r="BT160" s="426">
        <f t="shared" si="90"/>
        <v>0</v>
      </c>
    </row>
    <row r="161" spans="2:72" x14ac:dyDescent="0.25">
      <c r="B161" s="145"/>
      <c r="C161" s="539">
        <v>43160</v>
      </c>
      <c r="D161" s="533"/>
      <c r="E161" s="534">
        <v>0</v>
      </c>
      <c r="F161" s="534">
        <v>0</v>
      </c>
      <c r="G161" s="534">
        <v>0</v>
      </c>
      <c r="H161" s="540">
        <v>0</v>
      </c>
      <c r="I161" s="536">
        <v>0</v>
      </c>
      <c r="J161" s="533"/>
      <c r="K161" s="534">
        <v>0</v>
      </c>
      <c r="L161" s="534">
        <v>0</v>
      </c>
      <c r="M161" s="534">
        <v>0</v>
      </c>
      <c r="N161" s="534">
        <v>0</v>
      </c>
      <c r="O161" s="534">
        <v>0</v>
      </c>
      <c r="P161" s="534">
        <v>0</v>
      </c>
      <c r="Q161" s="534">
        <v>0</v>
      </c>
      <c r="R161" s="534">
        <v>0</v>
      </c>
      <c r="S161" s="536">
        <v>0</v>
      </c>
      <c r="T161" s="533"/>
      <c r="U161" s="534">
        <v>0</v>
      </c>
      <c r="V161" s="534">
        <v>700</v>
      </c>
      <c r="W161" s="534">
        <v>2250</v>
      </c>
      <c r="X161" s="534">
        <v>0</v>
      </c>
      <c r="Y161" s="534">
        <v>0</v>
      </c>
      <c r="Z161" s="534">
        <v>0</v>
      </c>
      <c r="AA161" s="534">
        <v>81</v>
      </c>
      <c r="AB161" s="534">
        <v>0</v>
      </c>
      <c r="AC161" s="534">
        <v>0</v>
      </c>
      <c r="AD161" s="534">
        <v>0</v>
      </c>
      <c r="AE161" s="536">
        <v>3031</v>
      </c>
      <c r="AF161" s="533"/>
      <c r="AG161" s="534">
        <v>0</v>
      </c>
      <c r="AH161" s="534">
        <v>0</v>
      </c>
      <c r="AI161" s="534">
        <v>0</v>
      </c>
      <c r="AJ161" s="534">
        <v>0</v>
      </c>
      <c r="AK161" s="536">
        <v>0</v>
      </c>
      <c r="AL161" s="533"/>
      <c r="AM161" s="534">
        <v>3000</v>
      </c>
      <c r="AN161" s="534">
        <v>0</v>
      </c>
      <c r="AO161" s="534">
        <v>0</v>
      </c>
      <c r="AP161" s="537">
        <v>0</v>
      </c>
      <c r="AQ161" s="535"/>
      <c r="AR161" s="534"/>
      <c r="AS161" s="534"/>
      <c r="AT161" s="534"/>
      <c r="AU161" s="536">
        <v>3000</v>
      </c>
      <c r="AV161" s="533"/>
      <c r="AW161" s="538">
        <v>-31</v>
      </c>
      <c r="AX161" s="538">
        <v>194.0999999999996</v>
      </c>
      <c r="AY161" s="533"/>
      <c r="AZ161" s="534">
        <f>0 - BA161</f>
        <v>0</v>
      </c>
      <c r="BA161" s="534">
        <v>0</v>
      </c>
      <c r="BD161" s="392">
        <f t="shared" ref="BD161:BD224" si="91">SUMIF($E$6:$BA$6, BD$6, $E161:$BA161)</f>
        <v>0</v>
      </c>
      <c r="BE161" s="425">
        <f t="shared" ref="BE161:BE224" si="92">-SUMIF($E$6:$BA$6, BE$6, $E161:$BA161)+2*H161</f>
        <v>0</v>
      </c>
      <c r="BF161" s="425">
        <f t="shared" ref="BF161:BL170" si="93">-SUMIF($E$6:$BA$6, BF$6, $E161:$BA161)</f>
        <v>0</v>
      </c>
      <c r="BG161" s="425">
        <f t="shared" si="93"/>
        <v>0</v>
      </c>
      <c r="BH161" s="425">
        <f t="shared" si="93"/>
        <v>-2950</v>
      </c>
      <c r="BI161" s="425">
        <f t="shared" si="93"/>
        <v>0</v>
      </c>
      <c r="BJ161" s="425">
        <f t="shared" si="93"/>
        <v>0</v>
      </c>
      <c r="BK161" s="425">
        <f t="shared" si="93"/>
        <v>0</v>
      </c>
      <c r="BL161" s="425">
        <f t="shared" si="93"/>
        <v>-81</v>
      </c>
      <c r="BM161" s="425">
        <f t="shared" ref="BM161:BO180" si="94">SUMIF($E$6:$BA$6, BM$6, $E161:$BA161)</f>
        <v>0</v>
      </c>
      <c r="BN161" s="425">
        <f t="shared" si="94"/>
        <v>0</v>
      </c>
      <c r="BO161" s="425">
        <f t="shared" si="94"/>
        <v>0</v>
      </c>
      <c r="BP161" s="425">
        <f t="shared" ref="BP161:BR180" si="95">-SUMIF($E$6:$BA$6, BP$6, $E161:$BA161)</f>
        <v>0</v>
      </c>
      <c r="BQ161" s="425">
        <f t="shared" si="95"/>
        <v>0</v>
      </c>
      <c r="BR161" s="425">
        <f t="shared" si="95"/>
        <v>0</v>
      </c>
      <c r="BS161" s="425">
        <f t="shared" ref="BS161:BT180" si="96">SUMIF($E$6:$BA$6, BS$6, $E161:$BA161)</f>
        <v>3000</v>
      </c>
      <c r="BT161" s="426">
        <f t="shared" si="96"/>
        <v>0</v>
      </c>
    </row>
    <row r="162" spans="2:72" x14ac:dyDescent="0.25">
      <c r="B162" s="145"/>
      <c r="C162" s="539">
        <v>43191</v>
      </c>
      <c r="D162" s="533"/>
      <c r="E162" s="534">
        <v>0</v>
      </c>
      <c r="F162" s="534">
        <v>0</v>
      </c>
      <c r="G162" s="534">
        <v>0</v>
      </c>
      <c r="H162" s="540">
        <v>0</v>
      </c>
      <c r="I162" s="536">
        <v>0</v>
      </c>
      <c r="J162" s="533"/>
      <c r="K162" s="534">
        <v>12275.59</v>
      </c>
      <c r="L162" s="534">
        <v>0</v>
      </c>
      <c r="M162" s="534">
        <v>0</v>
      </c>
      <c r="N162" s="534">
        <v>0</v>
      </c>
      <c r="O162" s="534">
        <v>0</v>
      </c>
      <c r="P162" s="534">
        <v>0</v>
      </c>
      <c r="Q162" s="534">
        <v>0</v>
      </c>
      <c r="R162" s="534">
        <v>0</v>
      </c>
      <c r="S162" s="536">
        <v>12275.59</v>
      </c>
      <c r="T162" s="533"/>
      <c r="U162" s="534">
        <v>0</v>
      </c>
      <c r="V162" s="534">
        <v>0</v>
      </c>
      <c r="W162" s="534">
        <v>2250</v>
      </c>
      <c r="X162" s="534">
        <v>0</v>
      </c>
      <c r="Y162" s="534">
        <v>0</v>
      </c>
      <c r="Z162" s="534">
        <v>0</v>
      </c>
      <c r="AA162" s="534">
        <v>81.099999999999994</v>
      </c>
      <c r="AB162" s="534">
        <v>0</v>
      </c>
      <c r="AC162" s="534">
        <v>0</v>
      </c>
      <c r="AD162" s="534">
        <v>0</v>
      </c>
      <c r="AE162" s="536">
        <v>2331.1</v>
      </c>
      <c r="AF162" s="533"/>
      <c r="AG162" s="534">
        <v>0</v>
      </c>
      <c r="AH162" s="534">
        <v>0</v>
      </c>
      <c r="AI162" s="534">
        <v>0</v>
      </c>
      <c r="AJ162" s="534">
        <v>0</v>
      </c>
      <c r="AK162" s="536">
        <v>0</v>
      </c>
      <c r="AL162" s="533"/>
      <c r="AM162" s="534">
        <v>3112.059999999999</v>
      </c>
      <c r="AN162" s="534">
        <v>334775.88</v>
      </c>
      <c r="AO162" s="534">
        <v>0</v>
      </c>
      <c r="AP162" s="537">
        <v>0</v>
      </c>
      <c r="AQ162" s="535"/>
      <c r="AR162" s="534"/>
      <c r="AS162" s="534"/>
      <c r="AT162" s="534"/>
      <c r="AU162" s="536">
        <v>337887.94</v>
      </c>
      <c r="AV162" s="533"/>
      <c r="AW162" s="538">
        <v>323281.25</v>
      </c>
      <c r="AX162" s="538">
        <v>323475.34999999998</v>
      </c>
      <c r="AY162" s="533"/>
      <c r="AZ162" s="534">
        <f>12275.59 - BA162</f>
        <v>12275.59</v>
      </c>
      <c r="BA162" s="534">
        <v>0</v>
      </c>
      <c r="BD162" s="392">
        <f t="shared" si="91"/>
        <v>0</v>
      </c>
      <c r="BE162" s="425">
        <f t="shared" si="92"/>
        <v>0</v>
      </c>
      <c r="BF162" s="425">
        <f t="shared" si="93"/>
        <v>0</v>
      </c>
      <c r="BG162" s="425">
        <f t="shared" si="93"/>
        <v>0</v>
      </c>
      <c r="BH162" s="425">
        <f t="shared" si="93"/>
        <v>-2250</v>
      </c>
      <c r="BI162" s="425">
        <f t="shared" si="93"/>
        <v>0</v>
      </c>
      <c r="BJ162" s="425">
        <f t="shared" si="93"/>
        <v>0</v>
      </c>
      <c r="BK162" s="425">
        <f t="shared" si="93"/>
        <v>0</v>
      </c>
      <c r="BL162" s="425">
        <f t="shared" si="93"/>
        <v>-81.099999999999994</v>
      </c>
      <c r="BM162" s="425">
        <f t="shared" si="94"/>
        <v>0</v>
      </c>
      <c r="BN162" s="425">
        <f t="shared" si="94"/>
        <v>0</v>
      </c>
      <c r="BO162" s="425">
        <f t="shared" si="94"/>
        <v>0</v>
      </c>
      <c r="BP162" s="425">
        <f t="shared" si="95"/>
        <v>-12275.59</v>
      </c>
      <c r="BQ162" s="425">
        <f t="shared" si="95"/>
        <v>0</v>
      </c>
      <c r="BR162" s="425">
        <f t="shared" si="95"/>
        <v>0</v>
      </c>
      <c r="BS162" s="425">
        <f t="shared" si="96"/>
        <v>337887.94</v>
      </c>
      <c r="BT162" s="426">
        <f t="shared" si="96"/>
        <v>0</v>
      </c>
    </row>
    <row r="163" spans="2:72" x14ac:dyDescent="0.25">
      <c r="B163" s="145"/>
      <c r="C163" s="539">
        <v>43221</v>
      </c>
      <c r="D163" s="533"/>
      <c r="E163" s="534">
        <v>0</v>
      </c>
      <c r="F163" s="534">
        <v>0</v>
      </c>
      <c r="G163" s="534">
        <v>0</v>
      </c>
      <c r="H163" s="540">
        <v>0</v>
      </c>
      <c r="I163" s="536">
        <v>0</v>
      </c>
      <c r="J163" s="533"/>
      <c r="K163" s="534">
        <v>830571.67</v>
      </c>
      <c r="L163" s="534">
        <v>0</v>
      </c>
      <c r="M163" s="534">
        <v>0</v>
      </c>
      <c r="N163" s="534">
        <v>0</v>
      </c>
      <c r="O163" s="534">
        <v>0</v>
      </c>
      <c r="P163" s="534">
        <v>0</v>
      </c>
      <c r="Q163" s="534">
        <v>0</v>
      </c>
      <c r="R163" s="534">
        <v>0</v>
      </c>
      <c r="S163" s="536">
        <v>830571.67</v>
      </c>
      <c r="T163" s="533"/>
      <c r="U163" s="534">
        <v>0</v>
      </c>
      <c r="V163" s="534">
        <v>0</v>
      </c>
      <c r="W163" s="534">
        <v>0</v>
      </c>
      <c r="X163" s="534">
        <v>0</v>
      </c>
      <c r="Y163" s="534">
        <v>0</v>
      </c>
      <c r="Z163" s="534">
        <v>0</v>
      </c>
      <c r="AA163" s="534">
        <v>376</v>
      </c>
      <c r="AB163" s="534">
        <v>0</v>
      </c>
      <c r="AC163" s="534">
        <v>0</v>
      </c>
      <c r="AD163" s="534">
        <v>0</v>
      </c>
      <c r="AE163" s="536">
        <v>376</v>
      </c>
      <c r="AF163" s="533"/>
      <c r="AG163" s="534">
        <v>0</v>
      </c>
      <c r="AH163" s="534">
        <v>0</v>
      </c>
      <c r="AI163" s="534">
        <v>0</v>
      </c>
      <c r="AJ163" s="534">
        <v>0</v>
      </c>
      <c r="AK163" s="536">
        <v>0</v>
      </c>
      <c r="AL163" s="533"/>
      <c r="AM163" s="534">
        <v>311000</v>
      </c>
      <c r="AN163" s="534">
        <v>115000</v>
      </c>
      <c r="AO163" s="534">
        <v>0</v>
      </c>
      <c r="AP163" s="537">
        <v>112500</v>
      </c>
      <c r="AQ163" s="535"/>
      <c r="AR163" s="534"/>
      <c r="AS163" s="534"/>
      <c r="AT163" s="534"/>
      <c r="AU163" s="536">
        <v>538500</v>
      </c>
      <c r="AV163" s="533"/>
      <c r="AW163" s="538">
        <v>-292447.67</v>
      </c>
      <c r="AX163" s="538">
        <v>31027.679999999931</v>
      </c>
      <c r="AY163" s="533"/>
      <c r="AZ163" s="534">
        <f>830571.67 - BA163</f>
        <v>830571.67</v>
      </c>
      <c r="BA163" s="534">
        <v>0</v>
      </c>
      <c r="BD163" s="392">
        <f t="shared" si="91"/>
        <v>0</v>
      </c>
      <c r="BE163" s="425">
        <f t="shared" si="92"/>
        <v>0</v>
      </c>
      <c r="BF163" s="425">
        <f t="shared" si="93"/>
        <v>0</v>
      </c>
      <c r="BG163" s="425">
        <f t="shared" si="93"/>
        <v>0</v>
      </c>
      <c r="BH163" s="425">
        <f t="shared" si="93"/>
        <v>0</v>
      </c>
      <c r="BI163" s="425">
        <f t="shared" si="93"/>
        <v>0</v>
      </c>
      <c r="BJ163" s="425">
        <f t="shared" si="93"/>
        <v>0</v>
      </c>
      <c r="BK163" s="425">
        <f t="shared" si="93"/>
        <v>0</v>
      </c>
      <c r="BL163" s="425">
        <f t="shared" si="93"/>
        <v>-376</v>
      </c>
      <c r="BM163" s="425">
        <f t="shared" si="94"/>
        <v>0</v>
      </c>
      <c r="BN163" s="425">
        <f t="shared" si="94"/>
        <v>0</v>
      </c>
      <c r="BO163" s="425">
        <f t="shared" si="94"/>
        <v>0</v>
      </c>
      <c r="BP163" s="425">
        <f t="shared" si="95"/>
        <v>-830571.67</v>
      </c>
      <c r="BQ163" s="425">
        <f t="shared" si="95"/>
        <v>0</v>
      </c>
      <c r="BR163" s="425">
        <f t="shared" si="95"/>
        <v>0</v>
      </c>
      <c r="BS163" s="425">
        <f t="shared" si="96"/>
        <v>538500</v>
      </c>
      <c r="BT163" s="426">
        <f t="shared" si="96"/>
        <v>0</v>
      </c>
    </row>
    <row r="164" spans="2:72" x14ac:dyDescent="0.25">
      <c r="B164" s="145"/>
      <c r="C164" s="539">
        <v>43252</v>
      </c>
      <c r="D164" s="533"/>
      <c r="E164" s="534">
        <v>0</v>
      </c>
      <c r="F164" s="534">
        <v>0</v>
      </c>
      <c r="G164" s="534">
        <v>0</v>
      </c>
      <c r="H164" s="540">
        <v>0</v>
      </c>
      <c r="I164" s="536">
        <v>0</v>
      </c>
      <c r="J164" s="533"/>
      <c r="K164" s="534">
        <v>26873.02</v>
      </c>
      <c r="L164" s="534">
        <v>0</v>
      </c>
      <c r="M164" s="534">
        <v>0</v>
      </c>
      <c r="N164" s="534">
        <v>5818.7</v>
      </c>
      <c r="O164" s="534">
        <v>0</v>
      </c>
      <c r="P164" s="534">
        <v>0</v>
      </c>
      <c r="Q164" s="534">
        <v>0</v>
      </c>
      <c r="R164" s="534">
        <v>0</v>
      </c>
      <c r="S164" s="536">
        <v>32691.72</v>
      </c>
      <c r="T164" s="533"/>
      <c r="U164" s="534">
        <v>0</v>
      </c>
      <c r="V164" s="534">
        <v>0</v>
      </c>
      <c r="W164" s="534">
        <v>0</v>
      </c>
      <c r="X164" s="534">
        <v>0</v>
      </c>
      <c r="Y164" s="534">
        <v>0</v>
      </c>
      <c r="Z164" s="534">
        <v>0</v>
      </c>
      <c r="AA164" s="534">
        <v>692.85</v>
      </c>
      <c r="AB164" s="534">
        <v>0</v>
      </c>
      <c r="AC164" s="534">
        <v>0</v>
      </c>
      <c r="AD164" s="534">
        <v>0</v>
      </c>
      <c r="AE164" s="536">
        <v>692.85</v>
      </c>
      <c r="AF164" s="533"/>
      <c r="AG164" s="534">
        <v>0</v>
      </c>
      <c r="AH164" s="534">
        <v>0</v>
      </c>
      <c r="AI164" s="534">
        <v>0</v>
      </c>
      <c r="AJ164" s="534">
        <v>0</v>
      </c>
      <c r="AK164" s="536">
        <v>0</v>
      </c>
      <c r="AL164" s="533"/>
      <c r="AM164" s="534">
        <v>36000</v>
      </c>
      <c r="AN164" s="534">
        <v>33500</v>
      </c>
      <c r="AO164" s="534">
        <v>0</v>
      </c>
      <c r="AP164" s="537">
        <v>0</v>
      </c>
      <c r="AQ164" s="535"/>
      <c r="AR164" s="534"/>
      <c r="AS164" s="534"/>
      <c r="AT164" s="534"/>
      <c r="AU164" s="536">
        <v>69500</v>
      </c>
      <c r="AV164" s="533"/>
      <c r="AW164" s="538">
        <v>36115.43</v>
      </c>
      <c r="AX164" s="538">
        <v>67143.109999999928</v>
      </c>
      <c r="AY164" s="533"/>
      <c r="AZ164" s="534">
        <f>26873.0199999999 - BA164</f>
        <v>26873.019999999899</v>
      </c>
      <c r="BA164" s="534">
        <v>0</v>
      </c>
      <c r="BD164" s="392">
        <f t="shared" si="91"/>
        <v>0</v>
      </c>
      <c r="BE164" s="425">
        <f t="shared" si="92"/>
        <v>0</v>
      </c>
      <c r="BF164" s="425">
        <f t="shared" si="93"/>
        <v>0</v>
      </c>
      <c r="BG164" s="425">
        <f t="shared" si="93"/>
        <v>-5818.7</v>
      </c>
      <c r="BH164" s="425">
        <f t="shared" si="93"/>
        <v>0</v>
      </c>
      <c r="BI164" s="425">
        <f t="shared" si="93"/>
        <v>0</v>
      </c>
      <c r="BJ164" s="425">
        <f t="shared" si="93"/>
        <v>0</v>
      </c>
      <c r="BK164" s="425">
        <f t="shared" si="93"/>
        <v>0</v>
      </c>
      <c r="BL164" s="425">
        <f t="shared" si="93"/>
        <v>-692.85</v>
      </c>
      <c r="BM164" s="425">
        <f t="shared" si="94"/>
        <v>0</v>
      </c>
      <c r="BN164" s="425">
        <f t="shared" si="94"/>
        <v>0</v>
      </c>
      <c r="BO164" s="425">
        <f t="shared" si="94"/>
        <v>0</v>
      </c>
      <c r="BP164" s="425">
        <f t="shared" si="95"/>
        <v>-26873.019999999899</v>
      </c>
      <c r="BQ164" s="425">
        <f t="shared" si="95"/>
        <v>0</v>
      </c>
      <c r="BR164" s="425">
        <f t="shared" si="95"/>
        <v>0</v>
      </c>
      <c r="BS164" s="425">
        <f t="shared" si="96"/>
        <v>69500</v>
      </c>
      <c r="BT164" s="426">
        <f t="shared" si="96"/>
        <v>0</v>
      </c>
    </row>
    <row r="165" spans="2:72" x14ac:dyDescent="0.25">
      <c r="B165" s="145"/>
      <c r="C165" s="539">
        <v>43282</v>
      </c>
      <c r="D165" s="533"/>
      <c r="E165" s="534">
        <v>0</v>
      </c>
      <c r="F165" s="534">
        <v>0</v>
      </c>
      <c r="G165" s="534">
        <v>0</v>
      </c>
      <c r="H165" s="540">
        <v>0</v>
      </c>
      <c r="I165" s="536">
        <v>0</v>
      </c>
      <c r="J165" s="533"/>
      <c r="K165" s="534">
        <v>26925.68</v>
      </c>
      <c r="L165" s="534">
        <v>0</v>
      </c>
      <c r="M165" s="534">
        <v>0</v>
      </c>
      <c r="N165" s="534">
        <v>1381.3</v>
      </c>
      <c r="O165" s="534">
        <v>0</v>
      </c>
      <c r="P165" s="534">
        <v>0</v>
      </c>
      <c r="Q165" s="534">
        <v>0</v>
      </c>
      <c r="R165" s="534">
        <v>0</v>
      </c>
      <c r="S165" s="536">
        <v>28306.98</v>
      </c>
      <c r="T165" s="533"/>
      <c r="U165" s="534">
        <v>0</v>
      </c>
      <c r="V165" s="534">
        <v>0</v>
      </c>
      <c r="W165" s="534">
        <v>1500</v>
      </c>
      <c r="X165" s="534">
        <v>0</v>
      </c>
      <c r="Y165" s="534">
        <v>0</v>
      </c>
      <c r="Z165" s="534">
        <v>0</v>
      </c>
      <c r="AA165" s="534">
        <v>189.95</v>
      </c>
      <c r="AB165" s="534">
        <v>0</v>
      </c>
      <c r="AC165" s="534">
        <v>0</v>
      </c>
      <c r="AD165" s="534">
        <v>-0.16000000000000009</v>
      </c>
      <c r="AE165" s="536">
        <v>1689.79</v>
      </c>
      <c r="AF165" s="533"/>
      <c r="AG165" s="534">
        <v>0</v>
      </c>
      <c r="AH165" s="534">
        <v>0</v>
      </c>
      <c r="AI165" s="534">
        <v>0</v>
      </c>
      <c r="AJ165" s="534">
        <v>0</v>
      </c>
      <c r="AK165" s="536">
        <v>0</v>
      </c>
      <c r="AL165" s="533"/>
      <c r="AM165" s="534">
        <v>0</v>
      </c>
      <c r="AN165" s="534">
        <v>0</v>
      </c>
      <c r="AO165" s="534">
        <v>0</v>
      </c>
      <c r="AP165" s="537">
        <v>0</v>
      </c>
      <c r="AQ165" s="535"/>
      <c r="AR165" s="534"/>
      <c r="AS165" s="534"/>
      <c r="AT165" s="534"/>
      <c r="AU165" s="536">
        <v>0</v>
      </c>
      <c r="AV165" s="533"/>
      <c r="AW165" s="538">
        <v>-29996.77</v>
      </c>
      <c r="AX165" s="538">
        <v>37146.339999999916</v>
      </c>
      <c r="AY165" s="533"/>
      <c r="AZ165" s="534">
        <f>26925.68 - BA165</f>
        <v>26925.68</v>
      </c>
      <c r="BA165" s="534">
        <v>0</v>
      </c>
      <c r="BD165" s="392">
        <f t="shared" si="91"/>
        <v>0</v>
      </c>
      <c r="BE165" s="425">
        <f t="shared" si="92"/>
        <v>0</v>
      </c>
      <c r="BF165" s="425">
        <f t="shared" si="93"/>
        <v>0</v>
      </c>
      <c r="BG165" s="425">
        <f t="shared" si="93"/>
        <v>-1381.3</v>
      </c>
      <c r="BH165" s="425">
        <f t="shared" si="93"/>
        <v>-1500</v>
      </c>
      <c r="BI165" s="425">
        <f t="shared" si="93"/>
        <v>0</v>
      </c>
      <c r="BJ165" s="425">
        <f t="shared" si="93"/>
        <v>0</v>
      </c>
      <c r="BK165" s="425">
        <f t="shared" si="93"/>
        <v>0</v>
      </c>
      <c r="BL165" s="425">
        <f t="shared" si="93"/>
        <v>-189.95</v>
      </c>
      <c r="BM165" s="425">
        <f t="shared" si="94"/>
        <v>0</v>
      </c>
      <c r="BN165" s="425">
        <f t="shared" si="94"/>
        <v>0</v>
      </c>
      <c r="BO165" s="425">
        <f t="shared" si="94"/>
        <v>0</v>
      </c>
      <c r="BP165" s="425">
        <f t="shared" si="95"/>
        <v>-26925.68</v>
      </c>
      <c r="BQ165" s="425">
        <f t="shared" si="95"/>
        <v>0</v>
      </c>
      <c r="BR165" s="425">
        <f t="shared" si="95"/>
        <v>0.16000000000000009</v>
      </c>
      <c r="BS165" s="425">
        <f t="shared" si="96"/>
        <v>0</v>
      </c>
      <c r="BT165" s="426">
        <f t="shared" si="96"/>
        <v>0</v>
      </c>
    </row>
    <row r="166" spans="2:72" x14ac:dyDescent="0.25">
      <c r="B166" s="145"/>
      <c r="C166" s="539">
        <v>43313</v>
      </c>
      <c r="D166" s="533"/>
      <c r="E166" s="534">
        <v>0</v>
      </c>
      <c r="F166" s="534">
        <v>0</v>
      </c>
      <c r="G166" s="534">
        <v>0</v>
      </c>
      <c r="H166" s="540">
        <v>0</v>
      </c>
      <c r="I166" s="536">
        <v>0</v>
      </c>
      <c r="J166" s="533"/>
      <c r="K166" s="534">
        <v>43720.32</v>
      </c>
      <c r="L166" s="534">
        <v>0</v>
      </c>
      <c r="M166" s="534">
        <v>0</v>
      </c>
      <c r="N166" s="534">
        <v>0</v>
      </c>
      <c r="O166" s="534">
        <v>0</v>
      </c>
      <c r="P166" s="534">
        <v>0</v>
      </c>
      <c r="Q166" s="534">
        <v>0</v>
      </c>
      <c r="R166" s="534">
        <v>0</v>
      </c>
      <c r="S166" s="536">
        <v>43720.32</v>
      </c>
      <c r="T166" s="533"/>
      <c r="U166" s="534">
        <v>110.86</v>
      </c>
      <c r="V166" s="534">
        <v>0</v>
      </c>
      <c r="W166" s="534">
        <v>1500</v>
      </c>
      <c r="X166" s="534">
        <v>0</v>
      </c>
      <c r="Y166" s="534">
        <v>0</v>
      </c>
      <c r="Z166" s="534">
        <v>0</v>
      </c>
      <c r="AA166" s="534">
        <v>429.8</v>
      </c>
      <c r="AB166" s="534">
        <v>0</v>
      </c>
      <c r="AC166" s="534">
        <v>0</v>
      </c>
      <c r="AD166" s="534">
        <v>-75.3</v>
      </c>
      <c r="AE166" s="536">
        <v>1965.36</v>
      </c>
      <c r="AF166" s="533"/>
      <c r="AG166" s="534">
        <v>0</v>
      </c>
      <c r="AH166" s="534">
        <v>0</v>
      </c>
      <c r="AI166" s="534">
        <v>0</v>
      </c>
      <c r="AJ166" s="534">
        <v>0</v>
      </c>
      <c r="AK166" s="536">
        <v>0</v>
      </c>
      <c r="AL166" s="533"/>
      <c r="AM166" s="534">
        <v>14000</v>
      </c>
      <c r="AN166" s="534">
        <v>14000</v>
      </c>
      <c r="AO166" s="534">
        <v>0</v>
      </c>
      <c r="AP166" s="537">
        <v>0</v>
      </c>
      <c r="AQ166" s="535"/>
      <c r="AR166" s="534"/>
      <c r="AS166" s="534"/>
      <c r="AT166" s="534"/>
      <c r="AU166" s="536">
        <v>28000</v>
      </c>
      <c r="AV166" s="533"/>
      <c r="AW166" s="538">
        <v>-17685.68</v>
      </c>
      <c r="AX166" s="538">
        <v>19460.65999999992</v>
      </c>
      <c r="AY166" s="533"/>
      <c r="AZ166" s="534">
        <f>43720.32 - BA166</f>
        <v>43720.32</v>
      </c>
      <c r="BA166" s="534">
        <v>0</v>
      </c>
      <c r="BD166" s="392">
        <f t="shared" si="91"/>
        <v>0</v>
      </c>
      <c r="BE166" s="425">
        <f t="shared" si="92"/>
        <v>0</v>
      </c>
      <c r="BF166" s="425">
        <f t="shared" si="93"/>
        <v>0</v>
      </c>
      <c r="BG166" s="425">
        <f t="shared" si="93"/>
        <v>-110.86</v>
      </c>
      <c r="BH166" s="425">
        <f t="shared" si="93"/>
        <v>-1500</v>
      </c>
      <c r="BI166" s="425">
        <f t="shared" si="93"/>
        <v>0</v>
      </c>
      <c r="BJ166" s="425">
        <f t="shared" si="93"/>
        <v>0</v>
      </c>
      <c r="BK166" s="425">
        <f t="shared" si="93"/>
        <v>0</v>
      </c>
      <c r="BL166" s="425">
        <f t="shared" si="93"/>
        <v>-429.8</v>
      </c>
      <c r="BM166" s="425">
        <f t="shared" si="94"/>
        <v>0</v>
      </c>
      <c r="BN166" s="425">
        <f t="shared" si="94"/>
        <v>0</v>
      </c>
      <c r="BO166" s="425">
        <f t="shared" si="94"/>
        <v>0</v>
      </c>
      <c r="BP166" s="425">
        <f t="shared" si="95"/>
        <v>-43720.32</v>
      </c>
      <c r="BQ166" s="425">
        <f t="shared" si="95"/>
        <v>0</v>
      </c>
      <c r="BR166" s="425">
        <f t="shared" si="95"/>
        <v>75.3</v>
      </c>
      <c r="BS166" s="425">
        <f t="shared" si="96"/>
        <v>28000</v>
      </c>
      <c r="BT166" s="426">
        <f t="shared" si="96"/>
        <v>0</v>
      </c>
    </row>
    <row r="167" spans="2:72" x14ac:dyDescent="0.25">
      <c r="B167" s="145"/>
      <c r="C167" s="539">
        <v>43344</v>
      </c>
      <c r="D167" s="533"/>
      <c r="E167" s="534">
        <v>0</v>
      </c>
      <c r="F167" s="534">
        <v>0</v>
      </c>
      <c r="G167" s="534">
        <v>0</v>
      </c>
      <c r="H167" s="540">
        <v>0</v>
      </c>
      <c r="I167" s="536">
        <v>0</v>
      </c>
      <c r="J167" s="533"/>
      <c r="K167" s="534">
        <v>27953.17</v>
      </c>
      <c r="L167" s="534">
        <v>0</v>
      </c>
      <c r="M167" s="534">
        <v>0</v>
      </c>
      <c r="N167" s="534">
        <v>0</v>
      </c>
      <c r="O167" s="534">
        <v>0</v>
      </c>
      <c r="P167" s="534">
        <v>0</v>
      </c>
      <c r="Q167" s="534">
        <v>0</v>
      </c>
      <c r="R167" s="534">
        <v>0</v>
      </c>
      <c r="S167" s="536">
        <v>27953.17</v>
      </c>
      <c r="T167" s="533"/>
      <c r="U167" s="534">
        <v>0</v>
      </c>
      <c r="V167" s="534">
        <v>0</v>
      </c>
      <c r="W167" s="534">
        <v>0</v>
      </c>
      <c r="X167" s="534">
        <v>0</v>
      </c>
      <c r="Y167" s="534">
        <v>0</v>
      </c>
      <c r="Z167" s="534">
        <v>0</v>
      </c>
      <c r="AA167" s="534">
        <v>247.4</v>
      </c>
      <c r="AB167" s="534">
        <v>0</v>
      </c>
      <c r="AC167" s="534">
        <v>0</v>
      </c>
      <c r="AD167" s="534">
        <v>-78.3</v>
      </c>
      <c r="AE167" s="536">
        <v>169.1</v>
      </c>
      <c r="AF167" s="533"/>
      <c r="AG167" s="534">
        <v>0</v>
      </c>
      <c r="AH167" s="534">
        <v>0</v>
      </c>
      <c r="AI167" s="534">
        <v>0</v>
      </c>
      <c r="AJ167" s="534">
        <v>0</v>
      </c>
      <c r="AK167" s="536">
        <v>0</v>
      </c>
      <c r="AL167" s="533"/>
      <c r="AM167" s="534">
        <v>24000</v>
      </c>
      <c r="AN167" s="534">
        <v>12112.06</v>
      </c>
      <c r="AO167" s="534">
        <v>0</v>
      </c>
      <c r="AP167" s="537">
        <v>0</v>
      </c>
      <c r="AQ167" s="535"/>
      <c r="AR167" s="534"/>
      <c r="AS167" s="534"/>
      <c r="AT167" s="534"/>
      <c r="AU167" s="536">
        <v>36112.06</v>
      </c>
      <c r="AV167" s="533"/>
      <c r="AW167" s="538">
        <v>7989.7900000000009</v>
      </c>
      <c r="AX167" s="538">
        <v>27450.449999999921</v>
      </c>
      <c r="AY167" s="533"/>
      <c r="AZ167" s="534">
        <f>27953.17 - BA167</f>
        <v>27953.17</v>
      </c>
      <c r="BA167" s="534">
        <v>0</v>
      </c>
      <c r="BD167" s="392">
        <f t="shared" si="91"/>
        <v>0</v>
      </c>
      <c r="BE167" s="425">
        <f t="shared" si="92"/>
        <v>0</v>
      </c>
      <c r="BF167" s="425">
        <f t="shared" si="93"/>
        <v>0</v>
      </c>
      <c r="BG167" s="425">
        <f t="shared" si="93"/>
        <v>0</v>
      </c>
      <c r="BH167" s="425">
        <f t="shared" si="93"/>
        <v>0</v>
      </c>
      <c r="BI167" s="425">
        <f t="shared" si="93"/>
        <v>0</v>
      </c>
      <c r="BJ167" s="425">
        <f t="shared" si="93"/>
        <v>0</v>
      </c>
      <c r="BK167" s="425">
        <f t="shared" si="93"/>
        <v>0</v>
      </c>
      <c r="BL167" s="425">
        <f t="shared" si="93"/>
        <v>-247.4</v>
      </c>
      <c r="BM167" s="425">
        <f t="shared" si="94"/>
        <v>0</v>
      </c>
      <c r="BN167" s="425">
        <f t="shared" si="94"/>
        <v>0</v>
      </c>
      <c r="BO167" s="425">
        <f t="shared" si="94"/>
        <v>0</v>
      </c>
      <c r="BP167" s="425">
        <f t="shared" si="95"/>
        <v>-27953.17</v>
      </c>
      <c r="BQ167" s="425">
        <f t="shared" si="95"/>
        <v>0</v>
      </c>
      <c r="BR167" s="425">
        <f t="shared" si="95"/>
        <v>78.3</v>
      </c>
      <c r="BS167" s="425">
        <f t="shared" si="96"/>
        <v>36112.06</v>
      </c>
      <c r="BT167" s="426">
        <f t="shared" si="96"/>
        <v>0</v>
      </c>
    </row>
    <row r="168" spans="2:72" x14ac:dyDescent="0.25">
      <c r="B168" s="145"/>
      <c r="C168" s="539">
        <v>43374</v>
      </c>
      <c r="D168" s="533"/>
      <c r="E168" s="534">
        <v>0</v>
      </c>
      <c r="F168" s="534">
        <v>0</v>
      </c>
      <c r="G168" s="534">
        <v>0</v>
      </c>
      <c r="H168" s="540">
        <v>0</v>
      </c>
      <c r="I168" s="536">
        <v>0</v>
      </c>
      <c r="J168" s="533"/>
      <c r="K168" s="534">
        <v>25157.52</v>
      </c>
      <c r="L168" s="534">
        <v>0</v>
      </c>
      <c r="M168" s="534">
        <v>0</v>
      </c>
      <c r="N168" s="534">
        <v>0</v>
      </c>
      <c r="O168" s="534">
        <v>0</v>
      </c>
      <c r="P168" s="534">
        <v>0</v>
      </c>
      <c r="Q168" s="534">
        <v>0</v>
      </c>
      <c r="R168" s="534">
        <v>0</v>
      </c>
      <c r="S168" s="536">
        <v>25157.52</v>
      </c>
      <c r="T168" s="533"/>
      <c r="U168" s="534">
        <v>0</v>
      </c>
      <c r="V168" s="534">
        <v>0</v>
      </c>
      <c r="W168" s="534">
        <v>0</v>
      </c>
      <c r="X168" s="534">
        <v>0</v>
      </c>
      <c r="Y168" s="534">
        <v>0</v>
      </c>
      <c r="Z168" s="534">
        <v>0</v>
      </c>
      <c r="AA168" s="534">
        <v>256.25</v>
      </c>
      <c r="AB168" s="534">
        <v>0</v>
      </c>
      <c r="AC168" s="534">
        <v>18.89</v>
      </c>
      <c r="AD168" s="534">
        <v>-205.05</v>
      </c>
      <c r="AE168" s="536">
        <v>70.089999999999975</v>
      </c>
      <c r="AF168" s="533"/>
      <c r="AG168" s="534">
        <v>0</v>
      </c>
      <c r="AH168" s="534">
        <v>0</v>
      </c>
      <c r="AI168" s="534">
        <v>0</v>
      </c>
      <c r="AJ168" s="534">
        <v>0</v>
      </c>
      <c r="AK168" s="536">
        <v>0</v>
      </c>
      <c r="AL168" s="533"/>
      <c r="AM168" s="534">
        <v>26000</v>
      </c>
      <c r="AN168" s="534">
        <v>26000</v>
      </c>
      <c r="AO168" s="534">
        <v>0</v>
      </c>
      <c r="AP168" s="537">
        <v>0</v>
      </c>
      <c r="AQ168" s="535"/>
      <c r="AR168" s="534"/>
      <c r="AS168" s="534"/>
      <c r="AT168" s="534"/>
      <c r="AU168" s="536">
        <v>52000</v>
      </c>
      <c r="AV168" s="533"/>
      <c r="AW168" s="538">
        <v>26772.39</v>
      </c>
      <c r="AX168" s="538">
        <v>54222.839999999916</v>
      </c>
      <c r="AY168" s="533"/>
      <c r="AZ168" s="534">
        <f>25157.52 - BA168</f>
        <v>25157.52</v>
      </c>
      <c r="BA168" s="534">
        <v>0</v>
      </c>
      <c r="BD168" s="392">
        <f t="shared" si="91"/>
        <v>0</v>
      </c>
      <c r="BE168" s="425">
        <f t="shared" si="92"/>
        <v>-18.89</v>
      </c>
      <c r="BF168" s="425">
        <f t="shared" si="93"/>
        <v>0</v>
      </c>
      <c r="BG168" s="425">
        <f t="shared" si="93"/>
        <v>0</v>
      </c>
      <c r="BH168" s="425">
        <f t="shared" si="93"/>
        <v>0</v>
      </c>
      <c r="BI168" s="425">
        <f t="shared" si="93"/>
        <v>0</v>
      </c>
      <c r="BJ168" s="425">
        <f t="shared" si="93"/>
        <v>0</v>
      </c>
      <c r="BK168" s="425">
        <f t="shared" si="93"/>
        <v>0</v>
      </c>
      <c r="BL168" s="425">
        <f t="shared" si="93"/>
        <v>-256.25</v>
      </c>
      <c r="BM168" s="425">
        <f t="shared" si="94"/>
        <v>0</v>
      </c>
      <c r="BN168" s="425">
        <f t="shared" si="94"/>
        <v>0</v>
      </c>
      <c r="BO168" s="425">
        <f t="shared" si="94"/>
        <v>0</v>
      </c>
      <c r="BP168" s="425">
        <f t="shared" si="95"/>
        <v>-25157.52</v>
      </c>
      <c r="BQ168" s="425">
        <f t="shared" si="95"/>
        <v>0</v>
      </c>
      <c r="BR168" s="425">
        <f t="shared" si="95"/>
        <v>205.05</v>
      </c>
      <c r="BS168" s="425">
        <f t="shared" si="96"/>
        <v>52000</v>
      </c>
      <c r="BT168" s="426">
        <f t="shared" si="96"/>
        <v>0</v>
      </c>
    </row>
    <row r="169" spans="2:72" x14ac:dyDescent="0.25">
      <c r="B169" s="145"/>
      <c r="C169" s="539">
        <v>43405</v>
      </c>
      <c r="D169" s="533"/>
      <c r="E169" s="534">
        <v>0</v>
      </c>
      <c r="F169" s="534">
        <v>0</v>
      </c>
      <c r="G169" s="534">
        <v>0</v>
      </c>
      <c r="H169" s="540">
        <v>0</v>
      </c>
      <c r="I169" s="536">
        <v>0</v>
      </c>
      <c r="J169" s="533"/>
      <c r="K169" s="534">
        <v>71843.12</v>
      </c>
      <c r="L169" s="534">
        <v>0</v>
      </c>
      <c r="M169" s="534">
        <v>0</v>
      </c>
      <c r="N169" s="534">
        <v>0</v>
      </c>
      <c r="O169" s="534">
        <v>0</v>
      </c>
      <c r="P169" s="534">
        <v>10958.6</v>
      </c>
      <c r="Q169" s="534">
        <v>21421.25</v>
      </c>
      <c r="R169" s="534">
        <v>0</v>
      </c>
      <c r="S169" s="536">
        <v>104222.97</v>
      </c>
      <c r="T169" s="533"/>
      <c r="U169" s="534">
        <v>190</v>
      </c>
      <c r="V169" s="534">
        <v>0</v>
      </c>
      <c r="W169" s="534">
        <v>0</v>
      </c>
      <c r="X169" s="534">
        <v>0</v>
      </c>
      <c r="Y169" s="534">
        <v>0</v>
      </c>
      <c r="Z169" s="534">
        <v>0</v>
      </c>
      <c r="AA169" s="534">
        <v>590.85</v>
      </c>
      <c r="AB169" s="534">
        <v>0</v>
      </c>
      <c r="AC169" s="534">
        <v>0</v>
      </c>
      <c r="AD169" s="534">
        <v>-136.18</v>
      </c>
      <c r="AE169" s="536">
        <v>644.67000000000007</v>
      </c>
      <c r="AF169" s="533"/>
      <c r="AG169" s="534">
        <v>0</v>
      </c>
      <c r="AH169" s="534">
        <v>0</v>
      </c>
      <c r="AI169" s="534">
        <v>0</v>
      </c>
      <c r="AJ169" s="534">
        <v>0</v>
      </c>
      <c r="AK169" s="536">
        <v>0</v>
      </c>
      <c r="AL169" s="533"/>
      <c r="AM169" s="534">
        <v>34500</v>
      </c>
      <c r="AN169" s="534">
        <v>34500</v>
      </c>
      <c r="AO169" s="534">
        <v>0</v>
      </c>
      <c r="AP169" s="537">
        <v>0</v>
      </c>
      <c r="AQ169" s="535"/>
      <c r="AR169" s="534"/>
      <c r="AS169" s="534"/>
      <c r="AT169" s="534"/>
      <c r="AU169" s="536">
        <v>69000</v>
      </c>
      <c r="AV169" s="533"/>
      <c r="AW169" s="538">
        <v>-35867.64</v>
      </c>
      <c r="AX169" s="538">
        <v>18355.199999999921</v>
      </c>
      <c r="AY169" s="533"/>
      <c r="AZ169" s="534">
        <f>71843.12 - BA169</f>
        <v>71843.12</v>
      </c>
      <c r="BA169" s="534">
        <v>0</v>
      </c>
      <c r="BD169" s="392">
        <f t="shared" si="91"/>
        <v>0</v>
      </c>
      <c r="BE169" s="425">
        <f t="shared" si="92"/>
        <v>0</v>
      </c>
      <c r="BF169" s="425">
        <f t="shared" si="93"/>
        <v>0</v>
      </c>
      <c r="BG169" s="425">
        <f t="shared" si="93"/>
        <v>-32569.85</v>
      </c>
      <c r="BH169" s="425">
        <f t="shared" si="93"/>
        <v>0</v>
      </c>
      <c r="BI169" s="425">
        <f t="shared" si="93"/>
        <v>0</v>
      </c>
      <c r="BJ169" s="425">
        <f t="shared" si="93"/>
        <v>0</v>
      </c>
      <c r="BK169" s="425">
        <f t="shared" si="93"/>
        <v>0</v>
      </c>
      <c r="BL169" s="425">
        <f t="shared" si="93"/>
        <v>-590.85</v>
      </c>
      <c r="BM169" s="425">
        <f t="shared" si="94"/>
        <v>0</v>
      </c>
      <c r="BN169" s="425">
        <f t="shared" si="94"/>
        <v>0</v>
      </c>
      <c r="BO169" s="425">
        <f t="shared" si="94"/>
        <v>0</v>
      </c>
      <c r="BP169" s="425">
        <f t="shared" si="95"/>
        <v>-71843.12</v>
      </c>
      <c r="BQ169" s="425">
        <f t="shared" si="95"/>
        <v>0</v>
      </c>
      <c r="BR169" s="425">
        <f t="shared" si="95"/>
        <v>136.18</v>
      </c>
      <c r="BS169" s="425">
        <f t="shared" si="96"/>
        <v>69000</v>
      </c>
      <c r="BT169" s="426">
        <f t="shared" si="96"/>
        <v>0</v>
      </c>
    </row>
    <row r="170" spans="2:72" x14ac:dyDescent="0.25">
      <c r="B170" s="145"/>
      <c r="C170" s="539">
        <v>43435</v>
      </c>
      <c r="D170" s="533"/>
      <c r="E170" s="534">
        <v>0</v>
      </c>
      <c r="F170" s="534">
        <v>0</v>
      </c>
      <c r="G170" s="534">
        <v>0</v>
      </c>
      <c r="H170" s="540">
        <v>0</v>
      </c>
      <c r="I170" s="536">
        <v>0</v>
      </c>
      <c r="J170" s="533"/>
      <c r="K170" s="534">
        <v>29991.41</v>
      </c>
      <c r="L170" s="534">
        <v>0</v>
      </c>
      <c r="M170" s="534">
        <v>0</v>
      </c>
      <c r="N170" s="534">
        <v>0</v>
      </c>
      <c r="O170" s="534">
        <v>0</v>
      </c>
      <c r="P170" s="534">
        <v>6438.68</v>
      </c>
      <c r="Q170" s="534">
        <v>1403.74</v>
      </c>
      <c r="R170" s="534">
        <v>0</v>
      </c>
      <c r="S170" s="536">
        <v>37833.83</v>
      </c>
      <c r="T170" s="533"/>
      <c r="U170" s="534">
        <v>0</v>
      </c>
      <c r="V170" s="534">
        <v>0</v>
      </c>
      <c r="W170" s="534">
        <v>0</v>
      </c>
      <c r="X170" s="534">
        <v>0</v>
      </c>
      <c r="Y170" s="534">
        <v>0</v>
      </c>
      <c r="Z170" s="534">
        <v>0</v>
      </c>
      <c r="AA170" s="534">
        <v>16581.3</v>
      </c>
      <c r="AB170" s="534">
        <v>0</v>
      </c>
      <c r="AC170" s="534">
        <v>0</v>
      </c>
      <c r="AD170" s="534">
        <v>-144.13</v>
      </c>
      <c r="AE170" s="536">
        <v>16437.169999999998</v>
      </c>
      <c r="AF170" s="533"/>
      <c r="AG170" s="534">
        <v>0</v>
      </c>
      <c r="AH170" s="534">
        <v>0</v>
      </c>
      <c r="AI170" s="534">
        <v>0</v>
      </c>
      <c r="AJ170" s="534">
        <v>0</v>
      </c>
      <c r="AK170" s="536">
        <v>0</v>
      </c>
      <c r="AL170" s="533"/>
      <c r="AM170" s="534">
        <v>169000</v>
      </c>
      <c r="AN170" s="534">
        <v>56500</v>
      </c>
      <c r="AO170" s="534">
        <v>0</v>
      </c>
      <c r="AP170" s="537">
        <v>-112500</v>
      </c>
      <c r="AQ170" s="535"/>
      <c r="AR170" s="534"/>
      <c r="AS170" s="534"/>
      <c r="AT170" s="534"/>
      <c r="AU170" s="536">
        <v>113000</v>
      </c>
      <c r="AV170" s="533"/>
      <c r="AW170" s="538">
        <v>58729</v>
      </c>
      <c r="AX170" s="538">
        <v>77084.199999999924</v>
      </c>
      <c r="AY170" s="533"/>
      <c r="AZ170" s="534">
        <f>29991.41 - BA170</f>
        <v>29991.41</v>
      </c>
      <c r="BA170" s="534">
        <v>0</v>
      </c>
      <c r="BD170" s="392">
        <f t="shared" si="91"/>
        <v>0</v>
      </c>
      <c r="BE170" s="425">
        <f t="shared" si="92"/>
        <v>0</v>
      </c>
      <c r="BF170" s="425">
        <f t="shared" si="93"/>
        <v>0</v>
      </c>
      <c r="BG170" s="425">
        <f t="shared" si="93"/>
        <v>-7842.42</v>
      </c>
      <c r="BH170" s="425">
        <f t="shared" si="93"/>
        <v>0</v>
      </c>
      <c r="BI170" s="425">
        <f t="shared" si="93"/>
        <v>0</v>
      </c>
      <c r="BJ170" s="425">
        <f t="shared" si="93"/>
        <v>0</v>
      </c>
      <c r="BK170" s="425">
        <f t="shared" si="93"/>
        <v>0</v>
      </c>
      <c r="BL170" s="425">
        <f t="shared" si="93"/>
        <v>-16581.3</v>
      </c>
      <c r="BM170" s="425">
        <f t="shared" si="94"/>
        <v>0</v>
      </c>
      <c r="BN170" s="425">
        <f t="shared" si="94"/>
        <v>0</v>
      </c>
      <c r="BO170" s="425">
        <f t="shared" si="94"/>
        <v>0</v>
      </c>
      <c r="BP170" s="425">
        <f t="shared" si="95"/>
        <v>-29991.41</v>
      </c>
      <c r="BQ170" s="425">
        <f t="shared" si="95"/>
        <v>0</v>
      </c>
      <c r="BR170" s="425">
        <f t="shared" si="95"/>
        <v>144.13</v>
      </c>
      <c r="BS170" s="425">
        <f t="shared" si="96"/>
        <v>113000</v>
      </c>
      <c r="BT170" s="426">
        <f t="shared" si="96"/>
        <v>0</v>
      </c>
    </row>
    <row r="171" spans="2:72" x14ac:dyDescent="0.25">
      <c r="B171" s="145"/>
      <c r="C171" s="539">
        <v>43466</v>
      </c>
      <c r="D171" s="533"/>
      <c r="E171" s="534">
        <v>0</v>
      </c>
      <c r="F171" s="534">
        <v>0</v>
      </c>
      <c r="G171" s="534">
        <v>0</v>
      </c>
      <c r="H171" s="540">
        <v>0</v>
      </c>
      <c r="I171" s="536">
        <v>0</v>
      </c>
      <c r="J171" s="533"/>
      <c r="K171" s="534">
        <v>1236942.77</v>
      </c>
      <c r="L171" s="534">
        <v>0</v>
      </c>
      <c r="M171" s="534">
        <v>0</v>
      </c>
      <c r="N171" s="534">
        <v>0</v>
      </c>
      <c r="O171" s="534">
        <v>0</v>
      </c>
      <c r="P171" s="534">
        <v>282.72000000000003</v>
      </c>
      <c r="Q171" s="534">
        <v>0</v>
      </c>
      <c r="R171" s="534">
        <v>0</v>
      </c>
      <c r="S171" s="536">
        <v>1237225.49</v>
      </c>
      <c r="T171" s="533"/>
      <c r="U171" s="534">
        <v>0</v>
      </c>
      <c r="V171" s="534">
        <v>0</v>
      </c>
      <c r="W171" s="534">
        <v>0</v>
      </c>
      <c r="X171" s="534">
        <v>0</v>
      </c>
      <c r="Y171" s="534">
        <v>0</v>
      </c>
      <c r="Z171" s="534">
        <v>0</v>
      </c>
      <c r="AA171" s="534">
        <v>847.62</v>
      </c>
      <c r="AB171" s="534">
        <v>0</v>
      </c>
      <c r="AC171" s="534">
        <v>57.62</v>
      </c>
      <c r="AD171" s="534">
        <v>-193.5</v>
      </c>
      <c r="AE171" s="536">
        <v>711.74</v>
      </c>
      <c r="AF171" s="533"/>
      <c r="AG171" s="534">
        <v>0</v>
      </c>
      <c r="AH171" s="534">
        <v>0</v>
      </c>
      <c r="AI171" s="534">
        <v>0</v>
      </c>
      <c r="AJ171" s="534">
        <v>0</v>
      </c>
      <c r="AK171" s="536">
        <v>0</v>
      </c>
      <c r="AL171" s="533"/>
      <c r="AM171" s="534">
        <v>1826387.94</v>
      </c>
      <c r="AN171" s="534">
        <v>-626387.93999999994</v>
      </c>
      <c r="AO171" s="534">
        <v>0</v>
      </c>
      <c r="AP171" s="537">
        <v>0</v>
      </c>
      <c r="AQ171" s="535"/>
      <c r="AR171" s="534"/>
      <c r="AS171" s="534"/>
      <c r="AT171" s="534"/>
      <c r="AU171" s="536">
        <v>1200000</v>
      </c>
      <c r="AV171" s="533"/>
      <c r="AW171" s="538">
        <v>-37937.229999999981</v>
      </c>
      <c r="AX171" s="538">
        <v>39146.969999999943</v>
      </c>
      <c r="AY171" s="533"/>
      <c r="AZ171" s="534">
        <f>1236942.77 - BA171</f>
        <v>1236942.77</v>
      </c>
      <c r="BA171" s="534">
        <v>0</v>
      </c>
      <c r="BD171" s="392">
        <f t="shared" si="91"/>
        <v>0</v>
      </c>
      <c r="BE171" s="425">
        <f t="shared" si="92"/>
        <v>-57.62</v>
      </c>
      <c r="BF171" s="425">
        <f t="shared" ref="BF171:BL180" si="97">-SUMIF($E$6:$BA$6, BF$6, $E171:$BA171)</f>
        <v>0</v>
      </c>
      <c r="BG171" s="425">
        <f t="shared" si="97"/>
        <v>-282.72000000000003</v>
      </c>
      <c r="BH171" s="425">
        <f t="shared" si="97"/>
        <v>0</v>
      </c>
      <c r="BI171" s="425">
        <f t="shared" si="97"/>
        <v>0</v>
      </c>
      <c r="BJ171" s="425">
        <f t="shared" si="97"/>
        <v>0</v>
      </c>
      <c r="BK171" s="425">
        <f t="shared" si="97"/>
        <v>0</v>
      </c>
      <c r="BL171" s="425">
        <f t="shared" si="97"/>
        <v>-847.62</v>
      </c>
      <c r="BM171" s="425">
        <f t="shared" si="94"/>
        <v>0</v>
      </c>
      <c r="BN171" s="425">
        <f t="shared" si="94"/>
        <v>0</v>
      </c>
      <c r="BO171" s="425">
        <f t="shared" si="94"/>
        <v>0</v>
      </c>
      <c r="BP171" s="425">
        <f t="shared" si="95"/>
        <v>-1236942.77</v>
      </c>
      <c r="BQ171" s="425">
        <f t="shared" si="95"/>
        <v>0</v>
      </c>
      <c r="BR171" s="425">
        <f t="shared" si="95"/>
        <v>193.5</v>
      </c>
      <c r="BS171" s="425">
        <f t="shared" si="96"/>
        <v>1200000</v>
      </c>
      <c r="BT171" s="426">
        <f t="shared" si="96"/>
        <v>0</v>
      </c>
    </row>
    <row r="172" spans="2:72" x14ac:dyDescent="0.25">
      <c r="B172" s="145"/>
      <c r="C172" s="539">
        <v>43497</v>
      </c>
      <c r="D172" s="533"/>
      <c r="E172" s="534">
        <v>0</v>
      </c>
      <c r="F172" s="534">
        <v>0</v>
      </c>
      <c r="G172" s="534">
        <v>0</v>
      </c>
      <c r="H172" s="540">
        <v>0</v>
      </c>
      <c r="I172" s="536">
        <v>0</v>
      </c>
      <c r="J172" s="533"/>
      <c r="K172" s="534">
        <v>1206192.8400000001</v>
      </c>
      <c r="L172" s="534">
        <v>0</v>
      </c>
      <c r="M172" s="534">
        <v>0</v>
      </c>
      <c r="N172" s="534">
        <v>150</v>
      </c>
      <c r="O172" s="534">
        <v>0</v>
      </c>
      <c r="P172" s="534">
        <v>0</v>
      </c>
      <c r="Q172" s="534">
        <v>0</v>
      </c>
      <c r="R172" s="534">
        <v>0</v>
      </c>
      <c r="S172" s="536">
        <v>1206342.8400000001</v>
      </c>
      <c r="T172" s="533"/>
      <c r="U172" s="534">
        <v>567</v>
      </c>
      <c r="V172" s="534">
        <v>0</v>
      </c>
      <c r="W172" s="534">
        <v>0</v>
      </c>
      <c r="X172" s="534">
        <v>0</v>
      </c>
      <c r="Y172" s="534">
        <v>0</v>
      </c>
      <c r="Z172" s="534">
        <v>0</v>
      </c>
      <c r="AA172" s="534">
        <v>326.74000000000518</v>
      </c>
      <c r="AB172" s="534">
        <v>0</v>
      </c>
      <c r="AC172" s="534">
        <v>0</v>
      </c>
      <c r="AD172" s="534">
        <v>23.2</v>
      </c>
      <c r="AE172" s="536">
        <v>916.94000000000528</v>
      </c>
      <c r="AF172" s="533"/>
      <c r="AG172" s="534">
        <v>0</v>
      </c>
      <c r="AH172" s="534">
        <v>0</v>
      </c>
      <c r="AI172" s="534">
        <v>0</v>
      </c>
      <c r="AJ172" s="534">
        <v>0</v>
      </c>
      <c r="AK172" s="536">
        <v>0</v>
      </c>
      <c r="AL172" s="533"/>
      <c r="AM172" s="534">
        <v>1170000</v>
      </c>
      <c r="AN172" s="534">
        <v>0</v>
      </c>
      <c r="AO172" s="534">
        <v>0</v>
      </c>
      <c r="AP172" s="537">
        <v>0</v>
      </c>
      <c r="AQ172" s="535"/>
      <c r="AR172" s="534"/>
      <c r="AS172" s="534"/>
      <c r="AT172" s="534"/>
      <c r="AU172" s="536">
        <v>1170000</v>
      </c>
      <c r="AV172" s="533"/>
      <c r="AW172" s="538">
        <v>-37259.779999999802</v>
      </c>
      <c r="AX172" s="538">
        <v>1887.1900000001481</v>
      </c>
      <c r="AY172" s="533"/>
      <c r="AZ172" s="534">
        <f>1206192.83999999 - BA172</f>
        <v>1206192.8399999901</v>
      </c>
      <c r="BA172" s="534">
        <v>0</v>
      </c>
      <c r="BD172" s="392">
        <f t="shared" si="91"/>
        <v>0</v>
      </c>
      <c r="BE172" s="425">
        <f t="shared" si="92"/>
        <v>0</v>
      </c>
      <c r="BF172" s="425">
        <f t="shared" si="97"/>
        <v>0</v>
      </c>
      <c r="BG172" s="425">
        <f t="shared" si="97"/>
        <v>-717</v>
      </c>
      <c r="BH172" s="425">
        <f t="shared" si="97"/>
        <v>0</v>
      </c>
      <c r="BI172" s="425">
        <f t="shared" si="97"/>
        <v>0</v>
      </c>
      <c r="BJ172" s="425">
        <f t="shared" si="97"/>
        <v>0</v>
      </c>
      <c r="BK172" s="425">
        <f t="shared" si="97"/>
        <v>0</v>
      </c>
      <c r="BL172" s="425">
        <f t="shared" si="97"/>
        <v>-326.74000000000518</v>
      </c>
      <c r="BM172" s="425">
        <f t="shared" si="94"/>
        <v>0</v>
      </c>
      <c r="BN172" s="425">
        <f t="shared" si="94"/>
        <v>0</v>
      </c>
      <c r="BO172" s="425">
        <f t="shared" si="94"/>
        <v>0</v>
      </c>
      <c r="BP172" s="425">
        <f t="shared" si="95"/>
        <v>-1206192.8399999901</v>
      </c>
      <c r="BQ172" s="425">
        <f t="shared" si="95"/>
        <v>0</v>
      </c>
      <c r="BR172" s="425">
        <f t="shared" si="95"/>
        <v>-23.2</v>
      </c>
      <c r="BS172" s="425">
        <f t="shared" si="96"/>
        <v>1170000</v>
      </c>
      <c r="BT172" s="426">
        <f t="shared" si="96"/>
        <v>0</v>
      </c>
    </row>
    <row r="173" spans="2:72" x14ac:dyDescent="0.25">
      <c r="B173" s="145"/>
      <c r="C173" s="539">
        <v>43525</v>
      </c>
      <c r="D173" s="533"/>
      <c r="E173" s="534">
        <v>0</v>
      </c>
      <c r="F173" s="534">
        <v>0</v>
      </c>
      <c r="G173" s="534">
        <v>0</v>
      </c>
      <c r="H173" s="540">
        <v>0</v>
      </c>
      <c r="I173" s="536">
        <v>0</v>
      </c>
      <c r="J173" s="533"/>
      <c r="K173" s="534">
        <v>100874.07</v>
      </c>
      <c r="L173" s="534">
        <v>0</v>
      </c>
      <c r="M173" s="534">
        <v>0</v>
      </c>
      <c r="N173" s="534">
        <v>5000</v>
      </c>
      <c r="O173" s="534">
        <v>0</v>
      </c>
      <c r="P173" s="534">
        <v>0</v>
      </c>
      <c r="Q173" s="534">
        <v>0</v>
      </c>
      <c r="R173" s="534">
        <v>0</v>
      </c>
      <c r="S173" s="536">
        <v>105874.07</v>
      </c>
      <c r="T173" s="533"/>
      <c r="U173" s="534">
        <v>0</v>
      </c>
      <c r="V173" s="534">
        <v>0</v>
      </c>
      <c r="W173" s="534">
        <v>0</v>
      </c>
      <c r="X173" s="534">
        <v>0</v>
      </c>
      <c r="Y173" s="534">
        <v>0</v>
      </c>
      <c r="Z173" s="534">
        <v>0</v>
      </c>
      <c r="AA173" s="534">
        <v>792.41</v>
      </c>
      <c r="AB173" s="534">
        <v>0</v>
      </c>
      <c r="AC173" s="534">
        <v>0</v>
      </c>
      <c r="AD173" s="534">
        <v>7.5</v>
      </c>
      <c r="AE173" s="536">
        <v>799.91</v>
      </c>
      <c r="AF173" s="533"/>
      <c r="AG173" s="534">
        <v>0</v>
      </c>
      <c r="AH173" s="534">
        <v>0</v>
      </c>
      <c r="AI173" s="534">
        <v>0</v>
      </c>
      <c r="AJ173" s="534">
        <v>0</v>
      </c>
      <c r="AK173" s="536">
        <v>0</v>
      </c>
      <c r="AL173" s="533"/>
      <c r="AM173" s="534">
        <v>-1737615.6987999999</v>
      </c>
      <c r="AN173" s="534">
        <v>1775160.1812</v>
      </c>
      <c r="AO173" s="534">
        <v>72455.517600000006</v>
      </c>
      <c r="AP173" s="537">
        <v>0</v>
      </c>
      <c r="AQ173" s="535"/>
      <c r="AR173" s="534"/>
      <c r="AS173" s="534"/>
      <c r="AT173" s="534"/>
      <c r="AU173" s="536">
        <v>110000.0000000001</v>
      </c>
      <c r="AV173" s="533"/>
      <c r="AW173" s="538">
        <v>3326.0200000000909</v>
      </c>
      <c r="AX173" s="538">
        <v>5213.2100000002392</v>
      </c>
      <c r="AY173" s="533"/>
      <c r="AZ173" s="534">
        <f>100874.07 - BA173</f>
        <v>100874.07</v>
      </c>
      <c r="BA173" s="534">
        <v>0</v>
      </c>
      <c r="BD173" s="392">
        <f t="shared" si="91"/>
        <v>0</v>
      </c>
      <c r="BE173" s="425">
        <f t="shared" si="92"/>
        <v>0</v>
      </c>
      <c r="BF173" s="425">
        <f t="shared" si="97"/>
        <v>0</v>
      </c>
      <c r="BG173" s="425">
        <f t="shared" si="97"/>
        <v>-5000</v>
      </c>
      <c r="BH173" s="425">
        <f t="shared" si="97"/>
        <v>0</v>
      </c>
      <c r="BI173" s="425">
        <f t="shared" si="97"/>
        <v>0</v>
      </c>
      <c r="BJ173" s="425">
        <f t="shared" si="97"/>
        <v>0</v>
      </c>
      <c r="BK173" s="425">
        <f t="shared" si="97"/>
        <v>0</v>
      </c>
      <c r="BL173" s="425">
        <f t="shared" si="97"/>
        <v>-792.41</v>
      </c>
      <c r="BM173" s="425">
        <f t="shared" si="94"/>
        <v>0</v>
      </c>
      <c r="BN173" s="425">
        <f t="shared" si="94"/>
        <v>0</v>
      </c>
      <c r="BO173" s="425">
        <f t="shared" si="94"/>
        <v>0</v>
      </c>
      <c r="BP173" s="425">
        <f t="shared" si="95"/>
        <v>-100874.07</v>
      </c>
      <c r="BQ173" s="425">
        <f t="shared" si="95"/>
        <v>0</v>
      </c>
      <c r="BR173" s="425">
        <f t="shared" si="95"/>
        <v>-7.5</v>
      </c>
      <c r="BS173" s="425">
        <f t="shared" si="96"/>
        <v>110000.0000000001</v>
      </c>
      <c r="BT173" s="426">
        <f t="shared" si="96"/>
        <v>0</v>
      </c>
    </row>
    <row r="174" spans="2:72" x14ac:dyDescent="0.25">
      <c r="B174" s="145"/>
      <c r="C174" s="539">
        <v>43556</v>
      </c>
      <c r="D174" s="533"/>
      <c r="E174" s="534">
        <v>0</v>
      </c>
      <c r="F174" s="534">
        <v>1754739.43</v>
      </c>
      <c r="G174" s="534">
        <v>14671.2</v>
      </c>
      <c r="H174" s="540">
        <v>0</v>
      </c>
      <c r="I174" s="536">
        <v>1769410.63</v>
      </c>
      <c r="J174" s="533"/>
      <c r="K174" s="534">
        <v>1350732.34</v>
      </c>
      <c r="L174" s="534">
        <v>0</v>
      </c>
      <c r="M174" s="534">
        <v>0</v>
      </c>
      <c r="N174" s="534">
        <v>79782.22</v>
      </c>
      <c r="O174" s="534">
        <v>14575.2</v>
      </c>
      <c r="P174" s="534">
        <v>0</v>
      </c>
      <c r="Q174" s="534">
        <v>1144.2</v>
      </c>
      <c r="R174" s="534">
        <v>0</v>
      </c>
      <c r="S174" s="536">
        <v>1446233.96</v>
      </c>
      <c r="T174" s="533"/>
      <c r="U174" s="534">
        <v>0</v>
      </c>
      <c r="V174" s="534">
        <v>1200</v>
      </c>
      <c r="W174" s="534">
        <v>0</v>
      </c>
      <c r="X174" s="534">
        <v>0</v>
      </c>
      <c r="Y174" s="534">
        <v>0</v>
      </c>
      <c r="Z174" s="534">
        <v>0</v>
      </c>
      <c r="AA174" s="534">
        <v>4958.68</v>
      </c>
      <c r="AB174" s="534">
        <v>-1000</v>
      </c>
      <c r="AC174" s="534">
        <v>24</v>
      </c>
      <c r="AD174" s="534">
        <v>-35357.54</v>
      </c>
      <c r="AE174" s="536">
        <v>-30174.86</v>
      </c>
      <c r="AF174" s="533"/>
      <c r="AG174" s="534">
        <v>0</v>
      </c>
      <c r="AH174" s="534">
        <v>0</v>
      </c>
      <c r="AI174" s="534">
        <v>0</v>
      </c>
      <c r="AJ174" s="534">
        <v>0</v>
      </c>
      <c r="AK174" s="536">
        <v>0</v>
      </c>
      <c r="AL174" s="533"/>
      <c r="AM174" s="534">
        <v>-110000</v>
      </c>
      <c r="AN174" s="534">
        <v>0</v>
      </c>
      <c r="AO174" s="534">
        <v>0</v>
      </c>
      <c r="AP174" s="537">
        <v>9315421.7100000009</v>
      </c>
      <c r="AQ174" s="535"/>
      <c r="AR174" s="534"/>
      <c r="AS174" s="534"/>
      <c r="AT174" s="534"/>
      <c r="AU174" s="536">
        <v>7450682.2800000021</v>
      </c>
      <c r="AV174" s="533"/>
      <c r="AW174" s="538">
        <v>7804033.8100000024</v>
      </c>
      <c r="AX174" s="538">
        <v>7809247.0200000023</v>
      </c>
      <c r="AY174" s="533"/>
      <c r="AZ174" s="534">
        <f>1350732.34 - BA174</f>
        <v>1290386.4400000002</v>
      </c>
      <c r="BA174" s="534">
        <v>60345.9</v>
      </c>
      <c r="BD174" s="392">
        <f t="shared" si="91"/>
        <v>0</v>
      </c>
      <c r="BE174" s="425">
        <f t="shared" si="92"/>
        <v>-24</v>
      </c>
      <c r="BF174" s="425">
        <f t="shared" si="97"/>
        <v>0</v>
      </c>
      <c r="BG174" s="425">
        <f t="shared" si="97"/>
        <v>-95501.62</v>
      </c>
      <c r="BH174" s="425">
        <f t="shared" si="97"/>
        <v>-1200</v>
      </c>
      <c r="BI174" s="425">
        <f t="shared" si="97"/>
        <v>0</v>
      </c>
      <c r="BJ174" s="425">
        <f t="shared" si="97"/>
        <v>0</v>
      </c>
      <c r="BK174" s="425">
        <f t="shared" si="97"/>
        <v>0</v>
      </c>
      <c r="BL174" s="425">
        <f t="shared" si="97"/>
        <v>-3958.6800000000003</v>
      </c>
      <c r="BM174" s="425">
        <f t="shared" si="94"/>
        <v>1769410.63</v>
      </c>
      <c r="BN174" s="425">
        <f t="shared" si="94"/>
        <v>0</v>
      </c>
      <c r="BO174" s="425">
        <f t="shared" si="94"/>
        <v>0</v>
      </c>
      <c r="BP174" s="425">
        <f t="shared" si="95"/>
        <v>-1290386.4400000002</v>
      </c>
      <c r="BQ174" s="425">
        <f t="shared" si="95"/>
        <v>-60345.9</v>
      </c>
      <c r="BR174" s="425">
        <f t="shared" si="95"/>
        <v>35357.54</v>
      </c>
      <c r="BS174" s="425">
        <f t="shared" si="96"/>
        <v>9205421.7100000009</v>
      </c>
      <c r="BT174" s="426">
        <f t="shared" si="96"/>
        <v>0</v>
      </c>
    </row>
    <row r="175" spans="2:72" x14ac:dyDescent="0.25">
      <c r="B175" s="145"/>
      <c r="C175" s="539">
        <v>43586</v>
      </c>
      <c r="D175" s="533"/>
      <c r="E175" s="534">
        <v>0</v>
      </c>
      <c r="F175" s="534">
        <v>0</v>
      </c>
      <c r="G175" s="534">
        <v>706.2</v>
      </c>
      <c r="H175" s="540">
        <v>-535.5</v>
      </c>
      <c r="I175" s="536">
        <v>170.7</v>
      </c>
      <c r="J175" s="533"/>
      <c r="K175" s="534">
        <v>1099830.8899999999</v>
      </c>
      <c r="L175" s="534">
        <v>0</v>
      </c>
      <c r="M175" s="534">
        <v>0</v>
      </c>
      <c r="N175" s="534">
        <v>8585.9599999999991</v>
      </c>
      <c r="O175" s="534">
        <v>57947.54</v>
      </c>
      <c r="P175" s="534">
        <v>12547.26</v>
      </c>
      <c r="Q175" s="534">
        <v>55.8</v>
      </c>
      <c r="R175" s="534">
        <v>0</v>
      </c>
      <c r="S175" s="536">
        <v>1178967.45</v>
      </c>
      <c r="T175" s="533"/>
      <c r="U175" s="534">
        <v>2282.5</v>
      </c>
      <c r="V175" s="534">
        <v>119.99</v>
      </c>
      <c r="W175" s="534">
        <v>18000</v>
      </c>
      <c r="X175" s="534">
        <v>0</v>
      </c>
      <c r="Y175" s="534">
        <v>0</v>
      </c>
      <c r="Z175" s="534">
        <v>0</v>
      </c>
      <c r="AA175" s="534">
        <v>2551.0500000000002</v>
      </c>
      <c r="AB175" s="534">
        <v>1000</v>
      </c>
      <c r="AC175" s="534">
        <v>0</v>
      </c>
      <c r="AD175" s="534">
        <v>-38620.300000000003</v>
      </c>
      <c r="AE175" s="536">
        <v>-14666.760000000009</v>
      </c>
      <c r="AF175" s="533"/>
      <c r="AG175" s="534">
        <v>0</v>
      </c>
      <c r="AH175" s="534">
        <v>0</v>
      </c>
      <c r="AI175" s="534">
        <v>0</v>
      </c>
      <c r="AJ175" s="534">
        <v>0</v>
      </c>
      <c r="AK175" s="536">
        <v>0</v>
      </c>
      <c r="AL175" s="533"/>
      <c r="AM175" s="534">
        <v>0</v>
      </c>
      <c r="AN175" s="534">
        <v>0</v>
      </c>
      <c r="AO175" s="534">
        <v>0</v>
      </c>
      <c r="AP175" s="537">
        <v>0</v>
      </c>
      <c r="AQ175" s="535"/>
      <c r="AR175" s="534"/>
      <c r="AS175" s="534"/>
      <c r="AT175" s="534"/>
      <c r="AU175" s="536">
        <v>0</v>
      </c>
      <c r="AV175" s="533"/>
      <c r="AW175" s="538">
        <v>-1164129.99</v>
      </c>
      <c r="AX175" s="538">
        <v>6645117.0300000021</v>
      </c>
      <c r="AY175" s="533"/>
      <c r="AZ175" s="534">
        <f>1099830.89 - BA175</f>
        <v>1099830.8899999999</v>
      </c>
      <c r="BA175" s="534">
        <v>0</v>
      </c>
      <c r="BD175" s="392">
        <f t="shared" si="91"/>
        <v>0</v>
      </c>
      <c r="BE175" s="425">
        <f t="shared" si="92"/>
        <v>-535.5</v>
      </c>
      <c r="BF175" s="425">
        <f t="shared" si="97"/>
        <v>0</v>
      </c>
      <c r="BG175" s="425">
        <f t="shared" si="97"/>
        <v>-81419.06</v>
      </c>
      <c r="BH175" s="425">
        <f t="shared" si="97"/>
        <v>-18119.990000000002</v>
      </c>
      <c r="BI175" s="425">
        <f t="shared" si="97"/>
        <v>0</v>
      </c>
      <c r="BJ175" s="425">
        <f t="shared" si="97"/>
        <v>0</v>
      </c>
      <c r="BK175" s="425">
        <f t="shared" si="97"/>
        <v>0</v>
      </c>
      <c r="BL175" s="425">
        <f t="shared" si="97"/>
        <v>-3551.05</v>
      </c>
      <c r="BM175" s="425">
        <f t="shared" si="94"/>
        <v>706.2</v>
      </c>
      <c r="BN175" s="425">
        <f t="shared" si="94"/>
        <v>0</v>
      </c>
      <c r="BO175" s="425">
        <f t="shared" si="94"/>
        <v>0</v>
      </c>
      <c r="BP175" s="425">
        <f t="shared" si="95"/>
        <v>-1099830.8899999999</v>
      </c>
      <c r="BQ175" s="425">
        <f t="shared" si="95"/>
        <v>0</v>
      </c>
      <c r="BR175" s="425">
        <f t="shared" si="95"/>
        <v>38620.300000000003</v>
      </c>
      <c r="BS175" s="425">
        <f t="shared" si="96"/>
        <v>0</v>
      </c>
      <c r="BT175" s="426">
        <f t="shared" si="96"/>
        <v>0</v>
      </c>
    </row>
    <row r="176" spans="2:72" x14ac:dyDescent="0.25">
      <c r="B176" s="145"/>
      <c r="C176" s="539">
        <v>43617</v>
      </c>
      <c r="D176" s="533"/>
      <c r="E176" s="534">
        <v>0</v>
      </c>
      <c r="F176" s="534">
        <v>0</v>
      </c>
      <c r="G176" s="534">
        <v>9530.7000000000007</v>
      </c>
      <c r="H176" s="540">
        <v>-21.19</v>
      </c>
      <c r="I176" s="536">
        <v>9509.51</v>
      </c>
      <c r="J176" s="533"/>
      <c r="K176" s="534">
        <v>89767.569999999992</v>
      </c>
      <c r="L176" s="534">
        <v>0</v>
      </c>
      <c r="M176" s="534">
        <v>0</v>
      </c>
      <c r="N176" s="534">
        <v>8590.56</v>
      </c>
      <c r="O176" s="534">
        <v>132590.93</v>
      </c>
      <c r="P176" s="534">
        <v>1775.71</v>
      </c>
      <c r="Q176" s="534">
        <v>929.67</v>
      </c>
      <c r="R176" s="534">
        <v>0</v>
      </c>
      <c r="S176" s="536">
        <v>233654.44</v>
      </c>
      <c r="T176" s="533"/>
      <c r="U176" s="534">
        <v>0</v>
      </c>
      <c r="V176" s="534">
        <v>0</v>
      </c>
      <c r="W176" s="534">
        <v>13519.55</v>
      </c>
      <c r="X176" s="534">
        <v>0</v>
      </c>
      <c r="Y176" s="534">
        <v>0</v>
      </c>
      <c r="Z176" s="534">
        <v>0</v>
      </c>
      <c r="AA176" s="534">
        <v>2336.94</v>
      </c>
      <c r="AB176" s="534">
        <v>0</v>
      </c>
      <c r="AC176" s="534">
        <v>0</v>
      </c>
      <c r="AD176" s="534">
        <v>-29239.94</v>
      </c>
      <c r="AE176" s="536">
        <v>-13383.45</v>
      </c>
      <c r="AF176" s="533"/>
      <c r="AG176" s="534">
        <v>0</v>
      </c>
      <c r="AH176" s="534">
        <v>0</v>
      </c>
      <c r="AI176" s="534">
        <v>0</v>
      </c>
      <c r="AJ176" s="534">
        <v>0</v>
      </c>
      <c r="AK176" s="536">
        <v>0</v>
      </c>
      <c r="AL176" s="533"/>
      <c r="AM176" s="534">
        <v>0</v>
      </c>
      <c r="AN176" s="534">
        <v>0</v>
      </c>
      <c r="AO176" s="534">
        <v>0</v>
      </c>
      <c r="AP176" s="537">
        <v>0</v>
      </c>
      <c r="AQ176" s="535"/>
      <c r="AR176" s="534"/>
      <c r="AS176" s="534"/>
      <c r="AT176" s="534"/>
      <c r="AU176" s="536">
        <v>0</v>
      </c>
      <c r="AV176" s="533"/>
      <c r="AW176" s="538">
        <v>-210761.48</v>
      </c>
      <c r="AX176" s="538">
        <v>6434355.5500000026</v>
      </c>
      <c r="AY176" s="533"/>
      <c r="AZ176" s="534">
        <f>89767.5699999999 - BA176</f>
        <v>89767.569999999905</v>
      </c>
      <c r="BA176" s="534">
        <v>0</v>
      </c>
      <c r="BD176" s="392">
        <f t="shared" si="91"/>
        <v>0</v>
      </c>
      <c r="BE176" s="425">
        <f t="shared" si="92"/>
        <v>-21.19</v>
      </c>
      <c r="BF176" s="425">
        <f t="shared" si="97"/>
        <v>0</v>
      </c>
      <c r="BG176" s="425">
        <f t="shared" si="97"/>
        <v>-143886.87</v>
      </c>
      <c r="BH176" s="425">
        <f t="shared" si="97"/>
        <v>-13519.55</v>
      </c>
      <c r="BI176" s="425">
        <f t="shared" si="97"/>
        <v>0</v>
      </c>
      <c r="BJ176" s="425">
        <f t="shared" si="97"/>
        <v>0</v>
      </c>
      <c r="BK176" s="425">
        <f t="shared" si="97"/>
        <v>0</v>
      </c>
      <c r="BL176" s="425">
        <f t="shared" si="97"/>
        <v>-2336.94</v>
      </c>
      <c r="BM176" s="425">
        <f t="shared" si="94"/>
        <v>9530.7000000000007</v>
      </c>
      <c r="BN176" s="425">
        <f t="shared" si="94"/>
        <v>0</v>
      </c>
      <c r="BO176" s="425">
        <f t="shared" si="94"/>
        <v>0</v>
      </c>
      <c r="BP176" s="425">
        <f t="shared" si="95"/>
        <v>-89767.569999999905</v>
      </c>
      <c r="BQ176" s="425">
        <f t="shared" si="95"/>
        <v>0</v>
      </c>
      <c r="BR176" s="425">
        <f t="shared" si="95"/>
        <v>29239.94</v>
      </c>
      <c r="BS176" s="425">
        <f t="shared" si="96"/>
        <v>0</v>
      </c>
      <c r="BT176" s="426">
        <f t="shared" si="96"/>
        <v>0</v>
      </c>
    </row>
    <row r="177" spans="2:72" x14ac:dyDescent="0.25">
      <c r="B177" s="145"/>
      <c r="C177" s="539">
        <v>43647</v>
      </c>
      <c r="D177" s="533"/>
      <c r="E177" s="534">
        <v>0</v>
      </c>
      <c r="F177" s="534">
        <v>0</v>
      </c>
      <c r="G177" s="534">
        <v>8610</v>
      </c>
      <c r="H177" s="540">
        <v>-347.87</v>
      </c>
      <c r="I177" s="536">
        <v>8262.1299999999992</v>
      </c>
      <c r="J177" s="533"/>
      <c r="K177" s="534">
        <v>3313710.61</v>
      </c>
      <c r="L177" s="534">
        <v>0</v>
      </c>
      <c r="M177" s="534">
        <v>0</v>
      </c>
      <c r="N177" s="534">
        <v>5000</v>
      </c>
      <c r="O177" s="534">
        <v>81868.100000000006</v>
      </c>
      <c r="P177" s="534">
        <v>9446.5</v>
      </c>
      <c r="Q177" s="534">
        <v>45.34</v>
      </c>
      <c r="R177" s="534">
        <v>0</v>
      </c>
      <c r="S177" s="536">
        <v>3410070.55</v>
      </c>
      <c r="T177" s="533"/>
      <c r="U177" s="534">
        <v>0</v>
      </c>
      <c r="V177" s="534">
        <v>1496.69</v>
      </c>
      <c r="W177" s="534">
        <v>780.45</v>
      </c>
      <c r="X177" s="534">
        <v>0</v>
      </c>
      <c r="Y177" s="534">
        <v>0</v>
      </c>
      <c r="Z177" s="534">
        <v>0</v>
      </c>
      <c r="AA177" s="534">
        <v>1280.3499999999999</v>
      </c>
      <c r="AB177" s="534">
        <v>0</v>
      </c>
      <c r="AC177" s="534">
        <v>29335.81</v>
      </c>
      <c r="AD177" s="534">
        <v>-5723.1100000000006</v>
      </c>
      <c r="AE177" s="536">
        <v>27170.19</v>
      </c>
      <c r="AF177" s="533"/>
      <c r="AG177" s="534">
        <v>0</v>
      </c>
      <c r="AH177" s="534">
        <v>0</v>
      </c>
      <c r="AI177" s="534">
        <v>0</v>
      </c>
      <c r="AJ177" s="534">
        <v>0</v>
      </c>
      <c r="AK177" s="536">
        <v>0</v>
      </c>
      <c r="AL177" s="533"/>
      <c r="AM177" s="534">
        <v>0</v>
      </c>
      <c r="AN177" s="534">
        <v>0</v>
      </c>
      <c r="AO177" s="534">
        <v>0</v>
      </c>
      <c r="AP177" s="537">
        <v>0</v>
      </c>
      <c r="AQ177" s="535"/>
      <c r="AR177" s="534"/>
      <c r="AS177" s="534"/>
      <c r="AT177" s="534"/>
      <c r="AU177" s="536">
        <v>0</v>
      </c>
      <c r="AV177" s="533"/>
      <c r="AW177" s="538">
        <v>-3428978.61</v>
      </c>
      <c r="AX177" s="538">
        <v>3005376.9400000032</v>
      </c>
      <c r="AY177" s="533"/>
      <c r="AZ177" s="534">
        <f>3313710.61 - BA177</f>
        <v>3313710.61</v>
      </c>
      <c r="BA177" s="534">
        <v>0</v>
      </c>
      <c r="BD177" s="392">
        <f t="shared" si="91"/>
        <v>0</v>
      </c>
      <c r="BE177" s="425">
        <f t="shared" si="92"/>
        <v>-29683.680000000004</v>
      </c>
      <c r="BF177" s="425">
        <f t="shared" si="97"/>
        <v>0</v>
      </c>
      <c r="BG177" s="425">
        <f t="shared" si="97"/>
        <v>-96359.94</v>
      </c>
      <c r="BH177" s="425">
        <f t="shared" si="97"/>
        <v>-2277.1400000000003</v>
      </c>
      <c r="BI177" s="425">
        <f t="shared" si="97"/>
        <v>0</v>
      </c>
      <c r="BJ177" s="425">
        <f t="shared" si="97"/>
        <v>0</v>
      </c>
      <c r="BK177" s="425">
        <f t="shared" si="97"/>
        <v>0</v>
      </c>
      <c r="BL177" s="425">
        <f t="shared" si="97"/>
        <v>-1280.3499999999999</v>
      </c>
      <c r="BM177" s="425">
        <f t="shared" si="94"/>
        <v>8610</v>
      </c>
      <c r="BN177" s="425">
        <f t="shared" si="94"/>
        <v>0</v>
      </c>
      <c r="BO177" s="425">
        <f t="shared" si="94"/>
        <v>0</v>
      </c>
      <c r="BP177" s="425">
        <f t="shared" si="95"/>
        <v>-3313710.61</v>
      </c>
      <c r="BQ177" s="425">
        <f t="shared" si="95"/>
        <v>0</v>
      </c>
      <c r="BR177" s="425">
        <f t="shared" si="95"/>
        <v>5723.1100000000006</v>
      </c>
      <c r="BS177" s="425">
        <f t="shared" si="96"/>
        <v>0</v>
      </c>
      <c r="BT177" s="426">
        <f t="shared" si="96"/>
        <v>0</v>
      </c>
    </row>
    <row r="178" spans="2:72" x14ac:dyDescent="0.25">
      <c r="B178" s="145"/>
      <c r="C178" s="539">
        <v>43678</v>
      </c>
      <c r="D178" s="533"/>
      <c r="E178" s="534">
        <v>0</v>
      </c>
      <c r="F178" s="534">
        <v>1220633.04</v>
      </c>
      <c r="G178" s="534">
        <v>8803</v>
      </c>
      <c r="H178" s="540">
        <v>-314.27</v>
      </c>
      <c r="I178" s="536">
        <v>1229121.77</v>
      </c>
      <c r="J178" s="533"/>
      <c r="K178" s="534">
        <v>8085176.1500000013</v>
      </c>
      <c r="L178" s="534">
        <v>0</v>
      </c>
      <c r="M178" s="534">
        <v>0</v>
      </c>
      <c r="N178" s="534">
        <v>34284.75</v>
      </c>
      <c r="O178" s="534">
        <v>48462.25</v>
      </c>
      <c r="P178" s="534">
        <v>2805.47</v>
      </c>
      <c r="Q178" s="534">
        <v>0</v>
      </c>
      <c r="R178" s="534">
        <v>0</v>
      </c>
      <c r="S178" s="536">
        <v>8170728.620000001</v>
      </c>
      <c r="T178" s="533"/>
      <c r="U178" s="534">
        <v>0</v>
      </c>
      <c r="V178" s="534">
        <v>0</v>
      </c>
      <c r="W178" s="534">
        <v>0</v>
      </c>
      <c r="X178" s="534">
        <v>0</v>
      </c>
      <c r="Y178" s="534">
        <v>0</v>
      </c>
      <c r="Z178" s="534">
        <v>0</v>
      </c>
      <c r="AA178" s="534">
        <v>6012.35</v>
      </c>
      <c r="AB178" s="534">
        <v>0</v>
      </c>
      <c r="AC178" s="534">
        <v>0</v>
      </c>
      <c r="AD178" s="534">
        <v>2830.59</v>
      </c>
      <c r="AE178" s="536">
        <v>8842.94</v>
      </c>
      <c r="AF178" s="533"/>
      <c r="AG178" s="534">
        <v>0</v>
      </c>
      <c r="AH178" s="534">
        <v>0</v>
      </c>
      <c r="AI178" s="534">
        <v>0</v>
      </c>
      <c r="AJ178" s="534">
        <v>0</v>
      </c>
      <c r="AK178" s="536">
        <v>0</v>
      </c>
      <c r="AL178" s="533"/>
      <c r="AM178" s="534">
        <v>1234800</v>
      </c>
      <c r="AN178" s="534">
        <v>0</v>
      </c>
      <c r="AO178" s="534">
        <v>50400</v>
      </c>
      <c r="AP178" s="537">
        <v>6480000</v>
      </c>
      <c r="AQ178" s="535"/>
      <c r="AR178" s="534"/>
      <c r="AS178" s="534"/>
      <c r="AT178" s="534"/>
      <c r="AU178" s="536">
        <v>6544566.96</v>
      </c>
      <c r="AV178" s="533"/>
      <c r="AW178" s="538">
        <v>-405882.83000000188</v>
      </c>
      <c r="AX178" s="538">
        <v>2599494.1100000008</v>
      </c>
      <c r="AY178" s="533"/>
      <c r="AZ178" s="534">
        <f>8085176.15 - BA178</f>
        <v>1867076.1799999997</v>
      </c>
      <c r="BA178" s="534">
        <v>6218099.9700000007</v>
      </c>
      <c r="BD178" s="392">
        <f t="shared" si="91"/>
        <v>0</v>
      </c>
      <c r="BE178" s="425">
        <f t="shared" si="92"/>
        <v>-314.27</v>
      </c>
      <c r="BF178" s="425">
        <f t="shared" si="97"/>
        <v>0</v>
      </c>
      <c r="BG178" s="425">
        <f t="shared" si="97"/>
        <v>-85552.47</v>
      </c>
      <c r="BH178" s="425">
        <f t="shared" si="97"/>
        <v>0</v>
      </c>
      <c r="BI178" s="425">
        <f t="shared" si="97"/>
        <v>0</v>
      </c>
      <c r="BJ178" s="425">
        <f t="shared" si="97"/>
        <v>0</v>
      </c>
      <c r="BK178" s="425">
        <f t="shared" si="97"/>
        <v>0</v>
      </c>
      <c r="BL178" s="425">
        <f t="shared" si="97"/>
        <v>-6012.35</v>
      </c>
      <c r="BM178" s="425">
        <f t="shared" si="94"/>
        <v>1229436.04</v>
      </c>
      <c r="BN178" s="425">
        <f t="shared" si="94"/>
        <v>0</v>
      </c>
      <c r="BO178" s="425">
        <f t="shared" si="94"/>
        <v>0</v>
      </c>
      <c r="BP178" s="425">
        <f t="shared" si="95"/>
        <v>-1867076.1799999997</v>
      </c>
      <c r="BQ178" s="425">
        <f t="shared" si="95"/>
        <v>-6218099.9700000007</v>
      </c>
      <c r="BR178" s="425">
        <f t="shared" si="95"/>
        <v>-2830.59</v>
      </c>
      <c r="BS178" s="425">
        <f t="shared" si="96"/>
        <v>7765200</v>
      </c>
      <c r="BT178" s="426">
        <f t="shared" si="96"/>
        <v>0</v>
      </c>
    </row>
    <row r="179" spans="2:72" x14ac:dyDescent="0.25">
      <c r="B179" s="145"/>
      <c r="C179" s="539">
        <v>43709</v>
      </c>
      <c r="D179" s="533"/>
      <c r="E179" s="534">
        <v>0</v>
      </c>
      <c r="F179" s="534">
        <v>0</v>
      </c>
      <c r="G179" s="534">
        <v>8003.1</v>
      </c>
      <c r="H179" s="540">
        <v>-321.30999999999989</v>
      </c>
      <c r="I179" s="536">
        <v>7681.7900000000009</v>
      </c>
      <c r="J179" s="533"/>
      <c r="K179" s="534">
        <v>988067.28999999934</v>
      </c>
      <c r="L179" s="534">
        <v>0</v>
      </c>
      <c r="M179" s="534">
        <v>0</v>
      </c>
      <c r="N179" s="534">
        <v>9040.85</v>
      </c>
      <c r="O179" s="534">
        <v>85647.3</v>
      </c>
      <c r="P179" s="534">
        <v>7588.83</v>
      </c>
      <c r="Q179" s="534">
        <v>0</v>
      </c>
      <c r="R179" s="534">
        <v>0</v>
      </c>
      <c r="S179" s="536">
        <v>1090344.2699999991</v>
      </c>
      <c r="T179" s="533"/>
      <c r="U179" s="534">
        <v>6547.67</v>
      </c>
      <c r="V179" s="534">
        <v>0</v>
      </c>
      <c r="W179" s="534">
        <v>7584.5</v>
      </c>
      <c r="X179" s="534">
        <v>0</v>
      </c>
      <c r="Y179" s="534">
        <v>0</v>
      </c>
      <c r="Z179" s="534">
        <v>0</v>
      </c>
      <c r="AA179" s="534">
        <v>1734.64</v>
      </c>
      <c r="AB179" s="534">
        <v>0</v>
      </c>
      <c r="AC179" s="534">
        <v>0</v>
      </c>
      <c r="AD179" s="534">
        <v>-13282.53</v>
      </c>
      <c r="AE179" s="536">
        <v>2584.2799999999988</v>
      </c>
      <c r="AF179" s="533"/>
      <c r="AG179" s="534">
        <v>0</v>
      </c>
      <c r="AH179" s="534">
        <v>0</v>
      </c>
      <c r="AI179" s="534">
        <v>0</v>
      </c>
      <c r="AJ179" s="534">
        <v>0</v>
      </c>
      <c r="AK179" s="536">
        <v>0</v>
      </c>
      <c r="AL179" s="533"/>
      <c r="AM179" s="534">
        <v>0</v>
      </c>
      <c r="AN179" s="534">
        <v>1234800</v>
      </c>
      <c r="AO179" s="534">
        <v>0</v>
      </c>
      <c r="AP179" s="537">
        <v>0</v>
      </c>
      <c r="AQ179" s="535"/>
      <c r="AR179" s="534"/>
      <c r="AS179" s="534"/>
      <c r="AT179" s="534"/>
      <c r="AU179" s="536">
        <v>1234800</v>
      </c>
      <c r="AV179" s="533"/>
      <c r="AW179" s="538">
        <v>149553.24000000069</v>
      </c>
      <c r="AX179" s="538">
        <v>2749047.350000001</v>
      </c>
      <c r="AY179" s="533"/>
      <c r="AZ179" s="534">
        <f>988067.289999999 - BA179</f>
        <v>538067.25999999978</v>
      </c>
      <c r="BA179" s="534">
        <v>450000.02999999927</v>
      </c>
      <c r="BD179" s="392">
        <f t="shared" si="91"/>
        <v>0</v>
      </c>
      <c r="BE179" s="425">
        <f t="shared" si="92"/>
        <v>-321.30999999999989</v>
      </c>
      <c r="BF179" s="425">
        <f t="shared" si="97"/>
        <v>0</v>
      </c>
      <c r="BG179" s="425">
        <f t="shared" si="97"/>
        <v>-108824.65000000001</v>
      </c>
      <c r="BH179" s="425">
        <f t="shared" si="97"/>
        <v>-7584.5</v>
      </c>
      <c r="BI179" s="425">
        <f t="shared" si="97"/>
        <v>0</v>
      </c>
      <c r="BJ179" s="425">
        <f t="shared" si="97"/>
        <v>0</v>
      </c>
      <c r="BK179" s="425">
        <f t="shared" si="97"/>
        <v>0</v>
      </c>
      <c r="BL179" s="425">
        <f t="shared" si="97"/>
        <v>-1734.64</v>
      </c>
      <c r="BM179" s="425">
        <f t="shared" si="94"/>
        <v>8003.1</v>
      </c>
      <c r="BN179" s="425">
        <f t="shared" si="94"/>
        <v>0</v>
      </c>
      <c r="BO179" s="425">
        <f t="shared" si="94"/>
        <v>0</v>
      </c>
      <c r="BP179" s="425">
        <f t="shared" si="95"/>
        <v>-538067.25999999978</v>
      </c>
      <c r="BQ179" s="425">
        <f t="shared" si="95"/>
        <v>-450000.02999999927</v>
      </c>
      <c r="BR179" s="425">
        <f t="shared" si="95"/>
        <v>13282.53</v>
      </c>
      <c r="BS179" s="425">
        <f t="shared" si="96"/>
        <v>1234800</v>
      </c>
      <c r="BT179" s="426">
        <f t="shared" si="96"/>
        <v>0</v>
      </c>
    </row>
    <row r="180" spans="2:72" x14ac:dyDescent="0.25">
      <c r="B180" s="145"/>
      <c r="C180" s="539">
        <v>43739</v>
      </c>
      <c r="D180" s="533"/>
      <c r="E180" s="534">
        <v>0</v>
      </c>
      <c r="F180" s="534">
        <v>1966575.46</v>
      </c>
      <c r="G180" s="534">
        <v>6657.3</v>
      </c>
      <c r="H180" s="540">
        <v>-292.11</v>
      </c>
      <c r="I180" s="536">
        <v>1972940.65</v>
      </c>
      <c r="J180" s="533"/>
      <c r="K180" s="534">
        <v>599276.69999999995</v>
      </c>
      <c r="L180" s="534">
        <v>0</v>
      </c>
      <c r="M180" s="534">
        <v>0</v>
      </c>
      <c r="N180" s="534">
        <v>31423.119999999999</v>
      </c>
      <c r="O180" s="534">
        <v>114937.01</v>
      </c>
      <c r="P180" s="534">
        <v>64594.45</v>
      </c>
      <c r="Q180" s="534">
        <v>0</v>
      </c>
      <c r="R180" s="534">
        <v>0</v>
      </c>
      <c r="S180" s="536">
        <v>810231.27999999991</v>
      </c>
      <c r="T180" s="533"/>
      <c r="U180" s="534">
        <v>429.07</v>
      </c>
      <c r="V180" s="534">
        <v>30905.91</v>
      </c>
      <c r="W180" s="534">
        <v>170620.95</v>
      </c>
      <c r="X180" s="534">
        <v>0</v>
      </c>
      <c r="Y180" s="534">
        <v>0</v>
      </c>
      <c r="Z180" s="534">
        <v>0</v>
      </c>
      <c r="AA180" s="534">
        <v>3126.21</v>
      </c>
      <c r="AB180" s="534">
        <v>0</v>
      </c>
      <c r="AC180" s="534">
        <v>4712.6400000000003</v>
      </c>
      <c r="AD180" s="534">
        <v>-14823.13</v>
      </c>
      <c r="AE180" s="536">
        <v>194971.65</v>
      </c>
      <c r="AF180" s="533"/>
      <c r="AG180" s="534">
        <v>0</v>
      </c>
      <c r="AH180" s="534">
        <v>0</v>
      </c>
      <c r="AI180" s="534">
        <v>0</v>
      </c>
      <c r="AJ180" s="534">
        <v>0</v>
      </c>
      <c r="AK180" s="536">
        <v>0</v>
      </c>
      <c r="AL180" s="533"/>
      <c r="AM180" s="534">
        <v>0</v>
      </c>
      <c r="AN180" s="534">
        <v>1989400</v>
      </c>
      <c r="AO180" s="534">
        <v>81200</v>
      </c>
      <c r="AP180" s="537">
        <v>10440000</v>
      </c>
      <c r="AQ180" s="535"/>
      <c r="AR180" s="534"/>
      <c r="AS180" s="534"/>
      <c r="AT180" s="534"/>
      <c r="AU180" s="536">
        <v>10544024.539999999</v>
      </c>
      <c r="AV180" s="533"/>
      <c r="AW180" s="538">
        <v>11511762.26</v>
      </c>
      <c r="AX180" s="538">
        <v>14260809.609999999</v>
      </c>
      <c r="AY180" s="533"/>
      <c r="AZ180" s="534">
        <f>599276.7 - BA180</f>
        <v>599276.69999999995</v>
      </c>
      <c r="BA180" s="534">
        <v>0</v>
      </c>
      <c r="BD180" s="392">
        <f t="shared" si="91"/>
        <v>0</v>
      </c>
      <c r="BE180" s="425">
        <f t="shared" si="92"/>
        <v>-5004.7500000000009</v>
      </c>
      <c r="BF180" s="425">
        <f t="shared" si="97"/>
        <v>0</v>
      </c>
      <c r="BG180" s="425">
        <f t="shared" si="97"/>
        <v>-211383.65000000002</v>
      </c>
      <c r="BH180" s="425">
        <f t="shared" si="97"/>
        <v>-201526.86000000002</v>
      </c>
      <c r="BI180" s="425">
        <f t="shared" si="97"/>
        <v>0</v>
      </c>
      <c r="BJ180" s="425">
        <f t="shared" si="97"/>
        <v>0</v>
      </c>
      <c r="BK180" s="425">
        <f t="shared" si="97"/>
        <v>0</v>
      </c>
      <c r="BL180" s="425">
        <f t="shared" si="97"/>
        <v>-3126.21</v>
      </c>
      <c r="BM180" s="425">
        <f t="shared" si="94"/>
        <v>1973232.76</v>
      </c>
      <c r="BN180" s="425">
        <f t="shared" si="94"/>
        <v>0</v>
      </c>
      <c r="BO180" s="425">
        <f t="shared" si="94"/>
        <v>0</v>
      </c>
      <c r="BP180" s="425">
        <f t="shared" si="95"/>
        <v>-599276.69999999995</v>
      </c>
      <c r="BQ180" s="425">
        <f t="shared" si="95"/>
        <v>0</v>
      </c>
      <c r="BR180" s="425">
        <f t="shared" si="95"/>
        <v>14823.13</v>
      </c>
      <c r="BS180" s="425">
        <f t="shared" si="96"/>
        <v>12510600</v>
      </c>
      <c r="BT180" s="426">
        <f t="shared" si="96"/>
        <v>0</v>
      </c>
    </row>
    <row r="181" spans="2:72" x14ac:dyDescent="0.25">
      <c r="B181" s="145"/>
      <c r="C181" s="539">
        <v>43770</v>
      </c>
      <c r="D181" s="533"/>
      <c r="E181" s="534">
        <v>0</v>
      </c>
      <c r="F181" s="534">
        <v>2055000</v>
      </c>
      <c r="G181" s="534">
        <v>5468.1</v>
      </c>
      <c r="H181" s="540">
        <v>-242.99</v>
      </c>
      <c r="I181" s="536">
        <v>2060225.11</v>
      </c>
      <c r="J181" s="533"/>
      <c r="K181" s="534">
        <v>548969.1399999999</v>
      </c>
      <c r="L181" s="534">
        <v>0</v>
      </c>
      <c r="M181" s="534">
        <v>0</v>
      </c>
      <c r="N181" s="534">
        <v>6049.64</v>
      </c>
      <c r="O181" s="534">
        <v>54206.11</v>
      </c>
      <c r="P181" s="534">
        <v>12540.5</v>
      </c>
      <c r="Q181" s="534">
        <v>0</v>
      </c>
      <c r="R181" s="534">
        <v>0</v>
      </c>
      <c r="S181" s="536">
        <v>621765.3899999999</v>
      </c>
      <c r="T181" s="533"/>
      <c r="U181" s="534">
        <v>100</v>
      </c>
      <c r="V181" s="534">
        <v>30905.91</v>
      </c>
      <c r="W181" s="534">
        <v>110293.54</v>
      </c>
      <c r="X181" s="534">
        <v>0</v>
      </c>
      <c r="Y181" s="534">
        <v>0</v>
      </c>
      <c r="Z181" s="534">
        <v>0</v>
      </c>
      <c r="AA181" s="534">
        <v>3856</v>
      </c>
      <c r="AB181" s="534">
        <v>0</v>
      </c>
      <c r="AC181" s="534">
        <v>0</v>
      </c>
      <c r="AD181" s="534">
        <v>-36547.43</v>
      </c>
      <c r="AE181" s="536">
        <v>108608.02</v>
      </c>
      <c r="AF181" s="533"/>
      <c r="AG181" s="534">
        <v>0</v>
      </c>
      <c r="AH181" s="534">
        <v>0</v>
      </c>
      <c r="AI181" s="534">
        <v>0</v>
      </c>
      <c r="AJ181" s="534">
        <v>0</v>
      </c>
      <c r="AK181" s="536">
        <v>0</v>
      </c>
      <c r="AL181" s="533"/>
      <c r="AM181" s="534">
        <v>1989400</v>
      </c>
      <c r="AN181" s="534">
        <v>0</v>
      </c>
      <c r="AO181" s="534">
        <v>0</v>
      </c>
      <c r="AP181" s="537">
        <v>0</v>
      </c>
      <c r="AQ181" s="535"/>
      <c r="AR181" s="534"/>
      <c r="AS181" s="534"/>
      <c r="AT181" s="534"/>
      <c r="AU181" s="536">
        <v>-65600</v>
      </c>
      <c r="AV181" s="533"/>
      <c r="AW181" s="538">
        <v>1264251.7</v>
      </c>
      <c r="AX181" s="538">
        <v>15525061.310000001</v>
      </c>
      <c r="AY181" s="533"/>
      <c r="AZ181" s="534">
        <f>548969.139999999 - BA181</f>
        <v>548969.13999999897</v>
      </c>
      <c r="BA181" s="534">
        <v>0</v>
      </c>
      <c r="BD181" s="392">
        <f t="shared" si="91"/>
        <v>0</v>
      </c>
      <c r="BE181" s="425">
        <f t="shared" si="92"/>
        <v>-242.99</v>
      </c>
      <c r="BF181" s="425">
        <f t="shared" ref="BF181:BL190" si="98">-SUMIF($E$6:$BA$6, BF$6, $E181:$BA181)</f>
        <v>0</v>
      </c>
      <c r="BG181" s="425">
        <f t="shared" si="98"/>
        <v>-72896.25</v>
      </c>
      <c r="BH181" s="425">
        <f t="shared" si="98"/>
        <v>-141199.44999999998</v>
      </c>
      <c r="BI181" s="425">
        <f t="shared" si="98"/>
        <v>0</v>
      </c>
      <c r="BJ181" s="425">
        <f t="shared" si="98"/>
        <v>0</v>
      </c>
      <c r="BK181" s="425">
        <f t="shared" si="98"/>
        <v>0</v>
      </c>
      <c r="BL181" s="425">
        <f t="shared" si="98"/>
        <v>-3856</v>
      </c>
      <c r="BM181" s="425">
        <f t="shared" ref="BM181:BO200" si="99">SUMIF($E$6:$BA$6, BM$6, $E181:$BA181)</f>
        <v>2060468.1</v>
      </c>
      <c r="BN181" s="425">
        <f t="shared" si="99"/>
        <v>0</v>
      </c>
      <c r="BO181" s="425">
        <f t="shared" si="99"/>
        <v>0</v>
      </c>
      <c r="BP181" s="425">
        <f t="shared" ref="BP181:BR200" si="100">-SUMIF($E$6:$BA$6, BP$6, $E181:$BA181)</f>
        <v>-548969.13999999897</v>
      </c>
      <c r="BQ181" s="425">
        <f t="shared" si="100"/>
        <v>0</v>
      </c>
      <c r="BR181" s="425">
        <f t="shared" si="100"/>
        <v>36547.43</v>
      </c>
      <c r="BS181" s="425">
        <f t="shared" ref="BS181:BT200" si="101">SUMIF($E$6:$BA$6, BS$6, $E181:$BA181)</f>
        <v>1989400</v>
      </c>
      <c r="BT181" s="426">
        <f t="shared" si="101"/>
        <v>0</v>
      </c>
    </row>
    <row r="182" spans="2:72" x14ac:dyDescent="0.25">
      <c r="B182" s="145"/>
      <c r="C182" s="539">
        <v>43800</v>
      </c>
      <c r="D182" s="533"/>
      <c r="E182" s="534">
        <v>0</v>
      </c>
      <c r="F182" s="534">
        <v>877594.24999999988</v>
      </c>
      <c r="G182" s="534">
        <v>0</v>
      </c>
      <c r="H182" s="540">
        <v>0</v>
      </c>
      <c r="I182" s="536">
        <v>877594.24999999988</v>
      </c>
      <c r="J182" s="533"/>
      <c r="K182" s="534">
        <v>18242115.41</v>
      </c>
      <c r="L182" s="534">
        <v>0</v>
      </c>
      <c r="M182" s="534">
        <v>0</v>
      </c>
      <c r="N182" s="534">
        <v>5769.8</v>
      </c>
      <c r="O182" s="534">
        <v>160917.87</v>
      </c>
      <c r="P182" s="534">
        <v>0</v>
      </c>
      <c r="Q182" s="534">
        <v>0</v>
      </c>
      <c r="R182" s="534">
        <v>0</v>
      </c>
      <c r="S182" s="536">
        <v>18408803.079999998</v>
      </c>
      <c r="T182" s="533"/>
      <c r="U182" s="534">
        <v>0</v>
      </c>
      <c r="V182" s="534">
        <v>61811.82</v>
      </c>
      <c r="W182" s="534">
        <v>175453.33</v>
      </c>
      <c r="X182" s="534">
        <v>0</v>
      </c>
      <c r="Y182" s="534">
        <v>0</v>
      </c>
      <c r="Z182" s="534">
        <v>0</v>
      </c>
      <c r="AA182" s="534">
        <v>10295</v>
      </c>
      <c r="AB182" s="534">
        <v>0</v>
      </c>
      <c r="AC182" s="534">
        <v>0</v>
      </c>
      <c r="AD182" s="534">
        <v>984.47999999999865</v>
      </c>
      <c r="AE182" s="536">
        <v>248544.63</v>
      </c>
      <c r="AF182" s="533"/>
      <c r="AG182" s="534">
        <v>0</v>
      </c>
      <c r="AH182" s="534">
        <v>0</v>
      </c>
      <c r="AI182" s="534">
        <v>0</v>
      </c>
      <c r="AJ182" s="534">
        <v>0</v>
      </c>
      <c r="AK182" s="536">
        <v>0</v>
      </c>
      <c r="AL182" s="533"/>
      <c r="AM182" s="534">
        <v>0</v>
      </c>
      <c r="AN182" s="534">
        <v>887716</v>
      </c>
      <c r="AO182" s="534">
        <v>36233.300000000003</v>
      </c>
      <c r="AP182" s="537">
        <v>4658567.04</v>
      </c>
      <c r="AQ182" s="535"/>
      <c r="AR182" s="534"/>
      <c r="AS182" s="534"/>
      <c r="AT182" s="534"/>
      <c r="AU182" s="536">
        <v>4704922.09</v>
      </c>
      <c r="AV182" s="533"/>
      <c r="AW182" s="538">
        <v>-13074831.369999999</v>
      </c>
      <c r="AX182" s="538">
        <v>2450229.9400000009</v>
      </c>
      <c r="AY182" s="533"/>
      <c r="AZ182" s="534">
        <f>18242115.41 - BA182</f>
        <v>5646851.0899999999</v>
      </c>
      <c r="BA182" s="534">
        <v>12595264.32</v>
      </c>
      <c r="BD182" s="392">
        <f t="shared" si="91"/>
        <v>0</v>
      </c>
      <c r="BE182" s="425">
        <f t="shared" si="92"/>
        <v>0</v>
      </c>
      <c r="BF182" s="425">
        <f t="shared" si="98"/>
        <v>0</v>
      </c>
      <c r="BG182" s="425">
        <f t="shared" si="98"/>
        <v>-166687.66999999998</v>
      </c>
      <c r="BH182" s="425">
        <f t="shared" si="98"/>
        <v>-237265.15</v>
      </c>
      <c r="BI182" s="425">
        <f t="shared" si="98"/>
        <v>0</v>
      </c>
      <c r="BJ182" s="425">
        <f t="shared" si="98"/>
        <v>0</v>
      </c>
      <c r="BK182" s="425">
        <f t="shared" si="98"/>
        <v>0</v>
      </c>
      <c r="BL182" s="425">
        <f t="shared" si="98"/>
        <v>-10295</v>
      </c>
      <c r="BM182" s="425">
        <f t="shared" si="99"/>
        <v>877594.24999999988</v>
      </c>
      <c r="BN182" s="425">
        <f t="shared" si="99"/>
        <v>0</v>
      </c>
      <c r="BO182" s="425">
        <f t="shared" si="99"/>
        <v>0</v>
      </c>
      <c r="BP182" s="425">
        <f t="shared" si="100"/>
        <v>-5646851.0899999999</v>
      </c>
      <c r="BQ182" s="425">
        <f t="shared" si="100"/>
        <v>-12595264.32</v>
      </c>
      <c r="BR182" s="425">
        <f t="shared" si="100"/>
        <v>-984.47999999999865</v>
      </c>
      <c r="BS182" s="425">
        <f t="shared" si="101"/>
        <v>5582516.3399999999</v>
      </c>
      <c r="BT182" s="426">
        <f t="shared" si="101"/>
        <v>0</v>
      </c>
    </row>
    <row r="183" spans="2:72" x14ac:dyDescent="0.25">
      <c r="B183" s="145"/>
      <c r="C183" s="541">
        <v>43831</v>
      </c>
      <c r="D183" s="542"/>
      <c r="E183" s="543">
        <v>0</v>
      </c>
      <c r="F183" s="543">
        <v>0</v>
      </c>
      <c r="G183" s="543">
        <v>0</v>
      </c>
      <c r="H183" s="544">
        <v>-199.58</v>
      </c>
      <c r="I183" s="545">
        <v>-199.58</v>
      </c>
      <c r="J183" s="542"/>
      <c r="K183" s="543">
        <v>519116.65</v>
      </c>
      <c r="L183" s="543">
        <v>0</v>
      </c>
      <c r="M183" s="543">
        <v>0</v>
      </c>
      <c r="N183" s="543">
        <v>0</v>
      </c>
      <c r="O183" s="543">
        <v>75206.540000000008</v>
      </c>
      <c r="P183" s="543">
        <v>2350</v>
      </c>
      <c r="Q183" s="543">
        <v>0</v>
      </c>
      <c r="R183" s="543">
        <v>0</v>
      </c>
      <c r="S183" s="545">
        <v>596673.18999999994</v>
      </c>
      <c r="T183" s="542"/>
      <c r="U183" s="543">
        <v>0</v>
      </c>
      <c r="V183" s="543">
        <v>946</v>
      </c>
      <c r="W183" s="543">
        <v>494668.15</v>
      </c>
      <c r="X183" s="543">
        <v>0</v>
      </c>
      <c r="Y183" s="543">
        <v>0</v>
      </c>
      <c r="Z183" s="543">
        <v>0</v>
      </c>
      <c r="AA183" s="543">
        <v>3225.21</v>
      </c>
      <c r="AB183" s="543">
        <v>0</v>
      </c>
      <c r="AC183" s="543">
        <v>7237.38</v>
      </c>
      <c r="AD183" s="543">
        <v>-3610.77</v>
      </c>
      <c r="AE183" s="545">
        <v>502465.97</v>
      </c>
      <c r="AF183" s="542"/>
      <c r="AG183" s="543">
        <v>0</v>
      </c>
      <c r="AH183" s="543">
        <v>0</v>
      </c>
      <c r="AI183" s="543">
        <v>0</v>
      </c>
      <c r="AJ183" s="543">
        <v>0</v>
      </c>
      <c r="AK183" s="545">
        <v>0</v>
      </c>
      <c r="AL183" s="542"/>
      <c r="AM183" s="543">
        <v>0</v>
      </c>
      <c r="AN183" s="543">
        <v>0</v>
      </c>
      <c r="AO183" s="543">
        <v>0</v>
      </c>
      <c r="AP183" s="546">
        <v>0</v>
      </c>
      <c r="AQ183" s="547"/>
      <c r="AR183" s="543"/>
      <c r="AS183" s="543"/>
      <c r="AT183" s="543"/>
      <c r="AU183" s="545">
        <v>0</v>
      </c>
      <c r="AV183" s="542"/>
      <c r="AW183" s="548">
        <v>-1099338.74</v>
      </c>
      <c r="AX183" s="548">
        <v>1350891.2000000009</v>
      </c>
      <c r="AY183" s="542"/>
      <c r="AZ183" s="543">
        <f>519116.649999999 - BA183</f>
        <v>519116.64999999898</v>
      </c>
      <c r="BA183" s="543">
        <v>0</v>
      </c>
      <c r="BD183" s="392">
        <f t="shared" si="91"/>
        <v>0</v>
      </c>
      <c r="BE183" s="425">
        <f t="shared" si="92"/>
        <v>-7436.96</v>
      </c>
      <c r="BF183" s="425">
        <f t="shared" si="98"/>
        <v>0</v>
      </c>
      <c r="BG183" s="425">
        <f t="shared" si="98"/>
        <v>-77556.540000000008</v>
      </c>
      <c r="BH183" s="425">
        <f t="shared" si="98"/>
        <v>-495614.15</v>
      </c>
      <c r="BI183" s="425">
        <f t="shared" si="98"/>
        <v>0</v>
      </c>
      <c r="BJ183" s="425">
        <f t="shared" si="98"/>
        <v>0</v>
      </c>
      <c r="BK183" s="425">
        <f t="shared" si="98"/>
        <v>0</v>
      </c>
      <c r="BL183" s="425">
        <f t="shared" si="98"/>
        <v>-3225.21</v>
      </c>
      <c r="BM183" s="425">
        <f t="shared" si="99"/>
        <v>0</v>
      </c>
      <c r="BN183" s="425">
        <f t="shared" si="99"/>
        <v>0</v>
      </c>
      <c r="BO183" s="425">
        <f t="shared" si="99"/>
        <v>0</v>
      </c>
      <c r="BP183" s="425">
        <f t="shared" si="100"/>
        <v>-519116.64999999898</v>
      </c>
      <c r="BQ183" s="425">
        <f t="shared" si="100"/>
        <v>0</v>
      </c>
      <c r="BR183" s="425">
        <f t="shared" si="100"/>
        <v>3610.77</v>
      </c>
      <c r="BS183" s="425">
        <f t="shared" si="101"/>
        <v>0</v>
      </c>
      <c r="BT183" s="426">
        <f t="shared" si="101"/>
        <v>0</v>
      </c>
    </row>
    <row r="184" spans="2:72" x14ac:dyDescent="0.25">
      <c r="B184" s="145"/>
      <c r="C184" s="539">
        <v>43862</v>
      </c>
      <c r="D184" s="533"/>
      <c r="E184" s="534">
        <v>0</v>
      </c>
      <c r="F184" s="534">
        <v>0</v>
      </c>
      <c r="G184" s="534">
        <v>0</v>
      </c>
      <c r="H184" s="540">
        <v>0</v>
      </c>
      <c r="I184" s="536">
        <v>0</v>
      </c>
      <c r="J184" s="533"/>
      <c r="K184" s="534">
        <v>49733.34</v>
      </c>
      <c r="L184" s="534">
        <v>0</v>
      </c>
      <c r="M184" s="534">
        <v>0</v>
      </c>
      <c r="N184" s="534">
        <v>3149.01</v>
      </c>
      <c r="O184" s="534">
        <v>108815.64</v>
      </c>
      <c r="P184" s="534">
        <v>0</v>
      </c>
      <c r="Q184" s="534">
        <v>0</v>
      </c>
      <c r="R184" s="534">
        <v>0</v>
      </c>
      <c r="S184" s="536">
        <v>161697.99</v>
      </c>
      <c r="T184" s="533"/>
      <c r="U184" s="534">
        <v>0</v>
      </c>
      <c r="V184" s="534">
        <v>27313.26</v>
      </c>
      <c r="W184" s="534">
        <v>307915.63</v>
      </c>
      <c r="X184" s="534">
        <v>0</v>
      </c>
      <c r="Y184" s="534">
        <v>0</v>
      </c>
      <c r="Z184" s="534">
        <v>0</v>
      </c>
      <c r="AA184" s="534">
        <v>5099.88</v>
      </c>
      <c r="AB184" s="534">
        <v>0</v>
      </c>
      <c r="AC184" s="534">
        <v>0</v>
      </c>
      <c r="AD184" s="534">
        <v>-2390.94</v>
      </c>
      <c r="AE184" s="536">
        <v>337937.83</v>
      </c>
      <c r="AF184" s="533"/>
      <c r="AG184" s="534">
        <v>0</v>
      </c>
      <c r="AH184" s="534">
        <v>0</v>
      </c>
      <c r="AI184" s="534">
        <v>0</v>
      </c>
      <c r="AJ184" s="534">
        <v>0</v>
      </c>
      <c r="AK184" s="536">
        <v>0</v>
      </c>
      <c r="AL184" s="533"/>
      <c r="AM184" s="534">
        <v>0</v>
      </c>
      <c r="AN184" s="534">
        <v>0</v>
      </c>
      <c r="AO184" s="534">
        <v>0</v>
      </c>
      <c r="AP184" s="537">
        <v>0</v>
      </c>
      <c r="AQ184" s="535"/>
      <c r="AR184" s="534"/>
      <c r="AS184" s="534"/>
      <c r="AT184" s="534"/>
      <c r="AU184" s="536">
        <v>0</v>
      </c>
      <c r="AV184" s="533"/>
      <c r="AW184" s="538">
        <v>-499635.82</v>
      </c>
      <c r="AX184" s="538">
        <v>851255.38000000129</v>
      </c>
      <c r="AY184" s="533"/>
      <c r="AZ184" s="534">
        <f>49733.34 - BA184</f>
        <v>49733.34</v>
      </c>
      <c r="BA184" s="534">
        <v>0</v>
      </c>
      <c r="BD184" s="392">
        <f t="shared" si="91"/>
        <v>0</v>
      </c>
      <c r="BE184" s="425">
        <f t="shared" si="92"/>
        <v>0</v>
      </c>
      <c r="BF184" s="425">
        <f t="shared" si="98"/>
        <v>0</v>
      </c>
      <c r="BG184" s="425">
        <f t="shared" si="98"/>
        <v>-111964.65</v>
      </c>
      <c r="BH184" s="425">
        <f t="shared" si="98"/>
        <v>-335228.89</v>
      </c>
      <c r="BI184" s="425">
        <f t="shared" si="98"/>
        <v>0</v>
      </c>
      <c r="BJ184" s="425">
        <f t="shared" si="98"/>
        <v>0</v>
      </c>
      <c r="BK184" s="425">
        <f t="shared" si="98"/>
        <v>0</v>
      </c>
      <c r="BL184" s="425">
        <f t="shared" si="98"/>
        <v>-5099.88</v>
      </c>
      <c r="BM184" s="425">
        <f t="shared" si="99"/>
        <v>0</v>
      </c>
      <c r="BN184" s="425">
        <f t="shared" si="99"/>
        <v>0</v>
      </c>
      <c r="BO184" s="425">
        <f t="shared" si="99"/>
        <v>0</v>
      </c>
      <c r="BP184" s="425">
        <f t="shared" si="100"/>
        <v>-49733.34</v>
      </c>
      <c r="BQ184" s="425">
        <f t="shared" si="100"/>
        <v>0</v>
      </c>
      <c r="BR184" s="425">
        <f t="shared" si="100"/>
        <v>2390.94</v>
      </c>
      <c r="BS184" s="425">
        <f t="shared" si="101"/>
        <v>0</v>
      </c>
      <c r="BT184" s="426">
        <f t="shared" si="101"/>
        <v>0</v>
      </c>
    </row>
    <row r="185" spans="2:72" x14ac:dyDescent="0.25">
      <c r="B185" s="145"/>
      <c r="C185" s="539">
        <v>43891</v>
      </c>
      <c r="D185" s="533"/>
      <c r="E185" s="534">
        <v>0</v>
      </c>
      <c r="F185" s="534">
        <v>0</v>
      </c>
      <c r="G185" s="534">
        <v>0</v>
      </c>
      <c r="H185" s="540">
        <v>0</v>
      </c>
      <c r="I185" s="536">
        <v>0</v>
      </c>
      <c r="J185" s="533"/>
      <c r="K185" s="534">
        <v>48316.08</v>
      </c>
      <c r="L185" s="534">
        <v>0</v>
      </c>
      <c r="M185" s="534">
        <v>0</v>
      </c>
      <c r="N185" s="534">
        <v>184.5</v>
      </c>
      <c r="O185" s="534">
        <v>91353.56</v>
      </c>
      <c r="P185" s="534">
        <v>34000</v>
      </c>
      <c r="Q185" s="534">
        <v>0</v>
      </c>
      <c r="R185" s="534">
        <v>0</v>
      </c>
      <c r="S185" s="536">
        <v>173854.14</v>
      </c>
      <c r="T185" s="533"/>
      <c r="U185" s="534">
        <v>0</v>
      </c>
      <c r="V185" s="534">
        <v>283723</v>
      </c>
      <c r="W185" s="534">
        <v>437175.97</v>
      </c>
      <c r="X185" s="534">
        <v>0</v>
      </c>
      <c r="Y185" s="534">
        <v>0</v>
      </c>
      <c r="Z185" s="534">
        <v>0</v>
      </c>
      <c r="AA185" s="534">
        <v>16065.47</v>
      </c>
      <c r="AB185" s="534">
        <v>0</v>
      </c>
      <c r="AC185" s="534">
        <v>0</v>
      </c>
      <c r="AD185" s="534">
        <v>-1056.46</v>
      </c>
      <c r="AE185" s="536">
        <v>735907.98</v>
      </c>
      <c r="AF185" s="533"/>
      <c r="AG185" s="534">
        <v>0</v>
      </c>
      <c r="AH185" s="534">
        <v>0</v>
      </c>
      <c r="AI185" s="534">
        <v>0</v>
      </c>
      <c r="AJ185" s="534">
        <v>0</v>
      </c>
      <c r="AK185" s="536">
        <v>0</v>
      </c>
      <c r="AL185" s="533"/>
      <c r="AM185" s="534">
        <v>887716</v>
      </c>
      <c r="AN185" s="534">
        <v>0</v>
      </c>
      <c r="AO185" s="534">
        <v>0</v>
      </c>
      <c r="AP185" s="537">
        <v>0</v>
      </c>
      <c r="AQ185" s="535"/>
      <c r="AR185" s="534"/>
      <c r="AS185" s="534"/>
      <c r="AT185" s="534"/>
      <c r="AU185" s="536">
        <v>887716</v>
      </c>
      <c r="AV185" s="533"/>
      <c r="AW185" s="538">
        <v>-22046.12</v>
      </c>
      <c r="AX185" s="538">
        <v>829209.26000000129</v>
      </c>
      <c r="AY185" s="533"/>
      <c r="AZ185" s="534">
        <f>48316.08 - BA185</f>
        <v>48316.08</v>
      </c>
      <c r="BA185" s="534">
        <v>0</v>
      </c>
      <c r="BD185" s="392">
        <f t="shared" si="91"/>
        <v>0</v>
      </c>
      <c r="BE185" s="425">
        <f t="shared" si="92"/>
        <v>0</v>
      </c>
      <c r="BF185" s="425">
        <f t="shared" si="98"/>
        <v>0</v>
      </c>
      <c r="BG185" s="425">
        <f t="shared" si="98"/>
        <v>-125538.06</v>
      </c>
      <c r="BH185" s="425">
        <f t="shared" si="98"/>
        <v>-720898.97</v>
      </c>
      <c r="BI185" s="425">
        <f t="shared" si="98"/>
        <v>0</v>
      </c>
      <c r="BJ185" s="425">
        <f t="shared" si="98"/>
        <v>0</v>
      </c>
      <c r="BK185" s="425">
        <f t="shared" si="98"/>
        <v>0</v>
      </c>
      <c r="BL185" s="425">
        <f t="shared" si="98"/>
        <v>-16065.47</v>
      </c>
      <c r="BM185" s="425">
        <f t="shared" si="99"/>
        <v>0</v>
      </c>
      <c r="BN185" s="425">
        <f t="shared" si="99"/>
        <v>0</v>
      </c>
      <c r="BO185" s="425">
        <f t="shared" si="99"/>
        <v>0</v>
      </c>
      <c r="BP185" s="425">
        <f t="shared" si="100"/>
        <v>-48316.08</v>
      </c>
      <c r="BQ185" s="425">
        <f t="shared" si="100"/>
        <v>0</v>
      </c>
      <c r="BR185" s="425">
        <f t="shared" si="100"/>
        <v>1056.46</v>
      </c>
      <c r="BS185" s="425">
        <f t="shared" si="101"/>
        <v>887716</v>
      </c>
      <c r="BT185" s="426">
        <f t="shared" si="101"/>
        <v>0</v>
      </c>
    </row>
    <row r="186" spans="2:72" x14ac:dyDescent="0.25">
      <c r="B186" s="145"/>
      <c r="C186" s="539">
        <v>43922</v>
      </c>
      <c r="D186" s="533"/>
      <c r="E186" s="534">
        <v>0</v>
      </c>
      <c r="F186" s="534">
        <v>0</v>
      </c>
      <c r="G186" s="534">
        <v>0</v>
      </c>
      <c r="H186" s="540">
        <v>0</v>
      </c>
      <c r="I186" s="536">
        <v>0</v>
      </c>
      <c r="J186" s="533"/>
      <c r="K186" s="534">
        <v>47653.67</v>
      </c>
      <c r="L186" s="534">
        <v>0</v>
      </c>
      <c r="M186" s="534">
        <v>0</v>
      </c>
      <c r="N186" s="534">
        <v>64.5</v>
      </c>
      <c r="O186" s="534">
        <v>17048.02</v>
      </c>
      <c r="P186" s="534">
        <v>0</v>
      </c>
      <c r="Q186" s="534">
        <v>91551.1</v>
      </c>
      <c r="R186" s="534">
        <v>0</v>
      </c>
      <c r="S186" s="536">
        <v>156317.29</v>
      </c>
      <c r="T186" s="533"/>
      <c r="U186" s="534">
        <v>2589.4299999999998</v>
      </c>
      <c r="V186" s="534">
        <v>299020.90000000002</v>
      </c>
      <c r="W186" s="534">
        <v>212338.89</v>
      </c>
      <c r="X186" s="534">
        <v>0</v>
      </c>
      <c r="Y186" s="534">
        <v>0</v>
      </c>
      <c r="Z186" s="534">
        <v>0</v>
      </c>
      <c r="AA186" s="534">
        <v>31074.86</v>
      </c>
      <c r="AB186" s="534">
        <v>0</v>
      </c>
      <c r="AC186" s="534">
        <v>805.39</v>
      </c>
      <c r="AD186" s="534">
        <v>-736.57</v>
      </c>
      <c r="AE186" s="536">
        <v>545092.90000000014</v>
      </c>
      <c r="AF186" s="533"/>
      <c r="AG186" s="534">
        <v>0</v>
      </c>
      <c r="AH186" s="534">
        <v>0</v>
      </c>
      <c r="AI186" s="534">
        <v>0</v>
      </c>
      <c r="AJ186" s="534">
        <v>0</v>
      </c>
      <c r="AK186" s="536">
        <v>0</v>
      </c>
      <c r="AL186" s="533"/>
      <c r="AM186" s="534">
        <v>0</v>
      </c>
      <c r="AN186" s="534">
        <v>0</v>
      </c>
      <c r="AO186" s="534">
        <v>0</v>
      </c>
      <c r="AP186" s="537">
        <v>0</v>
      </c>
      <c r="AQ186" s="535"/>
      <c r="AR186" s="534"/>
      <c r="AS186" s="534"/>
      <c r="AT186" s="534"/>
      <c r="AU186" s="536">
        <v>0</v>
      </c>
      <c r="AV186" s="533"/>
      <c r="AW186" s="538">
        <v>-701410.19000000018</v>
      </c>
      <c r="AX186" s="538">
        <v>127799.0700000011</v>
      </c>
      <c r="AY186" s="533"/>
      <c r="AZ186" s="534">
        <f>47653.67 - BA186</f>
        <v>47653.67</v>
      </c>
      <c r="BA186" s="534">
        <v>0</v>
      </c>
      <c r="BD186" s="392">
        <f t="shared" si="91"/>
        <v>0</v>
      </c>
      <c r="BE186" s="425">
        <f t="shared" si="92"/>
        <v>-805.39</v>
      </c>
      <c r="BF186" s="425">
        <f t="shared" si="98"/>
        <v>0</v>
      </c>
      <c r="BG186" s="425">
        <f t="shared" si="98"/>
        <v>-111253.05</v>
      </c>
      <c r="BH186" s="425">
        <f t="shared" si="98"/>
        <v>-511359.79000000004</v>
      </c>
      <c r="BI186" s="425">
        <f t="shared" si="98"/>
        <v>0</v>
      </c>
      <c r="BJ186" s="425">
        <f t="shared" si="98"/>
        <v>0</v>
      </c>
      <c r="BK186" s="425">
        <f t="shared" si="98"/>
        <v>0</v>
      </c>
      <c r="BL186" s="425">
        <f t="shared" si="98"/>
        <v>-31074.86</v>
      </c>
      <c r="BM186" s="425">
        <f t="shared" si="99"/>
        <v>0</v>
      </c>
      <c r="BN186" s="425">
        <f t="shared" si="99"/>
        <v>0</v>
      </c>
      <c r="BO186" s="425">
        <f t="shared" si="99"/>
        <v>0</v>
      </c>
      <c r="BP186" s="425">
        <f t="shared" si="100"/>
        <v>-47653.67</v>
      </c>
      <c r="BQ186" s="425">
        <f t="shared" si="100"/>
        <v>0</v>
      </c>
      <c r="BR186" s="425">
        <f t="shared" si="100"/>
        <v>736.57</v>
      </c>
      <c r="BS186" s="425">
        <f t="shared" si="101"/>
        <v>0</v>
      </c>
      <c r="BT186" s="426">
        <f t="shared" si="101"/>
        <v>0</v>
      </c>
    </row>
    <row r="187" spans="2:72" x14ac:dyDescent="0.25">
      <c r="B187" s="145"/>
      <c r="C187" s="539">
        <v>43952</v>
      </c>
      <c r="D187" s="533"/>
      <c r="E187" s="534">
        <v>0</v>
      </c>
      <c r="F187" s="534">
        <v>0</v>
      </c>
      <c r="G187" s="534">
        <v>0</v>
      </c>
      <c r="H187" s="540">
        <v>0</v>
      </c>
      <c r="I187" s="536">
        <v>0</v>
      </c>
      <c r="J187" s="533"/>
      <c r="K187" s="534">
        <v>33171.64</v>
      </c>
      <c r="L187" s="534">
        <v>0</v>
      </c>
      <c r="M187" s="534">
        <v>0</v>
      </c>
      <c r="N187" s="534">
        <v>35960.97</v>
      </c>
      <c r="O187" s="534">
        <v>45602.28</v>
      </c>
      <c r="P187" s="534">
        <v>0</v>
      </c>
      <c r="Q187" s="534">
        <v>0</v>
      </c>
      <c r="R187" s="534">
        <v>0</v>
      </c>
      <c r="S187" s="536">
        <v>114734.89</v>
      </c>
      <c r="T187" s="533"/>
      <c r="U187" s="534">
        <v>204.11</v>
      </c>
      <c r="V187" s="534">
        <v>112157.57</v>
      </c>
      <c r="W187" s="534">
        <v>83418.87</v>
      </c>
      <c r="X187" s="534">
        <v>0</v>
      </c>
      <c r="Y187" s="534">
        <v>0</v>
      </c>
      <c r="Z187" s="534">
        <v>0</v>
      </c>
      <c r="AA187" s="534">
        <v>3471.15</v>
      </c>
      <c r="AB187" s="534">
        <v>0</v>
      </c>
      <c r="AC187" s="534">
        <v>0</v>
      </c>
      <c r="AD187" s="534">
        <v>62.490000000000009</v>
      </c>
      <c r="AE187" s="536">
        <v>199314.19</v>
      </c>
      <c r="AF187" s="533"/>
      <c r="AG187" s="534">
        <v>0</v>
      </c>
      <c r="AH187" s="534">
        <v>0</v>
      </c>
      <c r="AI187" s="534">
        <v>0</v>
      </c>
      <c r="AJ187" s="534">
        <v>0</v>
      </c>
      <c r="AK187" s="536">
        <v>0</v>
      </c>
      <c r="AL187" s="533"/>
      <c r="AM187" s="534">
        <v>41160.000000000007</v>
      </c>
      <c r="AN187" s="534">
        <v>41160.000000000007</v>
      </c>
      <c r="AO187" s="534">
        <v>1680</v>
      </c>
      <c r="AP187" s="537">
        <v>216000</v>
      </c>
      <c r="AQ187" s="535"/>
      <c r="AR187" s="534"/>
      <c r="AS187" s="534"/>
      <c r="AT187" s="534"/>
      <c r="AU187" s="536">
        <v>300000</v>
      </c>
      <c r="AV187" s="533"/>
      <c r="AW187" s="538">
        <v>-14049.07999999996</v>
      </c>
      <c r="AX187" s="538">
        <v>113749.9900000012</v>
      </c>
      <c r="AY187" s="533"/>
      <c r="AZ187" s="534">
        <f>33171.64 - BA187</f>
        <v>33171.64</v>
      </c>
      <c r="BA187" s="534">
        <v>0</v>
      </c>
      <c r="BD187" s="392">
        <f t="shared" si="91"/>
        <v>0</v>
      </c>
      <c r="BE187" s="425">
        <f t="shared" si="92"/>
        <v>0</v>
      </c>
      <c r="BF187" s="425">
        <f t="shared" si="98"/>
        <v>0</v>
      </c>
      <c r="BG187" s="425">
        <f t="shared" si="98"/>
        <v>-81767.360000000001</v>
      </c>
      <c r="BH187" s="425">
        <f t="shared" si="98"/>
        <v>-195576.44</v>
      </c>
      <c r="BI187" s="425">
        <f t="shared" si="98"/>
        <v>0</v>
      </c>
      <c r="BJ187" s="425">
        <f t="shared" si="98"/>
        <v>0</v>
      </c>
      <c r="BK187" s="425">
        <f t="shared" si="98"/>
        <v>0</v>
      </c>
      <c r="BL187" s="425">
        <f t="shared" si="98"/>
        <v>-3471.15</v>
      </c>
      <c r="BM187" s="425">
        <f t="shared" si="99"/>
        <v>0</v>
      </c>
      <c r="BN187" s="425">
        <f t="shared" si="99"/>
        <v>0</v>
      </c>
      <c r="BO187" s="425">
        <f t="shared" si="99"/>
        <v>0</v>
      </c>
      <c r="BP187" s="425">
        <f t="shared" si="100"/>
        <v>-33171.64</v>
      </c>
      <c r="BQ187" s="425">
        <f t="shared" si="100"/>
        <v>0</v>
      </c>
      <c r="BR187" s="425">
        <f t="shared" si="100"/>
        <v>-62.490000000000009</v>
      </c>
      <c r="BS187" s="425">
        <f t="shared" si="101"/>
        <v>300000</v>
      </c>
      <c r="BT187" s="426">
        <f t="shared" si="101"/>
        <v>0</v>
      </c>
    </row>
    <row r="188" spans="2:72" x14ac:dyDescent="0.25">
      <c r="B188" s="145"/>
      <c r="C188" s="539">
        <v>43983</v>
      </c>
      <c r="D188" s="533"/>
      <c r="E188" s="534">
        <v>230715.27</v>
      </c>
      <c r="F188" s="534">
        <v>0</v>
      </c>
      <c r="G188" s="534">
        <v>0</v>
      </c>
      <c r="H188" s="540">
        <v>0</v>
      </c>
      <c r="I188" s="536">
        <v>230715.27</v>
      </c>
      <c r="J188" s="533"/>
      <c r="K188" s="534">
        <v>37105.25</v>
      </c>
      <c r="L188" s="534">
        <v>0</v>
      </c>
      <c r="M188" s="534">
        <v>0</v>
      </c>
      <c r="N188" s="534">
        <v>8055.57</v>
      </c>
      <c r="O188" s="534">
        <v>24633.07</v>
      </c>
      <c r="P188" s="534">
        <v>0</v>
      </c>
      <c r="Q188" s="534">
        <v>0</v>
      </c>
      <c r="R188" s="534">
        <v>0</v>
      </c>
      <c r="S188" s="536">
        <v>69793.89</v>
      </c>
      <c r="T188" s="533"/>
      <c r="U188" s="534">
        <v>0</v>
      </c>
      <c r="V188" s="534">
        <v>36397.14</v>
      </c>
      <c r="W188" s="534">
        <v>88882.99</v>
      </c>
      <c r="X188" s="534">
        <v>0</v>
      </c>
      <c r="Y188" s="534">
        <v>0</v>
      </c>
      <c r="Z188" s="534">
        <v>0</v>
      </c>
      <c r="AA188" s="534">
        <v>1543.36</v>
      </c>
      <c r="AB188" s="534">
        <v>0</v>
      </c>
      <c r="AC188" s="534">
        <v>0</v>
      </c>
      <c r="AD188" s="534">
        <v>39.630000000000003</v>
      </c>
      <c r="AE188" s="536">
        <v>126863.12</v>
      </c>
      <c r="AF188" s="533"/>
      <c r="AG188" s="534">
        <v>0</v>
      </c>
      <c r="AH188" s="534">
        <v>0</v>
      </c>
      <c r="AI188" s="534">
        <v>0</v>
      </c>
      <c r="AJ188" s="534">
        <v>0</v>
      </c>
      <c r="AK188" s="536">
        <v>0</v>
      </c>
      <c r="AL188" s="533"/>
      <c r="AM188" s="534">
        <v>13720</v>
      </c>
      <c r="AN188" s="534">
        <v>13720</v>
      </c>
      <c r="AO188" s="534">
        <v>560</v>
      </c>
      <c r="AP188" s="537">
        <v>72000</v>
      </c>
      <c r="AQ188" s="535"/>
      <c r="AR188" s="534"/>
      <c r="AS188" s="534"/>
      <c r="AT188" s="534"/>
      <c r="AU188" s="536">
        <v>100000</v>
      </c>
      <c r="AV188" s="533"/>
      <c r="AW188" s="538">
        <v>134058.26</v>
      </c>
      <c r="AX188" s="538">
        <v>247808.25000000119</v>
      </c>
      <c r="AY188" s="533"/>
      <c r="AZ188" s="534">
        <f>37105.25 - BA188</f>
        <v>37105.25</v>
      </c>
      <c r="BA188" s="534">
        <v>0</v>
      </c>
      <c r="BD188" s="392">
        <f t="shared" si="91"/>
        <v>230715.27</v>
      </c>
      <c r="BE188" s="425">
        <f t="shared" si="92"/>
        <v>0</v>
      </c>
      <c r="BF188" s="425">
        <f t="shared" si="98"/>
        <v>0</v>
      </c>
      <c r="BG188" s="425">
        <f t="shared" si="98"/>
        <v>-32688.639999999999</v>
      </c>
      <c r="BH188" s="425">
        <f t="shared" si="98"/>
        <v>-125280.13</v>
      </c>
      <c r="BI188" s="425">
        <f t="shared" si="98"/>
        <v>0</v>
      </c>
      <c r="BJ188" s="425">
        <f t="shared" si="98"/>
        <v>0</v>
      </c>
      <c r="BK188" s="425">
        <f t="shared" si="98"/>
        <v>0</v>
      </c>
      <c r="BL188" s="425">
        <f t="shared" si="98"/>
        <v>-1543.36</v>
      </c>
      <c r="BM188" s="425">
        <f t="shared" si="99"/>
        <v>0</v>
      </c>
      <c r="BN188" s="425">
        <f t="shared" si="99"/>
        <v>0</v>
      </c>
      <c r="BO188" s="425">
        <f t="shared" si="99"/>
        <v>0</v>
      </c>
      <c r="BP188" s="425">
        <f t="shared" si="100"/>
        <v>-37105.25</v>
      </c>
      <c r="BQ188" s="425">
        <f t="shared" si="100"/>
        <v>0</v>
      </c>
      <c r="BR188" s="425">
        <f t="shared" si="100"/>
        <v>-39.630000000000003</v>
      </c>
      <c r="BS188" s="425">
        <f t="shared" si="101"/>
        <v>100000</v>
      </c>
      <c r="BT188" s="426">
        <f t="shared" si="101"/>
        <v>0</v>
      </c>
    </row>
    <row r="189" spans="2:72" x14ac:dyDescent="0.25">
      <c r="B189" s="145"/>
      <c r="C189" s="549">
        <v>44013</v>
      </c>
      <c r="D189" s="550"/>
      <c r="E189" s="551">
        <v>9277694.8599999994</v>
      </c>
      <c r="F189" s="551">
        <v>0</v>
      </c>
      <c r="G189" s="551">
        <v>-170451.4</v>
      </c>
      <c r="H189" s="552">
        <v>0</v>
      </c>
      <c r="I189" s="553">
        <v>9107243.459999999</v>
      </c>
      <c r="J189" s="550"/>
      <c r="K189" s="551">
        <v>2121849.9300000002</v>
      </c>
      <c r="L189" s="551">
        <v>3003.2</v>
      </c>
      <c r="M189" s="551">
        <v>0</v>
      </c>
      <c r="N189" s="551">
        <v>0</v>
      </c>
      <c r="O189" s="551">
        <v>15220.89</v>
      </c>
      <c r="P189" s="551">
        <v>0</v>
      </c>
      <c r="Q189" s="551">
        <v>0</v>
      </c>
      <c r="R189" s="551">
        <v>0</v>
      </c>
      <c r="S189" s="553">
        <v>2140074.02</v>
      </c>
      <c r="T189" s="550"/>
      <c r="U189" s="551">
        <v>0</v>
      </c>
      <c r="V189" s="551">
        <v>139677.42000000001</v>
      </c>
      <c r="W189" s="551">
        <v>650</v>
      </c>
      <c r="X189" s="551">
        <v>6690.1</v>
      </c>
      <c r="Y189" s="551">
        <v>0</v>
      </c>
      <c r="Z189" s="551">
        <v>160956.65</v>
      </c>
      <c r="AA189" s="551">
        <v>14997.12</v>
      </c>
      <c r="AB189" s="551">
        <v>0</v>
      </c>
      <c r="AC189" s="551">
        <v>245.82</v>
      </c>
      <c r="AD189" s="551">
        <v>-6952.94</v>
      </c>
      <c r="AE189" s="553">
        <v>316264.17</v>
      </c>
      <c r="AF189" s="550"/>
      <c r="AG189" s="551">
        <v>0</v>
      </c>
      <c r="AH189" s="551">
        <v>0</v>
      </c>
      <c r="AI189" s="551">
        <v>0</v>
      </c>
      <c r="AJ189" s="551">
        <v>0</v>
      </c>
      <c r="AK189" s="553">
        <v>0</v>
      </c>
      <c r="AL189" s="550"/>
      <c r="AM189" s="551">
        <v>0</v>
      </c>
      <c r="AN189" s="551">
        <v>0</v>
      </c>
      <c r="AO189" s="551">
        <v>0</v>
      </c>
      <c r="AP189" s="554">
        <v>0</v>
      </c>
      <c r="AQ189" s="555"/>
      <c r="AR189" s="551"/>
      <c r="AS189" s="551"/>
      <c r="AT189" s="551"/>
      <c r="AU189" s="553">
        <v>0</v>
      </c>
      <c r="AV189" s="550"/>
      <c r="AW189" s="556">
        <v>6650905.2699999986</v>
      </c>
      <c r="AX189" s="556">
        <v>6898713.5199999996</v>
      </c>
      <c r="AY189" s="550"/>
      <c r="AZ189" s="551">
        <f>2121849.93 - BA189</f>
        <v>621849.93000000017</v>
      </c>
      <c r="BA189" s="551">
        <v>1500000</v>
      </c>
      <c r="BD189" s="392">
        <f t="shared" si="91"/>
        <v>9277694.8599999994</v>
      </c>
      <c r="BE189" s="425">
        <f t="shared" si="92"/>
        <v>-245.82</v>
      </c>
      <c r="BF189" s="425">
        <f t="shared" si="98"/>
        <v>-3003.2</v>
      </c>
      <c r="BG189" s="425">
        <f t="shared" si="98"/>
        <v>-15220.89</v>
      </c>
      <c r="BH189" s="425">
        <f t="shared" si="98"/>
        <v>-147017.52000000002</v>
      </c>
      <c r="BI189" s="425">
        <f t="shared" si="98"/>
        <v>0</v>
      </c>
      <c r="BJ189" s="425">
        <f t="shared" si="98"/>
        <v>-160956.65</v>
      </c>
      <c r="BK189" s="425">
        <f t="shared" si="98"/>
        <v>0</v>
      </c>
      <c r="BL189" s="425">
        <f t="shared" si="98"/>
        <v>-14997.12</v>
      </c>
      <c r="BM189" s="425">
        <f t="shared" si="99"/>
        <v>-170451.4</v>
      </c>
      <c r="BN189" s="425">
        <f t="shared" si="99"/>
        <v>0</v>
      </c>
      <c r="BO189" s="425">
        <f t="shared" si="99"/>
        <v>0</v>
      </c>
      <c r="BP189" s="425">
        <f t="shared" si="100"/>
        <v>-621849.93000000017</v>
      </c>
      <c r="BQ189" s="425">
        <f t="shared" si="100"/>
        <v>-1500000</v>
      </c>
      <c r="BR189" s="425">
        <f t="shared" si="100"/>
        <v>6952.94</v>
      </c>
      <c r="BS189" s="425">
        <f t="shared" si="101"/>
        <v>0</v>
      </c>
      <c r="BT189" s="426">
        <f t="shared" si="101"/>
        <v>0</v>
      </c>
    </row>
    <row r="190" spans="2:72" x14ac:dyDescent="0.25">
      <c r="B190" s="145"/>
      <c r="C190" s="539">
        <v>44044</v>
      </c>
      <c r="D190" s="533"/>
      <c r="E190" s="534">
        <v>2104186.77</v>
      </c>
      <c r="F190" s="534">
        <v>0</v>
      </c>
      <c r="G190" s="534">
        <v>-264171.99</v>
      </c>
      <c r="H190" s="540">
        <v>0</v>
      </c>
      <c r="I190" s="536">
        <v>1840014.78</v>
      </c>
      <c r="J190" s="533"/>
      <c r="K190" s="534">
        <v>2990350.69</v>
      </c>
      <c r="L190" s="534">
        <v>3200</v>
      </c>
      <c r="M190" s="534">
        <v>0</v>
      </c>
      <c r="N190" s="534">
        <v>0</v>
      </c>
      <c r="O190" s="534">
        <v>5393.24</v>
      </c>
      <c r="P190" s="534">
        <v>0</v>
      </c>
      <c r="Q190" s="534">
        <v>0</v>
      </c>
      <c r="R190" s="534">
        <v>0</v>
      </c>
      <c r="S190" s="536">
        <v>2998943.93</v>
      </c>
      <c r="T190" s="533"/>
      <c r="U190" s="534">
        <v>24.05</v>
      </c>
      <c r="V190" s="534">
        <v>134173.51</v>
      </c>
      <c r="W190" s="534">
        <v>7446.99</v>
      </c>
      <c r="X190" s="534">
        <v>7193.41</v>
      </c>
      <c r="Y190" s="534">
        <v>0</v>
      </c>
      <c r="Z190" s="534">
        <v>264372.82</v>
      </c>
      <c r="AA190" s="534">
        <v>986.59999999999991</v>
      </c>
      <c r="AB190" s="534">
        <v>0</v>
      </c>
      <c r="AC190" s="534">
        <v>0</v>
      </c>
      <c r="AD190" s="534">
        <v>-8574.0400000000009</v>
      </c>
      <c r="AE190" s="536">
        <v>405623.34</v>
      </c>
      <c r="AF190" s="533"/>
      <c r="AG190" s="534">
        <v>0</v>
      </c>
      <c r="AH190" s="534">
        <v>0</v>
      </c>
      <c r="AI190" s="534">
        <v>0</v>
      </c>
      <c r="AJ190" s="534">
        <v>0</v>
      </c>
      <c r="AK190" s="536">
        <v>0</v>
      </c>
      <c r="AL190" s="533"/>
      <c r="AM190" s="534">
        <v>0</v>
      </c>
      <c r="AN190" s="534">
        <v>0</v>
      </c>
      <c r="AO190" s="534">
        <v>0</v>
      </c>
      <c r="AP190" s="537">
        <v>0</v>
      </c>
      <c r="AQ190" s="535"/>
      <c r="AR190" s="534"/>
      <c r="AS190" s="534"/>
      <c r="AT190" s="534"/>
      <c r="AU190" s="536">
        <v>0</v>
      </c>
      <c r="AV190" s="533"/>
      <c r="AW190" s="538">
        <v>-1564552.4900000009</v>
      </c>
      <c r="AX190" s="538">
        <v>5334161.0299999993</v>
      </c>
      <c r="AY190" s="533"/>
      <c r="AZ190" s="534">
        <f>2990350.69 - BA190</f>
        <v>2990350.69</v>
      </c>
      <c r="BA190" s="534">
        <v>0</v>
      </c>
      <c r="BD190" s="392">
        <f t="shared" si="91"/>
        <v>2104186.77</v>
      </c>
      <c r="BE190" s="425">
        <f t="shared" si="92"/>
        <v>0</v>
      </c>
      <c r="BF190" s="425">
        <f t="shared" si="98"/>
        <v>-3200</v>
      </c>
      <c r="BG190" s="425">
        <f t="shared" si="98"/>
        <v>-5417.29</v>
      </c>
      <c r="BH190" s="425">
        <f t="shared" si="98"/>
        <v>-148813.91</v>
      </c>
      <c r="BI190" s="425">
        <f t="shared" si="98"/>
        <v>0</v>
      </c>
      <c r="BJ190" s="425">
        <f t="shared" si="98"/>
        <v>-264372.82</v>
      </c>
      <c r="BK190" s="425">
        <f t="shared" si="98"/>
        <v>0</v>
      </c>
      <c r="BL190" s="425">
        <f t="shared" si="98"/>
        <v>-986.59999999999991</v>
      </c>
      <c r="BM190" s="425">
        <f t="shared" si="99"/>
        <v>-264171.99</v>
      </c>
      <c r="BN190" s="425">
        <f t="shared" si="99"/>
        <v>0</v>
      </c>
      <c r="BO190" s="425">
        <f t="shared" si="99"/>
        <v>0</v>
      </c>
      <c r="BP190" s="425">
        <f t="shared" si="100"/>
        <v>-2990350.69</v>
      </c>
      <c r="BQ190" s="425">
        <f t="shared" si="100"/>
        <v>0</v>
      </c>
      <c r="BR190" s="425">
        <f t="shared" si="100"/>
        <v>8574.0400000000009</v>
      </c>
      <c r="BS190" s="425">
        <f t="shared" si="101"/>
        <v>0</v>
      </c>
      <c r="BT190" s="426">
        <f t="shared" si="101"/>
        <v>0</v>
      </c>
    </row>
    <row r="191" spans="2:72" x14ac:dyDescent="0.25">
      <c r="B191" s="145"/>
      <c r="C191" s="539">
        <v>44075</v>
      </c>
      <c r="D191" s="533"/>
      <c r="E191" s="534">
        <v>1674169.08</v>
      </c>
      <c r="F191" s="557">
        <v>710000</v>
      </c>
      <c r="G191" s="534">
        <v>-64362.61</v>
      </c>
      <c r="H191" s="540">
        <v>0</v>
      </c>
      <c r="I191" s="536">
        <v>2319806.4700000002</v>
      </c>
      <c r="J191" s="533"/>
      <c r="K191" s="534">
        <v>19362.32</v>
      </c>
      <c r="L191" s="534">
        <v>196.8</v>
      </c>
      <c r="M191" s="534">
        <v>0</v>
      </c>
      <c r="N191" s="534">
        <v>0</v>
      </c>
      <c r="O191" s="534">
        <v>1445.68</v>
      </c>
      <c r="P191" s="534">
        <v>0</v>
      </c>
      <c r="Q191" s="534">
        <v>0</v>
      </c>
      <c r="R191" s="534">
        <v>0</v>
      </c>
      <c r="S191" s="536">
        <v>21004.799999999999</v>
      </c>
      <c r="T191" s="533"/>
      <c r="U191" s="534">
        <v>0</v>
      </c>
      <c r="V191" s="534">
        <v>88237.56</v>
      </c>
      <c r="W191" s="534">
        <v>234</v>
      </c>
      <c r="X191" s="534">
        <v>500</v>
      </c>
      <c r="Y191" s="534">
        <v>0</v>
      </c>
      <c r="Z191" s="534">
        <v>75073.41</v>
      </c>
      <c r="AA191" s="534">
        <v>757.02</v>
      </c>
      <c r="AB191" s="534">
        <v>0</v>
      </c>
      <c r="AC191" s="534">
        <v>0</v>
      </c>
      <c r="AD191" s="534">
        <v>-8536.2900000000009</v>
      </c>
      <c r="AE191" s="536">
        <v>156265.70000000001</v>
      </c>
      <c r="AF191" s="533"/>
      <c r="AG191" s="534">
        <v>0</v>
      </c>
      <c r="AH191" s="534">
        <v>0</v>
      </c>
      <c r="AI191" s="534">
        <v>0</v>
      </c>
      <c r="AJ191" s="534">
        <v>0</v>
      </c>
      <c r="AK191" s="536">
        <v>0</v>
      </c>
      <c r="AL191" s="533"/>
      <c r="AM191" s="534">
        <v>0</v>
      </c>
      <c r="AN191" s="534">
        <v>0</v>
      </c>
      <c r="AO191" s="534">
        <v>0</v>
      </c>
      <c r="AP191" s="537">
        <v>0</v>
      </c>
      <c r="AQ191" s="558"/>
      <c r="AR191" s="557"/>
      <c r="AS191" s="557"/>
      <c r="AT191" s="557"/>
      <c r="AU191" s="536">
        <v>-710000</v>
      </c>
      <c r="AV191" s="533"/>
      <c r="AW191" s="538">
        <v>1432535.97</v>
      </c>
      <c r="AX191" s="538">
        <v>6766697</v>
      </c>
      <c r="AY191" s="533"/>
      <c r="AZ191" s="534">
        <f>19362.32 - BA191</f>
        <v>19362.32</v>
      </c>
      <c r="BA191" s="534">
        <v>0</v>
      </c>
      <c r="BD191" s="392">
        <f t="shared" si="91"/>
        <v>1674169.08</v>
      </c>
      <c r="BE191" s="425">
        <f t="shared" si="92"/>
        <v>0</v>
      </c>
      <c r="BF191" s="425">
        <f t="shared" ref="BF191:BL200" si="102">-SUMIF($E$6:$BA$6, BF$6, $E191:$BA191)</f>
        <v>-196.8</v>
      </c>
      <c r="BG191" s="425">
        <f t="shared" si="102"/>
        <v>-1445.68</v>
      </c>
      <c r="BH191" s="425">
        <f t="shared" si="102"/>
        <v>-88971.56</v>
      </c>
      <c r="BI191" s="425">
        <f t="shared" si="102"/>
        <v>0</v>
      </c>
      <c r="BJ191" s="425">
        <f t="shared" si="102"/>
        <v>-75073.41</v>
      </c>
      <c r="BK191" s="425">
        <f t="shared" si="102"/>
        <v>0</v>
      </c>
      <c r="BL191" s="425">
        <f t="shared" si="102"/>
        <v>-757.02</v>
      </c>
      <c r="BM191" s="425">
        <f t="shared" si="99"/>
        <v>645637.39</v>
      </c>
      <c r="BN191" s="425">
        <f t="shared" si="99"/>
        <v>0</v>
      </c>
      <c r="BO191" s="425">
        <f t="shared" si="99"/>
        <v>0</v>
      </c>
      <c r="BP191" s="425">
        <f t="shared" si="100"/>
        <v>-19362.32</v>
      </c>
      <c r="BQ191" s="425">
        <f t="shared" si="100"/>
        <v>0</v>
      </c>
      <c r="BR191" s="425">
        <f t="shared" si="100"/>
        <v>8536.2900000000009</v>
      </c>
      <c r="BS191" s="425">
        <f t="shared" si="101"/>
        <v>0</v>
      </c>
      <c r="BT191" s="426">
        <f t="shared" si="101"/>
        <v>0</v>
      </c>
    </row>
    <row r="192" spans="2:72" ht="15.75" customHeight="1" thickBot="1" x14ac:dyDescent="0.3">
      <c r="B192" s="145"/>
      <c r="C192" s="539">
        <v>44105</v>
      </c>
      <c r="D192" s="533"/>
      <c r="E192" s="534">
        <v>4252148.0199999996</v>
      </c>
      <c r="F192" s="557">
        <v>367583.9</v>
      </c>
      <c r="G192" s="534">
        <v>-18176.71</v>
      </c>
      <c r="H192" s="540">
        <v>0</v>
      </c>
      <c r="I192" s="536">
        <v>4601555.2100000009</v>
      </c>
      <c r="J192" s="533"/>
      <c r="K192" s="534">
        <v>17917.32</v>
      </c>
      <c r="L192" s="534">
        <v>0</v>
      </c>
      <c r="M192" s="534">
        <v>0</v>
      </c>
      <c r="N192" s="534">
        <v>0</v>
      </c>
      <c r="O192" s="534">
        <v>58.13</v>
      </c>
      <c r="P192" s="534">
        <v>0</v>
      </c>
      <c r="Q192" s="534">
        <v>0</v>
      </c>
      <c r="R192" s="534">
        <v>0</v>
      </c>
      <c r="S192" s="536">
        <v>17975.45</v>
      </c>
      <c r="T192" s="533"/>
      <c r="U192" s="534">
        <v>0</v>
      </c>
      <c r="V192" s="534">
        <v>69180.210000000006</v>
      </c>
      <c r="W192" s="534">
        <v>-8985.5300000000007</v>
      </c>
      <c r="X192" s="534">
        <v>0</v>
      </c>
      <c r="Y192" s="534">
        <v>0</v>
      </c>
      <c r="Z192" s="534">
        <v>3818.48</v>
      </c>
      <c r="AA192" s="534">
        <v>3508.46</v>
      </c>
      <c r="AB192" s="534">
        <v>0</v>
      </c>
      <c r="AC192" s="534">
        <v>804.7</v>
      </c>
      <c r="AD192" s="534">
        <v>-13418.1</v>
      </c>
      <c r="AE192" s="536">
        <v>54908.220000000008</v>
      </c>
      <c r="AF192" s="533"/>
      <c r="AG192" s="534">
        <v>0</v>
      </c>
      <c r="AH192" s="534">
        <v>0</v>
      </c>
      <c r="AI192" s="534">
        <v>0</v>
      </c>
      <c r="AJ192" s="534">
        <v>0</v>
      </c>
      <c r="AK192" s="536">
        <v>0</v>
      </c>
      <c r="AL192" s="533"/>
      <c r="AM192" s="534">
        <v>0</v>
      </c>
      <c r="AN192" s="534">
        <v>0</v>
      </c>
      <c r="AO192" s="534">
        <v>0</v>
      </c>
      <c r="AP192" s="537">
        <v>0</v>
      </c>
      <c r="AQ192" s="558"/>
      <c r="AR192" s="557"/>
      <c r="AS192" s="557"/>
      <c r="AT192" s="557"/>
      <c r="AU192" s="536">
        <v>-367583.9</v>
      </c>
      <c r="AV192" s="533"/>
      <c r="AW192" s="538">
        <v>4161087.6400000011</v>
      </c>
      <c r="AX192" s="538">
        <v>10927784.640000001</v>
      </c>
      <c r="AY192" s="533"/>
      <c r="AZ192" s="534">
        <f>17917.32 - BA192</f>
        <v>17917.32</v>
      </c>
      <c r="BA192" s="534">
        <v>0</v>
      </c>
      <c r="BD192" s="392">
        <f t="shared" si="91"/>
        <v>4252148.0199999996</v>
      </c>
      <c r="BE192" s="425">
        <f t="shared" si="92"/>
        <v>-804.7</v>
      </c>
      <c r="BF192" s="425">
        <f t="shared" si="102"/>
        <v>0</v>
      </c>
      <c r="BG192" s="425">
        <f t="shared" si="102"/>
        <v>-58.13</v>
      </c>
      <c r="BH192" s="425">
        <f t="shared" si="102"/>
        <v>-60194.680000000008</v>
      </c>
      <c r="BI192" s="425">
        <f t="shared" si="102"/>
        <v>0</v>
      </c>
      <c r="BJ192" s="425">
        <f t="shared" si="102"/>
        <v>-3818.48</v>
      </c>
      <c r="BK192" s="425">
        <f t="shared" si="102"/>
        <v>0</v>
      </c>
      <c r="BL192" s="425">
        <f t="shared" si="102"/>
        <v>-3508.46</v>
      </c>
      <c r="BM192" s="425">
        <f t="shared" si="99"/>
        <v>349407.19</v>
      </c>
      <c r="BN192" s="425">
        <f t="shared" si="99"/>
        <v>0</v>
      </c>
      <c r="BO192" s="425">
        <f t="shared" si="99"/>
        <v>0</v>
      </c>
      <c r="BP192" s="425">
        <f t="shared" si="100"/>
        <v>-17917.32</v>
      </c>
      <c r="BQ192" s="425">
        <f t="shared" si="100"/>
        <v>0</v>
      </c>
      <c r="BR192" s="425">
        <f t="shared" si="100"/>
        <v>13418.1</v>
      </c>
      <c r="BS192" s="425">
        <f t="shared" si="101"/>
        <v>0</v>
      </c>
      <c r="BT192" s="426">
        <f t="shared" si="101"/>
        <v>0</v>
      </c>
    </row>
    <row r="193" spans="2:72" ht="15.75" customHeight="1" thickBot="1" x14ac:dyDescent="0.3">
      <c r="B193" s="145"/>
      <c r="C193" s="559">
        <v>44136</v>
      </c>
      <c r="D193" s="560"/>
      <c r="E193" s="561">
        <v>1278140.22</v>
      </c>
      <c r="F193" s="562">
        <v>3810203.15</v>
      </c>
      <c r="G193" s="561">
        <v>-76520</v>
      </c>
      <c r="H193" s="563">
        <v>-364809.41</v>
      </c>
      <c r="I193" s="564">
        <v>4647013.96</v>
      </c>
      <c r="J193" s="560"/>
      <c r="K193" s="561">
        <v>17717.32</v>
      </c>
      <c r="L193" s="561">
        <v>301595.32</v>
      </c>
      <c r="M193" s="561">
        <v>0</v>
      </c>
      <c r="N193" s="561">
        <v>1760.86</v>
      </c>
      <c r="O193" s="561">
        <v>0</v>
      </c>
      <c r="P193" s="561">
        <v>0</v>
      </c>
      <c r="Q193" s="561">
        <v>0</v>
      </c>
      <c r="R193" s="561">
        <v>0</v>
      </c>
      <c r="S193" s="564">
        <v>321073.5</v>
      </c>
      <c r="T193" s="560"/>
      <c r="U193" s="561">
        <v>169.09</v>
      </c>
      <c r="V193" s="561">
        <v>53833.96</v>
      </c>
      <c r="W193" s="561">
        <v>-71220.710000000006</v>
      </c>
      <c r="X193" s="561">
        <v>100</v>
      </c>
      <c r="Y193" s="561">
        <v>0</v>
      </c>
      <c r="Z193" s="561">
        <v>416578.68</v>
      </c>
      <c r="AA193" s="561">
        <v>876.9</v>
      </c>
      <c r="AB193" s="561">
        <v>0</v>
      </c>
      <c r="AC193" s="561">
        <v>336747.15</v>
      </c>
      <c r="AD193" s="561">
        <v>-14571.66</v>
      </c>
      <c r="AE193" s="564">
        <v>722513.41</v>
      </c>
      <c r="AF193" s="560"/>
      <c r="AG193" s="561">
        <v>0</v>
      </c>
      <c r="AH193" s="561">
        <v>0</v>
      </c>
      <c r="AI193" s="561">
        <v>0</v>
      </c>
      <c r="AJ193" s="561">
        <v>0</v>
      </c>
      <c r="AK193" s="564">
        <v>0</v>
      </c>
      <c r="AL193" s="560"/>
      <c r="AM193" s="561">
        <v>0</v>
      </c>
      <c r="AN193" s="561">
        <v>0</v>
      </c>
      <c r="AO193" s="561">
        <v>0</v>
      </c>
      <c r="AP193" s="565">
        <v>0</v>
      </c>
      <c r="AQ193" s="566"/>
      <c r="AR193" s="562"/>
      <c r="AS193" s="562"/>
      <c r="AT193" s="562"/>
      <c r="AU193" s="564">
        <v>-3810203.149999999</v>
      </c>
      <c r="AV193" s="560"/>
      <c r="AW193" s="567">
        <v>-206776.0999999996</v>
      </c>
      <c r="AX193" s="567">
        <v>10721008.539999999</v>
      </c>
      <c r="AY193" s="560"/>
      <c r="AZ193" s="561">
        <f>17717.32 - BA193</f>
        <v>17717.32</v>
      </c>
      <c r="BA193" s="561">
        <v>0</v>
      </c>
      <c r="BB193" s="223"/>
      <c r="BC193" s="223"/>
      <c r="BD193" s="568">
        <f t="shared" si="91"/>
        <v>1278140.22</v>
      </c>
      <c r="BE193" s="569">
        <f t="shared" si="92"/>
        <v>-701556.56</v>
      </c>
      <c r="BF193" s="569">
        <f t="shared" si="102"/>
        <v>-301595.32</v>
      </c>
      <c r="BG193" s="569">
        <f t="shared" si="102"/>
        <v>-1929.9499999999998</v>
      </c>
      <c r="BH193" s="569">
        <f t="shared" si="102"/>
        <v>17286.750000000007</v>
      </c>
      <c r="BI193" s="569">
        <f t="shared" si="102"/>
        <v>0</v>
      </c>
      <c r="BJ193" s="569">
        <f t="shared" si="102"/>
        <v>-416578.68</v>
      </c>
      <c r="BK193" s="569">
        <f t="shared" si="102"/>
        <v>0</v>
      </c>
      <c r="BL193" s="569">
        <f t="shared" si="102"/>
        <v>-876.9</v>
      </c>
      <c r="BM193" s="569">
        <f t="shared" si="99"/>
        <v>3733683.15</v>
      </c>
      <c r="BN193" s="569">
        <f t="shared" si="99"/>
        <v>0</v>
      </c>
      <c r="BO193" s="569">
        <f t="shared" si="99"/>
        <v>0</v>
      </c>
      <c r="BP193" s="569">
        <f t="shared" si="100"/>
        <v>-17717.32</v>
      </c>
      <c r="BQ193" s="569">
        <f t="shared" si="100"/>
        <v>0</v>
      </c>
      <c r="BR193" s="569">
        <f t="shared" si="100"/>
        <v>14571.66</v>
      </c>
      <c r="BS193" s="569">
        <f t="shared" si="101"/>
        <v>0</v>
      </c>
      <c r="BT193" s="570">
        <f t="shared" si="101"/>
        <v>0</v>
      </c>
    </row>
    <row r="194" spans="2:72" x14ac:dyDescent="0.25">
      <c r="B194" s="145"/>
      <c r="C194" s="539">
        <v>44166</v>
      </c>
      <c r="D194" s="533"/>
      <c r="E194" s="534">
        <v>1280325.2584200799</v>
      </c>
      <c r="F194" s="534">
        <v>0</v>
      </c>
      <c r="G194" s="534">
        <v>-25895</v>
      </c>
      <c r="H194" s="540">
        <v>-26585.316576000001</v>
      </c>
      <c r="I194" s="536">
        <v>1227844.9418440801</v>
      </c>
      <c r="J194" s="533"/>
      <c r="K194" s="534">
        <v>5199.9999999999982</v>
      </c>
      <c r="L194" s="534">
        <v>983377.23</v>
      </c>
      <c r="M194" s="534">
        <v>27719.578799999999</v>
      </c>
      <c r="N194" s="534">
        <v>0</v>
      </c>
      <c r="O194" s="534">
        <v>18800</v>
      </c>
      <c r="P194" s="534">
        <v>60803.33</v>
      </c>
      <c r="Q194" s="534">
        <v>0</v>
      </c>
      <c r="R194" s="534">
        <v>0</v>
      </c>
      <c r="S194" s="536">
        <v>1095900.1388000001</v>
      </c>
      <c r="T194" s="533"/>
      <c r="U194" s="534">
        <v>10000</v>
      </c>
      <c r="V194" s="534">
        <v>50829.53</v>
      </c>
      <c r="W194" s="534">
        <v>0</v>
      </c>
      <c r="X194" s="534">
        <v>0</v>
      </c>
      <c r="Y194" s="534">
        <v>0</v>
      </c>
      <c r="Z194" s="534">
        <v>177653.14110000001</v>
      </c>
      <c r="AA194" s="534">
        <v>5123.1000000000004</v>
      </c>
      <c r="AB194" s="534">
        <v>0</v>
      </c>
      <c r="AC194" s="534">
        <v>24540.292224000001</v>
      </c>
      <c r="AD194" s="534">
        <v>0</v>
      </c>
      <c r="AE194" s="536">
        <v>268146.06332399999</v>
      </c>
      <c r="AF194" s="533"/>
      <c r="AG194" s="534">
        <v>0</v>
      </c>
      <c r="AH194" s="534">
        <v>0</v>
      </c>
      <c r="AI194" s="534">
        <v>0</v>
      </c>
      <c r="AJ194" s="534">
        <v>0</v>
      </c>
      <c r="AK194" s="536">
        <v>0</v>
      </c>
      <c r="AL194" s="533"/>
      <c r="AM194" s="534">
        <v>0</v>
      </c>
      <c r="AN194" s="534">
        <v>0</v>
      </c>
      <c r="AO194" s="534">
        <v>0</v>
      </c>
      <c r="AP194" s="537">
        <v>0</v>
      </c>
      <c r="AQ194" s="535">
        <v>0</v>
      </c>
      <c r="AR194" s="534">
        <v>0</v>
      </c>
      <c r="AS194" s="534">
        <v>0</v>
      </c>
      <c r="AT194" s="534">
        <v>0</v>
      </c>
      <c r="AU194" s="536">
        <v>0</v>
      </c>
      <c r="AV194" s="533"/>
      <c r="AW194" s="538">
        <v>-136201.26027992039</v>
      </c>
      <c r="AX194" s="538">
        <v>10584807.279720079</v>
      </c>
      <c r="AY194" s="533"/>
      <c r="AZ194" s="534">
        <f>5199.99999999999 - BA194</f>
        <v>5199.99999999999</v>
      </c>
      <c r="BA194" s="534">
        <v>0</v>
      </c>
      <c r="BD194" s="392">
        <f t="shared" si="91"/>
        <v>1280325.2584200799</v>
      </c>
      <c r="BE194" s="425">
        <f t="shared" si="92"/>
        <v>-51125.608800000002</v>
      </c>
      <c r="BF194" s="425">
        <f t="shared" si="102"/>
        <v>-983377.23</v>
      </c>
      <c r="BG194" s="425">
        <f t="shared" si="102"/>
        <v>-89603.33</v>
      </c>
      <c r="BH194" s="425">
        <f t="shared" si="102"/>
        <v>-50829.53</v>
      </c>
      <c r="BI194" s="425">
        <f t="shared" si="102"/>
        <v>0</v>
      </c>
      <c r="BJ194" s="425">
        <f t="shared" si="102"/>
        <v>-177653.14110000001</v>
      </c>
      <c r="BK194" s="425">
        <f t="shared" si="102"/>
        <v>-27719.578799999999</v>
      </c>
      <c r="BL194" s="425">
        <f t="shared" si="102"/>
        <v>-5123.1000000000004</v>
      </c>
      <c r="BM194" s="425">
        <f t="shared" si="99"/>
        <v>-25895</v>
      </c>
      <c r="BN194" s="425">
        <f t="shared" si="99"/>
        <v>0</v>
      </c>
      <c r="BO194" s="425">
        <f t="shared" si="99"/>
        <v>0</v>
      </c>
      <c r="BP194" s="425">
        <f t="shared" si="100"/>
        <v>-5199.99999999999</v>
      </c>
      <c r="BQ194" s="425">
        <f t="shared" si="100"/>
        <v>0</v>
      </c>
      <c r="BR194" s="425">
        <f t="shared" si="100"/>
        <v>0</v>
      </c>
      <c r="BS194" s="425">
        <f t="shared" si="101"/>
        <v>0</v>
      </c>
      <c r="BT194" s="426">
        <f t="shared" si="101"/>
        <v>0</v>
      </c>
    </row>
    <row r="195" spans="2:72" x14ac:dyDescent="0.25">
      <c r="B195" s="145"/>
      <c r="C195" s="539">
        <v>44197</v>
      </c>
      <c r="D195" s="533"/>
      <c r="E195" s="534">
        <v>926717.23554871033</v>
      </c>
      <c r="F195" s="534">
        <v>0</v>
      </c>
      <c r="G195" s="534">
        <v>-25895</v>
      </c>
      <c r="H195" s="540">
        <v>-26630.76537513766</v>
      </c>
      <c r="I195" s="536">
        <v>874191.47017357266</v>
      </c>
      <c r="J195" s="533"/>
      <c r="K195" s="534">
        <v>5199.9999999999982</v>
      </c>
      <c r="L195" s="534">
        <v>848265.0900000002</v>
      </c>
      <c r="M195" s="534">
        <v>88503.950700000001</v>
      </c>
      <c r="N195" s="534">
        <v>0</v>
      </c>
      <c r="O195" s="534">
        <v>0</v>
      </c>
      <c r="P195" s="534">
        <v>58003.33</v>
      </c>
      <c r="Q195" s="534">
        <v>0</v>
      </c>
      <c r="R195" s="534">
        <v>0</v>
      </c>
      <c r="S195" s="536">
        <v>999972.3707000002</v>
      </c>
      <c r="T195" s="533"/>
      <c r="U195" s="534">
        <v>0</v>
      </c>
      <c r="V195" s="534">
        <v>35000</v>
      </c>
      <c r="W195" s="534">
        <v>0</v>
      </c>
      <c r="X195" s="534">
        <v>5516.49</v>
      </c>
      <c r="Y195" s="534">
        <v>0</v>
      </c>
      <c r="Z195" s="534">
        <v>37632.90775260239</v>
      </c>
      <c r="AA195" s="534">
        <v>0</v>
      </c>
      <c r="AB195" s="534">
        <v>0</v>
      </c>
      <c r="AC195" s="534">
        <v>24582.244961665529</v>
      </c>
      <c r="AD195" s="534">
        <v>0</v>
      </c>
      <c r="AE195" s="536">
        <v>102731.6427142679</v>
      </c>
      <c r="AF195" s="533"/>
      <c r="AG195" s="534">
        <v>0</v>
      </c>
      <c r="AH195" s="534">
        <v>0</v>
      </c>
      <c r="AI195" s="534">
        <v>0</v>
      </c>
      <c r="AJ195" s="534">
        <v>0</v>
      </c>
      <c r="AK195" s="536">
        <v>0</v>
      </c>
      <c r="AL195" s="533"/>
      <c r="AM195" s="534">
        <v>0</v>
      </c>
      <c r="AN195" s="534">
        <v>0</v>
      </c>
      <c r="AO195" s="534">
        <v>0</v>
      </c>
      <c r="AP195" s="537">
        <v>0</v>
      </c>
      <c r="AQ195" s="535">
        <v>0</v>
      </c>
      <c r="AR195" s="534">
        <v>0</v>
      </c>
      <c r="AS195" s="534">
        <v>0</v>
      </c>
      <c r="AT195" s="534">
        <v>0</v>
      </c>
      <c r="AU195" s="536">
        <v>0</v>
      </c>
      <c r="AV195" s="533"/>
      <c r="AW195" s="538">
        <v>-228512.54324069549</v>
      </c>
      <c r="AX195" s="538">
        <v>10356294.736479379</v>
      </c>
      <c r="AY195" s="533"/>
      <c r="AZ195" s="534">
        <f>5199.99999999999 - BA195</f>
        <v>5199.99999999999</v>
      </c>
      <c r="BA195" s="534">
        <v>0</v>
      </c>
      <c r="BD195" s="392">
        <f t="shared" si="91"/>
        <v>926717.23554871033</v>
      </c>
      <c r="BE195" s="425">
        <f t="shared" si="92"/>
        <v>-51213.010336803185</v>
      </c>
      <c r="BF195" s="425">
        <f t="shared" si="102"/>
        <v>-848265.0900000002</v>
      </c>
      <c r="BG195" s="425">
        <f t="shared" si="102"/>
        <v>-58003.33</v>
      </c>
      <c r="BH195" s="425">
        <f t="shared" si="102"/>
        <v>-40516.49</v>
      </c>
      <c r="BI195" s="425">
        <f t="shared" si="102"/>
        <v>0</v>
      </c>
      <c r="BJ195" s="425">
        <f t="shared" si="102"/>
        <v>-37632.90775260239</v>
      </c>
      <c r="BK195" s="425">
        <f t="shared" si="102"/>
        <v>-88503.950700000001</v>
      </c>
      <c r="BL195" s="425">
        <f t="shared" si="102"/>
        <v>0</v>
      </c>
      <c r="BM195" s="425">
        <f t="shared" si="99"/>
        <v>-25895</v>
      </c>
      <c r="BN195" s="425">
        <f t="shared" si="99"/>
        <v>0</v>
      </c>
      <c r="BO195" s="425">
        <f t="shared" si="99"/>
        <v>0</v>
      </c>
      <c r="BP195" s="425">
        <f t="shared" si="100"/>
        <v>-5199.99999999999</v>
      </c>
      <c r="BQ195" s="425">
        <f t="shared" si="100"/>
        <v>0</v>
      </c>
      <c r="BR195" s="425">
        <f t="shared" si="100"/>
        <v>0</v>
      </c>
      <c r="BS195" s="425">
        <f t="shared" si="101"/>
        <v>0</v>
      </c>
      <c r="BT195" s="426">
        <f t="shared" si="101"/>
        <v>0</v>
      </c>
    </row>
    <row r="196" spans="2:72" x14ac:dyDescent="0.25">
      <c r="B196" s="145"/>
      <c r="C196" s="539">
        <v>44228</v>
      </c>
      <c r="D196" s="533"/>
      <c r="E196" s="534">
        <v>372788.33843152289</v>
      </c>
      <c r="F196" s="534">
        <v>0</v>
      </c>
      <c r="G196" s="534">
        <v>-25895</v>
      </c>
      <c r="H196" s="540">
        <v>-19275.718499413171</v>
      </c>
      <c r="I196" s="536">
        <v>327617.61993210978</v>
      </c>
      <c r="J196" s="533"/>
      <c r="K196" s="534">
        <v>17517.91</v>
      </c>
      <c r="L196" s="534">
        <v>794184.71</v>
      </c>
      <c r="M196" s="534">
        <v>76343.858100000012</v>
      </c>
      <c r="N196" s="534">
        <v>0</v>
      </c>
      <c r="O196" s="534">
        <v>0</v>
      </c>
      <c r="P196" s="534">
        <v>58003.33</v>
      </c>
      <c r="Q196" s="534">
        <v>0</v>
      </c>
      <c r="R196" s="534">
        <v>0</v>
      </c>
      <c r="S196" s="536">
        <v>946049.80809999991</v>
      </c>
      <c r="T196" s="533"/>
      <c r="U196" s="534">
        <v>0</v>
      </c>
      <c r="V196" s="534">
        <v>0</v>
      </c>
      <c r="W196" s="534">
        <v>0</v>
      </c>
      <c r="X196" s="534">
        <v>0</v>
      </c>
      <c r="Y196" s="534">
        <v>0</v>
      </c>
      <c r="Z196" s="534">
        <v>27024.667066461308</v>
      </c>
      <c r="AA196" s="534">
        <v>0</v>
      </c>
      <c r="AB196" s="534">
        <v>0</v>
      </c>
      <c r="AC196" s="534">
        <v>17792.970922535242</v>
      </c>
      <c r="AD196" s="534">
        <v>0</v>
      </c>
      <c r="AE196" s="536">
        <v>44817.637988996546</v>
      </c>
      <c r="AF196" s="533"/>
      <c r="AG196" s="534">
        <v>0</v>
      </c>
      <c r="AH196" s="534">
        <v>0</v>
      </c>
      <c r="AI196" s="534">
        <v>0</v>
      </c>
      <c r="AJ196" s="534">
        <v>0</v>
      </c>
      <c r="AK196" s="536">
        <v>0</v>
      </c>
      <c r="AL196" s="533"/>
      <c r="AM196" s="534">
        <v>0</v>
      </c>
      <c r="AN196" s="534">
        <v>0</v>
      </c>
      <c r="AO196" s="534">
        <v>0</v>
      </c>
      <c r="AP196" s="537">
        <v>0</v>
      </c>
      <c r="AQ196" s="535">
        <v>0</v>
      </c>
      <c r="AR196" s="534">
        <v>0</v>
      </c>
      <c r="AS196" s="534">
        <v>0</v>
      </c>
      <c r="AT196" s="534">
        <v>0</v>
      </c>
      <c r="AU196" s="536">
        <v>0</v>
      </c>
      <c r="AV196" s="533"/>
      <c r="AW196" s="538">
        <v>-663249.82615688664</v>
      </c>
      <c r="AX196" s="538">
        <v>9693044.9103224985</v>
      </c>
      <c r="AY196" s="533"/>
      <c r="AZ196" s="534">
        <f t="shared" ref="AZ196:AZ205" si="103">17517.9099999999 - BA196</f>
        <v>17517.909999999902</v>
      </c>
      <c r="BA196" s="534">
        <v>0</v>
      </c>
      <c r="BD196" s="392">
        <f t="shared" si="91"/>
        <v>372788.33843152289</v>
      </c>
      <c r="BE196" s="425">
        <f t="shared" si="92"/>
        <v>-37068.689421948409</v>
      </c>
      <c r="BF196" s="425">
        <f t="shared" si="102"/>
        <v>-794184.71</v>
      </c>
      <c r="BG196" s="425">
        <f t="shared" si="102"/>
        <v>-58003.33</v>
      </c>
      <c r="BH196" s="425">
        <f t="shared" si="102"/>
        <v>0</v>
      </c>
      <c r="BI196" s="425">
        <f t="shared" si="102"/>
        <v>0</v>
      </c>
      <c r="BJ196" s="425">
        <f t="shared" si="102"/>
        <v>-27024.667066461308</v>
      </c>
      <c r="BK196" s="425">
        <f t="shared" si="102"/>
        <v>-76343.858100000012</v>
      </c>
      <c r="BL196" s="425">
        <f t="shared" si="102"/>
        <v>0</v>
      </c>
      <c r="BM196" s="425">
        <f t="shared" si="99"/>
        <v>-25895</v>
      </c>
      <c r="BN196" s="425">
        <f t="shared" si="99"/>
        <v>0</v>
      </c>
      <c r="BO196" s="425">
        <f t="shared" si="99"/>
        <v>0</v>
      </c>
      <c r="BP196" s="425">
        <f t="shared" si="100"/>
        <v>-17517.909999999902</v>
      </c>
      <c r="BQ196" s="425">
        <f t="shared" si="100"/>
        <v>0</v>
      </c>
      <c r="BR196" s="425">
        <f t="shared" si="100"/>
        <v>0</v>
      </c>
      <c r="BS196" s="425">
        <f t="shared" si="101"/>
        <v>0</v>
      </c>
      <c r="BT196" s="426">
        <f t="shared" si="101"/>
        <v>0</v>
      </c>
    </row>
    <row r="197" spans="2:72" x14ac:dyDescent="0.25">
      <c r="B197" s="145"/>
      <c r="C197" s="539">
        <v>44256</v>
      </c>
      <c r="D197" s="533"/>
      <c r="E197" s="534">
        <v>541699.15979727847</v>
      </c>
      <c r="F197" s="534">
        <v>0</v>
      </c>
      <c r="G197" s="534">
        <v>-9375</v>
      </c>
      <c r="H197" s="540">
        <v>-7753.9974393756765</v>
      </c>
      <c r="I197" s="536">
        <v>524570.16235790274</v>
      </c>
      <c r="J197" s="533"/>
      <c r="K197" s="534">
        <v>17517.91</v>
      </c>
      <c r="L197" s="534">
        <v>826300.25427615759</v>
      </c>
      <c r="M197" s="534">
        <v>71476.623899999991</v>
      </c>
      <c r="N197" s="534">
        <v>0</v>
      </c>
      <c r="O197" s="534">
        <v>5946.1899999999987</v>
      </c>
      <c r="P197" s="534">
        <v>0</v>
      </c>
      <c r="Q197" s="534">
        <v>82221.410011414991</v>
      </c>
      <c r="R197" s="534">
        <v>0</v>
      </c>
      <c r="S197" s="536">
        <v>1003462.3881875729</v>
      </c>
      <c r="T197" s="533"/>
      <c r="U197" s="534">
        <v>75000</v>
      </c>
      <c r="V197" s="534">
        <v>297871.65999999997</v>
      </c>
      <c r="W197" s="534">
        <v>0</v>
      </c>
      <c r="X197" s="534">
        <v>0</v>
      </c>
      <c r="Y197" s="534">
        <v>0</v>
      </c>
      <c r="Z197" s="534">
        <v>10406.800152945691</v>
      </c>
      <c r="AA197" s="534">
        <v>0</v>
      </c>
      <c r="AB197" s="534">
        <v>0</v>
      </c>
      <c r="AC197" s="534">
        <v>7157.5360978852414</v>
      </c>
      <c r="AD197" s="534">
        <v>0</v>
      </c>
      <c r="AE197" s="536">
        <v>390435.99625083088</v>
      </c>
      <c r="AF197" s="533"/>
      <c r="AG197" s="534">
        <v>0</v>
      </c>
      <c r="AH197" s="534">
        <v>0</v>
      </c>
      <c r="AI197" s="534">
        <v>0</v>
      </c>
      <c r="AJ197" s="534">
        <v>0</v>
      </c>
      <c r="AK197" s="536">
        <v>0</v>
      </c>
      <c r="AL197" s="533"/>
      <c r="AM197" s="534">
        <v>0</v>
      </c>
      <c r="AN197" s="534">
        <v>0</v>
      </c>
      <c r="AO197" s="534">
        <v>0</v>
      </c>
      <c r="AP197" s="537">
        <v>0</v>
      </c>
      <c r="AQ197" s="535">
        <v>0</v>
      </c>
      <c r="AR197" s="534">
        <v>0</v>
      </c>
      <c r="AS197" s="534">
        <v>0</v>
      </c>
      <c r="AT197" s="534">
        <v>0</v>
      </c>
      <c r="AU197" s="536">
        <v>0</v>
      </c>
      <c r="AV197" s="533"/>
      <c r="AW197" s="538">
        <v>-869328.2220805008</v>
      </c>
      <c r="AX197" s="538">
        <v>8823716.6882419977</v>
      </c>
      <c r="AY197" s="533"/>
      <c r="AZ197" s="534">
        <f t="shared" si="103"/>
        <v>17517.909999999902</v>
      </c>
      <c r="BA197" s="534">
        <v>0</v>
      </c>
      <c r="BD197" s="392">
        <f t="shared" si="91"/>
        <v>541699.15979727847</v>
      </c>
      <c r="BE197" s="425">
        <f t="shared" si="92"/>
        <v>-14911.533537260919</v>
      </c>
      <c r="BF197" s="425">
        <f t="shared" si="102"/>
        <v>-826300.25427615759</v>
      </c>
      <c r="BG197" s="425">
        <f t="shared" si="102"/>
        <v>-163167.60001141499</v>
      </c>
      <c r="BH197" s="425">
        <f t="shared" si="102"/>
        <v>-297871.65999999997</v>
      </c>
      <c r="BI197" s="425">
        <f t="shared" si="102"/>
        <v>0</v>
      </c>
      <c r="BJ197" s="425">
        <f t="shared" si="102"/>
        <v>-10406.800152945691</v>
      </c>
      <c r="BK197" s="425">
        <f t="shared" si="102"/>
        <v>-71476.623899999991</v>
      </c>
      <c r="BL197" s="425">
        <f t="shared" si="102"/>
        <v>0</v>
      </c>
      <c r="BM197" s="425">
        <f t="shared" si="99"/>
        <v>-9375</v>
      </c>
      <c r="BN197" s="425">
        <f t="shared" si="99"/>
        <v>0</v>
      </c>
      <c r="BO197" s="425">
        <f t="shared" si="99"/>
        <v>0</v>
      </c>
      <c r="BP197" s="425">
        <f t="shared" si="100"/>
        <v>-17517.909999999902</v>
      </c>
      <c r="BQ197" s="425">
        <f t="shared" si="100"/>
        <v>0</v>
      </c>
      <c r="BR197" s="425">
        <f t="shared" si="100"/>
        <v>0</v>
      </c>
      <c r="BS197" s="425">
        <f t="shared" si="101"/>
        <v>0</v>
      </c>
      <c r="BT197" s="426">
        <f t="shared" si="101"/>
        <v>0</v>
      </c>
    </row>
    <row r="198" spans="2:72" x14ac:dyDescent="0.25">
      <c r="B198" s="145"/>
      <c r="C198" s="539">
        <v>44287</v>
      </c>
      <c r="D198" s="533"/>
      <c r="E198" s="534">
        <v>453860.14496827847</v>
      </c>
      <c r="F198" s="534">
        <v>0</v>
      </c>
      <c r="G198" s="534">
        <v>-9375</v>
      </c>
      <c r="H198" s="540">
        <v>-11267.342523783391</v>
      </c>
      <c r="I198" s="536">
        <v>433217.80244449509</v>
      </c>
      <c r="J198" s="533"/>
      <c r="K198" s="534">
        <v>17517.91</v>
      </c>
      <c r="L198" s="534">
        <v>793412.21529793402</v>
      </c>
      <c r="M198" s="534">
        <v>74367.022884854174</v>
      </c>
      <c r="N198" s="534">
        <v>0</v>
      </c>
      <c r="O198" s="534">
        <v>0</v>
      </c>
      <c r="P198" s="534">
        <v>0</v>
      </c>
      <c r="Q198" s="534">
        <v>0</v>
      </c>
      <c r="R198" s="534">
        <v>0</v>
      </c>
      <c r="S198" s="536">
        <v>885297.14818278817</v>
      </c>
      <c r="T198" s="533"/>
      <c r="U198" s="534">
        <v>0</v>
      </c>
      <c r="V198" s="534">
        <v>0</v>
      </c>
      <c r="W198" s="534">
        <v>0</v>
      </c>
      <c r="X198" s="534">
        <v>0</v>
      </c>
      <c r="Y198" s="534">
        <v>0</v>
      </c>
      <c r="Z198" s="534">
        <v>15969.724793918351</v>
      </c>
      <c r="AA198" s="534">
        <v>0</v>
      </c>
      <c r="AB198" s="534">
        <v>0</v>
      </c>
      <c r="AC198" s="534">
        <v>10400.62386810775</v>
      </c>
      <c r="AD198" s="534">
        <v>0</v>
      </c>
      <c r="AE198" s="536">
        <v>26370.348662026099</v>
      </c>
      <c r="AF198" s="533"/>
      <c r="AG198" s="534">
        <v>0</v>
      </c>
      <c r="AH198" s="534">
        <v>0</v>
      </c>
      <c r="AI198" s="534">
        <v>0</v>
      </c>
      <c r="AJ198" s="534">
        <v>0</v>
      </c>
      <c r="AK198" s="536">
        <v>0</v>
      </c>
      <c r="AL198" s="533"/>
      <c r="AM198" s="534">
        <v>0</v>
      </c>
      <c r="AN198" s="534">
        <v>0</v>
      </c>
      <c r="AO198" s="534">
        <v>0</v>
      </c>
      <c r="AP198" s="537">
        <v>0</v>
      </c>
      <c r="AQ198" s="535">
        <v>0</v>
      </c>
      <c r="AR198" s="534">
        <v>0</v>
      </c>
      <c r="AS198" s="534">
        <v>0</v>
      </c>
      <c r="AT198" s="534">
        <v>0</v>
      </c>
      <c r="AU198" s="536">
        <v>0</v>
      </c>
      <c r="AV198" s="533"/>
      <c r="AW198" s="538">
        <v>-478449.69440031919</v>
      </c>
      <c r="AX198" s="538">
        <v>8345266.9938416788</v>
      </c>
      <c r="AY198" s="533"/>
      <c r="AZ198" s="534">
        <f t="shared" si="103"/>
        <v>17517.909999999902</v>
      </c>
      <c r="BA198" s="534">
        <v>0</v>
      </c>
      <c r="BD198" s="392">
        <f t="shared" si="91"/>
        <v>453860.14496827847</v>
      </c>
      <c r="BE198" s="425">
        <f t="shared" si="92"/>
        <v>-21667.966391891139</v>
      </c>
      <c r="BF198" s="425">
        <f t="shared" si="102"/>
        <v>-793412.21529793402</v>
      </c>
      <c r="BG198" s="425">
        <f t="shared" si="102"/>
        <v>0</v>
      </c>
      <c r="BH198" s="425">
        <f t="shared" si="102"/>
        <v>0</v>
      </c>
      <c r="BI198" s="425">
        <f t="shared" si="102"/>
        <v>0</v>
      </c>
      <c r="BJ198" s="425">
        <f t="shared" si="102"/>
        <v>-15969.724793918351</v>
      </c>
      <c r="BK198" s="425">
        <f t="shared" si="102"/>
        <v>-74367.022884854174</v>
      </c>
      <c r="BL198" s="425">
        <f t="shared" si="102"/>
        <v>0</v>
      </c>
      <c r="BM198" s="425">
        <f t="shared" si="99"/>
        <v>-9375</v>
      </c>
      <c r="BN198" s="425">
        <f t="shared" si="99"/>
        <v>0</v>
      </c>
      <c r="BO198" s="425">
        <f t="shared" si="99"/>
        <v>0</v>
      </c>
      <c r="BP198" s="425">
        <f t="shared" si="100"/>
        <v>-17517.909999999902</v>
      </c>
      <c r="BQ198" s="425">
        <f t="shared" si="100"/>
        <v>0</v>
      </c>
      <c r="BR198" s="425">
        <f t="shared" si="100"/>
        <v>0</v>
      </c>
      <c r="BS198" s="425">
        <f t="shared" si="101"/>
        <v>0</v>
      </c>
      <c r="BT198" s="426">
        <f t="shared" si="101"/>
        <v>0</v>
      </c>
    </row>
    <row r="199" spans="2:72" x14ac:dyDescent="0.25">
      <c r="B199" s="145"/>
      <c r="C199" s="539">
        <v>44317</v>
      </c>
      <c r="D199" s="533"/>
      <c r="E199" s="534">
        <v>547972.81587047526</v>
      </c>
      <c r="F199" s="534">
        <v>0</v>
      </c>
      <c r="G199" s="534">
        <v>-4262.5</v>
      </c>
      <c r="H199" s="540">
        <v>-9440.2910153401917</v>
      </c>
      <c r="I199" s="536">
        <v>534270.02485513501</v>
      </c>
      <c r="J199" s="533"/>
      <c r="K199" s="534">
        <v>17517.91</v>
      </c>
      <c r="L199" s="534">
        <v>803515.13199736096</v>
      </c>
      <c r="M199" s="534">
        <v>71407.099376814062</v>
      </c>
      <c r="N199" s="534">
        <v>0</v>
      </c>
      <c r="O199" s="534">
        <v>0</v>
      </c>
      <c r="P199" s="534">
        <v>0</v>
      </c>
      <c r="Q199" s="534">
        <v>0</v>
      </c>
      <c r="R199" s="534">
        <v>0</v>
      </c>
      <c r="S199" s="536">
        <v>892440.14137417509</v>
      </c>
      <c r="T199" s="533"/>
      <c r="U199" s="534">
        <v>0</v>
      </c>
      <c r="V199" s="534">
        <v>0</v>
      </c>
      <c r="W199" s="534">
        <v>0</v>
      </c>
      <c r="X199" s="534">
        <v>0</v>
      </c>
      <c r="Y199" s="534">
        <v>0</v>
      </c>
      <c r="Z199" s="534">
        <v>13334.554349048351</v>
      </c>
      <c r="AA199" s="534">
        <v>0</v>
      </c>
      <c r="AB199" s="534">
        <v>0</v>
      </c>
      <c r="AC199" s="534">
        <v>8714.1147833909472</v>
      </c>
      <c r="AD199" s="534">
        <v>0</v>
      </c>
      <c r="AE199" s="536">
        <v>22048.6691324393</v>
      </c>
      <c r="AF199" s="533"/>
      <c r="AG199" s="534">
        <v>0</v>
      </c>
      <c r="AH199" s="534">
        <v>0</v>
      </c>
      <c r="AI199" s="534">
        <v>0</v>
      </c>
      <c r="AJ199" s="534">
        <v>0</v>
      </c>
      <c r="AK199" s="536">
        <v>0</v>
      </c>
      <c r="AL199" s="533"/>
      <c r="AM199" s="534">
        <v>0</v>
      </c>
      <c r="AN199" s="534">
        <v>0</v>
      </c>
      <c r="AO199" s="534">
        <v>0</v>
      </c>
      <c r="AP199" s="537">
        <v>0</v>
      </c>
      <c r="AQ199" s="535">
        <v>0</v>
      </c>
      <c r="AR199" s="534">
        <v>0</v>
      </c>
      <c r="AS199" s="534">
        <v>0</v>
      </c>
      <c r="AT199" s="534">
        <v>0</v>
      </c>
      <c r="AU199" s="536">
        <v>0</v>
      </c>
      <c r="AV199" s="533"/>
      <c r="AW199" s="538">
        <v>-380218.78565147938</v>
      </c>
      <c r="AX199" s="538">
        <v>7965048.208190199</v>
      </c>
      <c r="AY199" s="533"/>
      <c r="AZ199" s="534">
        <f t="shared" si="103"/>
        <v>17517.909999999902</v>
      </c>
      <c r="BA199" s="534">
        <v>0</v>
      </c>
      <c r="BD199" s="392">
        <f t="shared" si="91"/>
        <v>547972.81587047526</v>
      </c>
      <c r="BE199" s="425">
        <f t="shared" si="92"/>
        <v>-18154.405798731139</v>
      </c>
      <c r="BF199" s="425">
        <f t="shared" si="102"/>
        <v>-803515.13199736096</v>
      </c>
      <c r="BG199" s="425">
        <f t="shared" si="102"/>
        <v>0</v>
      </c>
      <c r="BH199" s="425">
        <f t="shared" si="102"/>
        <v>0</v>
      </c>
      <c r="BI199" s="425">
        <f t="shared" si="102"/>
        <v>0</v>
      </c>
      <c r="BJ199" s="425">
        <f t="shared" si="102"/>
        <v>-13334.554349048351</v>
      </c>
      <c r="BK199" s="425">
        <f t="shared" si="102"/>
        <v>-71407.099376814062</v>
      </c>
      <c r="BL199" s="425">
        <f t="shared" si="102"/>
        <v>0</v>
      </c>
      <c r="BM199" s="425">
        <f t="shared" si="99"/>
        <v>-4262.5</v>
      </c>
      <c r="BN199" s="425">
        <f t="shared" si="99"/>
        <v>0</v>
      </c>
      <c r="BO199" s="425">
        <f t="shared" si="99"/>
        <v>0</v>
      </c>
      <c r="BP199" s="425">
        <f t="shared" si="100"/>
        <v>-17517.909999999902</v>
      </c>
      <c r="BQ199" s="425">
        <f t="shared" si="100"/>
        <v>0</v>
      </c>
      <c r="BR199" s="425">
        <f t="shared" si="100"/>
        <v>0</v>
      </c>
      <c r="BS199" s="425">
        <f t="shared" si="101"/>
        <v>0</v>
      </c>
      <c r="BT199" s="426">
        <f t="shared" si="101"/>
        <v>0</v>
      </c>
    </row>
    <row r="200" spans="2:72" x14ac:dyDescent="0.25">
      <c r="B200" s="145"/>
      <c r="C200" s="539">
        <v>44348</v>
      </c>
      <c r="D200" s="533"/>
      <c r="E200" s="534">
        <v>2237984.4770836229</v>
      </c>
      <c r="F200" s="534">
        <v>0</v>
      </c>
      <c r="G200" s="534">
        <v>0</v>
      </c>
      <c r="H200" s="540">
        <v>-11397.834570105881</v>
      </c>
      <c r="I200" s="536">
        <v>2226586.6425135168</v>
      </c>
      <c r="J200" s="533"/>
      <c r="K200" s="534">
        <v>17517.91</v>
      </c>
      <c r="L200" s="534">
        <v>862788.35415823502</v>
      </c>
      <c r="M200" s="534">
        <v>72316.36187976248</v>
      </c>
      <c r="N200" s="534">
        <v>0</v>
      </c>
      <c r="O200" s="534">
        <v>0</v>
      </c>
      <c r="P200" s="534">
        <v>0</v>
      </c>
      <c r="Q200" s="534">
        <v>0</v>
      </c>
      <c r="R200" s="534">
        <v>0</v>
      </c>
      <c r="S200" s="536">
        <v>952622.62603799754</v>
      </c>
      <c r="T200" s="533"/>
      <c r="U200" s="534">
        <v>0</v>
      </c>
      <c r="V200" s="534">
        <v>0</v>
      </c>
      <c r="W200" s="534">
        <v>0</v>
      </c>
      <c r="X200" s="534">
        <v>0</v>
      </c>
      <c r="Y200" s="534">
        <v>0</v>
      </c>
      <c r="Z200" s="534">
        <v>16311.30947611426</v>
      </c>
      <c r="AA200" s="534">
        <v>0</v>
      </c>
      <c r="AB200" s="534">
        <v>0</v>
      </c>
      <c r="AC200" s="534">
        <v>10521.078064713131</v>
      </c>
      <c r="AD200" s="534">
        <v>0</v>
      </c>
      <c r="AE200" s="536">
        <v>26832.387540827382</v>
      </c>
      <c r="AF200" s="533"/>
      <c r="AG200" s="534">
        <v>0</v>
      </c>
      <c r="AH200" s="534">
        <v>0</v>
      </c>
      <c r="AI200" s="534">
        <v>0</v>
      </c>
      <c r="AJ200" s="534">
        <v>0</v>
      </c>
      <c r="AK200" s="536">
        <v>0</v>
      </c>
      <c r="AL200" s="533"/>
      <c r="AM200" s="534">
        <v>0</v>
      </c>
      <c r="AN200" s="534">
        <v>0</v>
      </c>
      <c r="AO200" s="534">
        <v>0</v>
      </c>
      <c r="AP200" s="537">
        <v>0</v>
      </c>
      <c r="AQ200" s="535">
        <v>0</v>
      </c>
      <c r="AR200" s="534">
        <v>0</v>
      </c>
      <c r="AS200" s="534">
        <v>0</v>
      </c>
      <c r="AT200" s="534">
        <v>0</v>
      </c>
      <c r="AU200" s="536">
        <v>0</v>
      </c>
      <c r="AV200" s="533"/>
      <c r="AW200" s="538">
        <v>1247131.6289346919</v>
      </c>
      <c r="AX200" s="538">
        <v>9212179.8371248916</v>
      </c>
      <c r="AY200" s="533"/>
      <c r="AZ200" s="534">
        <f t="shared" si="103"/>
        <v>17517.909999999902</v>
      </c>
      <c r="BA200" s="534">
        <v>0</v>
      </c>
      <c r="BD200" s="392">
        <f t="shared" si="91"/>
        <v>2237984.4770836229</v>
      </c>
      <c r="BE200" s="425">
        <f t="shared" si="92"/>
        <v>-21918.912634819011</v>
      </c>
      <c r="BF200" s="425">
        <f t="shared" si="102"/>
        <v>-862788.35415823502</v>
      </c>
      <c r="BG200" s="425">
        <f t="shared" si="102"/>
        <v>0</v>
      </c>
      <c r="BH200" s="425">
        <f t="shared" si="102"/>
        <v>0</v>
      </c>
      <c r="BI200" s="425">
        <f t="shared" si="102"/>
        <v>0</v>
      </c>
      <c r="BJ200" s="425">
        <f t="shared" si="102"/>
        <v>-16311.30947611426</v>
      </c>
      <c r="BK200" s="425">
        <f t="shared" si="102"/>
        <v>-72316.36187976248</v>
      </c>
      <c r="BL200" s="425">
        <f t="shared" si="102"/>
        <v>0</v>
      </c>
      <c r="BM200" s="425">
        <f t="shared" si="99"/>
        <v>0</v>
      </c>
      <c r="BN200" s="425">
        <f t="shared" si="99"/>
        <v>0</v>
      </c>
      <c r="BO200" s="425">
        <f t="shared" si="99"/>
        <v>0</v>
      </c>
      <c r="BP200" s="425">
        <f t="shared" si="100"/>
        <v>-17517.909999999902</v>
      </c>
      <c r="BQ200" s="425">
        <f t="shared" si="100"/>
        <v>0</v>
      </c>
      <c r="BR200" s="425">
        <f t="shared" si="100"/>
        <v>0</v>
      </c>
      <c r="BS200" s="425">
        <f t="shared" si="101"/>
        <v>0</v>
      </c>
      <c r="BT200" s="426">
        <f t="shared" si="101"/>
        <v>0</v>
      </c>
    </row>
    <row r="201" spans="2:72" x14ac:dyDescent="0.25">
      <c r="B201" s="145"/>
      <c r="C201" s="539">
        <v>44378</v>
      </c>
      <c r="D201" s="533"/>
      <c r="E201" s="534">
        <v>1573168.8550459759</v>
      </c>
      <c r="F201" s="534">
        <v>0</v>
      </c>
      <c r="G201" s="534">
        <v>0</v>
      </c>
      <c r="H201" s="540">
        <v>-46550.077123339353</v>
      </c>
      <c r="I201" s="536">
        <v>1526618.7779226371</v>
      </c>
      <c r="J201" s="533"/>
      <c r="K201" s="534">
        <v>17517.91</v>
      </c>
      <c r="L201" s="534">
        <v>886051.01641823503</v>
      </c>
      <c r="M201" s="534">
        <v>77650.951874241146</v>
      </c>
      <c r="N201" s="534">
        <v>0</v>
      </c>
      <c r="O201" s="534">
        <v>0</v>
      </c>
      <c r="P201" s="534">
        <v>0</v>
      </c>
      <c r="Q201" s="534">
        <v>0</v>
      </c>
      <c r="R201" s="534">
        <v>0</v>
      </c>
      <c r="S201" s="536">
        <v>981219.87829247618</v>
      </c>
      <c r="T201" s="533"/>
      <c r="U201" s="534">
        <v>0</v>
      </c>
      <c r="V201" s="534">
        <v>0</v>
      </c>
      <c r="W201" s="534">
        <v>0</v>
      </c>
      <c r="X201" s="534">
        <v>0</v>
      </c>
      <c r="Y201" s="534">
        <v>0</v>
      </c>
      <c r="Z201" s="534">
        <v>67139.53431250868</v>
      </c>
      <c r="AA201" s="534">
        <v>0</v>
      </c>
      <c r="AB201" s="534">
        <v>0</v>
      </c>
      <c r="AC201" s="534">
        <v>42969.301960005563</v>
      </c>
      <c r="AD201" s="534">
        <v>0</v>
      </c>
      <c r="AE201" s="536">
        <v>110108.83627251429</v>
      </c>
      <c r="AF201" s="533"/>
      <c r="AG201" s="534">
        <v>0</v>
      </c>
      <c r="AH201" s="534">
        <v>0</v>
      </c>
      <c r="AI201" s="534">
        <v>0</v>
      </c>
      <c r="AJ201" s="534">
        <v>0</v>
      </c>
      <c r="AK201" s="536">
        <v>0</v>
      </c>
      <c r="AL201" s="533"/>
      <c r="AM201" s="534">
        <v>0</v>
      </c>
      <c r="AN201" s="534">
        <v>0</v>
      </c>
      <c r="AO201" s="534">
        <v>0</v>
      </c>
      <c r="AP201" s="537">
        <v>0</v>
      </c>
      <c r="AQ201" s="535">
        <v>0</v>
      </c>
      <c r="AR201" s="534">
        <v>0</v>
      </c>
      <c r="AS201" s="534">
        <v>0</v>
      </c>
      <c r="AT201" s="534">
        <v>0</v>
      </c>
      <c r="AU201" s="536">
        <v>0</v>
      </c>
      <c r="AV201" s="533"/>
      <c r="AW201" s="538">
        <v>435290.06335764623</v>
      </c>
      <c r="AX201" s="538">
        <v>9647469.9004825372</v>
      </c>
      <c r="AY201" s="533"/>
      <c r="AZ201" s="534">
        <f t="shared" si="103"/>
        <v>17517.909999999902</v>
      </c>
      <c r="BA201" s="534">
        <v>0</v>
      </c>
      <c r="BD201" s="392">
        <f t="shared" si="91"/>
        <v>1573168.8550459759</v>
      </c>
      <c r="BE201" s="425">
        <f t="shared" si="92"/>
        <v>-89519.379083344917</v>
      </c>
      <c r="BF201" s="425">
        <f t="shared" ref="BF201:BL210" si="104">-SUMIF($E$6:$BA$6, BF$6, $E201:$BA201)</f>
        <v>-886051.01641823503</v>
      </c>
      <c r="BG201" s="425">
        <f t="shared" si="104"/>
        <v>0</v>
      </c>
      <c r="BH201" s="425">
        <f t="shared" si="104"/>
        <v>0</v>
      </c>
      <c r="BI201" s="425">
        <f t="shared" si="104"/>
        <v>0</v>
      </c>
      <c r="BJ201" s="425">
        <f t="shared" si="104"/>
        <v>-67139.53431250868</v>
      </c>
      <c r="BK201" s="425">
        <f t="shared" si="104"/>
        <v>-77650.951874241146</v>
      </c>
      <c r="BL201" s="425">
        <f t="shared" si="104"/>
        <v>0</v>
      </c>
      <c r="BM201" s="425">
        <f t="shared" ref="BM201:BO220" si="105">SUMIF($E$6:$BA$6, BM$6, $E201:$BA201)</f>
        <v>0</v>
      </c>
      <c r="BN201" s="425">
        <f t="shared" si="105"/>
        <v>0</v>
      </c>
      <c r="BO201" s="425">
        <f t="shared" si="105"/>
        <v>0</v>
      </c>
      <c r="BP201" s="425">
        <f t="shared" ref="BP201:BR220" si="106">-SUMIF($E$6:$BA$6, BP$6, $E201:$BA201)</f>
        <v>-17517.909999999902</v>
      </c>
      <c r="BQ201" s="425">
        <f t="shared" si="106"/>
        <v>0</v>
      </c>
      <c r="BR201" s="425">
        <f t="shared" si="106"/>
        <v>0</v>
      </c>
      <c r="BS201" s="425">
        <f t="shared" ref="BS201:BT220" si="107">SUMIF($E$6:$BA$6, BS$6, $E201:$BA201)</f>
        <v>0</v>
      </c>
      <c r="BT201" s="426">
        <f t="shared" si="107"/>
        <v>0</v>
      </c>
    </row>
    <row r="202" spans="2:72" x14ac:dyDescent="0.25">
      <c r="B202" s="145"/>
      <c r="C202" s="539">
        <v>44409</v>
      </c>
      <c r="D202" s="533"/>
      <c r="E202" s="534">
        <v>2043400.7241172181</v>
      </c>
      <c r="F202" s="534">
        <v>0</v>
      </c>
      <c r="G202" s="534">
        <v>0</v>
      </c>
      <c r="H202" s="540">
        <v>-32721.912184956302</v>
      </c>
      <c r="I202" s="536">
        <v>2010678.811932262</v>
      </c>
      <c r="J202" s="533"/>
      <c r="K202" s="534">
        <v>17517.91</v>
      </c>
      <c r="L202" s="534">
        <v>933089.26966261503</v>
      </c>
      <c r="M202" s="534">
        <v>79744.591477641152</v>
      </c>
      <c r="N202" s="534">
        <v>0</v>
      </c>
      <c r="O202" s="534">
        <v>0</v>
      </c>
      <c r="P202" s="534">
        <v>0</v>
      </c>
      <c r="Q202" s="534">
        <v>0</v>
      </c>
      <c r="R202" s="534">
        <v>0</v>
      </c>
      <c r="S202" s="536">
        <v>1030351.771140256</v>
      </c>
      <c r="T202" s="533"/>
      <c r="U202" s="534">
        <v>0</v>
      </c>
      <c r="V202" s="534">
        <v>0</v>
      </c>
      <c r="W202" s="534">
        <v>0</v>
      </c>
      <c r="X202" s="534">
        <v>0</v>
      </c>
      <c r="Y202" s="534">
        <v>0</v>
      </c>
      <c r="Z202" s="534">
        <v>47195.065651379278</v>
      </c>
      <c r="AA202" s="534">
        <v>0</v>
      </c>
      <c r="AB202" s="534">
        <v>0</v>
      </c>
      <c r="AC202" s="534">
        <v>30204.84201688274</v>
      </c>
      <c r="AD202" s="534">
        <v>0</v>
      </c>
      <c r="AE202" s="536">
        <v>77399.907668262022</v>
      </c>
      <c r="AF202" s="533"/>
      <c r="AG202" s="534">
        <v>0</v>
      </c>
      <c r="AH202" s="534">
        <v>0</v>
      </c>
      <c r="AI202" s="534">
        <v>0</v>
      </c>
      <c r="AJ202" s="534">
        <v>0</v>
      </c>
      <c r="AK202" s="536">
        <v>0</v>
      </c>
      <c r="AL202" s="533"/>
      <c r="AM202" s="534">
        <v>0</v>
      </c>
      <c r="AN202" s="534">
        <v>0</v>
      </c>
      <c r="AO202" s="534">
        <v>0</v>
      </c>
      <c r="AP202" s="537">
        <v>0</v>
      </c>
      <c r="AQ202" s="535">
        <v>0</v>
      </c>
      <c r="AR202" s="534">
        <v>0</v>
      </c>
      <c r="AS202" s="534">
        <v>0</v>
      </c>
      <c r="AT202" s="534">
        <v>0</v>
      </c>
      <c r="AU202" s="536">
        <v>0</v>
      </c>
      <c r="AV202" s="533"/>
      <c r="AW202" s="538">
        <v>902927.13312374335</v>
      </c>
      <c r="AX202" s="538">
        <v>10550397.03360628</v>
      </c>
      <c r="AY202" s="533"/>
      <c r="AZ202" s="534">
        <f t="shared" si="103"/>
        <v>17517.909999999902</v>
      </c>
      <c r="BA202" s="534">
        <v>0</v>
      </c>
      <c r="BD202" s="392">
        <f t="shared" si="91"/>
        <v>2043400.7241172181</v>
      </c>
      <c r="BE202" s="425">
        <f t="shared" si="92"/>
        <v>-62926.754201839038</v>
      </c>
      <c r="BF202" s="425">
        <f t="shared" si="104"/>
        <v>-933089.26966261503</v>
      </c>
      <c r="BG202" s="425">
        <f t="shared" si="104"/>
        <v>0</v>
      </c>
      <c r="BH202" s="425">
        <f t="shared" si="104"/>
        <v>0</v>
      </c>
      <c r="BI202" s="425">
        <f t="shared" si="104"/>
        <v>0</v>
      </c>
      <c r="BJ202" s="425">
        <f t="shared" si="104"/>
        <v>-47195.065651379278</v>
      </c>
      <c r="BK202" s="425">
        <f t="shared" si="104"/>
        <v>-79744.591477641152</v>
      </c>
      <c r="BL202" s="425">
        <f t="shared" si="104"/>
        <v>0</v>
      </c>
      <c r="BM202" s="425">
        <f t="shared" si="105"/>
        <v>0</v>
      </c>
      <c r="BN202" s="425">
        <f t="shared" si="105"/>
        <v>0</v>
      </c>
      <c r="BO202" s="425">
        <f t="shared" si="105"/>
        <v>0</v>
      </c>
      <c r="BP202" s="425">
        <f t="shared" si="106"/>
        <v>-17517.909999999902</v>
      </c>
      <c r="BQ202" s="425">
        <f t="shared" si="106"/>
        <v>0</v>
      </c>
      <c r="BR202" s="425">
        <f t="shared" si="106"/>
        <v>0</v>
      </c>
      <c r="BS202" s="425">
        <f t="shared" si="107"/>
        <v>0</v>
      </c>
      <c r="BT202" s="426">
        <f t="shared" si="107"/>
        <v>0</v>
      </c>
    </row>
    <row r="203" spans="2:72" x14ac:dyDescent="0.25">
      <c r="B203" s="145"/>
      <c r="C203" s="539">
        <v>44440</v>
      </c>
      <c r="D203" s="533"/>
      <c r="E203" s="534">
        <v>380661.39980339468</v>
      </c>
      <c r="F203" s="534">
        <v>0</v>
      </c>
      <c r="G203" s="534">
        <v>0</v>
      </c>
      <c r="H203" s="540">
        <v>-42502.73506163813</v>
      </c>
      <c r="I203" s="536">
        <v>338158.66474175663</v>
      </c>
      <c r="J203" s="533"/>
      <c r="K203" s="534">
        <v>17517.91</v>
      </c>
      <c r="L203" s="534">
        <v>1019723.81939937</v>
      </c>
      <c r="M203" s="534">
        <v>83978.034269635347</v>
      </c>
      <c r="N203" s="534">
        <v>0</v>
      </c>
      <c r="O203" s="534">
        <v>0</v>
      </c>
      <c r="P203" s="534">
        <v>0</v>
      </c>
      <c r="Q203" s="534">
        <v>0</v>
      </c>
      <c r="R203" s="534">
        <v>0</v>
      </c>
      <c r="S203" s="536">
        <v>1121219.7636690049</v>
      </c>
      <c r="T203" s="533"/>
      <c r="U203" s="534">
        <v>0</v>
      </c>
      <c r="V203" s="534">
        <v>0</v>
      </c>
      <c r="W203" s="534">
        <v>0</v>
      </c>
      <c r="X203" s="534">
        <v>0</v>
      </c>
      <c r="Y203" s="534">
        <v>0</v>
      </c>
      <c r="Z203" s="534">
        <v>61302.021723516533</v>
      </c>
      <c r="AA203" s="534">
        <v>0</v>
      </c>
      <c r="AB203" s="534">
        <v>0</v>
      </c>
      <c r="AC203" s="534">
        <v>39233.293903050588</v>
      </c>
      <c r="AD203" s="534">
        <v>0</v>
      </c>
      <c r="AE203" s="536">
        <v>100535.3156265671</v>
      </c>
      <c r="AF203" s="533"/>
      <c r="AG203" s="534">
        <v>0</v>
      </c>
      <c r="AH203" s="534">
        <v>0</v>
      </c>
      <c r="AI203" s="534">
        <v>0</v>
      </c>
      <c r="AJ203" s="534">
        <v>0</v>
      </c>
      <c r="AK203" s="536">
        <v>0</v>
      </c>
      <c r="AL203" s="533"/>
      <c r="AM203" s="534">
        <v>0</v>
      </c>
      <c r="AN203" s="534">
        <v>0</v>
      </c>
      <c r="AO203" s="534">
        <v>0</v>
      </c>
      <c r="AP203" s="537">
        <v>0</v>
      </c>
      <c r="AQ203" s="535">
        <v>0</v>
      </c>
      <c r="AR203" s="534">
        <v>0</v>
      </c>
      <c r="AS203" s="534">
        <v>0</v>
      </c>
      <c r="AT203" s="534">
        <v>0</v>
      </c>
      <c r="AU203" s="536">
        <v>0</v>
      </c>
      <c r="AV203" s="533"/>
      <c r="AW203" s="538">
        <v>-883596.41455381585</v>
      </c>
      <c r="AX203" s="538">
        <v>9666800.6190524641</v>
      </c>
      <c r="AY203" s="533"/>
      <c r="AZ203" s="534">
        <f t="shared" si="103"/>
        <v>17517.909999999902</v>
      </c>
      <c r="BA203" s="534">
        <v>0</v>
      </c>
      <c r="BD203" s="392">
        <f t="shared" si="91"/>
        <v>380661.39980339468</v>
      </c>
      <c r="BE203" s="425">
        <f t="shared" si="92"/>
        <v>-81736.02896468871</v>
      </c>
      <c r="BF203" s="425">
        <f t="shared" si="104"/>
        <v>-1019723.81939937</v>
      </c>
      <c r="BG203" s="425">
        <f t="shared" si="104"/>
        <v>0</v>
      </c>
      <c r="BH203" s="425">
        <f t="shared" si="104"/>
        <v>0</v>
      </c>
      <c r="BI203" s="425">
        <f t="shared" si="104"/>
        <v>0</v>
      </c>
      <c r="BJ203" s="425">
        <f t="shared" si="104"/>
        <v>-61302.021723516533</v>
      </c>
      <c r="BK203" s="425">
        <f t="shared" si="104"/>
        <v>-83978.034269635347</v>
      </c>
      <c r="BL203" s="425">
        <f t="shared" si="104"/>
        <v>0</v>
      </c>
      <c r="BM203" s="425">
        <f t="shared" si="105"/>
        <v>0</v>
      </c>
      <c r="BN203" s="425">
        <f t="shared" si="105"/>
        <v>0</v>
      </c>
      <c r="BO203" s="425">
        <f t="shared" si="105"/>
        <v>0</v>
      </c>
      <c r="BP203" s="425">
        <f t="shared" si="106"/>
        <v>-17517.909999999902</v>
      </c>
      <c r="BQ203" s="425">
        <f t="shared" si="106"/>
        <v>0</v>
      </c>
      <c r="BR203" s="425">
        <f t="shared" si="106"/>
        <v>0</v>
      </c>
      <c r="BS203" s="425">
        <f t="shared" si="107"/>
        <v>0</v>
      </c>
      <c r="BT203" s="426">
        <f t="shared" si="107"/>
        <v>0</v>
      </c>
    </row>
    <row r="204" spans="2:72" x14ac:dyDescent="0.25">
      <c r="B204" s="145"/>
      <c r="C204" s="539">
        <v>44470</v>
      </c>
      <c r="D204" s="533"/>
      <c r="E204" s="534">
        <v>978452.53490974323</v>
      </c>
      <c r="F204" s="534">
        <v>556313.32660004939</v>
      </c>
      <c r="G204" s="534">
        <v>0</v>
      </c>
      <c r="H204" s="540">
        <v>-7917.7571159106092</v>
      </c>
      <c r="I204" s="536">
        <v>1526848.104393882</v>
      </c>
      <c r="J204" s="533"/>
      <c r="K204" s="534">
        <v>17517.91</v>
      </c>
      <c r="L204" s="534">
        <v>1188135.65730432</v>
      </c>
      <c r="M204" s="534">
        <v>91775.143745943293</v>
      </c>
      <c r="N204" s="534">
        <v>0</v>
      </c>
      <c r="O204" s="534">
        <v>0</v>
      </c>
      <c r="P204" s="534">
        <v>0</v>
      </c>
      <c r="Q204" s="534">
        <v>0</v>
      </c>
      <c r="R204" s="534">
        <v>0</v>
      </c>
      <c r="S204" s="536">
        <v>1297428.7110502629</v>
      </c>
      <c r="T204" s="533"/>
      <c r="U204" s="534">
        <v>0</v>
      </c>
      <c r="V204" s="534">
        <v>0</v>
      </c>
      <c r="W204" s="534">
        <v>0</v>
      </c>
      <c r="X204" s="534">
        <v>0</v>
      </c>
      <c r="Y204" s="534">
        <v>0</v>
      </c>
      <c r="Z204" s="534">
        <v>11419.84199410184</v>
      </c>
      <c r="AA204" s="534">
        <v>0</v>
      </c>
      <c r="AB204" s="534">
        <v>0</v>
      </c>
      <c r="AC204" s="534">
        <v>7308.6988762251794</v>
      </c>
      <c r="AD204" s="534">
        <v>0</v>
      </c>
      <c r="AE204" s="536">
        <v>18728.540870327019</v>
      </c>
      <c r="AF204" s="533"/>
      <c r="AG204" s="534">
        <v>0</v>
      </c>
      <c r="AH204" s="534">
        <v>0</v>
      </c>
      <c r="AI204" s="534">
        <v>0</v>
      </c>
      <c r="AJ204" s="534">
        <v>0</v>
      </c>
      <c r="AK204" s="536">
        <v>0</v>
      </c>
      <c r="AL204" s="533"/>
      <c r="AM204" s="534">
        <v>0</v>
      </c>
      <c r="AN204" s="534">
        <v>0</v>
      </c>
      <c r="AO204" s="534">
        <v>0</v>
      </c>
      <c r="AP204" s="537">
        <v>0</v>
      </c>
      <c r="AQ204" s="535">
        <v>-76326.188409526774</v>
      </c>
      <c r="AR204" s="534">
        <v>-76326.188409526774</v>
      </c>
      <c r="AS204" s="534">
        <v>-3115.3546289602759</v>
      </c>
      <c r="AT204" s="534">
        <v>-400545.59515203547</v>
      </c>
      <c r="AU204" s="536">
        <v>-556313.32660004939</v>
      </c>
      <c r="AV204" s="533"/>
      <c r="AW204" s="538">
        <v>-345622.47412675759</v>
      </c>
      <c r="AX204" s="538">
        <v>9321178.1449257061</v>
      </c>
      <c r="AY204" s="533"/>
      <c r="AZ204" s="534">
        <f t="shared" si="103"/>
        <v>17517.909999999902</v>
      </c>
      <c r="BA204" s="534">
        <v>0</v>
      </c>
      <c r="BD204" s="392">
        <f t="shared" si="91"/>
        <v>978452.53490974323</v>
      </c>
      <c r="BE204" s="425">
        <f t="shared" si="92"/>
        <v>-15226.455992135789</v>
      </c>
      <c r="BF204" s="425">
        <f t="shared" si="104"/>
        <v>-1188135.65730432</v>
      </c>
      <c r="BG204" s="425">
        <f t="shared" si="104"/>
        <v>0</v>
      </c>
      <c r="BH204" s="425">
        <f t="shared" si="104"/>
        <v>0</v>
      </c>
      <c r="BI204" s="425">
        <f t="shared" si="104"/>
        <v>0</v>
      </c>
      <c r="BJ204" s="425">
        <f t="shared" si="104"/>
        <v>-11419.84199410184</v>
      </c>
      <c r="BK204" s="425">
        <f t="shared" si="104"/>
        <v>-91775.143745943293</v>
      </c>
      <c r="BL204" s="425">
        <f t="shared" si="104"/>
        <v>0</v>
      </c>
      <c r="BM204" s="425">
        <f t="shared" si="105"/>
        <v>556313.32660004939</v>
      </c>
      <c r="BN204" s="425">
        <f t="shared" si="105"/>
        <v>0</v>
      </c>
      <c r="BO204" s="425">
        <f t="shared" si="105"/>
        <v>0</v>
      </c>
      <c r="BP204" s="425">
        <f t="shared" si="106"/>
        <v>-17517.909999999902</v>
      </c>
      <c r="BQ204" s="425">
        <f t="shared" si="106"/>
        <v>0</v>
      </c>
      <c r="BR204" s="425">
        <f t="shared" si="106"/>
        <v>0</v>
      </c>
      <c r="BS204" s="425">
        <f t="shared" si="107"/>
        <v>0</v>
      </c>
      <c r="BT204" s="426">
        <f t="shared" si="107"/>
        <v>-556313.32660004927</v>
      </c>
    </row>
    <row r="205" spans="2:72" x14ac:dyDescent="0.25">
      <c r="B205" s="145"/>
      <c r="C205" s="539">
        <v>44501</v>
      </c>
      <c r="D205" s="533"/>
      <c r="E205" s="534">
        <v>639907.82500902005</v>
      </c>
      <c r="F205" s="534">
        <v>0</v>
      </c>
      <c r="G205" s="534">
        <v>0</v>
      </c>
      <c r="H205" s="540">
        <v>-20351.812726122658</v>
      </c>
      <c r="I205" s="536">
        <v>619556.01228289737</v>
      </c>
      <c r="J205" s="533"/>
      <c r="K205" s="534">
        <v>17517.91</v>
      </c>
      <c r="L205" s="534">
        <v>2320652.0988570321</v>
      </c>
      <c r="M205" s="534">
        <v>106932.2091573888</v>
      </c>
      <c r="N205" s="534">
        <v>0</v>
      </c>
      <c r="O205" s="534">
        <v>0</v>
      </c>
      <c r="P205" s="534">
        <v>0</v>
      </c>
      <c r="Q205" s="534">
        <v>0</v>
      </c>
      <c r="R205" s="534">
        <v>0</v>
      </c>
      <c r="S205" s="536">
        <v>2445102.21801442</v>
      </c>
      <c r="T205" s="533"/>
      <c r="U205" s="534">
        <v>0</v>
      </c>
      <c r="V205" s="534">
        <v>0</v>
      </c>
      <c r="W205" s="534">
        <v>0</v>
      </c>
      <c r="X205" s="534">
        <v>0</v>
      </c>
      <c r="Y205" s="534">
        <v>0</v>
      </c>
      <c r="Z205" s="534">
        <v>46042.975845293768</v>
      </c>
      <c r="AA205" s="534">
        <v>0</v>
      </c>
      <c r="AB205" s="534">
        <v>0</v>
      </c>
      <c r="AC205" s="534">
        <v>18786.288670267069</v>
      </c>
      <c r="AD205" s="534">
        <v>0</v>
      </c>
      <c r="AE205" s="536">
        <v>64829.264515560848</v>
      </c>
      <c r="AF205" s="533"/>
      <c r="AG205" s="534">
        <v>0</v>
      </c>
      <c r="AH205" s="534">
        <v>0</v>
      </c>
      <c r="AI205" s="534">
        <v>0</v>
      </c>
      <c r="AJ205" s="534">
        <v>0</v>
      </c>
      <c r="AK205" s="536">
        <v>0</v>
      </c>
      <c r="AL205" s="533"/>
      <c r="AM205" s="534">
        <v>0</v>
      </c>
      <c r="AN205" s="534">
        <v>0</v>
      </c>
      <c r="AO205" s="534">
        <v>0</v>
      </c>
      <c r="AP205" s="537">
        <v>0</v>
      </c>
      <c r="AQ205" s="535">
        <v>0</v>
      </c>
      <c r="AR205" s="534">
        <v>0</v>
      </c>
      <c r="AS205" s="534">
        <v>0</v>
      </c>
      <c r="AT205" s="534">
        <v>0</v>
      </c>
      <c r="AU205" s="536">
        <v>0</v>
      </c>
      <c r="AV205" s="533"/>
      <c r="AW205" s="538">
        <v>-1890375.470247084</v>
      </c>
      <c r="AX205" s="538">
        <v>7430802.6746786218</v>
      </c>
      <c r="AY205" s="533"/>
      <c r="AZ205" s="534">
        <f t="shared" si="103"/>
        <v>17517.909999999902</v>
      </c>
      <c r="BA205" s="534">
        <v>0</v>
      </c>
      <c r="BD205" s="392">
        <f t="shared" si="91"/>
        <v>639907.82500902005</v>
      </c>
      <c r="BE205" s="425">
        <f t="shared" si="92"/>
        <v>-39138.101396389728</v>
      </c>
      <c r="BF205" s="425">
        <f t="shared" si="104"/>
        <v>-2320652.0988570321</v>
      </c>
      <c r="BG205" s="425">
        <f t="shared" si="104"/>
        <v>0</v>
      </c>
      <c r="BH205" s="425">
        <f t="shared" si="104"/>
        <v>0</v>
      </c>
      <c r="BI205" s="425">
        <f t="shared" si="104"/>
        <v>0</v>
      </c>
      <c r="BJ205" s="425">
        <f t="shared" si="104"/>
        <v>-46042.975845293768</v>
      </c>
      <c r="BK205" s="425">
        <f t="shared" si="104"/>
        <v>-106932.2091573888</v>
      </c>
      <c r="BL205" s="425">
        <f t="shared" si="104"/>
        <v>0</v>
      </c>
      <c r="BM205" s="425">
        <f t="shared" si="105"/>
        <v>0</v>
      </c>
      <c r="BN205" s="425">
        <f t="shared" si="105"/>
        <v>0</v>
      </c>
      <c r="BO205" s="425">
        <f t="shared" si="105"/>
        <v>0</v>
      </c>
      <c r="BP205" s="425">
        <f t="shared" si="106"/>
        <v>-17517.909999999902</v>
      </c>
      <c r="BQ205" s="425">
        <f t="shared" si="106"/>
        <v>0</v>
      </c>
      <c r="BR205" s="425">
        <f t="shared" si="106"/>
        <v>0</v>
      </c>
      <c r="BS205" s="425">
        <f t="shared" si="107"/>
        <v>0</v>
      </c>
      <c r="BT205" s="426">
        <f t="shared" si="107"/>
        <v>0</v>
      </c>
    </row>
    <row r="206" spans="2:72" x14ac:dyDescent="0.25">
      <c r="B206" s="145"/>
      <c r="C206" s="539">
        <v>44531</v>
      </c>
      <c r="D206" s="533"/>
      <c r="E206" s="534">
        <v>1708217.9694623069</v>
      </c>
      <c r="F206" s="534">
        <v>0</v>
      </c>
      <c r="G206" s="534">
        <v>0</v>
      </c>
      <c r="H206" s="540">
        <v>-13310.082760187621</v>
      </c>
      <c r="I206" s="536">
        <v>1694907.8867021201</v>
      </c>
      <c r="J206" s="533"/>
      <c r="K206" s="534">
        <v>4999.9999999999982</v>
      </c>
      <c r="L206" s="534">
        <v>1974528.3938958901</v>
      </c>
      <c r="M206" s="534">
        <v>208858.68889713279</v>
      </c>
      <c r="N206" s="534">
        <v>0</v>
      </c>
      <c r="O206" s="534">
        <v>0</v>
      </c>
      <c r="P206" s="534">
        <v>0</v>
      </c>
      <c r="Q206" s="534">
        <v>0</v>
      </c>
      <c r="R206" s="534">
        <v>0</v>
      </c>
      <c r="S206" s="536">
        <v>2188387.082793023</v>
      </c>
      <c r="T206" s="533"/>
      <c r="U206" s="534">
        <v>0</v>
      </c>
      <c r="V206" s="534">
        <v>0</v>
      </c>
      <c r="W206" s="534">
        <v>0</v>
      </c>
      <c r="X206" s="534">
        <v>0</v>
      </c>
      <c r="Y206" s="534">
        <v>0</v>
      </c>
      <c r="Z206" s="534">
        <v>19197.2347502706</v>
      </c>
      <c r="AA206" s="534">
        <v>0</v>
      </c>
      <c r="AB206" s="534">
        <v>0</v>
      </c>
      <c r="AC206" s="534">
        <v>12286.23024017319</v>
      </c>
      <c r="AD206" s="534">
        <v>0</v>
      </c>
      <c r="AE206" s="536">
        <v>31483.46499044379</v>
      </c>
      <c r="AF206" s="533"/>
      <c r="AG206" s="534">
        <v>0</v>
      </c>
      <c r="AH206" s="534">
        <v>0</v>
      </c>
      <c r="AI206" s="534">
        <v>0</v>
      </c>
      <c r="AJ206" s="534">
        <v>0</v>
      </c>
      <c r="AK206" s="536">
        <v>0</v>
      </c>
      <c r="AL206" s="533"/>
      <c r="AM206" s="534">
        <v>0</v>
      </c>
      <c r="AN206" s="534">
        <v>0</v>
      </c>
      <c r="AO206" s="534">
        <v>0</v>
      </c>
      <c r="AP206" s="537">
        <v>0</v>
      </c>
      <c r="AQ206" s="535">
        <v>0</v>
      </c>
      <c r="AR206" s="534">
        <v>0</v>
      </c>
      <c r="AS206" s="534">
        <v>0</v>
      </c>
      <c r="AT206" s="534">
        <v>0</v>
      </c>
      <c r="AU206" s="536">
        <v>0</v>
      </c>
      <c r="AV206" s="533"/>
      <c r="AW206" s="538">
        <v>-524962.66108134715</v>
      </c>
      <c r="AX206" s="538">
        <v>6905840.0135972742</v>
      </c>
      <c r="AY206" s="533"/>
      <c r="AZ206" s="534">
        <f>4999.99999999999 - BA206</f>
        <v>4999.99999999999</v>
      </c>
      <c r="BA206" s="534">
        <v>0</v>
      </c>
      <c r="BD206" s="392">
        <f t="shared" si="91"/>
        <v>1708217.9694623069</v>
      </c>
      <c r="BE206" s="425">
        <f t="shared" si="92"/>
        <v>-25596.313000360809</v>
      </c>
      <c r="BF206" s="425">
        <f t="shared" si="104"/>
        <v>-1974528.3938958901</v>
      </c>
      <c r="BG206" s="425">
        <f t="shared" si="104"/>
        <v>0</v>
      </c>
      <c r="BH206" s="425">
        <f t="shared" si="104"/>
        <v>0</v>
      </c>
      <c r="BI206" s="425">
        <f t="shared" si="104"/>
        <v>0</v>
      </c>
      <c r="BJ206" s="425">
        <f t="shared" si="104"/>
        <v>-19197.2347502706</v>
      </c>
      <c r="BK206" s="425">
        <f t="shared" si="104"/>
        <v>-208858.68889713279</v>
      </c>
      <c r="BL206" s="425">
        <f t="shared" si="104"/>
        <v>0</v>
      </c>
      <c r="BM206" s="425">
        <f t="shared" si="105"/>
        <v>0</v>
      </c>
      <c r="BN206" s="425">
        <f t="shared" si="105"/>
        <v>0</v>
      </c>
      <c r="BO206" s="425">
        <f t="shared" si="105"/>
        <v>0</v>
      </c>
      <c r="BP206" s="425">
        <f t="shared" si="106"/>
        <v>-4999.99999999999</v>
      </c>
      <c r="BQ206" s="425">
        <f t="shared" si="106"/>
        <v>0</v>
      </c>
      <c r="BR206" s="425">
        <f t="shared" si="106"/>
        <v>0</v>
      </c>
      <c r="BS206" s="425">
        <f t="shared" si="107"/>
        <v>0</v>
      </c>
      <c r="BT206" s="426">
        <f t="shared" si="107"/>
        <v>0</v>
      </c>
    </row>
    <row r="207" spans="2:72" x14ac:dyDescent="0.25">
      <c r="B207" s="145"/>
      <c r="C207" s="539">
        <v>44562</v>
      </c>
      <c r="D207" s="533"/>
      <c r="E207" s="534">
        <v>976887.69260409498</v>
      </c>
      <c r="F207" s="534">
        <v>0</v>
      </c>
      <c r="G207" s="534">
        <v>0</v>
      </c>
      <c r="H207" s="540">
        <v>-35530.933764815993</v>
      </c>
      <c r="I207" s="536">
        <v>941356.75883927895</v>
      </c>
      <c r="J207" s="533"/>
      <c r="K207" s="534">
        <v>4999.9999999999982</v>
      </c>
      <c r="L207" s="534">
        <v>1501422.7775047889</v>
      </c>
      <c r="M207" s="534">
        <v>177707.55545063011</v>
      </c>
      <c r="N207" s="534">
        <v>0</v>
      </c>
      <c r="O207" s="534">
        <v>0</v>
      </c>
      <c r="P207" s="534">
        <v>0</v>
      </c>
      <c r="Q207" s="534">
        <v>0</v>
      </c>
      <c r="R207" s="534">
        <v>0</v>
      </c>
      <c r="S207" s="536">
        <v>1684130.3329554191</v>
      </c>
      <c r="T207" s="533"/>
      <c r="U207" s="534">
        <v>0</v>
      </c>
      <c r="V207" s="534">
        <v>0</v>
      </c>
      <c r="W207" s="534">
        <v>0</v>
      </c>
      <c r="X207" s="534">
        <v>0</v>
      </c>
      <c r="Y207" s="534">
        <v>0</v>
      </c>
      <c r="Z207" s="534">
        <v>51246.539083869211</v>
      </c>
      <c r="AA207" s="534">
        <v>0</v>
      </c>
      <c r="AB207" s="534">
        <v>0</v>
      </c>
      <c r="AC207" s="534">
        <v>32797.785013676301</v>
      </c>
      <c r="AD207" s="534">
        <v>0</v>
      </c>
      <c r="AE207" s="536">
        <v>84044.324097545512</v>
      </c>
      <c r="AF207" s="533"/>
      <c r="AG207" s="534">
        <v>0</v>
      </c>
      <c r="AH207" s="534">
        <v>0</v>
      </c>
      <c r="AI207" s="534">
        <v>0</v>
      </c>
      <c r="AJ207" s="534">
        <v>0</v>
      </c>
      <c r="AK207" s="536">
        <v>0</v>
      </c>
      <c r="AL207" s="533"/>
      <c r="AM207" s="534">
        <v>0</v>
      </c>
      <c r="AN207" s="534">
        <v>0</v>
      </c>
      <c r="AO207" s="534">
        <v>0</v>
      </c>
      <c r="AP207" s="537">
        <v>0</v>
      </c>
      <c r="AQ207" s="535">
        <v>0</v>
      </c>
      <c r="AR207" s="534">
        <v>0</v>
      </c>
      <c r="AS207" s="534">
        <v>0</v>
      </c>
      <c r="AT207" s="534">
        <v>0</v>
      </c>
      <c r="AU207" s="536">
        <v>0</v>
      </c>
      <c r="AV207" s="533"/>
      <c r="AW207" s="538">
        <v>-826817.89821368537</v>
      </c>
      <c r="AX207" s="538">
        <v>6079022.1153835887</v>
      </c>
      <c r="AY207" s="533"/>
      <c r="AZ207" s="534">
        <f>4999.99999999999 - BA207</f>
        <v>4999.99999999999</v>
      </c>
      <c r="BA207" s="534">
        <v>0</v>
      </c>
      <c r="BD207" s="392">
        <f t="shared" si="91"/>
        <v>976887.69260409498</v>
      </c>
      <c r="BE207" s="425">
        <f t="shared" si="92"/>
        <v>-68328.718778492301</v>
      </c>
      <c r="BF207" s="425">
        <f t="shared" si="104"/>
        <v>-1501422.7775047889</v>
      </c>
      <c r="BG207" s="425">
        <f t="shared" si="104"/>
        <v>0</v>
      </c>
      <c r="BH207" s="425">
        <f t="shared" si="104"/>
        <v>0</v>
      </c>
      <c r="BI207" s="425">
        <f t="shared" si="104"/>
        <v>0</v>
      </c>
      <c r="BJ207" s="425">
        <f t="shared" si="104"/>
        <v>-51246.539083869211</v>
      </c>
      <c r="BK207" s="425">
        <f t="shared" si="104"/>
        <v>-177707.55545063011</v>
      </c>
      <c r="BL207" s="425">
        <f t="shared" si="104"/>
        <v>0</v>
      </c>
      <c r="BM207" s="425">
        <f t="shared" si="105"/>
        <v>0</v>
      </c>
      <c r="BN207" s="425">
        <f t="shared" si="105"/>
        <v>0</v>
      </c>
      <c r="BO207" s="425">
        <f t="shared" si="105"/>
        <v>0</v>
      </c>
      <c r="BP207" s="425">
        <f t="shared" si="106"/>
        <v>-4999.99999999999</v>
      </c>
      <c r="BQ207" s="425">
        <f t="shared" si="106"/>
        <v>0</v>
      </c>
      <c r="BR207" s="425">
        <f t="shared" si="106"/>
        <v>0</v>
      </c>
      <c r="BS207" s="425">
        <f t="shared" si="107"/>
        <v>0</v>
      </c>
      <c r="BT207" s="426">
        <f t="shared" si="107"/>
        <v>0</v>
      </c>
    </row>
    <row r="208" spans="2:72" x14ac:dyDescent="0.25">
      <c r="B208" s="145"/>
      <c r="C208" s="539">
        <v>44593</v>
      </c>
      <c r="D208" s="533"/>
      <c r="E208" s="534">
        <v>380661.39980339468</v>
      </c>
      <c r="F208" s="534">
        <v>0</v>
      </c>
      <c r="G208" s="534">
        <v>0</v>
      </c>
      <c r="H208" s="540">
        <v>-20319.26400616518</v>
      </c>
      <c r="I208" s="536">
        <v>360342.13579722948</v>
      </c>
      <c r="J208" s="533"/>
      <c r="K208" s="534">
        <v>17517.91</v>
      </c>
      <c r="L208" s="534">
        <v>1602046.567543102</v>
      </c>
      <c r="M208" s="534">
        <v>135128.049975431</v>
      </c>
      <c r="N208" s="534">
        <v>0</v>
      </c>
      <c r="O208" s="534">
        <v>0</v>
      </c>
      <c r="P208" s="534">
        <v>0</v>
      </c>
      <c r="Q208" s="534">
        <v>0</v>
      </c>
      <c r="R208" s="534">
        <v>0</v>
      </c>
      <c r="S208" s="536">
        <v>1754692.5275185329</v>
      </c>
      <c r="T208" s="533"/>
      <c r="U208" s="534">
        <v>0</v>
      </c>
      <c r="V208" s="534">
        <v>0</v>
      </c>
      <c r="W208" s="534">
        <v>0</v>
      </c>
      <c r="X208" s="534">
        <v>0</v>
      </c>
      <c r="Y208" s="534">
        <v>0</v>
      </c>
      <c r="Z208" s="534">
        <v>29306.63077812285</v>
      </c>
      <c r="AA208" s="534">
        <v>0</v>
      </c>
      <c r="AB208" s="534">
        <v>0</v>
      </c>
      <c r="AC208" s="534">
        <v>18756.243697998631</v>
      </c>
      <c r="AD208" s="534">
        <v>0</v>
      </c>
      <c r="AE208" s="536">
        <v>48062.874476121477</v>
      </c>
      <c r="AF208" s="533"/>
      <c r="AG208" s="534">
        <v>0</v>
      </c>
      <c r="AH208" s="534">
        <v>0</v>
      </c>
      <c r="AI208" s="534">
        <v>0</v>
      </c>
      <c r="AJ208" s="534">
        <v>0</v>
      </c>
      <c r="AK208" s="536">
        <v>0</v>
      </c>
      <c r="AL208" s="533"/>
      <c r="AM208" s="534">
        <v>0</v>
      </c>
      <c r="AN208" s="534">
        <v>0</v>
      </c>
      <c r="AO208" s="534">
        <v>0</v>
      </c>
      <c r="AP208" s="537">
        <v>0</v>
      </c>
      <c r="AQ208" s="535">
        <v>0</v>
      </c>
      <c r="AR208" s="534">
        <v>0</v>
      </c>
      <c r="AS208" s="534">
        <v>0</v>
      </c>
      <c r="AT208" s="534">
        <v>0</v>
      </c>
      <c r="AU208" s="536">
        <v>0</v>
      </c>
      <c r="AV208" s="533"/>
      <c r="AW208" s="538">
        <v>-1442413.2661974251</v>
      </c>
      <c r="AX208" s="538">
        <v>4636608.8491861643</v>
      </c>
      <c r="AY208" s="533"/>
      <c r="AZ208" s="534">
        <f t="shared" ref="AZ208:AZ216" si="108">17517.9099999999 - BA208</f>
        <v>17517.909999999902</v>
      </c>
      <c r="BA208" s="534">
        <v>0</v>
      </c>
      <c r="BD208" s="392">
        <f t="shared" si="91"/>
        <v>380661.39980339468</v>
      </c>
      <c r="BE208" s="425">
        <f t="shared" si="92"/>
        <v>-39075.507704163814</v>
      </c>
      <c r="BF208" s="425">
        <f t="shared" si="104"/>
        <v>-1602046.567543102</v>
      </c>
      <c r="BG208" s="425">
        <f t="shared" si="104"/>
        <v>0</v>
      </c>
      <c r="BH208" s="425">
        <f t="shared" si="104"/>
        <v>0</v>
      </c>
      <c r="BI208" s="425">
        <f t="shared" si="104"/>
        <v>0</v>
      </c>
      <c r="BJ208" s="425">
        <f t="shared" si="104"/>
        <v>-29306.63077812285</v>
      </c>
      <c r="BK208" s="425">
        <f t="shared" si="104"/>
        <v>-135128.049975431</v>
      </c>
      <c r="BL208" s="425">
        <f t="shared" si="104"/>
        <v>0</v>
      </c>
      <c r="BM208" s="425">
        <f t="shared" si="105"/>
        <v>0</v>
      </c>
      <c r="BN208" s="425">
        <f t="shared" si="105"/>
        <v>0</v>
      </c>
      <c r="BO208" s="425">
        <f t="shared" si="105"/>
        <v>0</v>
      </c>
      <c r="BP208" s="425">
        <f t="shared" si="106"/>
        <v>-17517.909999999902</v>
      </c>
      <c r="BQ208" s="425">
        <f t="shared" si="106"/>
        <v>0</v>
      </c>
      <c r="BR208" s="425">
        <f t="shared" si="106"/>
        <v>0</v>
      </c>
      <c r="BS208" s="425">
        <f t="shared" si="107"/>
        <v>0</v>
      </c>
      <c r="BT208" s="426">
        <f t="shared" si="107"/>
        <v>0</v>
      </c>
    </row>
    <row r="209" spans="2:72" x14ac:dyDescent="0.25">
      <c r="B209" s="145"/>
      <c r="C209" s="539">
        <v>44621</v>
      </c>
      <c r="D209" s="533"/>
      <c r="E209" s="534">
        <v>1002852.808094603</v>
      </c>
      <c r="F209" s="534">
        <v>2849059.44</v>
      </c>
      <c r="G209" s="534">
        <v>0</v>
      </c>
      <c r="H209" s="540">
        <v>-7917.7571159106092</v>
      </c>
      <c r="I209" s="536">
        <v>3843994.4909786931</v>
      </c>
      <c r="J209" s="533"/>
      <c r="K209" s="534">
        <v>17517.91</v>
      </c>
      <c r="L209" s="534">
        <v>1686375.2303373511</v>
      </c>
      <c r="M209" s="534">
        <v>144184.19107887911</v>
      </c>
      <c r="N209" s="534">
        <v>0</v>
      </c>
      <c r="O209" s="534">
        <v>0</v>
      </c>
      <c r="P209" s="534">
        <v>0</v>
      </c>
      <c r="Q209" s="534">
        <v>0</v>
      </c>
      <c r="R209" s="534">
        <v>0</v>
      </c>
      <c r="S209" s="536">
        <v>1848077.33141623</v>
      </c>
      <c r="T209" s="533"/>
      <c r="U209" s="534">
        <v>0</v>
      </c>
      <c r="V209" s="534">
        <v>0</v>
      </c>
      <c r="W209" s="534">
        <v>0</v>
      </c>
      <c r="X209" s="534">
        <v>0</v>
      </c>
      <c r="Y209" s="534">
        <v>0</v>
      </c>
      <c r="Z209" s="534">
        <v>11419.84199410184</v>
      </c>
      <c r="AA209" s="534">
        <v>0</v>
      </c>
      <c r="AB209" s="534">
        <v>0</v>
      </c>
      <c r="AC209" s="534">
        <v>7308.6988762251794</v>
      </c>
      <c r="AD209" s="534">
        <v>0</v>
      </c>
      <c r="AE209" s="536">
        <v>18728.540870327019</v>
      </c>
      <c r="AF209" s="533"/>
      <c r="AG209" s="534">
        <v>0</v>
      </c>
      <c r="AH209" s="534">
        <v>0</v>
      </c>
      <c r="AI209" s="534">
        <v>0</v>
      </c>
      <c r="AJ209" s="534">
        <v>0</v>
      </c>
      <c r="AK209" s="536">
        <v>0</v>
      </c>
      <c r="AL209" s="533"/>
      <c r="AM209" s="534">
        <v>0</v>
      </c>
      <c r="AN209" s="534">
        <v>0</v>
      </c>
      <c r="AO209" s="534">
        <v>0</v>
      </c>
      <c r="AP209" s="537">
        <v>0</v>
      </c>
      <c r="AQ209" s="535">
        <v>-390890.95516800001</v>
      </c>
      <c r="AR209" s="534">
        <v>-390890.95516800001</v>
      </c>
      <c r="AS209" s="534">
        <v>-15954.732864</v>
      </c>
      <c r="AT209" s="534">
        <v>-2051322.7967999999</v>
      </c>
      <c r="AU209" s="536">
        <v>-2849059.44</v>
      </c>
      <c r="AV209" s="533"/>
      <c r="AW209" s="538">
        <v>-871870.82130786451</v>
      </c>
      <c r="AX209" s="538">
        <v>3764738.0278782998</v>
      </c>
      <c r="AY209" s="533"/>
      <c r="AZ209" s="534">
        <f t="shared" si="108"/>
        <v>17517.909999999902</v>
      </c>
      <c r="BA209" s="534">
        <v>0</v>
      </c>
      <c r="BD209" s="392">
        <f t="shared" si="91"/>
        <v>1002852.808094603</v>
      </c>
      <c r="BE209" s="425">
        <f t="shared" si="92"/>
        <v>-15226.455992135789</v>
      </c>
      <c r="BF209" s="425">
        <f t="shared" si="104"/>
        <v>-1686375.2303373511</v>
      </c>
      <c r="BG209" s="425">
        <f t="shared" si="104"/>
        <v>0</v>
      </c>
      <c r="BH209" s="425">
        <f t="shared" si="104"/>
        <v>0</v>
      </c>
      <c r="BI209" s="425">
        <f t="shared" si="104"/>
        <v>0</v>
      </c>
      <c r="BJ209" s="425">
        <f t="shared" si="104"/>
        <v>-11419.84199410184</v>
      </c>
      <c r="BK209" s="425">
        <f t="shared" si="104"/>
        <v>-144184.19107887911</v>
      </c>
      <c r="BL209" s="425">
        <f t="shared" si="104"/>
        <v>0</v>
      </c>
      <c r="BM209" s="425">
        <f t="shared" si="105"/>
        <v>2849059.44</v>
      </c>
      <c r="BN209" s="425">
        <f t="shared" si="105"/>
        <v>0</v>
      </c>
      <c r="BO209" s="425">
        <f t="shared" si="105"/>
        <v>0</v>
      </c>
      <c r="BP209" s="425">
        <f t="shared" si="106"/>
        <v>-17517.909999999902</v>
      </c>
      <c r="BQ209" s="425">
        <f t="shared" si="106"/>
        <v>0</v>
      </c>
      <c r="BR209" s="425">
        <f t="shared" si="106"/>
        <v>0</v>
      </c>
      <c r="BS209" s="425">
        <f t="shared" si="107"/>
        <v>0</v>
      </c>
      <c r="BT209" s="426">
        <f t="shared" si="107"/>
        <v>-2849059.44</v>
      </c>
    </row>
    <row r="210" spans="2:72" x14ac:dyDescent="0.25">
      <c r="B210" s="145"/>
      <c r="C210" s="539">
        <v>44652</v>
      </c>
      <c r="D210" s="533"/>
      <c r="E210" s="534">
        <v>380661.39980339468</v>
      </c>
      <c r="F210" s="534">
        <v>0</v>
      </c>
      <c r="G210" s="534">
        <v>0</v>
      </c>
      <c r="H210" s="540">
        <v>-20859.338408367741</v>
      </c>
      <c r="I210" s="536">
        <v>359802.06139502692</v>
      </c>
      <c r="J210" s="533"/>
      <c r="K210" s="534">
        <v>17517.91</v>
      </c>
      <c r="L210" s="534">
        <v>1645895.9694874999</v>
      </c>
      <c r="M210" s="534">
        <v>151773.77073036149</v>
      </c>
      <c r="N210" s="534">
        <v>0</v>
      </c>
      <c r="O210" s="534">
        <v>0</v>
      </c>
      <c r="P210" s="534">
        <v>0</v>
      </c>
      <c r="Q210" s="534">
        <v>0</v>
      </c>
      <c r="R210" s="534">
        <v>0</v>
      </c>
      <c r="S210" s="536">
        <v>1815187.6502178609</v>
      </c>
      <c r="T210" s="533"/>
      <c r="U210" s="534">
        <v>0</v>
      </c>
      <c r="V210" s="534">
        <v>0</v>
      </c>
      <c r="W210" s="534">
        <v>0</v>
      </c>
      <c r="X210" s="534">
        <v>0</v>
      </c>
      <c r="Y210" s="534">
        <v>0</v>
      </c>
      <c r="Z210" s="534">
        <v>115557.36744283811</v>
      </c>
      <c r="AA210" s="534">
        <v>0</v>
      </c>
      <c r="AB210" s="534">
        <v>0</v>
      </c>
      <c r="AC210" s="534">
        <v>19254.773915416379</v>
      </c>
      <c r="AD210" s="534">
        <v>0</v>
      </c>
      <c r="AE210" s="536">
        <v>134812.14135825451</v>
      </c>
      <c r="AF210" s="533"/>
      <c r="AG210" s="534">
        <v>0</v>
      </c>
      <c r="AH210" s="534">
        <v>0</v>
      </c>
      <c r="AI210" s="534">
        <v>0</v>
      </c>
      <c r="AJ210" s="534">
        <v>0</v>
      </c>
      <c r="AK210" s="536">
        <v>0</v>
      </c>
      <c r="AL210" s="533"/>
      <c r="AM210" s="534">
        <v>0</v>
      </c>
      <c r="AN210" s="534">
        <v>0</v>
      </c>
      <c r="AO210" s="534">
        <v>0</v>
      </c>
      <c r="AP210" s="537">
        <v>0</v>
      </c>
      <c r="AQ210" s="535">
        <v>0</v>
      </c>
      <c r="AR210" s="534">
        <v>0</v>
      </c>
      <c r="AS210" s="534">
        <v>0</v>
      </c>
      <c r="AT210" s="534">
        <v>0</v>
      </c>
      <c r="AU210" s="536">
        <v>0</v>
      </c>
      <c r="AV210" s="533"/>
      <c r="AW210" s="538">
        <v>-1590197.7301810889</v>
      </c>
      <c r="AX210" s="538">
        <v>2174540.2976972112</v>
      </c>
      <c r="AY210" s="533"/>
      <c r="AZ210" s="534">
        <f t="shared" si="108"/>
        <v>17517.909999999902</v>
      </c>
      <c r="BA210" s="534">
        <v>0</v>
      </c>
      <c r="BD210" s="392">
        <f t="shared" si="91"/>
        <v>380661.39980339468</v>
      </c>
      <c r="BE210" s="425">
        <f t="shared" si="92"/>
        <v>-40114.112323784124</v>
      </c>
      <c r="BF210" s="425">
        <f t="shared" si="104"/>
        <v>-1645895.9694874999</v>
      </c>
      <c r="BG210" s="425">
        <f t="shared" si="104"/>
        <v>0</v>
      </c>
      <c r="BH210" s="425">
        <f t="shared" si="104"/>
        <v>0</v>
      </c>
      <c r="BI210" s="425">
        <f t="shared" si="104"/>
        <v>0</v>
      </c>
      <c r="BJ210" s="425">
        <f t="shared" si="104"/>
        <v>-115557.36744283811</v>
      </c>
      <c r="BK210" s="425">
        <f t="shared" si="104"/>
        <v>-151773.77073036149</v>
      </c>
      <c r="BL210" s="425">
        <f t="shared" si="104"/>
        <v>0</v>
      </c>
      <c r="BM210" s="425">
        <f t="shared" si="105"/>
        <v>0</v>
      </c>
      <c r="BN210" s="425">
        <f t="shared" si="105"/>
        <v>0</v>
      </c>
      <c r="BO210" s="425">
        <f t="shared" si="105"/>
        <v>0</v>
      </c>
      <c r="BP210" s="425">
        <f t="shared" si="106"/>
        <v>-17517.909999999902</v>
      </c>
      <c r="BQ210" s="425">
        <f t="shared" si="106"/>
        <v>0</v>
      </c>
      <c r="BR210" s="425">
        <f t="shared" si="106"/>
        <v>0</v>
      </c>
      <c r="BS210" s="425">
        <f t="shared" si="107"/>
        <v>0</v>
      </c>
      <c r="BT210" s="426">
        <f t="shared" si="107"/>
        <v>0</v>
      </c>
    </row>
    <row r="211" spans="2:72" x14ac:dyDescent="0.25">
      <c r="B211" s="145"/>
      <c r="C211" s="539">
        <v>44682</v>
      </c>
      <c r="D211" s="533"/>
      <c r="E211" s="534">
        <v>380661.39980339468</v>
      </c>
      <c r="F211" s="534">
        <v>0</v>
      </c>
      <c r="G211" s="534">
        <v>0</v>
      </c>
      <c r="H211" s="540">
        <v>-7917.7571159106092</v>
      </c>
      <c r="I211" s="536">
        <v>372743.6426874841</v>
      </c>
      <c r="J211" s="533"/>
      <c r="K211" s="534">
        <v>17517.91</v>
      </c>
      <c r="L211" s="534">
        <v>1650055.883434016</v>
      </c>
      <c r="M211" s="534">
        <v>148130.637253875</v>
      </c>
      <c r="N211" s="534">
        <v>0</v>
      </c>
      <c r="O211" s="534">
        <v>0</v>
      </c>
      <c r="P211" s="534">
        <v>0</v>
      </c>
      <c r="Q211" s="534">
        <v>0</v>
      </c>
      <c r="R211" s="534">
        <v>0</v>
      </c>
      <c r="S211" s="536">
        <v>1815704.4306878911</v>
      </c>
      <c r="T211" s="533"/>
      <c r="U211" s="534">
        <v>0</v>
      </c>
      <c r="V211" s="534">
        <v>0</v>
      </c>
      <c r="W211" s="534">
        <v>0</v>
      </c>
      <c r="X211" s="534">
        <v>0</v>
      </c>
      <c r="Y211" s="534">
        <v>0</v>
      </c>
      <c r="Z211" s="534">
        <v>11419.84199410184</v>
      </c>
      <c r="AA211" s="534">
        <v>0</v>
      </c>
      <c r="AB211" s="534">
        <v>0</v>
      </c>
      <c r="AC211" s="534">
        <v>7308.6988762251794</v>
      </c>
      <c r="AD211" s="534">
        <v>0</v>
      </c>
      <c r="AE211" s="536">
        <v>18728.540870327019</v>
      </c>
      <c r="AF211" s="533"/>
      <c r="AG211" s="534">
        <v>0</v>
      </c>
      <c r="AH211" s="534">
        <v>0</v>
      </c>
      <c r="AI211" s="534">
        <v>0</v>
      </c>
      <c r="AJ211" s="534">
        <v>0</v>
      </c>
      <c r="AK211" s="536">
        <v>0</v>
      </c>
      <c r="AL211" s="533"/>
      <c r="AM211" s="534">
        <v>0</v>
      </c>
      <c r="AN211" s="534">
        <v>0</v>
      </c>
      <c r="AO211" s="534">
        <v>0</v>
      </c>
      <c r="AP211" s="537">
        <v>0</v>
      </c>
      <c r="AQ211" s="535">
        <v>0</v>
      </c>
      <c r="AR211" s="534">
        <v>0</v>
      </c>
      <c r="AS211" s="534">
        <v>0</v>
      </c>
      <c r="AT211" s="534">
        <v>0</v>
      </c>
      <c r="AU211" s="536">
        <v>0</v>
      </c>
      <c r="AV211" s="533"/>
      <c r="AW211" s="538">
        <v>-1461689.328870734</v>
      </c>
      <c r="AX211" s="538">
        <v>712850.96882647718</v>
      </c>
      <c r="AY211" s="533"/>
      <c r="AZ211" s="534">
        <f t="shared" si="108"/>
        <v>17517.909999999902</v>
      </c>
      <c r="BA211" s="534">
        <v>0</v>
      </c>
      <c r="BD211" s="392">
        <f t="shared" si="91"/>
        <v>380661.39980339468</v>
      </c>
      <c r="BE211" s="425">
        <f t="shared" si="92"/>
        <v>-15226.455992135789</v>
      </c>
      <c r="BF211" s="425">
        <f t="shared" ref="BF211:BL220" si="109">-SUMIF($E$6:$BA$6, BF$6, $E211:$BA211)</f>
        <v>-1650055.883434016</v>
      </c>
      <c r="BG211" s="425">
        <f t="shared" si="109"/>
        <v>0</v>
      </c>
      <c r="BH211" s="425">
        <f t="shared" si="109"/>
        <v>0</v>
      </c>
      <c r="BI211" s="425">
        <f t="shared" si="109"/>
        <v>0</v>
      </c>
      <c r="BJ211" s="425">
        <f t="shared" si="109"/>
        <v>-11419.84199410184</v>
      </c>
      <c r="BK211" s="425">
        <f t="shared" si="109"/>
        <v>-148130.637253875</v>
      </c>
      <c r="BL211" s="425">
        <f t="shared" si="109"/>
        <v>0</v>
      </c>
      <c r="BM211" s="425">
        <f t="shared" si="105"/>
        <v>0</v>
      </c>
      <c r="BN211" s="425">
        <f t="shared" si="105"/>
        <v>0</v>
      </c>
      <c r="BO211" s="425">
        <f t="shared" si="105"/>
        <v>0</v>
      </c>
      <c r="BP211" s="425">
        <f t="shared" si="106"/>
        <v>-17517.909999999902</v>
      </c>
      <c r="BQ211" s="425">
        <f t="shared" si="106"/>
        <v>0</v>
      </c>
      <c r="BR211" s="425">
        <f t="shared" si="106"/>
        <v>0</v>
      </c>
      <c r="BS211" s="425">
        <f t="shared" si="107"/>
        <v>0</v>
      </c>
      <c r="BT211" s="426">
        <f t="shared" si="107"/>
        <v>0</v>
      </c>
    </row>
    <row r="212" spans="2:72" x14ac:dyDescent="0.25">
      <c r="B212" s="145"/>
      <c r="C212" s="539">
        <v>44713</v>
      </c>
      <c r="D212" s="533"/>
      <c r="E212" s="534">
        <v>2068553.2279499611</v>
      </c>
      <c r="F212" s="534">
        <v>0</v>
      </c>
      <c r="G212" s="534">
        <v>0</v>
      </c>
      <c r="H212" s="540">
        <v>-7917.7571159106092</v>
      </c>
      <c r="I212" s="536">
        <v>2060635.4708340501</v>
      </c>
      <c r="J212" s="533"/>
      <c r="K212" s="534">
        <v>17517.91</v>
      </c>
      <c r="L212" s="534">
        <v>1922061.2382480029</v>
      </c>
      <c r="M212" s="534">
        <v>148505.02950906139</v>
      </c>
      <c r="N212" s="534">
        <v>0</v>
      </c>
      <c r="O212" s="534">
        <v>0</v>
      </c>
      <c r="P212" s="534">
        <v>0</v>
      </c>
      <c r="Q212" s="534">
        <v>0</v>
      </c>
      <c r="R212" s="534">
        <v>0</v>
      </c>
      <c r="S212" s="536">
        <v>2088084.177757065</v>
      </c>
      <c r="T212" s="533"/>
      <c r="U212" s="534">
        <v>0</v>
      </c>
      <c r="V212" s="534">
        <v>0</v>
      </c>
      <c r="W212" s="534">
        <v>0</v>
      </c>
      <c r="X212" s="534">
        <v>0</v>
      </c>
      <c r="Y212" s="534">
        <v>0</v>
      </c>
      <c r="Z212" s="534">
        <v>11419.84199410184</v>
      </c>
      <c r="AA212" s="534">
        <v>0</v>
      </c>
      <c r="AB212" s="534">
        <v>0</v>
      </c>
      <c r="AC212" s="534">
        <v>7308.6988762251794</v>
      </c>
      <c r="AD212" s="534">
        <v>0</v>
      </c>
      <c r="AE212" s="536">
        <v>18728.540870327019</v>
      </c>
      <c r="AF212" s="533"/>
      <c r="AG212" s="534">
        <v>0</v>
      </c>
      <c r="AH212" s="534">
        <v>0</v>
      </c>
      <c r="AI212" s="534">
        <v>0</v>
      </c>
      <c r="AJ212" s="534">
        <v>0</v>
      </c>
      <c r="AK212" s="536">
        <v>0</v>
      </c>
      <c r="AL212" s="533"/>
      <c r="AM212" s="534">
        <v>0</v>
      </c>
      <c r="AN212" s="534">
        <v>0</v>
      </c>
      <c r="AO212" s="534">
        <v>0</v>
      </c>
      <c r="AP212" s="537">
        <v>0</v>
      </c>
      <c r="AQ212" s="535">
        <v>0</v>
      </c>
      <c r="AR212" s="534">
        <v>0</v>
      </c>
      <c r="AS212" s="534">
        <v>0</v>
      </c>
      <c r="AT212" s="534">
        <v>0</v>
      </c>
      <c r="AU212" s="536">
        <v>0</v>
      </c>
      <c r="AV212" s="533"/>
      <c r="AW212" s="538">
        <v>-46177.247793341507</v>
      </c>
      <c r="AX212" s="538">
        <v>666673.72103313566</v>
      </c>
      <c r="AY212" s="533"/>
      <c r="AZ212" s="534">
        <f t="shared" si="108"/>
        <v>17517.909999999902</v>
      </c>
      <c r="BA212" s="534">
        <v>0</v>
      </c>
      <c r="BD212" s="392">
        <f t="shared" si="91"/>
        <v>2068553.2279499611</v>
      </c>
      <c r="BE212" s="425">
        <f t="shared" si="92"/>
        <v>-15226.455992135789</v>
      </c>
      <c r="BF212" s="425">
        <f t="shared" si="109"/>
        <v>-1922061.2382480029</v>
      </c>
      <c r="BG212" s="425">
        <f t="shared" si="109"/>
        <v>0</v>
      </c>
      <c r="BH212" s="425">
        <f t="shared" si="109"/>
        <v>0</v>
      </c>
      <c r="BI212" s="425">
        <f t="shared" si="109"/>
        <v>0</v>
      </c>
      <c r="BJ212" s="425">
        <f t="shared" si="109"/>
        <v>-11419.84199410184</v>
      </c>
      <c r="BK212" s="425">
        <f t="shared" si="109"/>
        <v>-148505.02950906139</v>
      </c>
      <c r="BL212" s="425">
        <f t="shared" si="109"/>
        <v>0</v>
      </c>
      <c r="BM212" s="425">
        <f t="shared" si="105"/>
        <v>0</v>
      </c>
      <c r="BN212" s="425">
        <f t="shared" si="105"/>
        <v>0</v>
      </c>
      <c r="BO212" s="425">
        <f t="shared" si="105"/>
        <v>0</v>
      </c>
      <c r="BP212" s="425">
        <f t="shared" si="106"/>
        <v>-17517.909999999902</v>
      </c>
      <c r="BQ212" s="425">
        <f t="shared" si="106"/>
        <v>0</v>
      </c>
      <c r="BR212" s="425">
        <f t="shared" si="106"/>
        <v>0</v>
      </c>
      <c r="BS212" s="425">
        <f t="shared" si="107"/>
        <v>0</v>
      </c>
      <c r="BT212" s="426">
        <f t="shared" si="107"/>
        <v>0</v>
      </c>
    </row>
    <row r="213" spans="2:72" x14ac:dyDescent="0.25">
      <c r="B213" s="145"/>
      <c r="C213" s="539">
        <v>44743</v>
      </c>
      <c r="D213" s="533"/>
      <c r="E213" s="534">
        <v>1573168.8550459759</v>
      </c>
      <c r="F213" s="534">
        <v>0</v>
      </c>
      <c r="G213" s="534">
        <v>0</v>
      </c>
      <c r="H213" s="540">
        <v>-43025.907141359181</v>
      </c>
      <c r="I213" s="536">
        <v>1530142.9479046159</v>
      </c>
      <c r="J213" s="533"/>
      <c r="K213" s="534">
        <v>17517.91</v>
      </c>
      <c r="L213" s="534">
        <v>2008903.9425106701</v>
      </c>
      <c r="M213" s="534">
        <v>172985.5114423203</v>
      </c>
      <c r="N213" s="534">
        <v>0</v>
      </c>
      <c r="O213" s="534">
        <v>0</v>
      </c>
      <c r="P213" s="534">
        <v>0</v>
      </c>
      <c r="Q213" s="534">
        <v>0</v>
      </c>
      <c r="R213" s="534">
        <v>0</v>
      </c>
      <c r="S213" s="536">
        <v>2199407.3639529911</v>
      </c>
      <c r="T213" s="533"/>
      <c r="U213" s="534">
        <v>0</v>
      </c>
      <c r="V213" s="534">
        <v>0</v>
      </c>
      <c r="W213" s="534">
        <v>0</v>
      </c>
      <c r="X213" s="534">
        <v>0</v>
      </c>
      <c r="Y213" s="534">
        <v>0</v>
      </c>
      <c r="Z213" s="534">
        <v>62056.596838498823</v>
      </c>
      <c r="AA213" s="534">
        <v>0</v>
      </c>
      <c r="AB213" s="534">
        <v>0</v>
      </c>
      <c r="AC213" s="534">
        <v>39716.221976639252</v>
      </c>
      <c r="AD213" s="534">
        <v>0</v>
      </c>
      <c r="AE213" s="536">
        <v>101772.8188151381</v>
      </c>
      <c r="AF213" s="533"/>
      <c r="AG213" s="534">
        <v>0</v>
      </c>
      <c r="AH213" s="534">
        <v>0</v>
      </c>
      <c r="AI213" s="534">
        <v>0</v>
      </c>
      <c r="AJ213" s="534">
        <v>0</v>
      </c>
      <c r="AK213" s="536">
        <v>0</v>
      </c>
      <c r="AL213" s="533"/>
      <c r="AM213" s="534">
        <v>0</v>
      </c>
      <c r="AN213" s="534">
        <v>0</v>
      </c>
      <c r="AO213" s="534">
        <v>0</v>
      </c>
      <c r="AP213" s="537">
        <v>0</v>
      </c>
      <c r="AQ213" s="535">
        <v>0</v>
      </c>
      <c r="AR213" s="534">
        <v>0</v>
      </c>
      <c r="AS213" s="534">
        <v>0</v>
      </c>
      <c r="AT213" s="534">
        <v>0</v>
      </c>
      <c r="AU213" s="536">
        <v>0</v>
      </c>
      <c r="AV213" s="533"/>
      <c r="AW213" s="538">
        <v>-771037.23486351233</v>
      </c>
      <c r="AX213" s="538">
        <v>-104363.5138303767</v>
      </c>
      <c r="AY213" s="533"/>
      <c r="AZ213" s="534">
        <f t="shared" si="108"/>
        <v>17517.909999999902</v>
      </c>
      <c r="BA213" s="534">
        <v>0</v>
      </c>
      <c r="BD213" s="392">
        <f t="shared" si="91"/>
        <v>1573168.8550459759</v>
      </c>
      <c r="BE213" s="425">
        <f t="shared" si="92"/>
        <v>-82742.12911799844</v>
      </c>
      <c r="BF213" s="425">
        <f t="shared" si="109"/>
        <v>-2008903.9425106701</v>
      </c>
      <c r="BG213" s="425">
        <f t="shared" si="109"/>
        <v>0</v>
      </c>
      <c r="BH213" s="425">
        <f t="shared" si="109"/>
        <v>0</v>
      </c>
      <c r="BI213" s="425">
        <f t="shared" si="109"/>
        <v>0</v>
      </c>
      <c r="BJ213" s="425">
        <f t="shared" si="109"/>
        <v>-62056.596838498823</v>
      </c>
      <c r="BK213" s="425">
        <f t="shared" si="109"/>
        <v>-172985.5114423203</v>
      </c>
      <c r="BL213" s="425">
        <f t="shared" si="109"/>
        <v>0</v>
      </c>
      <c r="BM213" s="425">
        <f t="shared" si="105"/>
        <v>0</v>
      </c>
      <c r="BN213" s="425">
        <f t="shared" si="105"/>
        <v>0</v>
      </c>
      <c r="BO213" s="425">
        <f t="shared" si="105"/>
        <v>0</v>
      </c>
      <c r="BP213" s="425">
        <f t="shared" si="106"/>
        <v>-17517.909999999902</v>
      </c>
      <c r="BQ213" s="425">
        <f t="shared" si="106"/>
        <v>0</v>
      </c>
      <c r="BR213" s="425">
        <f t="shared" si="106"/>
        <v>0</v>
      </c>
      <c r="BS213" s="425">
        <f t="shared" si="107"/>
        <v>0</v>
      </c>
      <c r="BT213" s="426">
        <f t="shared" si="107"/>
        <v>0</v>
      </c>
    </row>
    <row r="214" spans="2:72" x14ac:dyDescent="0.25">
      <c r="B214" s="145"/>
      <c r="C214" s="539">
        <v>44774</v>
      </c>
      <c r="D214" s="533"/>
      <c r="E214" s="534">
        <v>2043400.7241172181</v>
      </c>
      <c r="F214" s="534">
        <v>0</v>
      </c>
      <c r="G214" s="534">
        <v>0</v>
      </c>
      <c r="H214" s="540">
        <v>-32721.912184956291</v>
      </c>
      <c r="I214" s="536">
        <v>2010678.811932262</v>
      </c>
      <c r="J214" s="533"/>
      <c r="K214" s="534">
        <v>17517.91</v>
      </c>
      <c r="L214" s="534">
        <v>1882828.395073473</v>
      </c>
      <c r="M214" s="534">
        <v>180801.3548259603</v>
      </c>
      <c r="N214" s="534">
        <v>0</v>
      </c>
      <c r="O214" s="534">
        <v>0</v>
      </c>
      <c r="P214" s="534">
        <v>0</v>
      </c>
      <c r="Q214" s="534">
        <v>0</v>
      </c>
      <c r="R214" s="534">
        <v>0</v>
      </c>
      <c r="S214" s="536">
        <v>2081147.6598994329</v>
      </c>
      <c r="T214" s="533"/>
      <c r="U214" s="534">
        <v>0</v>
      </c>
      <c r="V214" s="534">
        <v>0</v>
      </c>
      <c r="W214" s="534">
        <v>0</v>
      </c>
      <c r="X214" s="534">
        <v>0</v>
      </c>
      <c r="Y214" s="534">
        <v>0</v>
      </c>
      <c r="Z214" s="534">
        <v>47195.065651379271</v>
      </c>
      <c r="AA214" s="534">
        <v>0</v>
      </c>
      <c r="AB214" s="534">
        <v>0</v>
      </c>
      <c r="AC214" s="534">
        <v>30204.84201688274</v>
      </c>
      <c r="AD214" s="534">
        <v>0</v>
      </c>
      <c r="AE214" s="536">
        <v>77399.907668262007</v>
      </c>
      <c r="AF214" s="533"/>
      <c r="AG214" s="534">
        <v>0</v>
      </c>
      <c r="AH214" s="534">
        <v>0</v>
      </c>
      <c r="AI214" s="534">
        <v>0</v>
      </c>
      <c r="AJ214" s="534">
        <v>0</v>
      </c>
      <c r="AK214" s="536">
        <v>0</v>
      </c>
      <c r="AL214" s="533"/>
      <c r="AM214" s="534">
        <v>0</v>
      </c>
      <c r="AN214" s="534">
        <v>0</v>
      </c>
      <c r="AO214" s="534">
        <v>0</v>
      </c>
      <c r="AP214" s="537">
        <v>0</v>
      </c>
      <c r="AQ214" s="535">
        <v>0</v>
      </c>
      <c r="AR214" s="534">
        <v>0</v>
      </c>
      <c r="AS214" s="534">
        <v>0</v>
      </c>
      <c r="AT214" s="534">
        <v>0</v>
      </c>
      <c r="AU214" s="536">
        <v>0</v>
      </c>
      <c r="AV214" s="533"/>
      <c r="AW214" s="538">
        <v>-147868.7556354336</v>
      </c>
      <c r="AX214" s="538">
        <v>-252232.2694658103</v>
      </c>
      <c r="AY214" s="533"/>
      <c r="AZ214" s="534">
        <f t="shared" si="108"/>
        <v>17517.909999999902</v>
      </c>
      <c r="BA214" s="534">
        <v>0</v>
      </c>
      <c r="BD214" s="392">
        <f t="shared" si="91"/>
        <v>2043400.7241172181</v>
      </c>
      <c r="BE214" s="425">
        <f t="shared" si="92"/>
        <v>-62926.75420183903</v>
      </c>
      <c r="BF214" s="425">
        <f t="shared" si="109"/>
        <v>-1882828.395073473</v>
      </c>
      <c r="BG214" s="425">
        <f t="shared" si="109"/>
        <v>0</v>
      </c>
      <c r="BH214" s="425">
        <f t="shared" si="109"/>
        <v>0</v>
      </c>
      <c r="BI214" s="425">
        <f t="shared" si="109"/>
        <v>0</v>
      </c>
      <c r="BJ214" s="425">
        <f t="shared" si="109"/>
        <v>-47195.065651379271</v>
      </c>
      <c r="BK214" s="425">
        <f t="shared" si="109"/>
        <v>-180801.3548259603</v>
      </c>
      <c r="BL214" s="425">
        <f t="shared" si="109"/>
        <v>0</v>
      </c>
      <c r="BM214" s="425">
        <f t="shared" si="105"/>
        <v>0</v>
      </c>
      <c r="BN214" s="425">
        <f t="shared" si="105"/>
        <v>0</v>
      </c>
      <c r="BO214" s="425">
        <f t="shared" si="105"/>
        <v>0</v>
      </c>
      <c r="BP214" s="425">
        <f t="shared" si="106"/>
        <v>-17517.909999999902</v>
      </c>
      <c r="BQ214" s="425">
        <f t="shared" si="106"/>
        <v>0</v>
      </c>
      <c r="BR214" s="425">
        <f t="shared" si="106"/>
        <v>0</v>
      </c>
      <c r="BS214" s="425">
        <f t="shared" si="107"/>
        <v>0</v>
      </c>
      <c r="BT214" s="426">
        <f t="shared" si="107"/>
        <v>0</v>
      </c>
    </row>
    <row r="215" spans="2:72" x14ac:dyDescent="0.25">
      <c r="B215" s="145"/>
      <c r="C215" s="539">
        <v>44805</v>
      </c>
      <c r="D215" s="533"/>
      <c r="E215" s="534">
        <v>380661.39980339468</v>
      </c>
      <c r="F215" s="534">
        <v>0</v>
      </c>
      <c r="G215" s="534">
        <v>0</v>
      </c>
      <c r="H215" s="540">
        <v>-42502.73506163813</v>
      </c>
      <c r="I215" s="536">
        <v>338158.66474175663</v>
      </c>
      <c r="J215" s="533"/>
      <c r="K215" s="534">
        <v>17517.91</v>
      </c>
      <c r="L215" s="534">
        <v>2167852.5607050159</v>
      </c>
      <c r="M215" s="534">
        <v>169454.55555661261</v>
      </c>
      <c r="N215" s="534">
        <v>0</v>
      </c>
      <c r="O215" s="534">
        <v>0</v>
      </c>
      <c r="P215" s="534">
        <v>0</v>
      </c>
      <c r="Q215" s="534">
        <v>0</v>
      </c>
      <c r="R215" s="534">
        <v>0</v>
      </c>
      <c r="S215" s="536">
        <v>2354825.0262616291</v>
      </c>
      <c r="T215" s="533"/>
      <c r="U215" s="534">
        <v>0</v>
      </c>
      <c r="V215" s="534">
        <v>0</v>
      </c>
      <c r="W215" s="534">
        <v>0</v>
      </c>
      <c r="X215" s="534">
        <v>0</v>
      </c>
      <c r="Y215" s="534">
        <v>0</v>
      </c>
      <c r="Z215" s="534">
        <v>61302.02172351654</v>
      </c>
      <c r="AA215" s="534">
        <v>0</v>
      </c>
      <c r="AB215" s="534">
        <v>0</v>
      </c>
      <c r="AC215" s="534">
        <v>39233.293903050588</v>
      </c>
      <c r="AD215" s="534">
        <v>0</v>
      </c>
      <c r="AE215" s="536">
        <v>100535.3156265671</v>
      </c>
      <c r="AF215" s="533"/>
      <c r="AG215" s="534">
        <v>0</v>
      </c>
      <c r="AH215" s="534">
        <v>0</v>
      </c>
      <c r="AI215" s="534">
        <v>0</v>
      </c>
      <c r="AJ215" s="534">
        <v>0</v>
      </c>
      <c r="AK215" s="536">
        <v>0</v>
      </c>
      <c r="AL215" s="533"/>
      <c r="AM215" s="534">
        <v>0</v>
      </c>
      <c r="AN215" s="534">
        <v>0</v>
      </c>
      <c r="AO215" s="534">
        <v>0</v>
      </c>
      <c r="AP215" s="537">
        <v>0</v>
      </c>
      <c r="AQ215" s="535">
        <v>0</v>
      </c>
      <c r="AR215" s="534">
        <v>0</v>
      </c>
      <c r="AS215" s="534">
        <v>0</v>
      </c>
      <c r="AT215" s="534">
        <v>0</v>
      </c>
      <c r="AU215" s="536">
        <v>0</v>
      </c>
      <c r="AV215" s="533"/>
      <c r="AW215" s="538">
        <v>-2117201.677146439</v>
      </c>
      <c r="AX215" s="538">
        <v>-2369433.9466122491</v>
      </c>
      <c r="AY215" s="533"/>
      <c r="AZ215" s="534">
        <f t="shared" si="108"/>
        <v>17517.909999999902</v>
      </c>
      <c r="BA215" s="534">
        <v>0</v>
      </c>
      <c r="BD215" s="392">
        <f t="shared" si="91"/>
        <v>380661.39980339468</v>
      </c>
      <c r="BE215" s="425">
        <f t="shared" si="92"/>
        <v>-81736.02896468871</v>
      </c>
      <c r="BF215" s="425">
        <f t="shared" si="109"/>
        <v>-2167852.5607050159</v>
      </c>
      <c r="BG215" s="425">
        <f t="shared" si="109"/>
        <v>0</v>
      </c>
      <c r="BH215" s="425">
        <f t="shared" si="109"/>
        <v>0</v>
      </c>
      <c r="BI215" s="425">
        <f t="shared" si="109"/>
        <v>0</v>
      </c>
      <c r="BJ215" s="425">
        <f t="shared" si="109"/>
        <v>-61302.02172351654</v>
      </c>
      <c r="BK215" s="425">
        <f t="shared" si="109"/>
        <v>-169454.55555661261</v>
      </c>
      <c r="BL215" s="425">
        <f t="shared" si="109"/>
        <v>0</v>
      </c>
      <c r="BM215" s="425">
        <f t="shared" si="105"/>
        <v>0</v>
      </c>
      <c r="BN215" s="425">
        <f t="shared" si="105"/>
        <v>0</v>
      </c>
      <c r="BO215" s="425">
        <f t="shared" si="105"/>
        <v>0</v>
      </c>
      <c r="BP215" s="425">
        <f t="shared" si="106"/>
        <v>-17517.909999999902</v>
      </c>
      <c r="BQ215" s="425">
        <f t="shared" si="106"/>
        <v>0</v>
      </c>
      <c r="BR215" s="425">
        <f t="shared" si="106"/>
        <v>0</v>
      </c>
      <c r="BS215" s="425">
        <f t="shared" si="107"/>
        <v>0</v>
      </c>
      <c r="BT215" s="426">
        <f t="shared" si="107"/>
        <v>0</v>
      </c>
    </row>
    <row r="216" spans="2:72" x14ac:dyDescent="0.25">
      <c r="B216" s="145"/>
      <c r="C216" s="539">
        <v>44835</v>
      </c>
      <c r="D216" s="533"/>
      <c r="E216" s="534">
        <v>2028272.118714025</v>
      </c>
      <c r="F216" s="534">
        <v>0</v>
      </c>
      <c r="G216" s="534">
        <v>0</v>
      </c>
      <c r="H216" s="540">
        <v>-7917.7571159106092</v>
      </c>
      <c r="I216" s="536">
        <v>2020354.3615981149</v>
      </c>
      <c r="J216" s="533"/>
      <c r="K216" s="534">
        <v>17517.91</v>
      </c>
      <c r="L216" s="534">
        <v>1473804.23592669</v>
      </c>
      <c r="M216" s="534">
        <v>195106.73046345139</v>
      </c>
      <c r="N216" s="534">
        <v>0</v>
      </c>
      <c r="O216" s="534">
        <v>0</v>
      </c>
      <c r="P216" s="534">
        <v>0</v>
      </c>
      <c r="Q216" s="534">
        <v>0</v>
      </c>
      <c r="R216" s="534">
        <v>0</v>
      </c>
      <c r="S216" s="536">
        <v>1686428.876390141</v>
      </c>
      <c r="T216" s="533"/>
      <c r="U216" s="534">
        <v>0</v>
      </c>
      <c r="V216" s="534">
        <v>0</v>
      </c>
      <c r="W216" s="534">
        <v>0</v>
      </c>
      <c r="X216" s="534">
        <v>0</v>
      </c>
      <c r="Y216" s="534">
        <v>0</v>
      </c>
      <c r="Z216" s="534">
        <v>11419.84199410184</v>
      </c>
      <c r="AA216" s="534">
        <v>0</v>
      </c>
      <c r="AB216" s="534">
        <v>0</v>
      </c>
      <c r="AC216" s="534">
        <v>7308.6988762251794</v>
      </c>
      <c r="AD216" s="534">
        <v>0</v>
      </c>
      <c r="AE216" s="536">
        <v>18728.540870327019</v>
      </c>
      <c r="AF216" s="533"/>
      <c r="AG216" s="534">
        <v>0</v>
      </c>
      <c r="AH216" s="534">
        <v>0</v>
      </c>
      <c r="AI216" s="534">
        <v>0</v>
      </c>
      <c r="AJ216" s="534">
        <v>0</v>
      </c>
      <c r="AK216" s="536">
        <v>0</v>
      </c>
      <c r="AL216" s="533"/>
      <c r="AM216" s="534">
        <v>0</v>
      </c>
      <c r="AN216" s="534">
        <v>0</v>
      </c>
      <c r="AO216" s="534">
        <v>0</v>
      </c>
      <c r="AP216" s="537">
        <v>0</v>
      </c>
      <c r="AQ216" s="535">
        <v>0</v>
      </c>
      <c r="AR216" s="534">
        <v>0</v>
      </c>
      <c r="AS216" s="534">
        <v>0</v>
      </c>
      <c r="AT216" s="534">
        <v>0</v>
      </c>
      <c r="AU216" s="536">
        <v>0</v>
      </c>
      <c r="AV216" s="533"/>
      <c r="AW216" s="538">
        <v>315196.94433764648</v>
      </c>
      <c r="AX216" s="538">
        <v>-2054237.0022746029</v>
      </c>
      <c r="AY216" s="533"/>
      <c r="AZ216" s="534">
        <f t="shared" si="108"/>
        <v>17517.909999999902</v>
      </c>
      <c r="BA216" s="534">
        <v>0</v>
      </c>
      <c r="BD216" s="392">
        <f t="shared" si="91"/>
        <v>2028272.118714025</v>
      </c>
      <c r="BE216" s="425">
        <f t="shared" si="92"/>
        <v>-15226.455992135789</v>
      </c>
      <c r="BF216" s="425">
        <f t="shared" si="109"/>
        <v>-1473804.23592669</v>
      </c>
      <c r="BG216" s="425">
        <f t="shared" si="109"/>
        <v>0</v>
      </c>
      <c r="BH216" s="425">
        <f t="shared" si="109"/>
        <v>0</v>
      </c>
      <c r="BI216" s="425">
        <f t="shared" si="109"/>
        <v>0</v>
      </c>
      <c r="BJ216" s="425">
        <f t="shared" si="109"/>
        <v>-11419.84199410184</v>
      </c>
      <c r="BK216" s="425">
        <f t="shared" si="109"/>
        <v>-195106.73046345139</v>
      </c>
      <c r="BL216" s="425">
        <f t="shared" si="109"/>
        <v>0</v>
      </c>
      <c r="BM216" s="425">
        <f t="shared" si="105"/>
        <v>0</v>
      </c>
      <c r="BN216" s="425">
        <f t="shared" si="105"/>
        <v>0</v>
      </c>
      <c r="BO216" s="425">
        <f t="shared" si="105"/>
        <v>0</v>
      </c>
      <c r="BP216" s="425">
        <f t="shared" si="106"/>
        <v>-17517.909999999902</v>
      </c>
      <c r="BQ216" s="425">
        <f t="shared" si="106"/>
        <v>0</v>
      </c>
      <c r="BR216" s="425">
        <f t="shared" si="106"/>
        <v>0</v>
      </c>
      <c r="BS216" s="425">
        <f t="shared" si="107"/>
        <v>0</v>
      </c>
      <c r="BT216" s="426">
        <f t="shared" si="107"/>
        <v>0</v>
      </c>
    </row>
    <row r="217" spans="2:72" x14ac:dyDescent="0.25">
      <c r="B217" s="145"/>
      <c r="C217" s="539">
        <v>44866</v>
      </c>
      <c r="D217" s="533"/>
      <c r="E217" s="534">
        <v>639907.82500902005</v>
      </c>
      <c r="F217" s="534">
        <v>0</v>
      </c>
      <c r="G217" s="534">
        <v>0</v>
      </c>
      <c r="H217" s="540">
        <v>-42188.060069251733</v>
      </c>
      <c r="I217" s="536">
        <v>597719.76493976836</v>
      </c>
      <c r="J217" s="533"/>
      <c r="K217" s="534">
        <v>1012517.91</v>
      </c>
      <c r="L217" s="534">
        <v>1152416.325129257</v>
      </c>
      <c r="M217" s="534">
        <v>132642.38123340209</v>
      </c>
      <c r="N217" s="534">
        <v>0</v>
      </c>
      <c r="O217" s="534">
        <v>0</v>
      </c>
      <c r="P217" s="534">
        <v>0</v>
      </c>
      <c r="Q217" s="534">
        <v>0</v>
      </c>
      <c r="R217" s="534">
        <v>0</v>
      </c>
      <c r="S217" s="536">
        <v>2297576.6163626579</v>
      </c>
      <c r="T217" s="533"/>
      <c r="U217" s="534">
        <v>0</v>
      </c>
      <c r="V217" s="534">
        <v>0</v>
      </c>
      <c r="W217" s="534">
        <v>0</v>
      </c>
      <c r="X217" s="534">
        <v>0</v>
      </c>
      <c r="Y217" s="534">
        <v>0</v>
      </c>
      <c r="Z217" s="534">
        <v>60848.163561420763</v>
      </c>
      <c r="AA217" s="534">
        <v>0</v>
      </c>
      <c r="AB217" s="534">
        <v>0</v>
      </c>
      <c r="AC217" s="534">
        <v>38942.824679309291</v>
      </c>
      <c r="AD217" s="534">
        <v>0</v>
      </c>
      <c r="AE217" s="536">
        <v>99790.988240730047</v>
      </c>
      <c r="AF217" s="533"/>
      <c r="AG217" s="534">
        <v>0</v>
      </c>
      <c r="AH217" s="534">
        <v>0</v>
      </c>
      <c r="AI217" s="534">
        <v>0</v>
      </c>
      <c r="AJ217" s="534">
        <v>0</v>
      </c>
      <c r="AK217" s="536">
        <v>0</v>
      </c>
      <c r="AL217" s="533"/>
      <c r="AM217" s="534">
        <v>0</v>
      </c>
      <c r="AN217" s="534">
        <v>0</v>
      </c>
      <c r="AO217" s="534">
        <v>0</v>
      </c>
      <c r="AP217" s="537">
        <v>0</v>
      </c>
      <c r="AQ217" s="535">
        <v>0</v>
      </c>
      <c r="AR217" s="534">
        <v>0</v>
      </c>
      <c r="AS217" s="534">
        <v>0</v>
      </c>
      <c r="AT217" s="534">
        <v>0</v>
      </c>
      <c r="AU217" s="536">
        <v>0</v>
      </c>
      <c r="AV217" s="533"/>
      <c r="AW217" s="538">
        <v>-1799647.8396636201</v>
      </c>
      <c r="AX217" s="538">
        <v>-3853884.8419382232</v>
      </c>
      <c r="AY217" s="533"/>
      <c r="AZ217" s="534">
        <f>1012517.90999999 - BA217</f>
        <v>1012517.90999999</v>
      </c>
      <c r="BA217" s="534">
        <v>0</v>
      </c>
      <c r="BD217" s="392">
        <f t="shared" si="91"/>
        <v>639907.82500902005</v>
      </c>
      <c r="BE217" s="425">
        <f t="shared" si="92"/>
        <v>-81130.884748561017</v>
      </c>
      <c r="BF217" s="425">
        <f t="shared" si="109"/>
        <v>-1152416.325129257</v>
      </c>
      <c r="BG217" s="425">
        <f t="shared" si="109"/>
        <v>0</v>
      </c>
      <c r="BH217" s="425">
        <f t="shared" si="109"/>
        <v>0</v>
      </c>
      <c r="BI217" s="425">
        <f t="shared" si="109"/>
        <v>0</v>
      </c>
      <c r="BJ217" s="425">
        <f t="shared" si="109"/>
        <v>-60848.163561420763</v>
      </c>
      <c r="BK217" s="425">
        <f t="shared" si="109"/>
        <v>-132642.38123340209</v>
      </c>
      <c r="BL217" s="425">
        <f t="shared" si="109"/>
        <v>0</v>
      </c>
      <c r="BM217" s="425">
        <f t="shared" si="105"/>
        <v>0</v>
      </c>
      <c r="BN217" s="425">
        <f t="shared" si="105"/>
        <v>0</v>
      </c>
      <c r="BO217" s="425">
        <f t="shared" si="105"/>
        <v>0</v>
      </c>
      <c r="BP217" s="425">
        <f t="shared" si="106"/>
        <v>-1012517.90999999</v>
      </c>
      <c r="BQ217" s="425">
        <f t="shared" si="106"/>
        <v>0</v>
      </c>
      <c r="BR217" s="425">
        <f t="shared" si="106"/>
        <v>0</v>
      </c>
      <c r="BS217" s="425">
        <f t="shared" si="107"/>
        <v>0</v>
      </c>
      <c r="BT217" s="426">
        <f t="shared" si="107"/>
        <v>0</v>
      </c>
    </row>
    <row r="218" spans="2:72" x14ac:dyDescent="0.25">
      <c r="B218" s="145"/>
      <c r="C218" s="539">
        <v>44896</v>
      </c>
      <c r="D218" s="533"/>
      <c r="E218" s="534">
        <v>994869.01091982995</v>
      </c>
      <c r="F218" s="534">
        <v>0</v>
      </c>
      <c r="G218" s="534">
        <v>0</v>
      </c>
      <c r="H218" s="540">
        <v>-13310.082760187621</v>
      </c>
      <c r="I218" s="536">
        <v>981558.92815964238</v>
      </c>
      <c r="J218" s="533"/>
      <c r="K218" s="534">
        <v>0</v>
      </c>
      <c r="L218" s="534">
        <v>1179157.716829164</v>
      </c>
      <c r="M218" s="534">
        <v>103717.4692616331</v>
      </c>
      <c r="N218" s="534">
        <v>0</v>
      </c>
      <c r="O218" s="534">
        <v>0</v>
      </c>
      <c r="P218" s="534">
        <v>0</v>
      </c>
      <c r="Q218" s="534">
        <v>129231.6</v>
      </c>
      <c r="R218" s="534">
        <v>233333.33333333331</v>
      </c>
      <c r="S218" s="536">
        <v>1645440.119424131</v>
      </c>
      <c r="T218" s="533"/>
      <c r="U218" s="534">
        <v>125000</v>
      </c>
      <c r="V218" s="534">
        <v>0</v>
      </c>
      <c r="W218" s="534">
        <v>0</v>
      </c>
      <c r="X218" s="534">
        <v>20000</v>
      </c>
      <c r="Y218" s="534">
        <v>0</v>
      </c>
      <c r="Z218" s="534">
        <v>19197.2347502706</v>
      </c>
      <c r="AA218" s="534">
        <v>0</v>
      </c>
      <c r="AB218" s="534">
        <v>0</v>
      </c>
      <c r="AC218" s="534">
        <v>12286.23024017319</v>
      </c>
      <c r="AD218" s="534">
        <v>0</v>
      </c>
      <c r="AE218" s="536">
        <v>176483.46499044381</v>
      </c>
      <c r="AF218" s="533"/>
      <c r="AG218" s="534">
        <v>0</v>
      </c>
      <c r="AH218" s="534">
        <v>0</v>
      </c>
      <c r="AI218" s="534">
        <v>0</v>
      </c>
      <c r="AJ218" s="534">
        <v>0</v>
      </c>
      <c r="AK218" s="536">
        <v>0</v>
      </c>
      <c r="AL218" s="533"/>
      <c r="AM218" s="534">
        <v>0</v>
      </c>
      <c r="AN218" s="534">
        <v>0</v>
      </c>
      <c r="AO218" s="534">
        <v>0</v>
      </c>
      <c r="AP218" s="537">
        <v>0</v>
      </c>
      <c r="AQ218" s="535">
        <v>0</v>
      </c>
      <c r="AR218" s="534">
        <v>0</v>
      </c>
      <c r="AS218" s="534">
        <v>0</v>
      </c>
      <c r="AT218" s="534">
        <v>0</v>
      </c>
      <c r="AU218" s="536">
        <v>0</v>
      </c>
      <c r="AV218" s="533"/>
      <c r="AW218" s="538">
        <v>-840364.65625493194</v>
      </c>
      <c r="AX218" s="538">
        <v>-4694249.498193155</v>
      </c>
      <c r="AY218" s="533"/>
      <c r="AZ218" s="534">
        <f>0 - BA218</f>
        <v>0</v>
      </c>
      <c r="BA218" s="534">
        <v>0</v>
      </c>
      <c r="BD218" s="392">
        <f t="shared" si="91"/>
        <v>994869.01091982995</v>
      </c>
      <c r="BE218" s="425">
        <f t="shared" si="92"/>
        <v>-25596.313000360809</v>
      </c>
      <c r="BF218" s="425">
        <f t="shared" si="109"/>
        <v>-1179157.716829164</v>
      </c>
      <c r="BG218" s="425">
        <f t="shared" si="109"/>
        <v>-487564.93333333335</v>
      </c>
      <c r="BH218" s="425">
        <f t="shared" si="109"/>
        <v>-20000</v>
      </c>
      <c r="BI218" s="425">
        <f t="shared" si="109"/>
        <v>0</v>
      </c>
      <c r="BJ218" s="425">
        <f t="shared" si="109"/>
        <v>-19197.2347502706</v>
      </c>
      <c r="BK218" s="425">
        <f t="shared" si="109"/>
        <v>-103717.4692616331</v>
      </c>
      <c r="BL218" s="425">
        <f t="shared" si="109"/>
        <v>0</v>
      </c>
      <c r="BM218" s="425">
        <f t="shared" si="105"/>
        <v>0</v>
      </c>
      <c r="BN218" s="425">
        <f t="shared" si="105"/>
        <v>0</v>
      </c>
      <c r="BO218" s="425">
        <f t="shared" si="105"/>
        <v>0</v>
      </c>
      <c r="BP218" s="425">
        <f t="shared" si="106"/>
        <v>0</v>
      </c>
      <c r="BQ218" s="425">
        <f t="shared" si="106"/>
        <v>0</v>
      </c>
      <c r="BR218" s="425">
        <f t="shared" si="106"/>
        <v>0</v>
      </c>
      <c r="BS218" s="425">
        <f t="shared" si="107"/>
        <v>0</v>
      </c>
      <c r="BT218" s="426">
        <f t="shared" si="107"/>
        <v>0</v>
      </c>
    </row>
    <row r="219" spans="2:72" x14ac:dyDescent="0.25">
      <c r="B219" s="145"/>
      <c r="C219" s="539">
        <v>44927</v>
      </c>
      <c r="D219" s="533"/>
      <c r="E219" s="534">
        <v>976887.69260409498</v>
      </c>
      <c r="F219" s="534">
        <v>0</v>
      </c>
      <c r="G219" s="534">
        <v>0</v>
      </c>
      <c r="H219" s="540">
        <v>-20693.275427132459</v>
      </c>
      <c r="I219" s="536">
        <v>956194.41717696248</v>
      </c>
      <c r="J219" s="533"/>
      <c r="K219" s="534">
        <v>0</v>
      </c>
      <c r="L219" s="534">
        <v>1252190.9005347141</v>
      </c>
      <c r="M219" s="534">
        <v>106124.1945146248</v>
      </c>
      <c r="N219" s="534">
        <v>59081.330317936787</v>
      </c>
      <c r="O219" s="534">
        <v>0</v>
      </c>
      <c r="P219" s="534">
        <v>0</v>
      </c>
      <c r="Q219" s="534">
        <v>0</v>
      </c>
      <c r="R219" s="534">
        <v>233333.33333333331</v>
      </c>
      <c r="S219" s="536">
        <v>1650729.758700609</v>
      </c>
      <c r="T219" s="533"/>
      <c r="U219" s="534">
        <v>0</v>
      </c>
      <c r="V219" s="534">
        <v>0</v>
      </c>
      <c r="W219" s="534">
        <v>0</v>
      </c>
      <c r="X219" s="534">
        <v>1215</v>
      </c>
      <c r="Y219" s="534">
        <v>0</v>
      </c>
      <c r="Z219" s="534">
        <v>29846.070327594902</v>
      </c>
      <c r="AA219" s="534">
        <v>0</v>
      </c>
      <c r="AB219" s="534">
        <v>0</v>
      </c>
      <c r="AC219" s="534">
        <v>19101.485009660741</v>
      </c>
      <c r="AD219" s="534">
        <v>0</v>
      </c>
      <c r="AE219" s="536">
        <v>50162.555337255631</v>
      </c>
      <c r="AF219" s="533"/>
      <c r="AG219" s="534">
        <v>0</v>
      </c>
      <c r="AH219" s="534">
        <v>0</v>
      </c>
      <c r="AI219" s="534">
        <v>0</v>
      </c>
      <c r="AJ219" s="534">
        <v>0</v>
      </c>
      <c r="AK219" s="536">
        <v>0</v>
      </c>
      <c r="AL219" s="533"/>
      <c r="AM219" s="534">
        <v>0</v>
      </c>
      <c r="AN219" s="534">
        <v>0</v>
      </c>
      <c r="AO219" s="534">
        <v>0</v>
      </c>
      <c r="AP219" s="537">
        <v>0</v>
      </c>
      <c r="AQ219" s="535">
        <v>0</v>
      </c>
      <c r="AR219" s="534">
        <v>0</v>
      </c>
      <c r="AS219" s="534">
        <v>0</v>
      </c>
      <c r="AT219" s="534">
        <v>0</v>
      </c>
      <c r="AU219" s="536">
        <v>0</v>
      </c>
      <c r="AV219" s="533"/>
      <c r="AW219" s="538">
        <v>-744697.89686090208</v>
      </c>
      <c r="AX219" s="538">
        <v>-5438947.3950540572</v>
      </c>
      <c r="AY219" s="533"/>
      <c r="AZ219" s="534">
        <f>0 - BA219</f>
        <v>0</v>
      </c>
      <c r="BA219" s="534">
        <v>0</v>
      </c>
      <c r="BD219" s="392">
        <f t="shared" si="91"/>
        <v>976887.69260409498</v>
      </c>
      <c r="BE219" s="425">
        <f t="shared" si="92"/>
        <v>-39794.7604367932</v>
      </c>
      <c r="BF219" s="425">
        <f t="shared" si="109"/>
        <v>-1252190.9005347141</v>
      </c>
      <c r="BG219" s="425">
        <f t="shared" si="109"/>
        <v>-292414.66365127009</v>
      </c>
      <c r="BH219" s="425">
        <f t="shared" si="109"/>
        <v>-1215</v>
      </c>
      <c r="BI219" s="425">
        <f t="shared" si="109"/>
        <v>0</v>
      </c>
      <c r="BJ219" s="425">
        <f t="shared" si="109"/>
        <v>-29846.070327594902</v>
      </c>
      <c r="BK219" s="425">
        <f t="shared" si="109"/>
        <v>-106124.1945146248</v>
      </c>
      <c r="BL219" s="425">
        <f t="shared" si="109"/>
        <v>0</v>
      </c>
      <c r="BM219" s="425">
        <f t="shared" si="105"/>
        <v>0</v>
      </c>
      <c r="BN219" s="425">
        <f t="shared" si="105"/>
        <v>0</v>
      </c>
      <c r="BO219" s="425">
        <f t="shared" si="105"/>
        <v>0</v>
      </c>
      <c r="BP219" s="425">
        <f t="shared" si="106"/>
        <v>0</v>
      </c>
      <c r="BQ219" s="425">
        <f t="shared" si="106"/>
        <v>0</v>
      </c>
      <c r="BR219" s="425">
        <f t="shared" si="106"/>
        <v>0</v>
      </c>
      <c r="BS219" s="425">
        <f t="shared" si="107"/>
        <v>0</v>
      </c>
      <c r="BT219" s="426">
        <f t="shared" si="107"/>
        <v>0</v>
      </c>
    </row>
    <row r="220" spans="2:72" x14ac:dyDescent="0.25">
      <c r="B220" s="145"/>
      <c r="C220" s="539">
        <v>44958</v>
      </c>
      <c r="D220" s="533"/>
      <c r="E220" s="534">
        <v>366008.25672086963</v>
      </c>
      <c r="F220" s="534">
        <v>0</v>
      </c>
      <c r="G220" s="534">
        <v>0</v>
      </c>
      <c r="H220" s="540">
        <v>-20319.26400616518</v>
      </c>
      <c r="I220" s="536">
        <v>345688.99271470442</v>
      </c>
      <c r="J220" s="533"/>
      <c r="K220" s="534">
        <v>12517.91</v>
      </c>
      <c r="L220" s="534">
        <v>970843</v>
      </c>
      <c r="M220" s="534">
        <v>112697.1810481243</v>
      </c>
      <c r="N220" s="534">
        <v>26944.26690746221</v>
      </c>
      <c r="O220" s="534">
        <v>0</v>
      </c>
      <c r="P220" s="534">
        <v>130000</v>
      </c>
      <c r="Q220" s="534">
        <v>0</v>
      </c>
      <c r="R220" s="534">
        <v>233333.33333333331</v>
      </c>
      <c r="S220" s="536">
        <v>1486335.6912889199</v>
      </c>
      <c r="T220" s="533"/>
      <c r="U220" s="534">
        <v>0</v>
      </c>
      <c r="V220" s="534">
        <v>0</v>
      </c>
      <c r="W220" s="534">
        <v>0</v>
      </c>
      <c r="X220" s="534">
        <v>0</v>
      </c>
      <c r="Y220" s="534">
        <v>0</v>
      </c>
      <c r="Z220" s="534">
        <v>29306.63077812285</v>
      </c>
      <c r="AA220" s="534">
        <v>0</v>
      </c>
      <c r="AB220" s="534">
        <v>0</v>
      </c>
      <c r="AC220" s="534">
        <v>18756.243697998631</v>
      </c>
      <c r="AD220" s="534">
        <v>0</v>
      </c>
      <c r="AE220" s="536">
        <v>48062.874476121477</v>
      </c>
      <c r="AF220" s="533"/>
      <c r="AG220" s="534">
        <v>0</v>
      </c>
      <c r="AH220" s="534">
        <v>0</v>
      </c>
      <c r="AI220" s="534">
        <v>0</v>
      </c>
      <c r="AJ220" s="534">
        <v>0</v>
      </c>
      <c r="AK220" s="536">
        <v>0</v>
      </c>
      <c r="AL220" s="533"/>
      <c r="AM220" s="534">
        <v>0</v>
      </c>
      <c r="AN220" s="534">
        <v>0</v>
      </c>
      <c r="AO220" s="534">
        <v>0</v>
      </c>
      <c r="AP220" s="537">
        <v>0</v>
      </c>
      <c r="AQ220" s="535">
        <v>0</v>
      </c>
      <c r="AR220" s="534">
        <v>0</v>
      </c>
      <c r="AS220" s="534">
        <v>0</v>
      </c>
      <c r="AT220" s="534">
        <v>0</v>
      </c>
      <c r="AU220" s="536">
        <v>0</v>
      </c>
      <c r="AV220" s="533"/>
      <c r="AW220" s="538">
        <v>-1188709.5730503369</v>
      </c>
      <c r="AX220" s="538">
        <v>-6627656.9681043942</v>
      </c>
      <c r="AY220" s="533"/>
      <c r="AZ220" s="534">
        <f>12517.91 - BA220</f>
        <v>12517.91</v>
      </c>
      <c r="BA220" s="534">
        <v>0</v>
      </c>
      <c r="BD220" s="392">
        <f t="shared" si="91"/>
        <v>366008.25672086963</v>
      </c>
      <c r="BE220" s="425">
        <f t="shared" si="92"/>
        <v>-39075.507704163814</v>
      </c>
      <c r="BF220" s="425">
        <f t="shared" si="109"/>
        <v>-970843</v>
      </c>
      <c r="BG220" s="425">
        <f t="shared" si="109"/>
        <v>-390277.60024079552</v>
      </c>
      <c r="BH220" s="425">
        <f t="shared" si="109"/>
        <v>0</v>
      </c>
      <c r="BI220" s="425">
        <f t="shared" si="109"/>
        <v>0</v>
      </c>
      <c r="BJ220" s="425">
        <f t="shared" si="109"/>
        <v>-29306.63077812285</v>
      </c>
      <c r="BK220" s="425">
        <f t="shared" si="109"/>
        <v>-112697.1810481243</v>
      </c>
      <c r="BL220" s="425">
        <f t="shared" si="109"/>
        <v>0</v>
      </c>
      <c r="BM220" s="425">
        <f t="shared" si="105"/>
        <v>0</v>
      </c>
      <c r="BN220" s="425">
        <f t="shared" si="105"/>
        <v>0</v>
      </c>
      <c r="BO220" s="425">
        <f t="shared" si="105"/>
        <v>0</v>
      </c>
      <c r="BP220" s="425">
        <f t="shared" si="106"/>
        <v>-12517.91</v>
      </c>
      <c r="BQ220" s="425">
        <f t="shared" si="106"/>
        <v>0</v>
      </c>
      <c r="BR220" s="425">
        <f t="shared" si="106"/>
        <v>0</v>
      </c>
      <c r="BS220" s="425">
        <f t="shared" si="107"/>
        <v>0</v>
      </c>
      <c r="BT220" s="426">
        <f t="shared" si="107"/>
        <v>0</v>
      </c>
    </row>
    <row r="221" spans="2:72" x14ac:dyDescent="0.25">
      <c r="B221" s="145"/>
      <c r="C221" s="539">
        <v>44986</v>
      </c>
      <c r="D221" s="533"/>
      <c r="E221" s="534">
        <v>366008.25672086963</v>
      </c>
      <c r="F221" s="534">
        <v>0</v>
      </c>
      <c r="G221" s="534">
        <v>0</v>
      </c>
      <c r="H221" s="540">
        <v>-7612.9717397940867</v>
      </c>
      <c r="I221" s="536">
        <v>358395.2849810755</v>
      </c>
      <c r="J221" s="533"/>
      <c r="K221" s="534">
        <v>12517.91</v>
      </c>
      <c r="L221" s="534">
        <v>429039.20720833627</v>
      </c>
      <c r="M221" s="534">
        <v>87375.87</v>
      </c>
      <c r="N221" s="534">
        <v>0</v>
      </c>
      <c r="O221" s="534">
        <v>0</v>
      </c>
      <c r="P221" s="534">
        <v>0</v>
      </c>
      <c r="Q221" s="534">
        <v>0</v>
      </c>
      <c r="R221" s="534">
        <v>24709.27028450929</v>
      </c>
      <c r="S221" s="536">
        <v>553642.25749284565</v>
      </c>
      <c r="T221" s="533"/>
      <c r="U221" s="534">
        <v>0</v>
      </c>
      <c r="V221" s="534">
        <v>0</v>
      </c>
      <c r="W221" s="534">
        <v>0</v>
      </c>
      <c r="X221" s="534">
        <v>0</v>
      </c>
      <c r="Y221" s="534">
        <v>0</v>
      </c>
      <c r="Z221" s="534">
        <v>10980.247701626089</v>
      </c>
      <c r="AA221" s="534">
        <v>0</v>
      </c>
      <c r="AB221" s="534">
        <v>0</v>
      </c>
      <c r="AC221" s="534">
        <v>7027.3585290406963</v>
      </c>
      <c r="AD221" s="534">
        <v>0</v>
      </c>
      <c r="AE221" s="536">
        <v>18007.606230666781</v>
      </c>
      <c r="AF221" s="533"/>
      <c r="AG221" s="534">
        <v>0</v>
      </c>
      <c r="AH221" s="534">
        <v>0</v>
      </c>
      <c r="AI221" s="534">
        <v>0</v>
      </c>
      <c r="AJ221" s="534">
        <v>0</v>
      </c>
      <c r="AK221" s="536">
        <v>0</v>
      </c>
      <c r="AL221" s="533"/>
      <c r="AM221" s="534">
        <v>0</v>
      </c>
      <c r="AN221" s="534">
        <v>0</v>
      </c>
      <c r="AO221" s="534">
        <v>0</v>
      </c>
      <c r="AP221" s="537">
        <v>0</v>
      </c>
      <c r="AQ221" s="535">
        <v>0</v>
      </c>
      <c r="AR221" s="534">
        <v>0</v>
      </c>
      <c r="AS221" s="534">
        <v>0</v>
      </c>
      <c r="AT221" s="534">
        <v>0</v>
      </c>
      <c r="AU221" s="536">
        <v>0</v>
      </c>
      <c r="AV221" s="533"/>
      <c r="AW221" s="538">
        <v>-213254.57874243689</v>
      </c>
      <c r="AX221" s="538">
        <v>-6840911.5468468312</v>
      </c>
      <c r="AY221" s="533"/>
      <c r="AZ221" s="534">
        <f>12517.91 - BA221</f>
        <v>12517.91</v>
      </c>
      <c r="BA221" s="534">
        <v>0</v>
      </c>
      <c r="BD221" s="392">
        <f t="shared" si="91"/>
        <v>366008.25672086963</v>
      </c>
      <c r="BE221" s="425">
        <f t="shared" si="92"/>
        <v>-14640.330268834783</v>
      </c>
      <c r="BF221" s="425">
        <f t="shared" ref="BF221:BL230" si="110">-SUMIF($E$6:$BA$6, BF$6, $E221:$BA221)</f>
        <v>-429039.20720833627</v>
      </c>
      <c r="BG221" s="425">
        <f t="shared" si="110"/>
        <v>-24709.27028450929</v>
      </c>
      <c r="BH221" s="425">
        <f t="shared" si="110"/>
        <v>0</v>
      </c>
      <c r="BI221" s="425">
        <f t="shared" si="110"/>
        <v>0</v>
      </c>
      <c r="BJ221" s="425">
        <f t="shared" si="110"/>
        <v>-10980.247701626089</v>
      </c>
      <c r="BK221" s="425">
        <f t="shared" si="110"/>
        <v>-87375.87</v>
      </c>
      <c r="BL221" s="425">
        <f t="shared" si="110"/>
        <v>0</v>
      </c>
      <c r="BM221" s="425">
        <f t="shared" ref="BM221:BO240" si="111">SUMIF($E$6:$BA$6, BM$6, $E221:$BA221)</f>
        <v>0</v>
      </c>
      <c r="BN221" s="425">
        <f t="shared" si="111"/>
        <v>0</v>
      </c>
      <c r="BO221" s="425">
        <f t="shared" si="111"/>
        <v>0</v>
      </c>
      <c r="BP221" s="425">
        <f t="shared" ref="BP221:BR240" si="112">-SUMIF($E$6:$BA$6, BP$6, $E221:$BA221)</f>
        <v>-12517.91</v>
      </c>
      <c r="BQ221" s="425">
        <f t="shared" si="112"/>
        <v>0</v>
      </c>
      <c r="BR221" s="425">
        <f t="shared" si="112"/>
        <v>0</v>
      </c>
      <c r="BS221" s="425">
        <f t="shared" ref="BS221:BT240" si="113">SUMIF($E$6:$BA$6, BS$6, $E221:$BA221)</f>
        <v>0</v>
      </c>
      <c r="BT221" s="426">
        <f t="shared" si="113"/>
        <v>0</v>
      </c>
    </row>
    <row r="222" spans="2:72" x14ac:dyDescent="0.25">
      <c r="B222" s="145"/>
      <c r="C222" s="539">
        <v>45017</v>
      </c>
      <c r="D222" s="533"/>
      <c r="E222" s="534">
        <v>7236037.7188102249</v>
      </c>
      <c r="F222" s="534">
        <v>0</v>
      </c>
      <c r="G222" s="534">
        <v>0</v>
      </c>
      <c r="H222" s="540">
        <v>-7612.9717397940867</v>
      </c>
      <c r="I222" s="536">
        <v>7228424.7470704308</v>
      </c>
      <c r="J222" s="533"/>
      <c r="K222" s="534">
        <v>12517.91</v>
      </c>
      <c r="L222" s="534">
        <v>275610</v>
      </c>
      <c r="M222" s="534">
        <v>600241.62382483878</v>
      </c>
      <c r="N222" s="534">
        <v>0</v>
      </c>
      <c r="O222" s="534">
        <v>0</v>
      </c>
      <c r="P222" s="534">
        <v>0</v>
      </c>
      <c r="Q222" s="534">
        <v>0</v>
      </c>
      <c r="R222" s="534">
        <v>0</v>
      </c>
      <c r="S222" s="536">
        <v>888369.5338248387</v>
      </c>
      <c r="T222" s="533"/>
      <c r="U222" s="534">
        <v>0</v>
      </c>
      <c r="V222" s="534">
        <v>0</v>
      </c>
      <c r="W222" s="534">
        <v>0</v>
      </c>
      <c r="X222" s="534">
        <v>0</v>
      </c>
      <c r="Y222" s="534">
        <v>0</v>
      </c>
      <c r="Z222" s="534">
        <v>10980.247701626089</v>
      </c>
      <c r="AA222" s="534">
        <v>0</v>
      </c>
      <c r="AB222" s="534">
        <v>0</v>
      </c>
      <c r="AC222" s="534">
        <v>7027.3585290406963</v>
      </c>
      <c r="AD222" s="534">
        <v>0</v>
      </c>
      <c r="AE222" s="536">
        <v>18007.606230666781</v>
      </c>
      <c r="AF222" s="533"/>
      <c r="AG222" s="534">
        <v>0</v>
      </c>
      <c r="AH222" s="534">
        <v>0</v>
      </c>
      <c r="AI222" s="534">
        <v>0</v>
      </c>
      <c r="AJ222" s="534">
        <v>0</v>
      </c>
      <c r="AK222" s="536">
        <v>0</v>
      </c>
      <c r="AL222" s="533"/>
      <c r="AM222" s="534">
        <v>0</v>
      </c>
      <c r="AN222" s="534">
        <v>0</v>
      </c>
      <c r="AO222" s="534">
        <v>0</v>
      </c>
      <c r="AP222" s="537">
        <v>0</v>
      </c>
      <c r="AQ222" s="535">
        <v>0</v>
      </c>
      <c r="AR222" s="534">
        <v>0</v>
      </c>
      <c r="AS222" s="534">
        <v>0</v>
      </c>
      <c r="AT222" s="534">
        <v>0</v>
      </c>
      <c r="AU222" s="536">
        <v>0</v>
      </c>
      <c r="AV222" s="533"/>
      <c r="AW222" s="538">
        <v>6322047.6070149252</v>
      </c>
      <c r="AX222" s="538">
        <v>-518863.939831906</v>
      </c>
      <c r="AY222" s="533"/>
      <c r="AZ222" s="534">
        <f>12517.91 - BA222</f>
        <v>12517.91</v>
      </c>
      <c r="BA222" s="534">
        <v>0</v>
      </c>
      <c r="BD222" s="392">
        <f t="shared" si="91"/>
        <v>7236037.7188102249</v>
      </c>
      <c r="BE222" s="425">
        <f t="shared" si="92"/>
        <v>-14640.330268834783</v>
      </c>
      <c r="BF222" s="425">
        <f t="shared" si="110"/>
        <v>-275610</v>
      </c>
      <c r="BG222" s="425">
        <f t="shared" si="110"/>
        <v>0</v>
      </c>
      <c r="BH222" s="425">
        <f t="shared" si="110"/>
        <v>0</v>
      </c>
      <c r="BI222" s="425">
        <f t="shared" si="110"/>
        <v>0</v>
      </c>
      <c r="BJ222" s="425">
        <f t="shared" si="110"/>
        <v>-10980.247701626089</v>
      </c>
      <c r="BK222" s="425">
        <f t="shared" si="110"/>
        <v>-600241.62382483878</v>
      </c>
      <c r="BL222" s="425">
        <f t="shared" si="110"/>
        <v>0</v>
      </c>
      <c r="BM222" s="425">
        <f t="shared" si="111"/>
        <v>0</v>
      </c>
      <c r="BN222" s="425">
        <f t="shared" si="111"/>
        <v>0</v>
      </c>
      <c r="BO222" s="425">
        <f t="shared" si="111"/>
        <v>0</v>
      </c>
      <c r="BP222" s="425">
        <f t="shared" si="112"/>
        <v>-12517.91</v>
      </c>
      <c r="BQ222" s="425">
        <f t="shared" si="112"/>
        <v>0</v>
      </c>
      <c r="BR222" s="425">
        <f t="shared" si="112"/>
        <v>0</v>
      </c>
      <c r="BS222" s="425">
        <f t="shared" si="113"/>
        <v>0</v>
      </c>
      <c r="BT222" s="426">
        <f t="shared" si="113"/>
        <v>0</v>
      </c>
    </row>
    <row r="223" spans="2:72" x14ac:dyDescent="0.25">
      <c r="B223" s="145"/>
      <c r="C223" s="539">
        <v>45047</v>
      </c>
      <c r="D223" s="533"/>
      <c r="E223" s="534">
        <v>7262263.7803222258</v>
      </c>
      <c r="F223" s="534">
        <v>0</v>
      </c>
      <c r="G223" s="534">
        <v>0</v>
      </c>
      <c r="H223" s="540">
        <v>-150509.58455125269</v>
      </c>
      <c r="I223" s="536">
        <v>7111754.1957709733</v>
      </c>
      <c r="J223" s="533"/>
      <c r="K223" s="534">
        <v>0</v>
      </c>
      <c r="L223" s="534">
        <v>99350.5</v>
      </c>
      <c r="M223" s="534">
        <v>24804.9</v>
      </c>
      <c r="N223" s="534">
        <v>0</v>
      </c>
      <c r="O223" s="534">
        <v>0</v>
      </c>
      <c r="P223" s="534">
        <v>0</v>
      </c>
      <c r="Q223" s="534">
        <v>0</v>
      </c>
      <c r="R223" s="534">
        <v>0</v>
      </c>
      <c r="S223" s="536">
        <v>124155.4</v>
      </c>
      <c r="T223" s="533"/>
      <c r="U223" s="534">
        <v>0</v>
      </c>
      <c r="V223" s="534">
        <v>0</v>
      </c>
      <c r="W223" s="534">
        <v>0</v>
      </c>
      <c r="X223" s="534">
        <v>0</v>
      </c>
      <c r="Y223" s="534">
        <v>0</v>
      </c>
      <c r="Z223" s="534">
        <v>217081.13156430671</v>
      </c>
      <c r="AA223" s="534">
        <v>0</v>
      </c>
      <c r="AB223" s="534">
        <v>0</v>
      </c>
      <c r="AC223" s="534">
        <v>138931.9242011563</v>
      </c>
      <c r="AD223" s="534">
        <v>0</v>
      </c>
      <c r="AE223" s="536">
        <v>356013.05576546298</v>
      </c>
      <c r="AF223" s="533"/>
      <c r="AG223" s="534">
        <v>0</v>
      </c>
      <c r="AH223" s="534">
        <v>0</v>
      </c>
      <c r="AI223" s="534">
        <v>0</v>
      </c>
      <c r="AJ223" s="534">
        <v>0</v>
      </c>
      <c r="AK223" s="536">
        <v>0</v>
      </c>
      <c r="AL223" s="533"/>
      <c r="AM223" s="534">
        <v>0</v>
      </c>
      <c r="AN223" s="534">
        <v>0</v>
      </c>
      <c r="AO223" s="534">
        <v>0</v>
      </c>
      <c r="AP223" s="537">
        <v>0</v>
      </c>
      <c r="AQ223" s="535">
        <v>0</v>
      </c>
      <c r="AR223" s="534">
        <v>0</v>
      </c>
      <c r="AS223" s="534">
        <v>0</v>
      </c>
      <c r="AT223" s="534">
        <v>0</v>
      </c>
      <c r="AU223" s="536">
        <v>0</v>
      </c>
      <c r="AV223" s="533"/>
      <c r="AW223" s="538">
        <v>6631585.7400055099</v>
      </c>
      <c r="AX223" s="538">
        <v>6112721.8001736039</v>
      </c>
      <c r="AY223" s="533"/>
      <c r="AZ223" s="534">
        <f t="shared" ref="AZ223:AZ254" si="114">0 - BA223</f>
        <v>0</v>
      </c>
      <c r="BA223" s="534">
        <v>0</v>
      </c>
      <c r="BD223" s="392">
        <f t="shared" si="91"/>
        <v>7262263.7803222258</v>
      </c>
      <c r="BE223" s="425">
        <f t="shared" si="92"/>
        <v>-289441.50875240902</v>
      </c>
      <c r="BF223" s="425">
        <f t="shared" si="110"/>
        <v>-99350.5</v>
      </c>
      <c r="BG223" s="425">
        <f t="shared" si="110"/>
        <v>0</v>
      </c>
      <c r="BH223" s="425">
        <f t="shared" si="110"/>
        <v>0</v>
      </c>
      <c r="BI223" s="425">
        <f t="shared" si="110"/>
        <v>0</v>
      </c>
      <c r="BJ223" s="425">
        <f t="shared" si="110"/>
        <v>-217081.13156430671</v>
      </c>
      <c r="BK223" s="425">
        <f t="shared" si="110"/>
        <v>-24804.9</v>
      </c>
      <c r="BL223" s="425">
        <f t="shared" si="110"/>
        <v>0</v>
      </c>
      <c r="BM223" s="425">
        <f t="shared" si="111"/>
        <v>0</v>
      </c>
      <c r="BN223" s="425">
        <f t="shared" si="111"/>
        <v>0</v>
      </c>
      <c r="BO223" s="425">
        <f t="shared" si="111"/>
        <v>0</v>
      </c>
      <c r="BP223" s="425">
        <f t="shared" si="112"/>
        <v>0</v>
      </c>
      <c r="BQ223" s="425">
        <f t="shared" si="112"/>
        <v>0</v>
      </c>
      <c r="BR223" s="425">
        <f t="shared" si="112"/>
        <v>0</v>
      </c>
      <c r="BS223" s="425">
        <f t="shared" si="113"/>
        <v>0</v>
      </c>
      <c r="BT223" s="426">
        <f t="shared" si="113"/>
        <v>0</v>
      </c>
    </row>
    <row r="224" spans="2:72" x14ac:dyDescent="0.25">
      <c r="B224" s="145"/>
      <c r="C224" s="539">
        <v>45078</v>
      </c>
      <c r="D224" s="533"/>
      <c r="E224" s="534">
        <v>7262263.7803222258</v>
      </c>
      <c r="F224" s="534">
        <v>0</v>
      </c>
      <c r="G224" s="534">
        <v>0</v>
      </c>
      <c r="H224" s="540">
        <v>-151055.08663070231</v>
      </c>
      <c r="I224" s="536">
        <v>7111208.6936915237</v>
      </c>
      <c r="J224" s="533"/>
      <c r="K224" s="534">
        <v>0</v>
      </c>
      <c r="L224" s="534">
        <v>0</v>
      </c>
      <c r="M224" s="534">
        <v>8941.5450000000001</v>
      </c>
      <c r="N224" s="534">
        <v>0</v>
      </c>
      <c r="O224" s="534">
        <v>0</v>
      </c>
      <c r="P224" s="534">
        <v>0</v>
      </c>
      <c r="Q224" s="534">
        <v>0</v>
      </c>
      <c r="R224" s="534">
        <v>0</v>
      </c>
      <c r="S224" s="536">
        <v>8941.5450000000001</v>
      </c>
      <c r="T224" s="533"/>
      <c r="U224" s="534">
        <v>0</v>
      </c>
      <c r="V224" s="534">
        <v>0</v>
      </c>
      <c r="W224" s="534">
        <v>0</v>
      </c>
      <c r="X224" s="534">
        <v>0</v>
      </c>
      <c r="Y224" s="534">
        <v>0</v>
      </c>
      <c r="Z224" s="534">
        <v>217867.9134096668</v>
      </c>
      <c r="AA224" s="534">
        <v>0</v>
      </c>
      <c r="AB224" s="534">
        <v>0</v>
      </c>
      <c r="AC224" s="534">
        <v>139435.46458218669</v>
      </c>
      <c r="AD224" s="534">
        <v>0</v>
      </c>
      <c r="AE224" s="536">
        <v>357303.37799185351</v>
      </c>
      <c r="AF224" s="533"/>
      <c r="AG224" s="534">
        <v>0</v>
      </c>
      <c r="AH224" s="534">
        <v>0</v>
      </c>
      <c r="AI224" s="534">
        <v>0</v>
      </c>
      <c r="AJ224" s="534">
        <v>0</v>
      </c>
      <c r="AK224" s="536">
        <v>0</v>
      </c>
      <c r="AL224" s="533"/>
      <c r="AM224" s="534">
        <v>0</v>
      </c>
      <c r="AN224" s="534">
        <v>0</v>
      </c>
      <c r="AO224" s="534">
        <v>0</v>
      </c>
      <c r="AP224" s="537">
        <v>0</v>
      </c>
      <c r="AQ224" s="535">
        <v>0</v>
      </c>
      <c r="AR224" s="534">
        <v>0</v>
      </c>
      <c r="AS224" s="534">
        <v>0</v>
      </c>
      <c r="AT224" s="534">
        <v>0</v>
      </c>
      <c r="AU224" s="536">
        <v>0</v>
      </c>
      <c r="AV224" s="533"/>
      <c r="AW224" s="538">
        <v>6744963.7706996705</v>
      </c>
      <c r="AX224" s="538">
        <v>12857685.570873279</v>
      </c>
      <c r="AY224" s="533"/>
      <c r="AZ224" s="534">
        <f t="shared" si="114"/>
        <v>0</v>
      </c>
      <c r="BA224" s="534">
        <v>0</v>
      </c>
      <c r="BD224" s="392">
        <f t="shared" si="91"/>
        <v>7262263.7803222258</v>
      </c>
      <c r="BE224" s="425">
        <f t="shared" si="92"/>
        <v>-290490.55121288903</v>
      </c>
      <c r="BF224" s="425">
        <f t="shared" si="110"/>
        <v>0</v>
      </c>
      <c r="BG224" s="425">
        <f t="shared" si="110"/>
        <v>0</v>
      </c>
      <c r="BH224" s="425">
        <f t="shared" si="110"/>
        <v>0</v>
      </c>
      <c r="BI224" s="425">
        <f t="shared" si="110"/>
        <v>0</v>
      </c>
      <c r="BJ224" s="425">
        <f t="shared" si="110"/>
        <v>-217867.9134096668</v>
      </c>
      <c r="BK224" s="425">
        <f t="shared" si="110"/>
        <v>-8941.5450000000001</v>
      </c>
      <c r="BL224" s="425">
        <f t="shared" si="110"/>
        <v>0</v>
      </c>
      <c r="BM224" s="425">
        <f t="shared" si="111"/>
        <v>0</v>
      </c>
      <c r="BN224" s="425">
        <f t="shared" si="111"/>
        <v>0</v>
      </c>
      <c r="BO224" s="425">
        <f t="shared" si="111"/>
        <v>0</v>
      </c>
      <c r="BP224" s="425">
        <f t="shared" si="112"/>
        <v>0</v>
      </c>
      <c r="BQ224" s="425">
        <f t="shared" si="112"/>
        <v>0</v>
      </c>
      <c r="BR224" s="425">
        <f t="shared" si="112"/>
        <v>0</v>
      </c>
      <c r="BS224" s="425">
        <f t="shared" si="113"/>
        <v>0</v>
      </c>
      <c r="BT224" s="426">
        <f t="shared" si="113"/>
        <v>0</v>
      </c>
    </row>
    <row r="225" spans="2:72" x14ac:dyDescent="0.25">
      <c r="B225" s="145"/>
      <c r="C225" s="539">
        <v>45108</v>
      </c>
      <c r="D225" s="533"/>
      <c r="E225" s="534">
        <v>7241445.0121279387</v>
      </c>
      <c r="F225" s="534">
        <v>0</v>
      </c>
      <c r="G225" s="534">
        <v>0</v>
      </c>
      <c r="H225" s="540">
        <v>-151055.08663070231</v>
      </c>
      <c r="I225" s="536">
        <v>7090389.9254972367</v>
      </c>
      <c r="J225" s="533"/>
      <c r="K225" s="534">
        <v>0</v>
      </c>
      <c r="L225" s="534">
        <v>0</v>
      </c>
      <c r="M225" s="534">
        <v>0</v>
      </c>
      <c r="N225" s="534">
        <v>0</v>
      </c>
      <c r="O225" s="534">
        <v>0</v>
      </c>
      <c r="P225" s="534">
        <v>0</v>
      </c>
      <c r="Q225" s="534">
        <v>40193.399999999987</v>
      </c>
      <c r="R225" s="534">
        <v>0</v>
      </c>
      <c r="S225" s="536">
        <v>40193.399999999987</v>
      </c>
      <c r="T225" s="533"/>
      <c r="U225" s="534">
        <v>0</v>
      </c>
      <c r="V225" s="534">
        <v>0</v>
      </c>
      <c r="W225" s="534">
        <v>0</v>
      </c>
      <c r="X225" s="534">
        <v>0</v>
      </c>
      <c r="Y225" s="534">
        <v>0</v>
      </c>
      <c r="Z225" s="534">
        <v>217867.9134096668</v>
      </c>
      <c r="AA225" s="534">
        <v>0</v>
      </c>
      <c r="AB225" s="534">
        <v>0</v>
      </c>
      <c r="AC225" s="534">
        <v>139435.46458218669</v>
      </c>
      <c r="AD225" s="534">
        <v>0</v>
      </c>
      <c r="AE225" s="536">
        <v>357303.37799185351</v>
      </c>
      <c r="AF225" s="533"/>
      <c r="AG225" s="534">
        <v>0</v>
      </c>
      <c r="AH225" s="534">
        <v>0</v>
      </c>
      <c r="AI225" s="534">
        <v>0</v>
      </c>
      <c r="AJ225" s="534">
        <v>0</v>
      </c>
      <c r="AK225" s="536">
        <v>0</v>
      </c>
      <c r="AL225" s="533"/>
      <c r="AM225" s="534">
        <v>0</v>
      </c>
      <c r="AN225" s="534">
        <v>0</v>
      </c>
      <c r="AO225" s="534">
        <v>0</v>
      </c>
      <c r="AP225" s="537">
        <v>0</v>
      </c>
      <c r="AQ225" s="535">
        <v>0</v>
      </c>
      <c r="AR225" s="534">
        <v>0</v>
      </c>
      <c r="AS225" s="534">
        <v>0</v>
      </c>
      <c r="AT225" s="534">
        <v>0</v>
      </c>
      <c r="AU225" s="536">
        <v>0</v>
      </c>
      <c r="AV225" s="533"/>
      <c r="AW225" s="538">
        <v>6692893.147505383</v>
      </c>
      <c r="AX225" s="538">
        <v>19550578.718378659</v>
      </c>
      <c r="AY225" s="533"/>
      <c r="AZ225" s="534">
        <f t="shared" si="114"/>
        <v>0</v>
      </c>
      <c r="BA225" s="534">
        <v>0</v>
      </c>
      <c r="BD225" s="392">
        <f t="shared" ref="BD225:BD288" si="115">SUMIF($E$6:$BA$6, BD$6, $E225:$BA225)</f>
        <v>7241445.0121279387</v>
      </c>
      <c r="BE225" s="425">
        <f t="shared" ref="BE225:BE288" si="116">-SUMIF($E$6:$BA$6, BE$6, $E225:$BA225)+2*H225</f>
        <v>-290490.55121288903</v>
      </c>
      <c r="BF225" s="425">
        <f t="shared" si="110"/>
        <v>0</v>
      </c>
      <c r="BG225" s="425">
        <f t="shared" si="110"/>
        <v>-40193.399999999987</v>
      </c>
      <c r="BH225" s="425">
        <f t="shared" si="110"/>
        <v>0</v>
      </c>
      <c r="BI225" s="425">
        <f t="shared" si="110"/>
        <v>0</v>
      </c>
      <c r="BJ225" s="425">
        <f t="shared" si="110"/>
        <v>-217867.9134096668</v>
      </c>
      <c r="BK225" s="425">
        <f t="shared" si="110"/>
        <v>0</v>
      </c>
      <c r="BL225" s="425">
        <f t="shared" si="110"/>
        <v>0</v>
      </c>
      <c r="BM225" s="425">
        <f t="shared" si="111"/>
        <v>0</v>
      </c>
      <c r="BN225" s="425">
        <f t="shared" si="111"/>
        <v>0</v>
      </c>
      <c r="BO225" s="425">
        <f t="shared" si="111"/>
        <v>0</v>
      </c>
      <c r="BP225" s="425">
        <f t="shared" si="112"/>
        <v>0</v>
      </c>
      <c r="BQ225" s="425">
        <f t="shared" si="112"/>
        <v>0</v>
      </c>
      <c r="BR225" s="425">
        <f t="shared" si="112"/>
        <v>0</v>
      </c>
      <c r="BS225" s="425">
        <f t="shared" si="113"/>
        <v>0</v>
      </c>
      <c r="BT225" s="426">
        <f t="shared" si="113"/>
        <v>0</v>
      </c>
    </row>
    <row r="226" spans="2:72" x14ac:dyDescent="0.25">
      <c r="B226" s="145"/>
      <c r="C226" s="539">
        <v>45139</v>
      </c>
      <c r="D226" s="533"/>
      <c r="E226" s="534">
        <v>9804.8774507901107</v>
      </c>
      <c r="F226" s="534">
        <v>0</v>
      </c>
      <c r="G226" s="534">
        <v>0</v>
      </c>
      <c r="H226" s="540">
        <v>-150622.0562522611</v>
      </c>
      <c r="I226" s="536">
        <v>-140817.17880147099</v>
      </c>
      <c r="J226" s="533"/>
      <c r="K226" s="534">
        <v>0</v>
      </c>
      <c r="L226" s="534">
        <v>0</v>
      </c>
      <c r="M226" s="534">
        <v>0</v>
      </c>
      <c r="N226" s="534">
        <v>0</v>
      </c>
      <c r="O226" s="534">
        <v>0</v>
      </c>
      <c r="P226" s="534">
        <v>0</v>
      </c>
      <c r="Q226" s="534">
        <v>5000</v>
      </c>
      <c r="R226" s="534">
        <v>0</v>
      </c>
      <c r="S226" s="536">
        <v>5000</v>
      </c>
      <c r="T226" s="533"/>
      <c r="U226" s="534">
        <v>0</v>
      </c>
      <c r="V226" s="534">
        <v>0</v>
      </c>
      <c r="W226" s="534">
        <v>0</v>
      </c>
      <c r="X226" s="534">
        <v>0</v>
      </c>
      <c r="Y226" s="534">
        <v>0</v>
      </c>
      <c r="Z226" s="534">
        <v>217243.3503638382</v>
      </c>
      <c r="AA226" s="534">
        <v>0</v>
      </c>
      <c r="AB226" s="534">
        <v>0</v>
      </c>
      <c r="AC226" s="534">
        <v>139035.74423285641</v>
      </c>
      <c r="AD226" s="534">
        <v>0</v>
      </c>
      <c r="AE226" s="536">
        <v>356279.09459669457</v>
      </c>
      <c r="AF226" s="533"/>
      <c r="AG226" s="534">
        <v>0</v>
      </c>
      <c r="AH226" s="534">
        <v>0</v>
      </c>
      <c r="AI226" s="534">
        <v>0</v>
      </c>
      <c r="AJ226" s="534">
        <v>0</v>
      </c>
      <c r="AK226" s="536">
        <v>0</v>
      </c>
      <c r="AL226" s="533"/>
      <c r="AM226" s="534">
        <v>0</v>
      </c>
      <c r="AN226" s="534">
        <v>0</v>
      </c>
      <c r="AO226" s="534">
        <v>0</v>
      </c>
      <c r="AP226" s="537">
        <v>0</v>
      </c>
      <c r="AQ226" s="535">
        <v>0</v>
      </c>
      <c r="AR226" s="534">
        <v>0</v>
      </c>
      <c r="AS226" s="534">
        <v>0</v>
      </c>
      <c r="AT226" s="534">
        <v>0</v>
      </c>
      <c r="AU226" s="536">
        <v>0</v>
      </c>
      <c r="AV226" s="533"/>
      <c r="AW226" s="538">
        <v>-502096.27339816559</v>
      </c>
      <c r="AX226" s="538">
        <v>19048482.444980491</v>
      </c>
      <c r="AY226" s="533"/>
      <c r="AZ226" s="534">
        <f t="shared" si="114"/>
        <v>0</v>
      </c>
      <c r="BA226" s="534">
        <v>0</v>
      </c>
      <c r="BD226" s="392">
        <f t="shared" si="115"/>
        <v>9804.8774507901107</v>
      </c>
      <c r="BE226" s="425">
        <f t="shared" si="116"/>
        <v>-289657.80048511748</v>
      </c>
      <c r="BF226" s="425">
        <f t="shared" si="110"/>
        <v>0</v>
      </c>
      <c r="BG226" s="425">
        <f t="shared" si="110"/>
        <v>-5000</v>
      </c>
      <c r="BH226" s="425">
        <f t="shared" si="110"/>
        <v>0</v>
      </c>
      <c r="BI226" s="425">
        <f t="shared" si="110"/>
        <v>0</v>
      </c>
      <c r="BJ226" s="425">
        <f t="shared" si="110"/>
        <v>-217243.3503638382</v>
      </c>
      <c r="BK226" s="425">
        <f t="shared" si="110"/>
        <v>0</v>
      </c>
      <c r="BL226" s="425">
        <f t="shared" si="110"/>
        <v>0</v>
      </c>
      <c r="BM226" s="425">
        <f t="shared" si="111"/>
        <v>0</v>
      </c>
      <c r="BN226" s="425">
        <f t="shared" si="111"/>
        <v>0</v>
      </c>
      <c r="BO226" s="425">
        <f t="shared" si="111"/>
        <v>0</v>
      </c>
      <c r="BP226" s="425">
        <f t="shared" si="112"/>
        <v>0</v>
      </c>
      <c r="BQ226" s="425">
        <f t="shared" si="112"/>
        <v>0</v>
      </c>
      <c r="BR226" s="425">
        <f t="shared" si="112"/>
        <v>0</v>
      </c>
      <c r="BS226" s="425">
        <f t="shared" si="113"/>
        <v>0</v>
      </c>
      <c r="BT226" s="426">
        <f t="shared" si="113"/>
        <v>0</v>
      </c>
    </row>
    <row r="227" spans="2:72" x14ac:dyDescent="0.25">
      <c r="B227" s="145"/>
      <c r="C227" s="539">
        <v>45170</v>
      </c>
      <c r="D227" s="533"/>
      <c r="E227" s="534">
        <v>3330.9715918689458</v>
      </c>
      <c r="F227" s="534">
        <v>0</v>
      </c>
      <c r="G227" s="534">
        <v>0</v>
      </c>
      <c r="H227" s="540">
        <v>-203.94145097643431</v>
      </c>
      <c r="I227" s="536">
        <v>3127.030140892512</v>
      </c>
      <c r="J227" s="533"/>
      <c r="K227" s="534">
        <v>0</v>
      </c>
      <c r="L227" s="534">
        <v>0</v>
      </c>
      <c r="M227" s="534">
        <v>0</v>
      </c>
      <c r="N227" s="534">
        <v>0</v>
      </c>
      <c r="O227" s="534">
        <v>0</v>
      </c>
      <c r="P227" s="534">
        <v>0</v>
      </c>
      <c r="Q227" s="534">
        <v>0</v>
      </c>
      <c r="R227" s="534">
        <v>0</v>
      </c>
      <c r="S227" s="536">
        <v>0</v>
      </c>
      <c r="T227" s="533"/>
      <c r="U227" s="534">
        <v>0</v>
      </c>
      <c r="V227" s="534">
        <v>0</v>
      </c>
      <c r="W227" s="534">
        <v>0</v>
      </c>
      <c r="X227" s="534">
        <v>0</v>
      </c>
      <c r="Y227" s="534">
        <v>0</v>
      </c>
      <c r="Z227" s="534">
        <v>294.1463235237033</v>
      </c>
      <c r="AA227" s="534">
        <v>0</v>
      </c>
      <c r="AB227" s="534">
        <v>0</v>
      </c>
      <c r="AC227" s="534">
        <v>188.25364705517009</v>
      </c>
      <c r="AD227" s="534">
        <v>0</v>
      </c>
      <c r="AE227" s="536">
        <v>482.39997057887342</v>
      </c>
      <c r="AF227" s="533"/>
      <c r="AG227" s="534">
        <v>0</v>
      </c>
      <c r="AH227" s="534">
        <v>0</v>
      </c>
      <c r="AI227" s="534">
        <v>0</v>
      </c>
      <c r="AJ227" s="534">
        <v>0</v>
      </c>
      <c r="AK227" s="536">
        <v>0</v>
      </c>
      <c r="AL227" s="533"/>
      <c r="AM227" s="534">
        <v>0</v>
      </c>
      <c r="AN227" s="534">
        <v>0</v>
      </c>
      <c r="AO227" s="534">
        <v>0</v>
      </c>
      <c r="AP227" s="537">
        <v>0</v>
      </c>
      <c r="AQ227" s="535">
        <v>0</v>
      </c>
      <c r="AR227" s="534">
        <v>0</v>
      </c>
      <c r="AS227" s="534">
        <v>0</v>
      </c>
      <c r="AT227" s="534">
        <v>0</v>
      </c>
      <c r="AU227" s="536">
        <v>0</v>
      </c>
      <c r="AV227" s="533"/>
      <c r="AW227" s="538">
        <v>2644.6301703136392</v>
      </c>
      <c r="AX227" s="538">
        <v>19051127.07515081</v>
      </c>
      <c r="AY227" s="533"/>
      <c r="AZ227" s="534">
        <f t="shared" si="114"/>
        <v>0</v>
      </c>
      <c r="BA227" s="534">
        <v>0</v>
      </c>
      <c r="BD227" s="392">
        <f t="shared" si="115"/>
        <v>3330.9715918689458</v>
      </c>
      <c r="BE227" s="425">
        <f t="shared" si="116"/>
        <v>-392.1950980316044</v>
      </c>
      <c r="BF227" s="425">
        <f t="shared" si="110"/>
        <v>0</v>
      </c>
      <c r="BG227" s="425">
        <f t="shared" si="110"/>
        <v>0</v>
      </c>
      <c r="BH227" s="425">
        <f t="shared" si="110"/>
        <v>0</v>
      </c>
      <c r="BI227" s="425">
        <f t="shared" si="110"/>
        <v>0</v>
      </c>
      <c r="BJ227" s="425">
        <f t="shared" si="110"/>
        <v>-294.1463235237033</v>
      </c>
      <c r="BK227" s="425">
        <f t="shared" si="110"/>
        <v>0</v>
      </c>
      <c r="BL227" s="425">
        <f t="shared" si="110"/>
        <v>0</v>
      </c>
      <c r="BM227" s="425">
        <f t="shared" si="111"/>
        <v>0</v>
      </c>
      <c r="BN227" s="425">
        <f t="shared" si="111"/>
        <v>0</v>
      </c>
      <c r="BO227" s="425">
        <f t="shared" si="111"/>
        <v>0</v>
      </c>
      <c r="BP227" s="425">
        <f t="shared" si="112"/>
        <v>0</v>
      </c>
      <c r="BQ227" s="425">
        <f t="shared" si="112"/>
        <v>0</v>
      </c>
      <c r="BR227" s="425">
        <f t="shared" si="112"/>
        <v>0</v>
      </c>
      <c r="BS227" s="425">
        <f t="shared" si="113"/>
        <v>0</v>
      </c>
      <c r="BT227" s="426">
        <f t="shared" si="113"/>
        <v>0</v>
      </c>
    </row>
    <row r="228" spans="2:72" x14ac:dyDescent="0.25">
      <c r="B228" s="145"/>
      <c r="C228" s="539">
        <v>45200</v>
      </c>
      <c r="D228" s="533"/>
      <c r="E228" s="534">
        <v>2134.42497449335</v>
      </c>
      <c r="F228" s="534">
        <v>0</v>
      </c>
      <c r="G228" s="534">
        <v>0</v>
      </c>
      <c r="H228" s="540">
        <v>-69.284209110874073</v>
      </c>
      <c r="I228" s="536">
        <v>2065.1407653824758</v>
      </c>
      <c r="J228" s="533"/>
      <c r="K228" s="534">
        <v>0</v>
      </c>
      <c r="L228" s="534">
        <v>0</v>
      </c>
      <c r="M228" s="534">
        <v>0</v>
      </c>
      <c r="N228" s="534">
        <v>0</v>
      </c>
      <c r="O228" s="534">
        <v>0</v>
      </c>
      <c r="P228" s="534">
        <v>0</v>
      </c>
      <c r="Q228" s="534">
        <v>0</v>
      </c>
      <c r="R228" s="534">
        <v>0</v>
      </c>
      <c r="S228" s="536">
        <v>0</v>
      </c>
      <c r="T228" s="533"/>
      <c r="U228" s="534">
        <v>0</v>
      </c>
      <c r="V228" s="534">
        <v>0</v>
      </c>
      <c r="W228" s="534">
        <v>0</v>
      </c>
      <c r="X228" s="534">
        <v>0</v>
      </c>
      <c r="Y228" s="534">
        <v>0</v>
      </c>
      <c r="Z228" s="534">
        <v>99.929147756068389</v>
      </c>
      <c r="AA228" s="534">
        <v>0</v>
      </c>
      <c r="AB228" s="534">
        <v>0</v>
      </c>
      <c r="AC228" s="534">
        <v>63.954654563883771</v>
      </c>
      <c r="AD228" s="534">
        <v>0</v>
      </c>
      <c r="AE228" s="536">
        <v>163.8838023199522</v>
      </c>
      <c r="AF228" s="533"/>
      <c r="AG228" s="534">
        <v>0</v>
      </c>
      <c r="AH228" s="534">
        <v>0</v>
      </c>
      <c r="AI228" s="534">
        <v>0</v>
      </c>
      <c r="AJ228" s="534">
        <v>0</v>
      </c>
      <c r="AK228" s="536">
        <v>0</v>
      </c>
      <c r="AL228" s="533"/>
      <c r="AM228" s="534">
        <v>0</v>
      </c>
      <c r="AN228" s="534">
        <v>0</v>
      </c>
      <c r="AO228" s="534">
        <v>0</v>
      </c>
      <c r="AP228" s="537">
        <v>0</v>
      </c>
      <c r="AQ228" s="535">
        <v>0</v>
      </c>
      <c r="AR228" s="534">
        <v>0</v>
      </c>
      <c r="AS228" s="534">
        <v>0</v>
      </c>
      <c r="AT228" s="534">
        <v>0</v>
      </c>
      <c r="AU228" s="536">
        <v>0</v>
      </c>
      <c r="AV228" s="533"/>
      <c r="AW228" s="538">
        <v>1901.2569630625239</v>
      </c>
      <c r="AX228" s="538">
        <v>19053028.332113869</v>
      </c>
      <c r="AY228" s="533"/>
      <c r="AZ228" s="534">
        <f t="shared" si="114"/>
        <v>0</v>
      </c>
      <c r="BA228" s="534">
        <v>0</v>
      </c>
      <c r="BD228" s="392">
        <f t="shared" si="115"/>
        <v>2134.42497449335</v>
      </c>
      <c r="BE228" s="425">
        <f t="shared" si="116"/>
        <v>-133.23886367475785</v>
      </c>
      <c r="BF228" s="425">
        <f t="shared" si="110"/>
        <v>0</v>
      </c>
      <c r="BG228" s="425">
        <f t="shared" si="110"/>
        <v>0</v>
      </c>
      <c r="BH228" s="425">
        <f t="shared" si="110"/>
        <v>0</v>
      </c>
      <c r="BI228" s="425">
        <f t="shared" si="110"/>
        <v>0</v>
      </c>
      <c r="BJ228" s="425">
        <f t="shared" si="110"/>
        <v>-99.929147756068389</v>
      </c>
      <c r="BK228" s="425">
        <f t="shared" si="110"/>
        <v>0</v>
      </c>
      <c r="BL228" s="425">
        <f t="shared" si="110"/>
        <v>0</v>
      </c>
      <c r="BM228" s="425">
        <f t="shared" si="111"/>
        <v>0</v>
      </c>
      <c r="BN228" s="425">
        <f t="shared" si="111"/>
        <v>0</v>
      </c>
      <c r="BO228" s="425">
        <f t="shared" si="111"/>
        <v>0</v>
      </c>
      <c r="BP228" s="425">
        <f t="shared" si="112"/>
        <v>0</v>
      </c>
      <c r="BQ228" s="425">
        <f t="shared" si="112"/>
        <v>0</v>
      </c>
      <c r="BR228" s="425">
        <f t="shared" si="112"/>
        <v>0</v>
      </c>
      <c r="BS228" s="425">
        <f t="shared" si="113"/>
        <v>0</v>
      </c>
      <c r="BT228" s="426">
        <f t="shared" si="113"/>
        <v>0</v>
      </c>
    </row>
    <row r="229" spans="2:72" x14ac:dyDescent="0.25">
      <c r="B229" s="145"/>
      <c r="C229" s="539">
        <v>45231</v>
      </c>
      <c r="D229" s="533"/>
      <c r="E229" s="534">
        <v>0</v>
      </c>
      <c r="F229" s="534">
        <v>0</v>
      </c>
      <c r="G229" s="534">
        <v>0</v>
      </c>
      <c r="H229" s="540">
        <v>-44.396039469461677</v>
      </c>
      <c r="I229" s="536">
        <v>-44.396039469461677</v>
      </c>
      <c r="J229" s="533"/>
      <c r="K229" s="534">
        <v>0</v>
      </c>
      <c r="L229" s="534">
        <v>0</v>
      </c>
      <c r="M229" s="534">
        <v>0</v>
      </c>
      <c r="N229" s="534">
        <v>0</v>
      </c>
      <c r="O229" s="534">
        <v>0</v>
      </c>
      <c r="P229" s="534">
        <v>0</v>
      </c>
      <c r="Q229" s="534">
        <v>0</v>
      </c>
      <c r="R229" s="534">
        <v>0</v>
      </c>
      <c r="S229" s="536">
        <v>0</v>
      </c>
      <c r="T229" s="533"/>
      <c r="U229" s="534">
        <v>0</v>
      </c>
      <c r="V229" s="534">
        <v>0</v>
      </c>
      <c r="W229" s="534">
        <v>0</v>
      </c>
      <c r="X229" s="534">
        <v>0</v>
      </c>
      <c r="Y229" s="534">
        <v>0</v>
      </c>
      <c r="Z229" s="534">
        <v>64.032749234800505</v>
      </c>
      <c r="AA229" s="534">
        <v>0</v>
      </c>
      <c r="AB229" s="534">
        <v>0</v>
      </c>
      <c r="AC229" s="534">
        <v>40.980959510272328</v>
      </c>
      <c r="AD229" s="534">
        <v>0</v>
      </c>
      <c r="AE229" s="536">
        <v>105.0137087450728</v>
      </c>
      <c r="AF229" s="533"/>
      <c r="AG229" s="534">
        <v>0</v>
      </c>
      <c r="AH229" s="534">
        <v>0</v>
      </c>
      <c r="AI229" s="534">
        <v>0</v>
      </c>
      <c r="AJ229" s="534">
        <v>0</v>
      </c>
      <c r="AK229" s="536">
        <v>0</v>
      </c>
      <c r="AL229" s="533"/>
      <c r="AM229" s="534">
        <v>0</v>
      </c>
      <c r="AN229" s="534">
        <v>0</v>
      </c>
      <c r="AO229" s="534">
        <v>0</v>
      </c>
      <c r="AP229" s="537">
        <v>0</v>
      </c>
      <c r="AQ229" s="535">
        <v>0</v>
      </c>
      <c r="AR229" s="534">
        <v>0</v>
      </c>
      <c r="AS229" s="534">
        <v>0</v>
      </c>
      <c r="AT229" s="534">
        <v>0</v>
      </c>
      <c r="AU229" s="536">
        <v>0</v>
      </c>
      <c r="AV229" s="533"/>
      <c r="AW229" s="538">
        <v>-149.40974821453449</v>
      </c>
      <c r="AX229" s="538">
        <v>19052878.922365651</v>
      </c>
      <c r="AY229" s="533"/>
      <c r="AZ229" s="534">
        <f t="shared" si="114"/>
        <v>0</v>
      </c>
      <c r="BA229" s="534">
        <v>0</v>
      </c>
      <c r="BD229" s="392">
        <f t="shared" si="115"/>
        <v>0</v>
      </c>
      <c r="BE229" s="425">
        <f t="shared" si="116"/>
        <v>-85.376998979733997</v>
      </c>
      <c r="BF229" s="425">
        <f t="shared" si="110"/>
        <v>0</v>
      </c>
      <c r="BG229" s="425">
        <f t="shared" si="110"/>
        <v>0</v>
      </c>
      <c r="BH229" s="425">
        <f t="shared" si="110"/>
        <v>0</v>
      </c>
      <c r="BI229" s="425">
        <f t="shared" si="110"/>
        <v>0</v>
      </c>
      <c r="BJ229" s="425">
        <f t="shared" si="110"/>
        <v>-64.032749234800505</v>
      </c>
      <c r="BK229" s="425">
        <f t="shared" si="110"/>
        <v>0</v>
      </c>
      <c r="BL229" s="425">
        <f t="shared" si="110"/>
        <v>0</v>
      </c>
      <c r="BM229" s="425">
        <f t="shared" si="111"/>
        <v>0</v>
      </c>
      <c r="BN229" s="425">
        <f t="shared" si="111"/>
        <v>0</v>
      </c>
      <c r="BO229" s="425">
        <f t="shared" si="111"/>
        <v>0</v>
      </c>
      <c r="BP229" s="425">
        <f t="shared" si="112"/>
        <v>0</v>
      </c>
      <c r="BQ229" s="425">
        <f t="shared" si="112"/>
        <v>0</v>
      </c>
      <c r="BR229" s="425">
        <f t="shared" si="112"/>
        <v>0</v>
      </c>
      <c r="BS229" s="425">
        <f t="shared" si="113"/>
        <v>0</v>
      </c>
      <c r="BT229" s="426">
        <f t="shared" si="113"/>
        <v>0</v>
      </c>
    </row>
    <row r="230" spans="2:72" x14ac:dyDescent="0.25">
      <c r="B230" s="145"/>
      <c r="C230" s="539">
        <v>45261</v>
      </c>
      <c r="D230" s="533"/>
      <c r="E230" s="534">
        <v>1016.857694228481</v>
      </c>
      <c r="F230" s="534">
        <v>0</v>
      </c>
      <c r="G230" s="534">
        <v>0</v>
      </c>
      <c r="H230" s="540">
        <v>0</v>
      </c>
      <c r="I230" s="536">
        <v>1016.857694228481</v>
      </c>
      <c r="J230" s="533"/>
      <c r="K230" s="534">
        <v>0</v>
      </c>
      <c r="L230" s="534">
        <v>0</v>
      </c>
      <c r="M230" s="534">
        <v>0</v>
      </c>
      <c r="N230" s="534">
        <v>0</v>
      </c>
      <c r="O230" s="534">
        <v>0</v>
      </c>
      <c r="P230" s="534">
        <v>0</v>
      </c>
      <c r="Q230" s="534">
        <v>0</v>
      </c>
      <c r="R230" s="534">
        <v>0</v>
      </c>
      <c r="S230" s="536">
        <v>0</v>
      </c>
      <c r="T230" s="533"/>
      <c r="U230" s="534">
        <v>0</v>
      </c>
      <c r="V230" s="534">
        <v>0</v>
      </c>
      <c r="W230" s="534">
        <v>0</v>
      </c>
      <c r="X230" s="534">
        <v>0</v>
      </c>
      <c r="Y230" s="534">
        <v>0</v>
      </c>
      <c r="Z230" s="534">
        <v>0</v>
      </c>
      <c r="AA230" s="534">
        <v>0</v>
      </c>
      <c r="AB230" s="534">
        <v>0</v>
      </c>
      <c r="AC230" s="534">
        <v>0</v>
      </c>
      <c r="AD230" s="534">
        <v>0</v>
      </c>
      <c r="AE230" s="536">
        <v>0</v>
      </c>
      <c r="AF230" s="533"/>
      <c r="AG230" s="534">
        <v>0</v>
      </c>
      <c r="AH230" s="534">
        <v>0</v>
      </c>
      <c r="AI230" s="534">
        <v>0</v>
      </c>
      <c r="AJ230" s="534">
        <v>0</v>
      </c>
      <c r="AK230" s="536">
        <v>0</v>
      </c>
      <c r="AL230" s="533"/>
      <c r="AM230" s="534">
        <v>0</v>
      </c>
      <c r="AN230" s="534">
        <v>0</v>
      </c>
      <c r="AO230" s="534">
        <v>0</v>
      </c>
      <c r="AP230" s="537">
        <v>0</v>
      </c>
      <c r="AQ230" s="535">
        <v>0</v>
      </c>
      <c r="AR230" s="534">
        <v>0</v>
      </c>
      <c r="AS230" s="534">
        <v>0</v>
      </c>
      <c r="AT230" s="534">
        <v>0</v>
      </c>
      <c r="AU230" s="536">
        <v>0</v>
      </c>
      <c r="AV230" s="533"/>
      <c r="AW230" s="538">
        <v>1016.857694228481</v>
      </c>
      <c r="AX230" s="538">
        <v>19053895.780059882</v>
      </c>
      <c r="AY230" s="533"/>
      <c r="AZ230" s="534">
        <f t="shared" si="114"/>
        <v>0</v>
      </c>
      <c r="BA230" s="534">
        <v>0</v>
      </c>
      <c r="BD230" s="392">
        <f t="shared" si="115"/>
        <v>1016.857694228481</v>
      </c>
      <c r="BE230" s="425">
        <f t="shared" si="116"/>
        <v>0</v>
      </c>
      <c r="BF230" s="425">
        <f t="shared" si="110"/>
        <v>0</v>
      </c>
      <c r="BG230" s="425">
        <f t="shared" si="110"/>
        <v>0</v>
      </c>
      <c r="BH230" s="425">
        <f t="shared" si="110"/>
        <v>0</v>
      </c>
      <c r="BI230" s="425">
        <f t="shared" si="110"/>
        <v>0</v>
      </c>
      <c r="BJ230" s="425">
        <f t="shared" si="110"/>
        <v>0</v>
      </c>
      <c r="BK230" s="425">
        <f t="shared" si="110"/>
        <v>0</v>
      </c>
      <c r="BL230" s="425">
        <f t="shared" si="110"/>
        <v>0</v>
      </c>
      <c r="BM230" s="425">
        <f t="shared" si="111"/>
        <v>0</v>
      </c>
      <c r="BN230" s="425">
        <f t="shared" si="111"/>
        <v>0</v>
      </c>
      <c r="BO230" s="425">
        <f t="shared" si="111"/>
        <v>0</v>
      </c>
      <c r="BP230" s="425">
        <f t="shared" si="112"/>
        <v>0</v>
      </c>
      <c r="BQ230" s="425">
        <f t="shared" si="112"/>
        <v>0</v>
      </c>
      <c r="BR230" s="425">
        <f t="shared" si="112"/>
        <v>0</v>
      </c>
      <c r="BS230" s="425">
        <f t="shared" si="113"/>
        <v>0</v>
      </c>
      <c r="BT230" s="426">
        <f t="shared" si="113"/>
        <v>0</v>
      </c>
    </row>
    <row r="231" spans="2:72" x14ac:dyDescent="0.25">
      <c r="B231" s="145"/>
      <c r="C231" s="539">
        <v>45292</v>
      </c>
      <c r="D231" s="533"/>
      <c r="E231" s="534">
        <v>0</v>
      </c>
      <c r="F231" s="534">
        <v>0</v>
      </c>
      <c r="G231" s="534">
        <v>0</v>
      </c>
      <c r="H231" s="540">
        <v>-21.1506400399524</v>
      </c>
      <c r="I231" s="536">
        <v>-21.1506400399524</v>
      </c>
      <c r="J231" s="533"/>
      <c r="K231" s="534">
        <v>0</v>
      </c>
      <c r="L231" s="534">
        <v>0</v>
      </c>
      <c r="M231" s="534">
        <v>0</v>
      </c>
      <c r="N231" s="534">
        <v>0</v>
      </c>
      <c r="O231" s="534">
        <v>0</v>
      </c>
      <c r="P231" s="534">
        <v>0</v>
      </c>
      <c r="Q231" s="534">
        <v>0</v>
      </c>
      <c r="R231" s="534">
        <v>0</v>
      </c>
      <c r="S231" s="536">
        <v>0</v>
      </c>
      <c r="T231" s="533"/>
      <c r="U231" s="534">
        <v>0</v>
      </c>
      <c r="V231" s="534">
        <v>0</v>
      </c>
      <c r="W231" s="534">
        <v>0</v>
      </c>
      <c r="X231" s="534">
        <v>0</v>
      </c>
      <c r="Y231" s="534">
        <v>0</v>
      </c>
      <c r="Z231" s="534">
        <v>30.505730826854421</v>
      </c>
      <c r="AA231" s="534">
        <v>0</v>
      </c>
      <c r="AB231" s="534">
        <v>0</v>
      </c>
      <c r="AC231" s="534">
        <v>19.52366772918683</v>
      </c>
      <c r="AD231" s="534">
        <v>0</v>
      </c>
      <c r="AE231" s="536">
        <v>50.029398556041258</v>
      </c>
      <c r="AF231" s="533"/>
      <c r="AG231" s="534">
        <v>0</v>
      </c>
      <c r="AH231" s="534">
        <v>0</v>
      </c>
      <c r="AI231" s="534">
        <v>0</v>
      </c>
      <c r="AJ231" s="534">
        <v>0</v>
      </c>
      <c r="AK231" s="536">
        <v>0</v>
      </c>
      <c r="AL231" s="533"/>
      <c r="AM231" s="534">
        <v>0</v>
      </c>
      <c r="AN231" s="534">
        <v>0</v>
      </c>
      <c r="AO231" s="534">
        <v>0</v>
      </c>
      <c r="AP231" s="537">
        <v>0</v>
      </c>
      <c r="AQ231" s="535">
        <v>0</v>
      </c>
      <c r="AR231" s="534">
        <v>0</v>
      </c>
      <c r="AS231" s="534">
        <v>0</v>
      </c>
      <c r="AT231" s="534">
        <v>0</v>
      </c>
      <c r="AU231" s="536">
        <v>0</v>
      </c>
      <c r="AV231" s="533"/>
      <c r="AW231" s="538">
        <v>-71.180038595993665</v>
      </c>
      <c r="AX231" s="538">
        <v>19053824.60002128</v>
      </c>
      <c r="AY231" s="533"/>
      <c r="AZ231" s="534">
        <f t="shared" si="114"/>
        <v>0</v>
      </c>
      <c r="BA231" s="534">
        <v>0</v>
      </c>
      <c r="BD231" s="392">
        <f t="shared" si="115"/>
        <v>0</v>
      </c>
      <c r="BE231" s="425">
        <f t="shared" si="116"/>
        <v>-40.674307769139233</v>
      </c>
      <c r="BF231" s="425">
        <f t="shared" ref="BF231:BL240" si="117">-SUMIF($E$6:$BA$6, BF$6, $E231:$BA231)</f>
        <v>0</v>
      </c>
      <c r="BG231" s="425">
        <f t="shared" si="117"/>
        <v>0</v>
      </c>
      <c r="BH231" s="425">
        <f t="shared" si="117"/>
        <v>0</v>
      </c>
      <c r="BI231" s="425">
        <f t="shared" si="117"/>
        <v>0</v>
      </c>
      <c r="BJ231" s="425">
        <f t="shared" si="117"/>
        <v>-30.505730826854421</v>
      </c>
      <c r="BK231" s="425">
        <f t="shared" si="117"/>
        <v>0</v>
      </c>
      <c r="BL231" s="425">
        <f t="shared" si="117"/>
        <v>0</v>
      </c>
      <c r="BM231" s="425">
        <f t="shared" si="111"/>
        <v>0</v>
      </c>
      <c r="BN231" s="425">
        <f t="shared" si="111"/>
        <v>0</v>
      </c>
      <c r="BO231" s="425">
        <f t="shared" si="111"/>
        <v>0</v>
      </c>
      <c r="BP231" s="425">
        <f t="shared" si="112"/>
        <v>0</v>
      </c>
      <c r="BQ231" s="425">
        <f t="shared" si="112"/>
        <v>0</v>
      </c>
      <c r="BR231" s="425">
        <f t="shared" si="112"/>
        <v>0</v>
      </c>
      <c r="BS231" s="425">
        <f t="shared" si="113"/>
        <v>0</v>
      </c>
      <c r="BT231" s="426">
        <f t="shared" si="113"/>
        <v>0</v>
      </c>
    </row>
    <row r="232" spans="2:72" x14ac:dyDescent="0.25">
      <c r="B232" s="145"/>
      <c r="C232" s="539">
        <v>45323</v>
      </c>
      <c r="D232" s="533"/>
      <c r="E232" s="534">
        <v>0</v>
      </c>
      <c r="F232" s="534">
        <v>0</v>
      </c>
      <c r="G232" s="534">
        <v>0</v>
      </c>
      <c r="H232" s="540">
        <v>0</v>
      </c>
      <c r="I232" s="536">
        <v>0</v>
      </c>
      <c r="J232" s="533"/>
      <c r="K232" s="534">
        <v>0</v>
      </c>
      <c r="L232" s="534">
        <v>0</v>
      </c>
      <c r="M232" s="534">
        <v>0</v>
      </c>
      <c r="N232" s="534">
        <v>0</v>
      </c>
      <c r="O232" s="534">
        <v>0</v>
      </c>
      <c r="P232" s="534">
        <v>0</v>
      </c>
      <c r="Q232" s="534">
        <v>0</v>
      </c>
      <c r="R232" s="534">
        <v>0</v>
      </c>
      <c r="S232" s="536">
        <v>0</v>
      </c>
      <c r="T232" s="533"/>
      <c r="U232" s="534">
        <v>0</v>
      </c>
      <c r="V232" s="534">
        <v>0</v>
      </c>
      <c r="W232" s="534">
        <v>0</v>
      </c>
      <c r="X232" s="534">
        <v>0</v>
      </c>
      <c r="Y232" s="534">
        <v>0</v>
      </c>
      <c r="Z232" s="534">
        <v>0</v>
      </c>
      <c r="AA232" s="534">
        <v>0</v>
      </c>
      <c r="AB232" s="534">
        <v>0</v>
      </c>
      <c r="AC232" s="534">
        <v>0</v>
      </c>
      <c r="AD232" s="534">
        <v>0</v>
      </c>
      <c r="AE232" s="536">
        <v>0</v>
      </c>
      <c r="AF232" s="533"/>
      <c r="AG232" s="534">
        <v>0</v>
      </c>
      <c r="AH232" s="534">
        <v>0</v>
      </c>
      <c r="AI232" s="534">
        <v>0</v>
      </c>
      <c r="AJ232" s="534">
        <v>0</v>
      </c>
      <c r="AK232" s="536">
        <v>0</v>
      </c>
      <c r="AL232" s="533"/>
      <c r="AM232" s="534">
        <v>0</v>
      </c>
      <c r="AN232" s="534">
        <v>0</v>
      </c>
      <c r="AO232" s="534">
        <v>0</v>
      </c>
      <c r="AP232" s="537">
        <v>0</v>
      </c>
      <c r="AQ232" s="535">
        <v>0</v>
      </c>
      <c r="AR232" s="534">
        <v>0</v>
      </c>
      <c r="AS232" s="534">
        <v>0</v>
      </c>
      <c r="AT232" s="534">
        <v>0</v>
      </c>
      <c r="AU232" s="536">
        <v>0</v>
      </c>
      <c r="AV232" s="533"/>
      <c r="AW232" s="538">
        <v>0</v>
      </c>
      <c r="AX232" s="538">
        <v>19053824.60002128</v>
      </c>
      <c r="AY232" s="533"/>
      <c r="AZ232" s="534">
        <f t="shared" si="114"/>
        <v>0</v>
      </c>
      <c r="BA232" s="534">
        <v>0</v>
      </c>
      <c r="BD232" s="392">
        <f t="shared" si="115"/>
        <v>0</v>
      </c>
      <c r="BE232" s="425">
        <f t="shared" si="116"/>
        <v>0</v>
      </c>
      <c r="BF232" s="425">
        <f t="shared" si="117"/>
        <v>0</v>
      </c>
      <c r="BG232" s="425">
        <f t="shared" si="117"/>
        <v>0</v>
      </c>
      <c r="BH232" s="425">
        <f t="shared" si="117"/>
        <v>0</v>
      </c>
      <c r="BI232" s="425">
        <f t="shared" si="117"/>
        <v>0</v>
      </c>
      <c r="BJ232" s="425">
        <f t="shared" si="117"/>
        <v>0</v>
      </c>
      <c r="BK232" s="425">
        <f t="shared" si="117"/>
        <v>0</v>
      </c>
      <c r="BL232" s="425">
        <f t="shared" si="117"/>
        <v>0</v>
      </c>
      <c r="BM232" s="425">
        <f t="shared" si="111"/>
        <v>0</v>
      </c>
      <c r="BN232" s="425">
        <f t="shared" si="111"/>
        <v>0</v>
      </c>
      <c r="BO232" s="425">
        <f t="shared" si="111"/>
        <v>0</v>
      </c>
      <c r="BP232" s="425">
        <f t="shared" si="112"/>
        <v>0</v>
      </c>
      <c r="BQ232" s="425">
        <f t="shared" si="112"/>
        <v>0</v>
      </c>
      <c r="BR232" s="425">
        <f t="shared" si="112"/>
        <v>0</v>
      </c>
      <c r="BS232" s="425">
        <f t="shared" si="113"/>
        <v>0</v>
      </c>
      <c r="BT232" s="426">
        <f t="shared" si="113"/>
        <v>0</v>
      </c>
    </row>
    <row r="233" spans="2:72" x14ac:dyDescent="0.25">
      <c r="B233" s="145"/>
      <c r="C233" s="539">
        <v>45352</v>
      </c>
      <c r="D233" s="533"/>
      <c r="E233" s="534">
        <v>0</v>
      </c>
      <c r="F233" s="534">
        <v>0</v>
      </c>
      <c r="G233" s="534">
        <v>0</v>
      </c>
      <c r="H233" s="540">
        <v>0</v>
      </c>
      <c r="I233" s="536">
        <v>0</v>
      </c>
      <c r="J233" s="533"/>
      <c r="K233" s="534">
        <v>0</v>
      </c>
      <c r="L233" s="534">
        <v>0</v>
      </c>
      <c r="M233" s="534">
        <v>0</v>
      </c>
      <c r="N233" s="534">
        <v>0</v>
      </c>
      <c r="O233" s="534">
        <v>0</v>
      </c>
      <c r="P233" s="534">
        <v>0</v>
      </c>
      <c r="Q233" s="534">
        <v>0</v>
      </c>
      <c r="R233" s="534">
        <v>0</v>
      </c>
      <c r="S233" s="536">
        <v>0</v>
      </c>
      <c r="T233" s="533"/>
      <c r="U233" s="534">
        <v>0</v>
      </c>
      <c r="V233" s="534">
        <v>0</v>
      </c>
      <c r="W233" s="534">
        <v>0</v>
      </c>
      <c r="X233" s="534">
        <v>0</v>
      </c>
      <c r="Y233" s="534">
        <v>0</v>
      </c>
      <c r="Z233" s="534">
        <v>0</v>
      </c>
      <c r="AA233" s="534">
        <v>0</v>
      </c>
      <c r="AB233" s="534">
        <v>0</v>
      </c>
      <c r="AC233" s="534">
        <v>0</v>
      </c>
      <c r="AD233" s="534">
        <v>0</v>
      </c>
      <c r="AE233" s="536">
        <v>0</v>
      </c>
      <c r="AF233" s="533"/>
      <c r="AG233" s="534">
        <v>0</v>
      </c>
      <c r="AH233" s="534">
        <v>0</v>
      </c>
      <c r="AI233" s="534">
        <v>0</v>
      </c>
      <c r="AJ233" s="534">
        <v>0</v>
      </c>
      <c r="AK233" s="536">
        <v>0</v>
      </c>
      <c r="AL233" s="533"/>
      <c r="AM233" s="534">
        <v>0</v>
      </c>
      <c r="AN233" s="534">
        <v>0</v>
      </c>
      <c r="AO233" s="534">
        <v>0</v>
      </c>
      <c r="AP233" s="537">
        <v>0</v>
      </c>
      <c r="AQ233" s="535">
        <v>0</v>
      </c>
      <c r="AR233" s="534">
        <v>0</v>
      </c>
      <c r="AS233" s="534">
        <v>0</v>
      </c>
      <c r="AT233" s="534">
        <v>0</v>
      </c>
      <c r="AU233" s="536">
        <v>0</v>
      </c>
      <c r="AV233" s="533"/>
      <c r="AW233" s="538">
        <v>0</v>
      </c>
      <c r="AX233" s="538">
        <v>19053824.60002128</v>
      </c>
      <c r="AY233" s="533"/>
      <c r="AZ233" s="534">
        <f t="shared" si="114"/>
        <v>0</v>
      </c>
      <c r="BA233" s="534">
        <v>0</v>
      </c>
      <c r="BD233" s="392">
        <f t="shared" si="115"/>
        <v>0</v>
      </c>
      <c r="BE233" s="425">
        <f t="shared" si="116"/>
        <v>0</v>
      </c>
      <c r="BF233" s="425">
        <f t="shared" si="117"/>
        <v>0</v>
      </c>
      <c r="BG233" s="425">
        <f t="shared" si="117"/>
        <v>0</v>
      </c>
      <c r="BH233" s="425">
        <f t="shared" si="117"/>
        <v>0</v>
      </c>
      <c r="BI233" s="425">
        <f t="shared" si="117"/>
        <v>0</v>
      </c>
      <c r="BJ233" s="425">
        <f t="shared" si="117"/>
        <v>0</v>
      </c>
      <c r="BK233" s="425">
        <f t="shared" si="117"/>
        <v>0</v>
      </c>
      <c r="BL233" s="425">
        <f t="shared" si="117"/>
        <v>0</v>
      </c>
      <c r="BM233" s="425">
        <f t="shared" si="111"/>
        <v>0</v>
      </c>
      <c r="BN233" s="425">
        <f t="shared" si="111"/>
        <v>0</v>
      </c>
      <c r="BO233" s="425">
        <f t="shared" si="111"/>
        <v>0</v>
      </c>
      <c r="BP233" s="425">
        <f t="shared" si="112"/>
        <v>0</v>
      </c>
      <c r="BQ233" s="425">
        <f t="shared" si="112"/>
        <v>0</v>
      </c>
      <c r="BR233" s="425">
        <f t="shared" si="112"/>
        <v>0</v>
      </c>
      <c r="BS233" s="425">
        <f t="shared" si="113"/>
        <v>0</v>
      </c>
      <c r="BT233" s="426">
        <f t="shared" si="113"/>
        <v>0</v>
      </c>
    </row>
    <row r="234" spans="2:72" x14ac:dyDescent="0.25">
      <c r="B234" s="145"/>
      <c r="C234" s="539">
        <v>45383</v>
      </c>
      <c r="D234" s="533"/>
      <c r="E234" s="534">
        <v>0</v>
      </c>
      <c r="F234" s="534">
        <v>0</v>
      </c>
      <c r="G234" s="534">
        <v>0</v>
      </c>
      <c r="H234" s="540">
        <v>0</v>
      </c>
      <c r="I234" s="536">
        <v>0</v>
      </c>
      <c r="J234" s="533"/>
      <c r="K234" s="534">
        <v>0</v>
      </c>
      <c r="L234" s="534">
        <v>0</v>
      </c>
      <c r="M234" s="534">
        <v>0</v>
      </c>
      <c r="N234" s="534">
        <v>0</v>
      </c>
      <c r="O234" s="534">
        <v>0</v>
      </c>
      <c r="P234" s="534">
        <v>0</v>
      </c>
      <c r="Q234" s="534">
        <v>0</v>
      </c>
      <c r="R234" s="534">
        <v>0</v>
      </c>
      <c r="S234" s="536">
        <v>0</v>
      </c>
      <c r="T234" s="533"/>
      <c r="U234" s="534">
        <v>0</v>
      </c>
      <c r="V234" s="534">
        <v>0</v>
      </c>
      <c r="W234" s="534">
        <v>0</v>
      </c>
      <c r="X234" s="534">
        <v>0</v>
      </c>
      <c r="Y234" s="534">
        <v>0</v>
      </c>
      <c r="Z234" s="534">
        <v>0</v>
      </c>
      <c r="AA234" s="534">
        <v>0</v>
      </c>
      <c r="AB234" s="534">
        <v>0</v>
      </c>
      <c r="AC234" s="534">
        <v>0</v>
      </c>
      <c r="AD234" s="534">
        <v>0</v>
      </c>
      <c r="AE234" s="536">
        <v>0</v>
      </c>
      <c r="AF234" s="533"/>
      <c r="AG234" s="534">
        <v>0</v>
      </c>
      <c r="AH234" s="534">
        <v>0</v>
      </c>
      <c r="AI234" s="534">
        <v>0</v>
      </c>
      <c r="AJ234" s="534">
        <v>0</v>
      </c>
      <c r="AK234" s="536">
        <v>0</v>
      </c>
      <c r="AL234" s="533"/>
      <c r="AM234" s="534">
        <v>0</v>
      </c>
      <c r="AN234" s="534">
        <v>0</v>
      </c>
      <c r="AO234" s="534">
        <v>0</v>
      </c>
      <c r="AP234" s="537">
        <v>0</v>
      </c>
      <c r="AQ234" s="535">
        <v>0</v>
      </c>
      <c r="AR234" s="534">
        <v>0</v>
      </c>
      <c r="AS234" s="534">
        <v>0</v>
      </c>
      <c r="AT234" s="534">
        <v>0</v>
      </c>
      <c r="AU234" s="536">
        <v>0</v>
      </c>
      <c r="AV234" s="533"/>
      <c r="AW234" s="538">
        <v>0</v>
      </c>
      <c r="AX234" s="538">
        <v>19053824.60002128</v>
      </c>
      <c r="AY234" s="533"/>
      <c r="AZ234" s="534">
        <f t="shared" si="114"/>
        <v>0</v>
      </c>
      <c r="BA234" s="534">
        <v>0</v>
      </c>
      <c r="BD234" s="392">
        <f t="shared" si="115"/>
        <v>0</v>
      </c>
      <c r="BE234" s="425">
        <f t="shared" si="116"/>
        <v>0</v>
      </c>
      <c r="BF234" s="425">
        <f t="shared" si="117"/>
        <v>0</v>
      </c>
      <c r="BG234" s="425">
        <f t="shared" si="117"/>
        <v>0</v>
      </c>
      <c r="BH234" s="425">
        <f t="shared" si="117"/>
        <v>0</v>
      </c>
      <c r="BI234" s="425">
        <f t="shared" si="117"/>
        <v>0</v>
      </c>
      <c r="BJ234" s="425">
        <f t="shared" si="117"/>
        <v>0</v>
      </c>
      <c r="BK234" s="425">
        <f t="shared" si="117"/>
        <v>0</v>
      </c>
      <c r="BL234" s="425">
        <f t="shared" si="117"/>
        <v>0</v>
      </c>
      <c r="BM234" s="425">
        <f t="shared" si="111"/>
        <v>0</v>
      </c>
      <c r="BN234" s="425">
        <f t="shared" si="111"/>
        <v>0</v>
      </c>
      <c r="BO234" s="425">
        <f t="shared" si="111"/>
        <v>0</v>
      </c>
      <c r="BP234" s="425">
        <f t="shared" si="112"/>
        <v>0</v>
      </c>
      <c r="BQ234" s="425">
        <f t="shared" si="112"/>
        <v>0</v>
      </c>
      <c r="BR234" s="425">
        <f t="shared" si="112"/>
        <v>0</v>
      </c>
      <c r="BS234" s="425">
        <f t="shared" si="113"/>
        <v>0</v>
      </c>
      <c r="BT234" s="426">
        <f t="shared" si="113"/>
        <v>0</v>
      </c>
    </row>
    <row r="235" spans="2:72" x14ac:dyDescent="0.25">
      <c r="B235" s="145"/>
      <c r="C235" s="539">
        <v>45413</v>
      </c>
      <c r="D235" s="533"/>
      <c r="E235" s="534">
        <v>0</v>
      </c>
      <c r="F235" s="534">
        <v>0</v>
      </c>
      <c r="G235" s="534">
        <v>0</v>
      </c>
      <c r="H235" s="540">
        <v>0</v>
      </c>
      <c r="I235" s="536">
        <v>0</v>
      </c>
      <c r="J235" s="533"/>
      <c r="K235" s="534">
        <v>0</v>
      </c>
      <c r="L235" s="534">
        <v>0</v>
      </c>
      <c r="M235" s="534">
        <v>0</v>
      </c>
      <c r="N235" s="534">
        <v>0</v>
      </c>
      <c r="O235" s="534">
        <v>0</v>
      </c>
      <c r="P235" s="534">
        <v>0</v>
      </c>
      <c r="Q235" s="534">
        <v>0</v>
      </c>
      <c r="R235" s="534">
        <v>0</v>
      </c>
      <c r="S235" s="536">
        <v>0</v>
      </c>
      <c r="T235" s="533"/>
      <c r="U235" s="534">
        <v>0</v>
      </c>
      <c r="V235" s="534">
        <v>0</v>
      </c>
      <c r="W235" s="534">
        <v>0</v>
      </c>
      <c r="X235" s="534">
        <v>0</v>
      </c>
      <c r="Y235" s="534">
        <v>0</v>
      </c>
      <c r="Z235" s="534">
        <v>0</v>
      </c>
      <c r="AA235" s="534">
        <v>0</v>
      </c>
      <c r="AB235" s="534">
        <v>0</v>
      </c>
      <c r="AC235" s="534">
        <v>0</v>
      </c>
      <c r="AD235" s="534">
        <v>0</v>
      </c>
      <c r="AE235" s="536">
        <v>0</v>
      </c>
      <c r="AF235" s="533"/>
      <c r="AG235" s="534">
        <v>0</v>
      </c>
      <c r="AH235" s="534">
        <v>0</v>
      </c>
      <c r="AI235" s="534">
        <v>0</v>
      </c>
      <c r="AJ235" s="534">
        <v>0</v>
      </c>
      <c r="AK235" s="536">
        <v>0</v>
      </c>
      <c r="AL235" s="533"/>
      <c r="AM235" s="534">
        <v>0</v>
      </c>
      <c r="AN235" s="534">
        <v>0</v>
      </c>
      <c r="AO235" s="534">
        <v>0</v>
      </c>
      <c r="AP235" s="537">
        <v>0</v>
      </c>
      <c r="AQ235" s="535">
        <v>0</v>
      </c>
      <c r="AR235" s="534">
        <v>0</v>
      </c>
      <c r="AS235" s="534">
        <v>0</v>
      </c>
      <c r="AT235" s="534">
        <v>0</v>
      </c>
      <c r="AU235" s="536">
        <v>0</v>
      </c>
      <c r="AV235" s="533"/>
      <c r="AW235" s="538">
        <v>0</v>
      </c>
      <c r="AX235" s="538">
        <v>19053824.60002128</v>
      </c>
      <c r="AY235" s="533"/>
      <c r="AZ235" s="534">
        <f t="shared" si="114"/>
        <v>0</v>
      </c>
      <c r="BA235" s="534">
        <v>0</v>
      </c>
      <c r="BD235" s="392">
        <f t="shared" si="115"/>
        <v>0</v>
      </c>
      <c r="BE235" s="425">
        <f t="shared" si="116"/>
        <v>0</v>
      </c>
      <c r="BF235" s="425">
        <f t="shared" si="117"/>
        <v>0</v>
      </c>
      <c r="BG235" s="425">
        <f t="shared" si="117"/>
        <v>0</v>
      </c>
      <c r="BH235" s="425">
        <f t="shared" si="117"/>
        <v>0</v>
      </c>
      <c r="BI235" s="425">
        <f t="shared" si="117"/>
        <v>0</v>
      </c>
      <c r="BJ235" s="425">
        <f t="shared" si="117"/>
        <v>0</v>
      </c>
      <c r="BK235" s="425">
        <f t="shared" si="117"/>
        <v>0</v>
      </c>
      <c r="BL235" s="425">
        <f t="shared" si="117"/>
        <v>0</v>
      </c>
      <c r="BM235" s="425">
        <f t="shared" si="111"/>
        <v>0</v>
      </c>
      <c r="BN235" s="425">
        <f t="shared" si="111"/>
        <v>0</v>
      </c>
      <c r="BO235" s="425">
        <f t="shared" si="111"/>
        <v>0</v>
      </c>
      <c r="BP235" s="425">
        <f t="shared" si="112"/>
        <v>0</v>
      </c>
      <c r="BQ235" s="425">
        <f t="shared" si="112"/>
        <v>0</v>
      </c>
      <c r="BR235" s="425">
        <f t="shared" si="112"/>
        <v>0</v>
      </c>
      <c r="BS235" s="425">
        <f t="shared" si="113"/>
        <v>0</v>
      </c>
      <c r="BT235" s="426">
        <f t="shared" si="113"/>
        <v>0</v>
      </c>
    </row>
    <row r="236" spans="2:72" x14ac:dyDescent="0.25">
      <c r="B236" s="145"/>
      <c r="C236" s="539">
        <v>45444</v>
      </c>
      <c r="D236" s="533"/>
      <c r="E236" s="534">
        <v>0</v>
      </c>
      <c r="F236" s="534">
        <v>0</v>
      </c>
      <c r="G236" s="534">
        <v>0</v>
      </c>
      <c r="H236" s="540">
        <v>0</v>
      </c>
      <c r="I236" s="536">
        <v>0</v>
      </c>
      <c r="J236" s="533"/>
      <c r="K236" s="534">
        <v>0</v>
      </c>
      <c r="L236" s="534">
        <v>0</v>
      </c>
      <c r="M236" s="534">
        <v>0</v>
      </c>
      <c r="N236" s="534">
        <v>0</v>
      </c>
      <c r="O236" s="534">
        <v>0</v>
      </c>
      <c r="P236" s="534">
        <v>0</v>
      </c>
      <c r="Q236" s="534">
        <v>0</v>
      </c>
      <c r="R236" s="534">
        <v>0</v>
      </c>
      <c r="S236" s="536">
        <v>0</v>
      </c>
      <c r="T236" s="533"/>
      <c r="U236" s="534">
        <v>0</v>
      </c>
      <c r="V236" s="534">
        <v>0</v>
      </c>
      <c r="W236" s="534">
        <v>0</v>
      </c>
      <c r="X236" s="534">
        <v>0</v>
      </c>
      <c r="Y236" s="534">
        <v>0</v>
      </c>
      <c r="Z236" s="534">
        <v>0</v>
      </c>
      <c r="AA236" s="534">
        <v>0</v>
      </c>
      <c r="AB236" s="534">
        <v>0</v>
      </c>
      <c r="AC236" s="534">
        <v>0</v>
      </c>
      <c r="AD236" s="534">
        <v>0</v>
      </c>
      <c r="AE236" s="536">
        <v>0</v>
      </c>
      <c r="AF236" s="533"/>
      <c r="AG236" s="534">
        <v>0</v>
      </c>
      <c r="AH236" s="534">
        <v>0</v>
      </c>
      <c r="AI236" s="534">
        <v>0</v>
      </c>
      <c r="AJ236" s="534">
        <v>0</v>
      </c>
      <c r="AK236" s="536">
        <v>0</v>
      </c>
      <c r="AL236" s="533"/>
      <c r="AM236" s="534">
        <v>0</v>
      </c>
      <c r="AN236" s="534">
        <v>0</v>
      </c>
      <c r="AO236" s="534">
        <v>0</v>
      </c>
      <c r="AP236" s="537">
        <v>0</v>
      </c>
      <c r="AQ236" s="535">
        <v>0</v>
      </c>
      <c r="AR236" s="534">
        <v>0</v>
      </c>
      <c r="AS236" s="534">
        <v>0</v>
      </c>
      <c r="AT236" s="534">
        <v>0</v>
      </c>
      <c r="AU236" s="536">
        <v>0</v>
      </c>
      <c r="AV236" s="533"/>
      <c r="AW236" s="538">
        <v>0</v>
      </c>
      <c r="AX236" s="538">
        <v>19053824.60002128</v>
      </c>
      <c r="AY236" s="533"/>
      <c r="AZ236" s="534">
        <f t="shared" si="114"/>
        <v>0</v>
      </c>
      <c r="BA236" s="534">
        <v>0</v>
      </c>
      <c r="BD236" s="392">
        <f t="shared" si="115"/>
        <v>0</v>
      </c>
      <c r="BE236" s="425">
        <f t="shared" si="116"/>
        <v>0</v>
      </c>
      <c r="BF236" s="425">
        <f t="shared" si="117"/>
        <v>0</v>
      </c>
      <c r="BG236" s="425">
        <f t="shared" si="117"/>
        <v>0</v>
      </c>
      <c r="BH236" s="425">
        <f t="shared" si="117"/>
        <v>0</v>
      </c>
      <c r="BI236" s="425">
        <f t="shared" si="117"/>
        <v>0</v>
      </c>
      <c r="BJ236" s="425">
        <f t="shared" si="117"/>
        <v>0</v>
      </c>
      <c r="BK236" s="425">
        <f t="shared" si="117"/>
        <v>0</v>
      </c>
      <c r="BL236" s="425">
        <f t="shared" si="117"/>
        <v>0</v>
      </c>
      <c r="BM236" s="425">
        <f t="shared" si="111"/>
        <v>0</v>
      </c>
      <c r="BN236" s="425">
        <f t="shared" si="111"/>
        <v>0</v>
      </c>
      <c r="BO236" s="425">
        <f t="shared" si="111"/>
        <v>0</v>
      </c>
      <c r="BP236" s="425">
        <f t="shared" si="112"/>
        <v>0</v>
      </c>
      <c r="BQ236" s="425">
        <f t="shared" si="112"/>
        <v>0</v>
      </c>
      <c r="BR236" s="425">
        <f t="shared" si="112"/>
        <v>0</v>
      </c>
      <c r="BS236" s="425">
        <f t="shared" si="113"/>
        <v>0</v>
      </c>
      <c r="BT236" s="426">
        <f t="shared" si="113"/>
        <v>0</v>
      </c>
    </row>
    <row r="237" spans="2:72" x14ac:dyDescent="0.25">
      <c r="B237" s="145"/>
      <c r="C237" s="539">
        <v>45474</v>
      </c>
      <c r="D237" s="533"/>
      <c r="E237" s="534">
        <v>0</v>
      </c>
      <c r="F237" s="534">
        <v>0</v>
      </c>
      <c r="G237" s="534">
        <v>0</v>
      </c>
      <c r="H237" s="540">
        <v>0</v>
      </c>
      <c r="I237" s="536">
        <v>0</v>
      </c>
      <c r="J237" s="533"/>
      <c r="K237" s="534">
        <v>0</v>
      </c>
      <c r="L237" s="534">
        <v>0</v>
      </c>
      <c r="M237" s="534">
        <v>0</v>
      </c>
      <c r="N237" s="534">
        <v>0</v>
      </c>
      <c r="O237" s="534">
        <v>0</v>
      </c>
      <c r="P237" s="534">
        <v>0</v>
      </c>
      <c r="Q237" s="534">
        <v>0</v>
      </c>
      <c r="R237" s="534">
        <v>0</v>
      </c>
      <c r="S237" s="536">
        <v>0</v>
      </c>
      <c r="T237" s="533"/>
      <c r="U237" s="534">
        <v>0</v>
      </c>
      <c r="V237" s="534">
        <v>0</v>
      </c>
      <c r="W237" s="534">
        <v>0</v>
      </c>
      <c r="X237" s="534">
        <v>0</v>
      </c>
      <c r="Y237" s="534">
        <v>0</v>
      </c>
      <c r="Z237" s="534">
        <v>0</v>
      </c>
      <c r="AA237" s="534">
        <v>0</v>
      </c>
      <c r="AB237" s="534">
        <v>0</v>
      </c>
      <c r="AC237" s="534">
        <v>0</v>
      </c>
      <c r="AD237" s="534">
        <v>0</v>
      </c>
      <c r="AE237" s="536">
        <v>0</v>
      </c>
      <c r="AF237" s="533"/>
      <c r="AG237" s="534">
        <v>0</v>
      </c>
      <c r="AH237" s="534">
        <v>0</v>
      </c>
      <c r="AI237" s="534">
        <v>0</v>
      </c>
      <c r="AJ237" s="534">
        <v>0</v>
      </c>
      <c r="AK237" s="536">
        <v>0</v>
      </c>
      <c r="AL237" s="533"/>
      <c r="AM237" s="534">
        <v>0</v>
      </c>
      <c r="AN237" s="534">
        <v>0</v>
      </c>
      <c r="AO237" s="534">
        <v>0</v>
      </c>
      <c r="AP237" s="537">
        <v>0</v>
      </c>
      <c r="AQ237" s="535">
        <v>0</v>
      </c>
      <c r="AR237" s="534">
        <v>0</v>
      </c>
      <c r="AS237" s="534">
        <v>0</v>
      </c>
      <c r="AT237" s="534">
        <v>0</v>
      </c>
      <c r="AU237" s="536">
        <v>0</v>
      </c>
      <c r="AV237" s="533"/>
      <c r="AW237" s="538">
        <v>0</v>
      </c>
      <c r="AX237" s="538">
        <v>19053824.60002128</v>
      </c>
      <c r="AY237" s="533"/>
      <c r="AZ237" s="534">
        <f t="shared" si="114"/>
        <v>0</v>
      </c>
      <c r="BA237" s="534">
        <v>0</v>
      </c>
      <c r="BD237" s="392">
        <f t="shared" si="115"/>
        <v>0</v>
      </c>
      <c r="BE237" s="425">
        <f t="shared" si="116"/>
        <v>0</v>
      </c>
      <c r="BF237" s="425">
        <f t="shared" si="117"/>
        <v>0</v>
      </c>
      <c r="BG237" s="425">
        <f t="shared" si="117"/>
        <v>0</v>
      </c>
      <c r="BH237" s="425">
        <f t="shared" si="117"/>
        <v>0</v>
      </c>
      <c r="BI237" s="425">
        <f t="shared" si="117"/>
        <v>0</v>
      </c>
      <c r="BJ237" s="425">
        <f t="shared" si="117"/>
        <v>0</v>
      </c>
      <c r="BK237" s="425">
        <f t="shared" si="117"/>
        <v>0</v>
      </c>
      <c r="BL237" s="425">
        <f t="shared" si="117"/>
        <v>0</v>
      </c>
      <c r="BM237" s="425">
        <f t="shared" si="111"/>
        <v>0</v>
      </c>
      <c r="BN237" s="425">
        <f t="shared" si="111"/>
        <v>0</v>
      </c>
      <c r="BO237" s="425">
        <f t="shared" si="111"/>
        <v>0</v>
      </c>
      <c r="BP237" s="425">
        <f t="shared" si="112"/>
        <v>0</v>
      </c>
      <c r="BQ237" s="425">
        <f t="shared" si="112"/>
        <v>0</v>
      </c>
      <c r="BR237" s="425">
        <f t="shared" si="112"/>
        <v>0</v>
      </c>
      <c r="BS237" s="425">
        <f t="shared" si="113"/>
        <v>0</v>
      </c>
      <c r="BT237" s="426">
        <f t="shared" si="113"/>
        <v>0</v>
      </c>
    </row>
    <row r="238" spans="2:72" x14ac:dyDescent="0.25">
      <c r="B238" s="145"/>
      <c r="C238" s="539">
        <v>45505</v>
      </c>
      <c r="D238" s="533"/>
      <c r="E238" s="534">
        <v>0</v>
      </c>
      <c r="F238" s="534">
        <v>0</v>
      </c>
      <c r="G238" s="534">
        <v>0</v>
      </c>
      <c r="H238" s="540">
        <v>0</v>
      </c>
      <c r="I238" s="536">
        <v>0</v>
      </c>
      <c r="J238" s="533"/>
      <c r="K238" s="534">
        <v>0</v>
      </c>
      <c r="L238" s="534">
        <v>0</v>
      </c>
      <c r="M238" s="534">
        <v>0</v>
      </c>
      <c r="N238" s="534">
        <v>0</v>
      </c>
      <c r="O238" s="534">
        <v>0</v>
      </c>
      <c r="P238" s="534">
        <v>0</v>
      </c>
      <c r="Q238" s="534">
        <v>0</v>
      </c>
      <c r="R238" s="534">
        <v>0</v>
      </c>
      <c r="S238" s="536">
        <v>0</v>
      </c>
      <c r="T238" s="533"/>
      <c r="U238" s="534">
        <v>0</v>
      </c>
      <c r="V238" s="534">
        <v>0</v>
      </c>
      <c r="W238" s="534">
        <v>0</v>
      </c>
      <c r="X238" s="534">
        <v>0</v>
      </c>
      <c r="Y238" s="534">
        <v>0</v>
      </c>
      <c r="Z238" s="534">
        <v>0</v>
      </c>
      <c r="AA238" s="534">
        <v>0</v>
      </c>
      <c r="AB238" s="534">
        <v>0</v>
      </c>
      <c r="AC238" s="534">
        <v>0</v>
      </c>
      <c r="AD238" s="534">
        <v>0</v>
      </c>
      <c r="AE238" s="536">
        <v>0</v>
      </c>
      <c r="AF238" s="533"/>
      <c r="AG238" s="534">
        <v>0</v>
      </c>
      <c r="AH238" s="534">
        <v>0</v>
      </c>
      <c r="AI238" s="534">
        <v>0</v>
      </c>
      <c r="AJ238" s="534">
        <v>0</v>
      </c>
      <c r="AK238" s="536">
        <v>0</v>
      </c>
      <c r="AL238" s="533"/>
      <c r="AM238" s="534">
        <v>0</v>
      </c>
      <c r="AN238" s="534">
        <v>0</v>
      </c>
      <c r="AO238" s="534">
        <v>0</v>
      </c>
      <c r="AP238" s="537">
        <v>0</v>
      </c>
      <c r="AQ238" s="535">
        <v>0</v>
      </c>
      <c r="AR238" s="534">
        <v>0</v>
      </c>
      <c r="AS238" s="534">
        <v>0</v>
      </c>
      <c r="AT238" s="534">
        <v>0</v>
      </c>
      <c r="AU238" s="536">
        <v>0</v>
      </c>
      <c r="AV238" s="533"/>
      <c r="AW238" s="538">
        <v>0</v>
      </c>
      <c r="AX238" s="538">
        <v>19053824.60002128</v>
      </c>
      <c r="AY238" s="533"/>
      <c r="AZ238" s="534">
        <f t="shared" si="114"/>
        <v>0</v>
      </c>
      <c r="BA238" s="534">
        <v>0</v>
      </c>
      <c r="BD238" s="392">
        <f t="shared" si="115"/>
        <v>0</v>
      </c>
      <c r="BE238" s="425">
        <f t="shared" si="116"/>
        <v>0</v>
      </c>
      <c r="BF238" s="425">
        <f t="shared" si="117"/>
        <v>0</v>
      </c>
      <c r="BG238" s="425">
        <f t="shared" si="117"/>
        <v>0</v>
      </c>
      <c r="BH238" s="425">
        <f t="shared" si="117"/>
        <v>0</v>
      </c>
      <c r="BI238" s="425">
        <f t="shared" si="117"/>
        <v>0</v>
      </c>
      <c r="BJ238" s="425">
        <f t="shared" si="117"/>
        <v>0</v>
      </c>
      <c r="BK238" s="425">
        <f t="shared" si="117"/>
        <v>0</v>
      </c>
      <c r="BL238" s="425">
        <f t="shared" si="117"/>
        <v>0</v>
      </c>
      <c r="BM238" s="425">
        <f t="shared" si="111"/>
        <v>0</v>
      </c>
      <c r="BN238" s="425">
        <f t="shared" si="111"/>
        <v>0</v>
      </c>
      <c r="BO238" s="425">
        <f t="shared" si="111"/>
        <v>0</v>
      </c>
      <c r="BP238" s="425">
        <f t="shared" si="112"/>
        <v>0</v>
      </c>
      <c r="BQ238" s="425">
        <f t="shared" si="112"/>
        <v>0</v>
      </c>
      <c r="BR238" s="425">
        <f t="shared" si="112"/>
        <v>0</v>
      </c>
      <c r="BS238" s="425">
        <f t="shared" si="113"/>
        <v>0</v>
      </c>
      <c r="BT238" s="426">
        <f t="shared" si="113"/>
        <v>0</v>
      </c>
    </row>
    <row r="239" spans="2:72" x14ac:dyDescent="0.25">
      <c r="B239" s="145"/>
      <c r="C239" s="539">
        <v>45536</v>
      </c>
      <c r="D239" s="533"/>
      <c r="E239" s="534">
        <v>0</v>
      </c>
      <c r="F239" s="534">
        <v>0</v>
      </c>
      <c r="G239" s="534">
        <v>0</v>
      </c>
      <c r="H239" s="540">
        <v>0</v>
      </c>
      <c r="I239" s="536">
        <v>0</v>
      </c>
      <c r="J239" s="533"/>
      <c r="K239" s="534">
        <v>0</v>
      </c>
      <c r="L239" s="534">
        <v>0</v>
      </c>
      <c r="M239" s="534">
        <v>0</v>
      </c>
      <c r="N239" s="534">
        <v>0</v>
      </c>
      <c r="O239" s="534">
        <v>0</v>
      </c>
      <c r="P239" s="534">
        <v>0</v>
      </c>
      <c r="Q239" s="534">
        <v>0</v>
      </c>
      <c r="R239" s="534">
        <v>0</v>
      </c>
      <c r="S239" s="536">
        <v>0</v>
      </c>
      <c r="T239" s="533"/>
      <c r="U239" s="534">
        <v>0</v>
      </c>
      <c r="V239" s="534">
        <v>0</v>
      </c>
      <c r="W239" s="534">
        <v>0</v>
      </c>
      <c r="X239" s="534">
        <v>0</v>
      </c>
      <c r="Y239" s="534">
        <v>0</v>
      </c>
      <c r="Z239" s="534">
        <v>0</v>
      </c>
      <c r="AA239" s="534">
        <v>0</v>
      </c>
      <c r="AB239" s="534">
        <v>0</v>
      </c>
      <c r="AC239" s="534">
        <v>0</v>
      </c>
      <c r="AD239" s="534">
        <v>0</v>
      </c>
      <c r="AE239" s="536">
        <v>0</v>
      </c>
      <c r="AF239" s="533"/>
      <c r="AG239" s="534">
        <v>0</v>
      </c>
      <c r="AH239" s="534">
        <v>0</v>
      </c>
      <c r="AI239" s="534">
        <v>0</v>
      </c>
      <c r="AJ239" s="534">
        <v>0</v>
      </c>
      <c r="AK239" s="536">
        <v>0</v>
      </c>
      <c r="AL239" s="533"/>
      <c r="AM239" s="534">
        <v>0</v>
      </c>
      <c r="AN239" s="534">
        <v>0</v>
      </c>
      <c r="AO239" s="534">
        <v>0</v>
      </c>
      <c r="AP239" s="537">
        <v>0</v>
      </c>
      <c r="AQ239" s="535">
        <v>0</v>
      </c>
      <c r="AR239" s="534">
        <v>0</v>
      </c>
      <c r="AS239" s="534">
        <v>0</v>
      </c>
      <c r="AT239" s="534">
        <v>0</v>
      </c>
      <c r="AU239" s="536">
        <v>0</v>
      </c>
      <c r="AV239" s="533"/>
      <c r="AW239" s="538">
        <v>0</v>
      </c>
      <c r="AX239" s="538">
        <v>19053824.60002128</v>
      </c>
      <c r="AY239" s="533"/>
      <c r="AZ239" s="534">
        <f t="shared" si="114"/>
        <v>0</v>
      </c>
      <c r="BA239" s="534">
        <v>0</v>
      </c>
      <c r="BD239" s="392">
        <f t="shared" si="115"/>
        <v>0</v>
      </c>
      <c r="BE239" s="425">
        <f t="shared" si="116"/>
        <v>0</v>
      </c>
      <c r="BF239" s="425">
        <f t="shared" si="117"/>
        <v>0</v>
      </c>
      <c r="BG239" s="425">
        <f t="shared" si="117"/>
        <v>0</v>
      </c>
      <c r="BH239" s="425">
        <f t="shared" si="117"/>
        <v>0</v>
      </c>
      <c r="BI239" s="425">
        <f t="shared" si="117"/>
        <v>0</v>
      </c>
      <c r="BJ239" s="425">
        <f t="shared" si="117"/>
        <v>0</v>
      </c>
      <c r="BK239" s="425">
        <f t="shared" si="117"/>
        <v>0</v>
      </c>
      <c r="BL239" s="425">
        <f t="shared" si="117"/>
        <v>0</v>
      </c>
      <c r="BM239" s="425">
        <f t="shared" si="111"/>
        <v>0</v>
      </c>
      <c r="BN239" s="425">
        <f t="shared" si="111"/>
        <v>0</v>
      </c>
      <c r="BO239" s="425">
        <f t="shared" si="111"/>
        <v>0</v>
      </c>
      <c r="BP239" s="425">
        <f t="shared" si="112"/>
        <v>0</v>
      </c>
      <c r="BQ239" s="425">
        <f t="shared" si="112"/>
        <v>0</v>
      </c>
      <c r="BR239" s="425">
        <f t="shared" si="112"/>
        <v>0</v>
      </c>
      <c r="BS239" s="425">
        <f t="shared" si="113"/>
        <v>0</v>
      </c>
      <c r="BT239" s="426">
        <f t="shared" si="113"/>
        <v>0</v>
      </c>
    </row>
    <row r="240" spans="2:72" x14ac:dyDescent="0.25">
      <c r="B240" s="145"/>
      <c r="C240" s="539">
        <v>45566</v>
      </c>
      <c r="D240" s="533"/>
      <c r="E240" s="534">
        <v>0</v>
      </c>
      <c r="F240" s="534">
        <v>0</v>
      </c>
      <c r="G240" s="534">
        <v>0</v>
      </c>
      <c r="H240" s="540">
        <v>0</v>
      </c>
      <c r="I240" s="536">
        <v>0</v>
      </c>
      <c r="J240" s="533"/>
      <c r="K240" s="534">
        <v>0</v>
      </c>
      <c r="L240" s="534">
        <v>0</v>
      </c>
      <c r="M240" s="534">
        <v>0</v>
      </c>
      <c r="N240" s="534">
        <v>0</v>
      </c>
      <c r="O240" s="534">
        <v>0</v>
      </c>
      <c r="P240" s="534">
        <v>0</v>
      </c>
      <c r="Q240" s="534">
        <v>0</v>
      </c>
      <c r="R240" s="534">
        <v>0</v>
      </c>
      <c r="S240" s="536">
        <v>0</v>
      </c>
      <c r="T240" s="533"/>
      <c r="U240" s="534">
        <v>0</v>
      </c>
      <c r="V240" s="534">
        <v>0</v>
      </c>
      <c r="W240" s="534">
        <v>0</v>
      </c>
      <c r="X240" s="534">
        <v>0</v>
      </c>
      <c r="Y240" s="534">
        <v>0</v>
      </c>
      <c r="Z240" s="534">
        <v>0</v>
      </c>
      <c r="AA240" s="534">
        <v>0</v>
      </c>
      <c r="AB240" s="534">
        <v>0</v>
      </c>
      <c r="AC240" s="534">
        <v>0</v>
      </c>
      <c r="AD240" s="534">
        <v>0</v>
      </c>
      <c r="AE240" s="536">
        <v>0</v>
      </c>
      <c r="AF240" s="533"/>
      <c r="AG240" s="534">
        <v>0</v>
      </c>
      <c r="AH240" s="534">
        <v>0</v>
      </c>
      <c r="AI240" s="534">
        <v>0</v>
      </c>
      <c r="AJ240" s="534">
        <v>0</v>
      </c>
      <c r="AK240" s="536">
        <v>0</v>
      </c>
      <c r="AL240" s="533"/>
      <c r="AM240" s="534">
        <v>0</v>
      </c>
      <c r="AN240" s="534">
        <v>0</v>
      </c>
      <c r="AO240" s="534">
        <v>0</v>
      </c>
      <c r="AP240" s="537">
        <v>0</v>
      </c>
      <c r="AQ240" s="535">
        <v>0</v>
      </c>
      <c r="AR240" s="534">
        <v>0</v>
      </c>
      <c r="AS240" s="534">
        <v>0</v>
      </c>
      <c r="AT240" s="534">
        <v>0</v>
      </c>
      <c r="AU240" s="536">
        <v>0</v>
      </c>
      <c r="AV240" s="533"/>
      <c r="AW240" s="538">
        <v>0</v>
      </c>
      <c r="AX240" s="538">
        <v>19053824.60002128</v>
      </c>
      <c r="AY240" s="533"/>
      <c r="AZ240" s="534">
        <f t="shared" si="114"/>
        <v>0</v>
      </c>
      <c r="BA240" s="534">
        <v>0</v>
      </c>
      <c r="BD240" s="392">
        <f t="shared" si="115"/>
        <v>0</v>
      </c>
      <c r="BE240" s="425">
        <f t="shared" si="116"/>
        <v>0</v>
      </c>
      <c r="BF240" s="425">
        <f t="shared" si="117"/>
        <v>0</v>
      </c>
      <c r="BG240" s="425">
        <f t="shared" si="117"/>
        <v>0</v>
      </c>
      <c r="BH240" s="425">
        <f t="shared" si="117"/>
        <v>0</v>
      </c>
      <c r="BI240" s="425">
        <f t="shared" si="117"/>
        <v>0</v>
      </c>
      <c r="BJ240" s="425">
        <f t="shared" si="117"/>
        <v>0</v>
      </c>
      <c r="BK240" s="425">
        <f t="shared" si="117"/>
        <v>0</v>
      </c>
      <c r="BL240" s="425">
        <f t="shared" si="117"/>
        <v>0</v>
      </c>
      <c r="BM240" s="425">
        <f t="shared" si="111"/>
        <v>0</v>
      </c>
      <c r="BN240" s="425">
        <f t="shared" si="111"/>
        <v>0</v>
      </c>
      <c r="BO240" s="425">
        <f t="shared" si="111"/>
        <v>0</v>
      </c>
      <c r="BP240" s="425">
        <f t="shared" si="112"/>
        <v>0</v>
      </c>
      <c r="BQ240" s="425">
        <f t="shared" si="112"/>
        <v>0</v>
      </c>
      <c r="BR240" s="425">
        <f t="shared" si="112"/>
        <v>0</v>
      </c>
      <c r="BS240" s="425">
        <f t="shared" si="113"/>
        <v>0</v>
      </c>
      <c r="BT240" s="426">
        <f t="shared" si="113"/>
        <v>0</v>
      </c>
    </row>
    <row r="241" spans="2:72" x14ac:dyDescent="0.25">
      <c r="B241" s="145"/>
      <c r="C241" s="539">
        <v>45597</v>
      </c>
      <c r="D241" s="533"/>
      <c r="E241" s="534">
        <v>0</v>
      </c>
      <c r="F241" s="534">
        <v>0</v>
      </c>
      <c r="G241" s="534">
        <v>0</v>
      </c>
      <c r="H241" s="540">
        <v>0</v>
      </c>
      <c r="I241" s="536">
        <v>0</v>
      </c>
      <c r="J241" s="533"/>
      <c r="K241" s="534">
        <v>0</v>
      </c>
      <c r="L241" s="534">
        <v>0</v>
      </c>
      <c r="M241" s="534">
        <v>0</v>
      </c>
      <c r="N241" s="534">
        <v>0</v>
      </c>
      <c r="O241" s="534">
        <v>0</v>
      </c>
      <c r="P241" s="534">
        <v>0</v>
      </c>
      <c r="Q241" s="534">
        <v>0</v>
      </c>
      <c r="R241" s="534">
        <v>0</v>
      </c>
      <c r="S241" s="536">
        <v>0</v>
      </c>
      <c r="T241" s="533"/>
      <c r="U241" s="534">
        <v>0</v>
      </c>
      <c r="V241" s="534">
        <v>0</v>
      </c>
      <c r="W241" s="534">
        <v>0</v>
      </c>
      <c r="X241" s="534">
        <v>0</v>
      </c>
      <c r="Y241" s="534">
        <v>0</v>
      </c>
      <c r="Z241" s="534">
        <v>0</v>
      </c>
      <c r="AA241" s="534">
        <v>0</v>
      </c>
      <c r="AB241" s="534">
        <v>0</v>
      </c>
      <c r="AC241" s="534">
        <v>0</v>
      </c>
      <c r="AD241" s="534">
        <v>0</v>
      </c>
      <c r="AE241" s="536">
        <v>0</v>
      </c>
      <c r="AF241" s="533"/>
      <c r="AG241" s="534">
        <v>0</v>
      </c>
      <c r="AH241" s="534">
        <v>0</v>
      </c>
      <c r="AI241" s="534">
        <v>0</v>
      </c>
      <c r="AJ241" s="534">
        <v>0</v>
      </c>
      <c r="AK241" s="536">
        <v>0</v>
      </c>
      <c r="AL241" s="533"/>
      <c r="AM241" s="534">
        <v>0</v>
      </c>
      <c r="AN241" s="534">
        <v>0</v>
      </c>
      <c r="AO241" s="534">
        <v>0</v>
      </c>
      <c r="AP241" s="537">
        <v>0</v>
      </c>
      <c r="AQ241" s="535">
        <v>0</v>
      </c>
      <c r="AR241" s="534">
        <v>0</v>
      </c>
      <c r="AS241" s="534">
        <v>0</v>
      </c>
      <c r="AT241" s="534">
        <v>0</v>
      </c>
      <c r="AU241" s="536">
        <v>0</v>
      </c>
      <c r="AV241" s="533"/>
      <c r="AW241" s="538">
        <v>0</v>
      </c>
      <c r="AX241" s="538">
        <v>19053824.60002128</v>
      </c>
      <c r="AY241" s="533"/>
      <c r="AZ241" s="534">
        <f t="shared" si="114"/>
        <v>0</v>
      </c>
      <c r="BA241" s="534">
        <v>0</v>
      </c>
      <c r="BD241" s="392">
        <f t="shared" si="115"/>
        <v>0</v>
      </c>
      <c r="BE241" s="425">
        <f t="shared" si="116"/>
        <v>0</v>
      </c>
      <c r="BF241" s="425">
        <f t="shared" ref="BF241:BL250" si="118">-SUMIF($E$6:$BA$6, BF$6, $E241:$BA241)</f>
        <v>0</v>
      </c>
      <c r="BG241" s="425">
        <f t="shared" si="118"/>
        <v>0</v>
      </c>
      <c r="BH241" s="425">
        <f t="shared" si="118"/>
        <v>0</v>
      </c>
      <c r="BI241" s="425">
        <f t="shared" si="118"/>
        <v>0</v>
      </c>
      <c r="BJ241" s="425">
        <f t="shared" si="118"/>
        <v>0</v>
      </c>
      <c r="BK241" s="425">
        <f t="shared" si="118"/>
        <v>0</v>
      </c>
      <c r="BL241" s="425">
        <f t="shared" si="118"/>
        <v>0</v>
      </c>
      <c r="BM241" s="425">
        <f t="shared" ref="BM241:BO260" si="119">SUMIF($E$6:$BA$6, BM$6, $E241:$BA241)</f>
        <v>0</v>
      </c>
      <c r="BN241" s="425">
        <f t="shared" si="119"/>
        <v>0</v>
      </c>
      <c r="BO241" s="425">
        <f t="shared" si="119"/>
        <v>0</v>
      </c>
      <c r="BP241" s="425">
        <f t="shared" ref="BP241:BR260" si="120">-SUMIF($E$6:$BA$6, BP$6, $E241:$BA241)</f>
        <v>0</v>
      </c>
      <c r="BQ241" s="425">
        <f t="shared" si="120"/>
        <v>0</v>
      </c>
      <c r="BR241" s="425">
        <f t="shared" si="120"/>
        <v>0</v>
      </c>
      <c r="BS241" s="425">
        <f t="shared" ref="BS241:BT260" si="121">SUMIF($E$6:$BA$6, BS$6, $E241:$BA241)</f>
        <v>0</v>
      </c>
      <c r="BT241" s="426">
        <f t="shared" si="121"/>
        <v>0</v>
      </c>
    </row>
    <row r="242" spans="2:72" x14ac:dyDescent="0.25">
      <c r="B242" s="145"/>
      <c r="C242" s="539">
        <v>45627</v>
      </c>
      <c r="D242" s="533"/>
      <c r="E242" s="534">
        <v>0</v>
      </c>
      <c r="F242" s="534">
        <v>0</v>
      </c>
      <c r="G242" s="534">
        <v>0</v>
      </c>
      <c r="H242" s="540">
        <v>0</v>
      </c>
      <c r="I242" s="536">
        <v>0</v>
      </c>
      <c r="J242" s="533"/>
      <c r="K242" s="534">
        <v>0</v>
      </c>
      <c r="L242" s="534">
        <v>0</v>
      </c>
      <c r="M242" s="534">
        <v>0</v>
      </c>
      <c r="N242" s="534">
        <v>0</v>
      </c>
      <c r="O242" s="534">
        <v>0</v>
      </c>
      <c r="P242" s="534">
        <v>0</v>
      </c>
      <c r="Q242" s="534">
        <v>0</v>
      </c>
      <c r="R242" s="534">
        <v>0</v>
      </c>
      <c r="S242" s="536">
        <v>0</v>
      </c>
      <c r="T242" s="533"/>
      <c r="U242" s="534">
        <v>0</v>
      </c>
      <c r="V242" s="534">
        <v>0</v>
      </c>
      <c r="W242" s="534">
        <v>0</v>
      </c>
      <c r="X242" s="534">
        <v>0</v>
      </c>
      <c r="Y242" s="534">
        <v>0</v>
      </c>
      <c r="Z242" s="534">
        <v>0</v>
      </c>
      <c r="AA242" s="534">
        <v>0</v>
      </c>
      <c r="AB242" s="534">
        <v>0</v>
      </c>
      <c r="AC242" s="534">
        <v>0</v>
      </c>
      <c r="AD242" s="534">
        <v>0</v>
      </c>
      <c r="AE242" s="536">
        <v>0</v>
      </c>
      <c r="AF242" s="533"/>
      <c r="AG242" s="534">
        <v>0</v>
      </c>
      <c r="AH242" s="534">
        <v>0</v>
      </c>
      <c r="AI242" s="534">
        <v>0</v>
      </c>
      <c r="AJ242" s="534">
        <v>0</v>
      </c>
      <c r="AK242" s="536">
        <v>0</v>
      </c>
      <c r="AL242" s="533"/>
      <c r="AM242" s="534">
        <v>0</v>
      </c>
      <c r="AN242" s="534">
        <v>0</v>
      </c>
      <c r="AO242" s="534">
        <v>0</v>
      </c>
      <c r="AP242" s="537">
        <v>0</v>
      </c>
      <c r="AQ242" s="535">
        <v>0</v>
      </c>
      <c r="AR242" s="534">
        <v>0</v>
      </c>
      <c r="AS242" s="534">
        <v>0</v>
      </c>
      <c r="AT242" s="534">
        <v>0</v>
      </c>
      <c r="AU242" s="536">
        <v>0</v>
      </c>
      <c r="AV242" s="533"/>
      <c r="AW242" s="538">
        <v>0</v>
      </c>
      <c r="AX242" s="538">
        <v>19053824.60002128</v>
      </c>
      <c r="AY242" s="533"/>
      <c r="AZ242" s="534">
        <f t="shared" si="114"/>
        <v>0</v>
      </c>
      <c r="BA242" s="534">
        <v>0</v>
      </c>
      <c r="BD242" s="392">
        <f t="shared" si="115"/>
        <v>0</v>
      </c>
      <c r="BE242" s="425">
        <f t="shared" si="116"/>
        <v>0</v>
      </c>
      <c r="BF242" s="425">
        <f t="shared" si="118"/>
        <v>0</v>
      </c>
      <c r="BG242" s="425">
        <f t="shared" si="118"/>
        <v>0</v>
      </c>
      <c r="BH242" s="425">
        <f t="shared" si="118"/>
        <v>0</v>
      </c>
      <c r="BI242" s="425">
        <f t="shared" si="118"/>
        <v>0</v>
      </c>
      <c r="BJ242" s="425">
        <f t="shared" si="118"/>
        <v>0</v>
      </c>
      <c r="BK242" s="425">
        <f t="shared" si="118"/>
        <v>0</v>
      </c>
      <c r="BL242" s="425">
        <f t="shared" si="118"/>
        <v>0</v>
      </c>
      <c r="BM242" s="425">
        <f t="shared" si="119"/>
        <v>0</v>
      </c>
      <c r="BN242" s="425">
        <f t="shared" si="119"/>
        <v>0</v>
      </c>
      <c r="BO242" s="425">
        <f t="shared" si="119"/>
        <v>0</v>
      </c>
      <c r="BP242" s="425">
        <f t="shared" si="120"/>
        <v>0</v>
      </c>
      <c r="BQ242" s="425">
        <f t="shared" si="120"/>
        <v>0</v>
      </c>
      <c r="BR242" s="425">
        <f t="shared" si="120"/>
        <v>0</v>
      </c>
      <c r="BS242" s="425">
        <f t="shared" si="121"/>
        <v>0</v>
      </c>
      <c r="BT242" s="426">
        <f t="shared" si="121"/>
        <v>0</v>
      </c>
    </row>
    <row r="243" spans="2:72" x14ac:dyDescent="0.25">
      <c r="B243" s="145"/>
      <c r="C243" s="539">
        <v>45658</v>
      </c>
      <c r="D243" s="533"/>
      <c r="E243" s="534">
        <v>0</v>
      </c>
      <c r="F243" s="534">
        <v>0</v>
      </c>
      <c r="G243" s="534">
        <v>0</v>
      </c>
      <c r="H243" s="540">
        <v>0</v>
      </c>
      <c r="I243" s="536">
        <v>0</v>
      </c>
      <c r="J243" s="533"/>
      <c r="K243" s="534">
        <v>0</v>
      </c>
      <c r="L243" s="534">
        <v>0</v>
      </c>
      <c r="M243" s="534">
        <v>0</v>
      </c>
      <c r="N243" s="534">
        <v>0</v>
      </c>
      <c r="O243" s="534">
        <v>0</v>
      </c>
      <c r="P243" s="534">
        <v>0</v>
      </c>
      <c r="Q243" s="534">
        <v>0</v>
      </c>
      <c r="R243" s="534">
        <v>0</v>
      </c>
      <c r="S243" s="536">
        <v>0</v>
      </c>
      <c r="T243" s="533"/>
      <c r="U243" s="534">
        <v>0</v>
      </c>
      <c r="V243" s="534">
        <v>0</v>
      </c>
      <c r="W243" s="534">
        <v>0</v>
      </c>
      <c r="X243" s="534">
        <v>0</v>
      </c>
      <c r="Y243" s="534">
        <v>0</v>
      </c>
      <c r="Z243" s="534">
        <v>0</v>
      </c>
      <c r="AA243" s="534">
        <v>0</v>
      </c>
      <c r="AB243" s="534">
        <v>0</v>
      </c>
      <c r="AC243" s="534">
        <v>0</v>
      </c>
      <c r="AD243" s="534">
        <v>0</v>
      </c>
      <c r="AE243" s="536">
        <v>0</v>
      </c>
      <c r="AF243" s="533"/>
      <c r="AG243" s="534">
        <v>0</v>
      </c>
      <c r="AH243" s="534">
        <v>0</v>
      </c>
      <c r="AI243" s="534">
        <v>0</v>
      </c>
      <c r="AJ243" s="534">
        <v>0</v>
      </c>
      <c r="AK243" s="536">
        <v>0</v>
      </c>
      <c r="AL243" s="533"/>
      <c r="AM243" s="534">
        <v>0</v>
      </c>
      <c r="AN243" s="534">
        <v>0</v>
      </c>
      <c r="AO243" s="534">
        <v>0</v>
      </c>
      <c r="AP243" s="537">
        <v>0</v>
      </c>
      <c r="AQ243" s="535">
        <v>0</v>
      </c>
      <c r="AR243" s="534">
        <v>0</v>
      </c>
      <c r="AS243" s="534">
        <v>0</v>
      </c>
      <c r="AT243" s="534">
        <v>0</v>
      </c>
      <c r="AU243" s="536">
        <v>0</v>
      </c>
      <c r="AV243" s="533"/>
      <c r="AW243" s="538">
        <v>0</v>
      </c>
      <c r="AX243" s="538">
        <v>19053824.60002128</v>
      </c>
      <c r="AY243" s="533"/>
      <c r="AZ243" s="534">
        <f t="shared" si="114"/>
        <v>0</v>
      </c>
      <c r="BA243" s="534">
        <v>0</v>
      </c>
      <c r="BD243" s="392">
        <f t="shared" si="115"/>
        <v>0</v>
      </c>
      <c r="BE243" s="425">
        <f t="shared" si="116"/>
        <v>0</v>
      </c>
      <c r="BF243" s="425">
        <f t="shared" si="118"/>
        <v>0</v>
      </c>
      <c r="BG243" s="425">
        <f t="shared" si="118"/>
        <v>0</v>
      </c>
      <c r="BH243" s="425">
        <f t="shared" si="118"/>
        <v>0</v>
      </c>
      <c r="BI243" s="425">
        <f t="shared" si="118"/>
        <v>0</v>
      </c>
      <c r="BJ243" s="425">
        <f t="shared" si="118"/>
        <v>0</v>
      </c>
      <c r="BK243" s="425">
        <f t="shared" si="118"/>
        <v>0</v>
      </c>
      <c r="BL243" s="425">
        <f t="shared" si="118"/>
        <v>0</v>
      </c>
      <c r="BM243" s="425">
        <f t="shared" si="119"/>
        <v>0</v>
      </c>
      <c r="BN243" s="425">
        <f t="shared" si="119"/>
        <v>0</v>
      </c>
      <c r="BO243" s="425">
        <f t="shared" si="119"/>
        <v>0</v>
      </c>
      <c r="BP243" s="425">
        <f t="shared" si="120"/>
        <v>0</v>
      </c>
      <c r="BQ243" s="425">
        <f t="shared" si="120"/>
        <v>0</v>
      </c>
      <c r="BR243" s="425">
        <f t="shared" si="120"/>
        <v>0</v>
      </c>
      <c r="BS243" s="425">
        <f t="shared" si="121"/>
        <v>0</v>
      </c>
      <c r="BT243" s="426">
        <f t="shared" si="121"/>
        <v>0</v>
      </c>
    </row>
    <row r="244" spans="2:72" x14ac:dyDescent="0.25">
      <c r="B244" s="145"/>
      <c r="C244" s="539">
        <v>45689</v>
      </c>
      <c r="D244" s="533"/>
      <c r="E244" s="534">
        <v>0</v>
      </c>
      <c r="F244" s="534">
        <v>0</v>
      </c>
      <c r="G244" s="534">
        <v>0</v>
      </c>
      <c r="H244" s="540">
        <v>0</v>
      </c>
      <c r="I244" s="536">
        <v>0</v>
      </c>
      <c r="J244" s="533"/>
      <c r="K244" s="534">
        <v>0</v>
      </c>
      <c r="L244" s="534">
        <v>0</v>
      </c>
      <c r="M244" s="534">
        <v>0</v>
      </c>
      <c r="N244" s="534">
        <v>0</v>
      </c>
      <c r="O244" s="534">
        <v>0</v>
      </c>
      <c r="P244" s="534">
        <v>0</v>
      </c>
      <c r="Q244" s="534">
        <v>0</v>
      </c>
      <c r="R244" s="534">
        <v>0</v>
      </c>
      <c r="S244" s="536">
        <v>0</v>
      </c>
      <c r="T244" s="533"/>
      <c r="U244" s="534">
        <v>0</v>
      </c>
      <c r="V244" s="534">
        <v>0</v>
      </c>
      <c r="W244" s="534">
        <v>0</v>
      </c>
      <c r="X244" s="534">
        <v>0</v>
      </c>
      <c r="Y244" s="534">
        <v>0</v>
      </c>
      <c r="Z244" s="534">
        <v>0</v>
      </c>
      <c r="AA244" s="534">
        <v>0</v>
      </c>
      <c r="AB244" s="534">
        <v>0</v>
      </c>
      <c r="AC244" s="534">
        <v>0</v>
      </c>
      <c r="AD244" s="534">
        <v>0</v>
      </c>
      <c r="AE244" s="536">
        <v>0</v>
      </c>
      <c r="AF244" s="533"/>
      <c r="AG244" s="534">
        <v>0</v>
      </c>
      <c r="AH244" s="534">
        <v>0</v>
      </c>
      <c r="AI244" s="534">
        <v>0</v>
      </c>
      <c r="AJ244" s="534">
        <v>0</v>
      </c>
      <c r="AK244" s="536">
        <v>0</v>
      </c>
      <c r="AL244" s="533"/>
      <c r="AM244" s="534">
        <v>0</v>
      </c>
      <c r="AN244" s="534">
        <v>0</v>
      </c>
      <c r="AO244" s="534">
        <v>0</v>
      </c>
      <c r="AP244" s="537">
        <v>0</v>
      </c>
      <c r="AQ244" s="535">
        <v>0</v>
      </c>
      <c r="AR244" s="534">
        <v>0</v>
      </c>
      <c r="AS244" s="534">
        <v>0</v>
      </c>
      <c r="AT244" s="534">
        <v>0</v>
      </c>
      <c r="AU244" s="536">
        <v>0</v>
      </c>
      <c r="AV244" s="533"/>
      <c r="AW244" s="538">
        <v>0</v>
      </c>
      <c r="AX244" s="538">
        <v>19053824.60002128</v>
      </c>
      <c r="AY244" s="533"/>
      <c r="AZ244" s="534">
        <f t="shared" si="114"/>
        <v>0</v>
      </c>
      <c r="BA244" s="534">
        <v>0</v>
      </c>
      <c r="BD244" s="392">
        <f t="shared" si="115"/>
        <v>0</v>
      </c>
      <c r="BE244" s="425">
        <f t="shared" si="116"/>
        <v>0</v>
      </c>
      <c r="BF244" s="425">
        <f t="shared" si="118"/>
        <v>0</v>
      </c>
      <c r="BG244" s="425">
        <f t="shared" si="118"/>
        <v>0</v>
      </c>
      <c r="BH244" s="425">
        <f t="shared" si="118"/>
        <v>0</v>
      </c>
      <c r="BI244" s="425">
        <f t="shared" si="118"/>
        <v>0</v>
      </c>
      <c r="BJ244" s="425">
        <f t="shared" si="118"/>
        <v>0</v>
      </c>
      <c r="BK244" s="425">
        <f t="shared" si="118"/>
        <v>0</v>
      </c>
      <c r="BL244" s="425">
        <f t="shared" si="118"/>
        <v>0</v>
      </c>
      <c r="BM244" s="425">
        <f t="shared" si="119"/>
        <v>0</v>
      </c>
      <c r="BN244" s="425">
        <f t="shared" si="119"/>
        <v>0</v>
      </c>
      <c r="BO244" s="425">
        <f t="shared" si="119"/>
        <v>0</v>
      </c>
      <c r="BP244" s="425">
        <f t="shared" si="120"/>
        <v>0</v>
      </c>
      <c r="BQ244" s="425">
        <f t="shared" si="120"/>
        <v>0</v>
      </c>
      <c r="BR244" s="425">
        <f t="shared" si="120"/>
        <v>0</v>
      </c>
      <c r="BS244" s="425">
        <f t="shared" si="121"/>
        <v>0</v>
      </c>
      <c r="BT244" s="426">
        <f t="shared" si="121"/>
        <v>0</v>
      </c>
    </row>
    <row r="245" spans="2:72" x14ac:dyDescent="0.25">
      <c r="B245" s="145"/>
      <c r="C245" s="539">
        <v>45717</v>
      </c>
      <c r="D245" s="533"/>
      <c r="E245" s="534">
        <v>0</v>
      </c>
      <c r="F245" s="534">
        <v>0</v>
      </c>
      <c r="G245" s="534">
        <v>0</v>
      </c>
      <c r="H245" s="540">
        <v>0</v>
      </c>
      <c r="I245" s="536">
        <v>0</v>
      </c>
      <c r="J245" s="533"/>
      <c r="K245" s="534">
        <v>0</v>
      </c>
      <c r="L245" s="534">
        <v>0</v>
      </c>
      <c r="M245" s="534">
        <v>0</v>
      </c>
      <c r="N245" s="534">
        <v>0</v>
      </c>
      <c r="O245" s="534">
        <v>0</v>
      </c>
      <c r="P245" s="534">
        <v>0</v>
      </c>
      <c r="Q245" s="534">
        <v>0</v>
      </c>
      <c r="R245" s="534">
        <v>0</v>
      </c>
      <c r="S245" s="536">
        <v>0</v>
      </c>
      <c r="T245" s="533"/>
      <c r="U245" s="534">
        <v>0</v>
      </c>
      <c r="V245" s="534">
        <v>0</v>
      </c>
      <c r="W245" s="534">
        <v>0</v>
      </c>
      <c r="X245" s="534">
        <v>0</v>
      </c>
      <c r="Y245" s="534">
        <v>0</v>
      </c>
      <c r="Z245" s="534">
        <v>0</v>
      </c>
      <c r="AA245" s="534">
        <v>0</v>
      </c>
      <c r="AB245" s="534">
        <v>0</v>
      </c>
      <c r="AC245" s="534">
        <v>0</v>
      </c>
      <c r="AD245" s="534">
        <v>0</v>
      </c>
      <c r="AE245" s="536">
        <v>0</v>
      </c>
      <c r="AF245" s="533"/>
      <c r="AG245" s="534">
        <v>0</v>
      </c>
      <c r="AH245" s="534">
        <v>0</v>
      </c>
      <c r="AI245" s="534">
        <v>0</v>
      </c>
      <c r="AJ245" s="534">
        <v>0</v>
      </c>
      <c r="AK245" s="536">
        <v>0</v>
      </c>
      <c r="AL245" s="533"/>
      <c r="AM245" s="534">
        <v>0</v>
      </c>
      <c r="AN245" s="534">
        <v>0</v>
      </c>
      <c r="AO245" s="534">
        <v>0</v>
      </c>
      <c r="AP245" s="537">
        <v>0</v>
      </c>
      <c r="AQ245" s="535">
        <v>0</v>
      </c>
      <c r="AR245" s="534">
        <v>0</v>
      </c>
      <c r="AS245" s="534">
        <v>0</v>
      </c>
      <c r="AT245" s="534">
        <v>0</v>
      </c>
      <c r="AU245" s="536">
        <v>0</v>
      </c>
      <c r="AV245" s="533"/>
      <c r="AW245" s="538">
        <v>0</v>
      </c>
      <c r="AX245" s="538">
        <v>19053824.60002128</v>
      </c>
      <c r="AY245" s="533"/>
      <c r="AZ245" s="534">
        <f t="shared" si="114"/>
        <v>0</v>
      </c>
      <c r="BA245" s="534">
        <v>0</v>
      </c>
      <c r="BD245" s="392">
        <f t="shared" si="115"/>
        <v>0</v>
      </c>
      <c r="BE245" s="425">
        <f t="shared" si="116"/>
        <v>0</v>
      </c>
      <c r="BF245" s="425">
        <f t="shared" si="118"/>
        <v>0</v>
      </c>
      <c r="BG245" s="425">
        <f t="shared" si="118"/>
        <v>0</v>
      </c>
      <c r="BH245" s="425">
        <f t="shared" si="118"/>
        <v>0</v>
      </c>
      <c r="BI245" s="425">
        <f t="shared" si="118"/>
        <v>0</v>
      </c>
      <c r="BJ245" s="425">
        <f t="shared" si="118"/>
        <v>0</v>
      </c>
      <c r="BK245" s="425">
        <f t="shared" si="118"/>
        <v>0</v>
      </c>
      <c r="BL245" s="425">
        <f t="shared" si="118"/>
        <v>0</v>
      </c>
      <c r="BM245" s="425">
        <f t="shared" si="119"/>
        <v>0</v>
      </c>
      <c r="BN245" s="425">
        <f t="shared" si="119"/>
        <v>0</v>
      </c>
      <c r="BO245" s="425">
        <f t="shared" si="119"/>
        <v>0</v>
      </c>
      <c r="BP245" s="425">
        <f t="shared" si="120"/>
        <v>0</v>
      </c>
      <c r="BQ245" s="425">
        <f t="shared" si="120"/>
        <v>0</v>
      </c>
      <c r="BR245" s="425">
        <f t="shared" si="120"/>
        <v>0</v>
      </c>
      <c r="BS245" s="425">
        <f t="shared" si="121"/>
        <v>0</v>
      </c>
      <c r="BT245" s="426">
        <f t="shared" si="121"/>
        <v>0</v>
      </c>
    </row>
    <row r="246" spans="2:72" x14ac:dyDescent="0.25">
      <c r="B246" s="145"/>
      <c r="C246" s="539">
        <v>45748</v>
      </c>
      <c r="D246" s="533"/>
      <c r="E246" s="534">
        <v>0</v>
      </c>
      <c r="F246" s="534">
        <v>0</v>
      </c>
      <c r="G246" s="534">
        <v>0</v>
      </c>
      <c r="H246" s="540">
        <v>0</v>
      </c>
      <c r="I246" s="536">
        <v>0</v>
      </c>
      <c r="J246" s="533"/>
      <c r="K246" s="534">
        <v>0</v>
      </c>
      <c r="L246" s="534">
        <v>0</v>
      </c>
      <c r="M246" s="534">
        <v>0</v>
      </c>
      <c r="N246" s="534">
        <v>0</v>
      </c>
      <c r="O246" s="534">
        <v>0</v>
      </c>
      <c r="P246" s="534">
        <v>0</v>
      </c>
      <c r="Q246" s="534">
        <v>0</v>
      </c>
      <c r="R246" s="534">
        <v>0</v>
      </c>
      <c r="S246" s="536">
        <v>0</v>
      </c>
      <c r="T246" s="533"/>
      <c r="U246" s="534">
        <v>0</v>
      </c>
      <c r="V246" s="534">
        <v>0</v>
      </c>
      <c r="W246" s="534">
        <v>0</v>
      </c>
      <c r="X246" s="534">
        <v>0</v>
      </c>
      <c r="Y246" s="534">
        <v>0</v>
      </c>
      <c r="Z246" s="534">
        <v>0</v>
      </c>
      <c r="AA246" s="534">
        <v>0</v>
      </c>
      <c r="AB246" s="534">
        <v>0</v>
      </c>
      <c r="AC246" s="534">
        <v>0</v>
      </c>
      <c r="AD246" s="534">
        <v>0</v>
      </c>
      <c r="AE246" s="536">
        <v>0</v>
      </c>
      <c r="AF246" s="533"/>
      <c r="AG246" s="534">
        <v>0</v>
      </c>
      <c r="AH246" s="534">
        <v>0</v>
      </c>
      <c r="AI246" s="534">
        <v>0</v>
      </c>
      <c r="AJ246" s="534">
        <v>0</v>
      </c>
      <c r="AK246" s="536">
        <v>0</v>
      </c>
      <c r="AL246" s="533"/>
      <c r="AM246" s="534">
        <v>0</v>
      </c>
      <c r="AN246" s="534">
        <v>0</v>
      </c>
      <c r="AO246" s="534">
        <v>0</v>
      </c>
      <c r="AP246" s="537">
        <v>0</v>
      </c>
      <c r="AQ246" s="535">
        <v>0</v>
      </c>
      <c r="AR246" s="534">
        <v>0</v>
      </c>
      <c r="AS246" s="534">
        <v>0</v>
      </c>
      <c r="AT246" s="534">
        <v>0</v>
      </c>
      <c r="AU246" s="536">
        <v>0</v>
      </c>
      <c r="AV246" s="533"/>
      <c r="AW246" s="538">
        <v>0</v>
      </c>
      <c r="AX246" s="538">
        <v>19053824.60002128</v>
      </c>
      <c r="AY246" s="533"/>
      <c r="AZ246" s="534">
        <f t="shared" si="114"/>
        <v>0</v>
      </c>
      <c r="BA246" s="534">
        <v>0</v>
      </c>
      <c r="BD246" s="392">
        <f t="shared" si="115"/>
        <v>0</v>
      </c>
      <c r="BE246" s="425">
        <f t="shared" si="116"/>
        <v>0</v>
      </c>
      <c r="BF246" s="425">
        <f t="shared" si="118"/>
        <v>0</v>
      </c>
      <c r="BG246" s="425">
        <f t="shared" si="118"/>
        <v>0</v>
      </c>
      <c r="BH246" s="425">
        <f t="shared" si="118"/>
        <v>0</v>
      </c>
      <c r="BI246" s="425">
        <f t="shared" si="118"/>
        <v>0</v>
      </c>
      <c r="BJ246" s="425">
        <f t="shared" si="118"/>
        <v>0</v>
      </c>
      <c r="BK246" s="425">
        <f t="shared" si="118"/>
        <v>0</v>
      </c>
      <c r="BL246" s="425">
        <f t="shared" si="118"/>
        <v>0</v>
      </c>
      <c r="BM246" s="425">
        <f t="shared" si="119"/>
        <v>0</v>
      </c>
      <c r="BN246" s="425">
        <f t="shared" si="119"/>
        <v>0</v>
      </c>
      <c r="BO246" s="425">
        <f t="shared" si="119"/>
        <v>0</v>
      </c>
      <c r="BP246" s="425">
        <f t="shared" si="120"/>
        <v>0</v>
      </c>
      <c r="BQ246" s="425">
        <f t="shared" si="120"/>
        <v>0</v>
      </c>
      <c r="BR246" s="425">
        <f t="shared" si="120"/>
        <v>0</v>
      </c>
      <c r="BS246" s="425">
        <f t="shared" si="121"/>
        <v>0</v>
      </c>
      <c r="BT246" s="426">
        <f t="shared" si="121"/>
        <v>0</v>
      </c>
    </row>
    <row r="247" spans="2:72" x14ac:dyDescent="0.25">
      <c r="B247" s="145"/>
      <c r="C247" s="539">
        <v>45778</v>
      </c>
      <c r="D247" s="533"/>
      <c r="E247" s="534">
        <v>0</v>
      </c>
      <c r="F247" s="534">
        <v>0</v>
      </c>
      <c r="G247" s="534">
        <v>0</v>
      </c>
      <c r="H247" s="540">
        <v>0</v>
      </c>
      <c r="I247" s="536">
        <v>0</v>
      </c>
      <c r="J247" s="533"/>
      <c r="K247" s="534">
        <v>0</v>
      </c>
      <c r="L247" s="534">
        <v>0</v>
      </c>
      <c r="M247" s="534">
        <v>0</v>
      </c>
      <c r="N247" s="534">
        <v>0</v>
      </c>
      <c r="O247" s="534">
        <v>0</v>
      </c>
      <c r="P247" s="534">
        <v>0</v>
      </c>
      <c r="Q247" s="534">
        <v>0</v>
      </c>
      <c r="R247" s="534">
        <v>0</v>
      </c>
      <c r="S247" s="536">
        <v>0</v>
      </c>
      <c r="T247" s="533"/>
      <c r="U247" s="534">
        <v>0</v>
      </c>
      <c r="V247" s="534">
        <v>0</v>
      </c>
      <c r="W247" s="534">
        <v>0</v>
      </c>
      <c r="X247" s="534">
        <v>0</v>
      </c>
      <c r="Y247" s="534">
        <v>0</v>
      </c>
      <c r="Z247" s="534">
        <v>0</v>
      </c>
      <c r="AA247" s="534">
        <v>0</v>
      </c>
      <c r="AB247" s="534">
        <v>0</v>
      </c>
      <c r="AC247" s="534">
        <v>0</v>
      </c>
      <c r="AD247" s="534">
        <v>0</v>
      </c>
      <c r="AE247" s="536">
        <v>0</v>
      </c>
      <c r="AF247" s="533"/>
      <c r="AG247" s="534">
        <v>0</v>
      </c>
      <c r="AH247" s="534">
        <v>0</v>
      </c>
      <c r="AI247" s="534">
        <v>0</v>
      </c>
      <c r="AJ247" s="534">
        <v>0</v>
      </c>
      <c r="AK247" s="536">
        <v>0</v>
      </c>
      <c r="AL247" s="533"/>
      <c r="AM247" s="534">
        <v>0</v>
      </c>
      <c r="AN247" s="534">
        <v>0</v>
      </c>
      <c r="AO247" s="534">
        <v>0</v>
      </c>
      <c r="AP247" s="537">
        <v>0</v>
      </c>
      <c r="AQ247" s="535">
        <v>0</v>
      </c>
      <c r="AR247" s="534">
        <v>0</v>
      </c>
      <c r="AS247" s="534">
        <v>0</v>
      </c>
      <c r="AT247" s="534">
        <v>0</v>
      </c>
      <c r="AU247" s="536">
        <v>0</v>
      </c>
      <c r="AV247" s="533"/>
      <c r="AW247" s="538">
        <v>0</v>
      </c>
      <c r="AX247" s="538">
        <v>19053824.60002128</v>
      </c>
      <c r="AY247" s="533"/>
      <c r="AZ247" s="534">
        <f t="shared" si="114"/>
        <v>0</v>
      </c>
      <c r="BA247" s="534">
        <v>0</v>
      </c>
      <c r="BD247" s="392">
        <f t="shared" si="115"/>
        <v>0</v>
      </c>
      <c r="BE247" s="425">
        <f t="shared" si="116"/>
        <v>0</v>
      </c>
      <c r="BF247" s="425">
        <f t="shared" si="118"/>
        <v>0</v>
      </c>
      <c r="BG247" s="425">
        <f t="shared" si="118"/>
        <v>0</v>
      </c>
      <c r="BH247" s="425">
        <f t="shared" si="118"/>
        <v>0</v>
      </c>
      <c r="BI247" s="425">
        <f t="shared" si="118"/>
        <v>0</v>
      </c>
      <c r="BJ247" s="425">
        <f t="shared" si="118"/>
        <v>0</v>
      </c>
      <c r="BK247" s="425">
        <f t="shared" si="118"/>
        <v>0</v>
      </c>
      <c r="BL247" s="425">
        <f t="shared" si="118"/>
        <v>0</v>
      </c>
      <c r="BM247" s="425">
        <f t="shared" si="119"/>
        <v>0</v>
      </c>
      <c r="BN247" s="425">
        <f t="shared" si="119"/>
        <v>0</v>
      </c>
      <c r="BO247" s="425">
        <f t="shared" si="119"/>
        <v>0</v>
      </c>
      <c r="BP247" s="425">
        <f t="shared" si="120"/>
        <v>0</v>
      </c>
      <c r="BQ247" s="425">
        <f t="shared" si="120"/>
        <v>0</v>
      </c>
      <c r="BR247" s="425">
        <f t="shared" si="120"/>
        <v>0</v>
      </c>
      <c r="BS247" s="425">
        <f t="shared" si="121"/>
        <v>0</v>
      </c>
      <c r="BT247" s="426">
        <f t="shared" si="121"/>
        <v>0</v>
      </c>
    </row>
    <row r="248" spans="2:72" x14ac:dyDescent="0.25">
      <c r="B248" s="145"/>
      <c r="C248" s="539">
        <v>45809</v>
      </c>
      <c r="D248" s="533"/>
      <c r="E248" s="534">
        <v>0</v>
      </c>
      <c r="F248" s="534">
        <v>0</v>
      </c>
      <c r="G248" s="534">
        <v>0</v>
      </c>
      <c r="H248" s="540">
        <v>0</v>
      </c>
      <c r="I248" s="536">
        <v>0</v>
      </c>
      <c r="J248" s="533"/>
      <c r="K248" s="534">
        <v>0</v>
      </c>
      <c r="L248" s="534">
        <v>0</v>
      </c>
      <c r="M248" s="534">
        <v>0</v>
      </c>
      <c r="N248" s="534">
        <v>0</v>
      </c>
      <c r="O248" s="534">
        <v>0</v>
      </c>
      <c r="P248" s="534">
        <v>0</v>
      </c>
      <c r="Q248" s="534">
        <v>0</v>
      </c>
      <c r="R248" s="534">
        <v>0</v>
      </c>
      <c r="S248" s="536">
        <v>0</v>
      </c>
      <c r="T248" s="533"/>
      <c r="U248" s="534">
        <v>0</v>
      </c>
      <c r="V248" s="534">
        <v>0</v>
      </c>
      <c r="W248" s="534">
        <v>0</v>
      </c>
      <c r="X248" s="534">
        <v>0</v>
      </c>
      <c r="Y248" s="534">
        <v>0</v>
      </c>
      <c r="Z248" s="534">
        <v>0</v>
      </c>
      <c r="AA248" s="534">
        <v>0</v>
      </c>
      <c r="AB248" s="534">
        <v>0</v>
      </c>
      <c r="AC248" s="534">
        <v>0</v>
      </c>
      <c r="AD248" s="534">
        <v>0</v>
      </c>
      <c r="AE248" s="536">
        <v>0</v>
      </c>
      <c r="AF248" s="533"/>
      <c r="AG248" s="534">
        <v>0</v>
      </c>
      <c r="AH248" s="534">
        <v>0</v>
      </c>
      <c r="AI248" s="534">
        <v>0</v>
      </c>
      <c r="AJ248" s="534">
        <v>0</v>
      </c>
      <c r="AK248" s="536">
        <v>0</v>
      </c>
      <c r="AL248" s="533"/>
      <c r="AM248" s="534">
        <v>0</v>
      </c>
      <c r="AN248" s="534">
        <v>0</v>
      </c>
      <c r="AO248" s="534">
        <v>0</v>
      </c>
      <c r="AP248" s="537">
        <v>0</v>
      </c>
      <c r="AQ248" s="535">
        <v>0</v>
      </c>
      <c r="AR248" s="534">
        <v>0</v>
      </c>
      <c r="AS248" s="534">
        <v>0</v>
      </c>
      <c r="AT248" s="534">
        <v>0</v>
      </c>
      <c r="AU248" s="536">
        <v>0</v>
      </c>
      <c r="AV248" s="533"/>
      <c r="AW248" s="538">
        <v>0</v>
      </c>
      <c r="AX248" s="538">
        <v>19053824.60002128</v>
      </c>
      <c r="AY248" s="533"/>
      <c r="AZ248" s="534">
        <f t="shared" si="114"/>
        <v>0</v>
      </c>
      <c r="BA248" s="534">
        <v>0</v>
      </c>
      <c r="BD248" s="392">
        <f t="shared" si="115"/>
        <v>0</v>
      </c>
      <c r="BE248" s="425">
        <f t="shared" si="116"/>
        <v>0</v>
      </c>
      <c r="BF248" s="425">
        <f t="shared" si="118"/>
        <v>0</v>
      </c>
      <c r="BG248" s="425">
        <f t="shared" si="118"/>
        <v>0</v>
      </c>
      <c r="BH248" s="425">
        <f t="shared" si="118"/>
        <v>0</v>
      </c>
      <c r="BI248" s="425">
        <f t="shared" si="118"/>
        <v>0</v>
      </c>
      <c r="BJ248" s="425">
        <f t="shared" si="118"/>
        <v>0</v>
      </c>
      <c r="BK248" s="425">
        <f t="shared" si="118"/>
        <v>0</v>
      </c>
      <c r="BL248" s="425">
        <f t="shared" si="118"/>
        <v>0</v>
      </c>
      <c r="BM248" s="425">
        <f t="shared" si="119"/>
        <v>0</v>
      </c>
      <c r="BN248" s="425">
        <f t="shared" si="119"/>
        <v>0</v>
      </c>
      <c r="BO248" s="425">
        <f t="shared" si="119"/>
        <v>0</v>
      </c>
      <c r="BP248" s="425">
        <f t="shared" si="120"/>
        <v>0</v>
      </c>
      <c r="BQ248" s="425">
        <f t="shared" si="120"/>
        <v>0</v>
      </c>
      <c r="BR248" s="425">
        <f t="shared" si="120"/>
        <v>0</v>
      </c>
      <c r="BS248" s="425">
        <f t="shared" si="121"/>
        <v>0</v>
      </c>
      <c r="BT248" s="426">
        <f t="shared" si="121"/>
        <v>0</v>
      </c>
    </row>
    <row r="249" spans="2:72" x14ac:dyDescent="0.25">
      <c r="B249" s="145"/>
      <c r="C249" s="539">
        <v>45839</v>
      </c>
      <c r="D249" s="533"/>
      <c r="E249" s="534">
        <v>0</v>
      </c>
      <c r="F249" s="534">
        <v>0</v>
      </c>
      <c r="G249" s="534">
        <v>0</v>
      </c>
      <c r="H249" s="540">
        <v>0</v>
      </c>
      <c r="I249" s="536">
        <v>0</v>
      </c>
      <c r="J249" s="533"/>
      <c r="K249" s="534">
        <v>0</v>
      </c>
      <c r="L249" s="534">
        <v>0</v>
      </c>
      <c r="M249" s="534">
        <v>0</v>
      </c>
      <c r="N249" s="534">
        <v>0</v>
      </c>
      <c r="O249" s="534">
        <v>0</v>
      </c>
      <c r="P249" s="534">
        <v>0</v>
      </c>
      <c r="Q249" s="534">
        <v>0</v>
      </c>
      <c r="R249" s="534">
        <v>0</v>
      </c>
      <c r="S249" s="536">
        <v>0</v>
      </c>
      <c r="T249" s="533"/>
      <c r="U249" s="534">
        <v>0</v>
      </c>
      <c r="V249" s="534">
        <v>0</v>
      </c>
      <c r="W249" s="534">
        <v>0</v>
      </c>
      <c r="X249" s="534">
        <v>0</v>
      </c>
      <c r="Y249" s="534">
        <v>0</v>
      </c>
      <c r="Z249" s="534">
        <v>0</v>
      </c>
      <c r="AA249" s="534">
        <v>0</v>
      </c>
      <c r="AB249" s="534">
        <v>0</v>
      </c>
      <c r="AC249" s="534">
        <v>0</v>
      </c>
      <c r="AD249" s="534">
        <v>0</v>
      </c>
      <c r="AE249" s="536">
        <v>0</v>
      </c>
      <c r="AF249" s="533"/>
      <c r="AG249" s="534">
        <v>0</v>
      </c>
      <c r="AH249" s="534">
        <v>0</v>
      </c>
      <c r="AI249" s="534">
        <v>0</v>
      </c>
      <c r="AJ249" s="534">
        <v>0</v>
      </c>
      <c r="AK249" s="536">
        <v>0</v>
      </c>
      <c r="AL249" s="533"/>
      <c r="AM249" s="534">
        <v>0</v>
      </c>
      <c r="AN249" s="534">
        <v>0</v>
      </c>
      <c r="AO249" s="534">
        <v>0</v>
      </c>
      <c r="AP249" s="537">
        <v>0</v>
      </c>
      <c r="AQ249" s="535">
        <v>0</v>
      </c>
      <c r="AR249" s="534">
        <v>0</v>
      </c>
      <c r="AS249" s="534">
        <v>0</v>
      </c>
      <c r="AT249" s="534">
        <v>0</v>
      </c>
      <c r="AU249" s="536">
        <v>0</v>
      </c>
      <c r="AV249" s="533"/>
      <c r="AW249" s="538">
        <v>0</v>
      </c>
      <c r="AX249" s="538">
        <v>19053824.60002128</v>
      </c>
      <c r="AY249" s="533"/>
      <c r="AZ249" s="534">
        <f t="shared" si="114"/>
        <v>0</v>
      </c>
      <c r="BA249" s="534">
        <v>0</v>
      </c>
      <c r="BD249" s="392">
        <f t="shared" si="115"/>
        <v>0</v>
      </c>
      <c r="BE249" s="425">
        <f t="shared" si="116"/>
        <v>0</v>
      </c>
      <c r="BF249" s="425">
        <f t="shared" si="118"/>
        <v>0</v>
      </c>
      <c r="BG249" s="425">
        <f t="shared" si="118"/>
        <v>0</v>
      </c>
      <c r="BH249" s="425">
        <f t="shared" si="118"/>
        <v>0</v>
      </c>
      <c r="BI249" s="425">
        <f t="shared" si="118"/>
        <v>0</v>
      </c>
      <c r="BJ249" s="425">
        <f t="shared" si="118"/>
        <v>0</v>
      </c>
      <c r="BK249" s="425">
        <f t="shared" si="118"/>
        <v>0</v>
      </c>
      <c r="BL249" s="425">
        <f t="shared" si="118"/>
        <v>0</v>
      </c>
      <c r="BM249" s="425">
        <f t="shared" si="119"/>
        <v>0</v>
      </c>
      <c r="BN249" s="425">
        <f t="shared" si="119"/>
        <v>0</v>
      </c>
      <c r="BO249" s="425">
        <f t="shared" si="119"/>
        <v>0</v>
      </c>
      <c r="BP249" s="425">
        <f t="shared" si="120"/>
        <v>0</v>
      </c>
      <c r="BQ249" s="425">
        <f t="shared" si="120"/>
        <v>0</v>
      </c>
      <c r="BR249" s="425">
        <f t="shared" si="120"/>
        <v>0</v>
      </c>
      <c r="BS249" s="425">
        <f t="shared" si="121"/>
        <v>0</v>
      </c>
      <c r="BT249" s="426">
        <f t="shared" si="121"/>
        <v>0</v>
      </c>
    </row>
    <row r="250" spans="2:72" x14ac:dyDescent="0.25">
      <c r="B250" s="145"/>
      <c r="C250" s="539">
        <v>45870</v>
      </c>
      <c r="D250" s="533"/>
      <c r="E250" s="534">
        <v>0</v>
      </c>
      <c r="F250" s="534">
        <v>0</v>
      </c>
      <c r="G250" s="534">
        <v>0</v>
      </c>
      <c r="H250" s="540">
        <v>0</v>
      </c>
      <c r="I250" s="536">
        <v>0</v>
      </c>
      <c r="J250" s="533"/>
      <c r="K250" s="534">
        <v>0</v>
      </c>
      <c r="L250" s="534">
        <v>0</v>
      </c>
      <c r="M250" s="534">
        <v>0</v>
      </c>
      <c r="N250" s="534">
        <v>0</v>
      </c>
      <c r="O250" s="534">
        <v>0</v>
      </c>
      <c r="P250" s="534">
        <v>0</v>
      </c>
      <c r="Q250" s="534">
        <v>0</v>
      </c>
      <c r="R250" s="534">
        <v>0</v>
      </c>
      <c r="S250" s="536">
        <v>0</v>
      </c>
      <c r="T250" s="533"/>
      <c r="U250" s="534">
        <v>0</v>
      </c>
      <c r="V250" s="534">
        <v>0</v>
      </c>
      <c r="W250" s="534">
        <v>0</v>
      </c>
      <c r="X250" s="534">
        <v>0</v>
      </c>
      <c r="Y250" s="534">
        <v>0</v>
      </c>
      <c r="Z250" s="534">
        <v>0</v>
      </c>
      <c r="AA250" s="534">
        <v>0</v>
      </c>
      <c r="AB250" s="534">
        <v>0</v>
      </c>
      <c r="AC250" s="534">
        <v>0</v>
      </c>
      <c r="AD250" s="534">
        <v>0</v>
      </c>
      <c r="AE250" s="536">
        <v>0</v>
      </c>
      <c r="AF250" s="533"/>
      <c r="AG250" s="534">
        <v>0</v>
      </c>
      <c r="AH250" s="534">
        <v>0</v>
      </c>
      <c r="AI250" s="534">
        <v>0</v>
      </c>
      <c r="AJ250" s="534">
        <v>0</v>
      </c>
      <c r="AK250" s="536">
        <v>0</v>
      </c>
      <c r="AL250" s="533"/>
      <c r="AM250" s="534">
        <v>0</v>
      </c>
      <c r="AN250" s="534">
        <v>0</v>
      </c>
      <c r="AO250" s="534">
        <v>0</v>
      </c>
      <c r="AP250" s="537">
        <v>0</v>
      </c>
      <c r="AQ250" s="535">
        <v>0</v>
      </c>
      <c r="AR250" s="534">
        <v>0</v>
      </c>
      <c r="AS250" s="534">
        <v>0</v>
      </c>
      <c r="AT250" s="534">
        <v>0</v>
      </c>
      <c r="AU250" s="536">
        <v>0</v>
      </c>
      <c r="AV250" s="533"/>
      <c r="AW250" s="538">
        <v>0</v>
      </c>
      <c r="AX250" s="538">
        <v>19053824.60002128</v>
      </c>
      <c r="AY250" s="533"/>
      <c r="AZ250" s="534">
        <f t="shared" si="114"/>
        <v>0</v>
      </c>
      <c r="BA250" s="534">
        <v>0</v>
      </c>
      <c r="BD250" s="392">
        <f t="shared" si="115"/>
        <v>0</v>
      </c>
      <c r="BE250" s="425">
        <f t="shared" si="116"/>
        <v>0</v>
      </c>
      <c r="BF250" s="425">
        <f t="shared" si="118"/>
        <v>0</v>
      </c>
      <c r="BG250" s="425">
        <f t="shared" si="118"/>
        <v>0</v>
      </c>
      <c r="BH250" s="425">
        <f t="shared" si="118"/>
        <v>0</v>
      </c>
      <c r="BI250" s="425">
        <f t="shared" si="118"/>
        <v>0</v>
      </c>
      <c r="BJ250" s="425">
        <f t="shared" si="118"/>
        <v>0</v>
      </c>
      <c r="BK250" s="425">
        <f t="shared" si="118"/>
        <v>0</v>
      </c>
      <c r="BL250" s="425">
        <f t="shared" si="118"/>
        <v>0</v>
      </c>
      <c r="BM250" s="425">
        <f t="shared" si="119"/>
        <v>0</v>
      </c>
      <c r="BN250" s="425">
        <f t="shared" si="119"/>
        <v>0</v>
      </c>
      <c r="BO250" s="425">
        <f t="shared" si="119"/>
        <v>0</v>
      </c>
      <c r="BP250" s="425">
        <f t="shared" si="120"/>
        <v>0</v>
      </c>
      <c r="BQ250" s="425">
        <f t="shared" si="120"/>
        <v>0</v>
      </c>
      <c r="BR250" s="425">
        <f t="shared" si="120"/>
        <v>0</v>
      </c>
      <c r="BS250" s="425">
        <f t="shared" si="121"/>
        <v>0</v>
      </c>
      <c r="BT250" s="426">
        <f t="shared" si="121"/>
        <v>0</v>
      </c>
    </row>
    <row r="251" spans="2:72" x14ac:dyDescent="0.25">
      <c r="B251" s="145"/>
      <c r="C251" s="539">
        <v>45901</v>
      </c>
      <c r="D251" s="533"/>
      <c r="E251" s="534">
        <v>0</v>
      </c>
      <c r="F251" s="534">
        <v>0</v>
      </c>
      <c r="G251" s="534">
        <v>0</v>
      </c>
      <c r="H251" s="540">
        <v>0</v>
      </c>
      <c r="I251" s="536">
        <v>0</v>
      </c>
      <c r="J251" s="533"/>
      <c r="K251" s="534">
        <v>0</v>
      </c>
      <c r="L251" s="534">
        <v>0</v>
      </c>
      <c r="M251" s="534">
        <v>0</v>
      </c>
      <c r="N251" s="534">
        <v>0</v>
      </c>
      <c r="O251" s="534">
        <v>0</v>
      </c>
      <c r="P251" s="534">
        <v>0</v>
      </c>
      <c r="Q251" s="534">
        <v>0</v>
      </c>
      <c r="R251" s="534">
        <v>0</v>
      </c>
      <c r="S251" s="536">
        <v>0</v>
      </c>
      <c r="T251" s="533"/>
      <c r="U251" s="534">
        <v>0</v>
      </c>
      <c r="V251" s="534">
        <v>0</v>
      </c>
      <c r="W251" s="534">
        <v>0</v>
      </c>
      <c r="X251" s="534">
        <v>0</v>
      </c>
      <c r="Y251" s="534">
        <v>0</v>
      </c>
      <c r="Z251" s="534">
        <v>0</v>
      </c>
      <c r="AA251" s="534">
        <v>0</v>
      </c>
      <c r="AB251" s="534">
        <v>0</v>
      </c>
      <c r="AC251" s="534">
        <v>0</v>
      </c>
      <c r="AD251" s="534">
        <v>0</v>
      </c>
      <c r="AE251" s="536">
        <v>0</v>
      </c>
      <c r="AF251" s="533"/>
      <c r="AG251" s="534">
        <v>0</v>
      </c>
      <c r="AH251" s="534">
        <v>0</v>
      </c>
      <c r="AI251" s="534">
        <v>0</v>
      </c>
      <c r="AJ251" s="534">
        <v>0</v>
      </c>
      <c r="AK251" s="536">
        <v>0</v>
      </c>
      <c r="AL251" s="533"/>
      <c r="AM251" s="534">
        <v>0</v>
      </c>
      <c r="AN251" s="534">
        <v>0</v>
      </c>
      <c r="AO251" s="534">
        <v>0</v>
      </c>
      <c r="AP251" s="537">
        <v>0</v>
      </c>
      <c r="AQ251" s="535">
        <v>0</v>
      </c>
      <c r="AR251" s="534">
        <v>0</v>
      </c>
      <c r="AS251" s="534">
        <v>0</v>
      </c>
      <c r="AT251" s="534">
        <v>0</v>
      </c>
      <c r="AU251" s="536">
        <v>0</v>
      </c>
      <c r="AV251" s="533"/>
      <c r="AW251" s="538">
        <v>0</v>
      </c>
      <c r="AX251" s="538">
        <v>19053824.60002128</v>
      </c>
      <c r="AY251" s="533"/>
      <c r="AZ251" s="534">
        <f t="shared" si="114"/>
        <v>0</v>
      </c>
      <c r="BA251" s="534">
        <v>0</v>
      </c>
      <c r="BD251" s="392">
        <f t="shared" si="115"/>
        <v>0</v>
      </c>
      <c r="BE251" s="425">
        <f t="shared" si="116"/>
        <v>0</v>
      </c>
      <c r="BF251" s="425">
        <f t="shared" ref="BF251:BL260" si="122">-SUMIF($E$6:$BA$6, BF$6, $E251:$BA251)</f>
        <v>0</v>
      </c>
      <c r="BG251" s="425">
        <f t="shared" si="122"/>
        <v>0</v>
      </c>
      <c r="BH251" s="425">
        <f t="shared" si="122"/>
        <v>0</v>
      </c>
      <c r="BI251" s="425">
        <f t="shared" si="122"/>
        <v>0</v>
      </c>
      <c r="BJ251" s="425">
        <f t="shared" si="122"/>
        <v>0</v>
      </c>
      <c r="BK251" s="425">
        <f t="shared" si="122"/>
        <v>0</v>
      </c>
      <c r="BL251" s="425">
        <f t="shared" si="122"/>
        <v>0</v>
      </c>
      <c r="BM251" s="425">
        <f t="shared" si="119"/>
        <v>0</v>
      </c>
      <c r="BN251" s="425">
        <f t="shared" si="119"/>
        <v>0</v>
      </c>
      <c r="BO251" s="425">
        <f t="shared" si="119"/>
        <v>0</v>
      </c>
      <c r="BP251" s="425">
        <f t="shared" si="120"/>
        <v>0</v>
      </c>
      <c r="BQ251" s="425">
        <f t="shared" si="120"/>
        <v>0</v>
      </c>
      <c r="BR251" s="425">
        <f t="shared" si="120"/>
        <v>0</v>
      </c>
      <c r="BS251" s="425">
        <f t="shared" si="121"/>
        <v>0</v>
      </c>
      <c r="BT251" s="426">
        <f t="shared" si="121"/>
        <v>0</v>
      </c>
    </row>
    <row r="252" spans="2:72" x14ac:dyDescent="0.25">
      <c r="B252" s="145"/>
      <c r="C252" s="539">
        <v>45931</v>
      </c>
      <c r="D252" s="533"/>
      <c r="E252" s="534">
        <v>0</v>
      </c>
      <c r="F252" s="534">
        <v>0</v>
      </c>
      <c r="G252" s="534">
        <v>0</v>
      </c>
      <c r="H252" s="540">
        <v>0</v>
      </c>
      <c r="I252" s="536">
        <v>0</v>
      </c>
      <c r="J252" s="533"/>
      <c r="K252" s="534">
        <v>0</v>
      </c>
      <c r="L252" s="534">
        <v>0</v>
      </c>
      <c r="M252" s="534">
        <v>0</v>
      </c>
      <c r="N252" s="534">
        <v>0</v>
      </c>
      <c r="O252" s="534">
        <v>0</v>
      </c>
      <c r="P252" s="534">
        <v>0</v>
      </c>
      <c r="Q252" s="534">
        <v>0</v>
      </c>
      <c r="R252" s="534">
        <v>0</v>
      </c>
      <c r="S252" s="536">
        <v>0</v>
      </c>
      <c r="T252" s="533"/>
      <c r="U252" s="534">
        <v>0</v>
      </c>
      <c r="V252" s="534">
        <v>0</v>
      </c>
      <c r="W252" s="534">
        <v>0</v>
      </c>
      <c r="X252" s="534">
        <v>0</v>
      </c>
      <c r="Y252" s="534">
        <v>0</v>
      </c>
      <c r="Z252" s="534">
        <v>0</v>
      </c>
      <c r="AA252" s="534">
        <v>0</v>
      </c>
      <c r="AB252" s="534">
        <v>0</v>
      </c>
      <c r="AC252" s="534">
        <v>0</v>
      </c>
      <c r="AD252" s="534">
        <v>0</v>
      </c>
      <c r="AE252" s="536">
        <v>0</v>
      </c>
      <c r="AF252" s="533"/>
      <c r="AG252" s="534">
        <v>0</v>
      </c>
      <c r="AH252" s="534">
        <v>0</v>
      </c>
      <c r="AI252" s="534">
        <v>0</v>
      </c>
      <c r="AJ252" s="534">
        <v>0</v>
      </c>
      <c r="AK252" s="536">
        <v>0</v>
      </c>
      <c r="AL252" s="533"/>
      <c r="AM252" s="534">
        <v>0</v>
      </c>
      <c r="AN252" s="534">
        <v>0</v>
      </c>
      <c r="AO252" s="534">
        <v>0</v>
      </c>
      <c r="AP252" s="537">
        <v>0</v>
      </c>
      <c r="AQ252" s="535">
        <v>0</v>
      </c>
      <c r="AR252" s="534">
        <v>0</v>
      </c>
      <c r="AS252" s="534">
        <v>0</v>
      </c>
      <c r="AT252" s="534">
        <v>0</v>
      </c>
      <c r="AU252" s="536">
        <v>0</v>
      </c>
      <c r="AV252" s="533"/>
      <c r="AW252" s="538">
        <v>0</v>
      </c>
      <c r="AX252" s="538">
        <v>19053824.60002128</v>
      </c>
      <c r="AY252" s="533"/>
      <c r="AZ252" s="534">
        <f t="shared" si="114"/>
        <v>0</v>
      </c>
      <c r="BA252" s="534">
        <v>0</v>
      </c>
      <c r="BD252" s="392">
        <f t="shared" si="115"/>
        <v>0</v>
      </c>
      <c r="BE252" s="425">
        <f t="shared" si="116"/>
        <v>0</v>
      </c>
      <c r="BF252" s="425">
        <f t="shared" si="122"/>
        <v>0</v>
      </c>
      <c r="BG252" s="425">
        <f t="shared" si="122"/>
        <v>0</v>
      </c>
      <c r="BH252" s="425">
        <f t="shared" si="122"/>
        <v>0</v>
      </c>
      <c r="BI252" s="425">
        <f t="shared" si="122"/>
        <v>0</v>
      </c>
      <c r="BJ252" s="425">
        <f t="shared" si="122"/>
        <v>0</v>
      </c>
      <c r="BK252" s="425">
        <f t="shared" si="122"/>
        <v>0</v>
      </c>
      <c r="BL252" s="425">
        <f t="shared" si="122"/>
        <v>0</v>
      </c>
      <c r="BM252" s="425">
        <f t="shared" si="119"/>
        <v>0</v>
      </c>
      <c r="BN252" s="425">
        <f t="shared" si="119"/>
        <v>0</v>
      </c>
      <c r="BO252" s="425">
        <f t="shared" si="119"/>
        <v>0</v>
      </c>
      <c r="BP252" s="425">
        <f t="shared" si="120"/>
        <v>0</v>
      </c>
      <c r="BQ252" s="425">
        <f t="shared" si="120"/>
        <v>0</v>
      </c>
      <c r="BR252" s="425">
        <f t="shared" si="120"/>
        <v>0</v>
      </c>
      <c r="BS252" s="425">
        <f t="shared" si="121"/>
        <v>0</v>
      </c>
      <c r="BT252" s="426">
        <f t="shared" si="121"/>
        <v>0</v>
      </c>
    </row>
    <row r="253" spans="2:72" x14ac:dyDescent="0.25">
      <c r="B253" s="145"/>
      <c r="C253" s="539">
        <v>45962</v>
      </c>
      <c r="D253" s="533"/>
      <c r="E253" s="534">
        <v>0</v>
      </c>
      <c r="F253" s="534">
        <v>0</v>
      </c>
      <c r="G253" s="534">
        <v>0</v>
      </c>
      <c r="H253" s="540">
        <v>0</v>
      </c>
      <c r="I253" s="536">
        <v>0</v>
      </c>
      <c r="J253" s="533"/>
      <c r="K253" s="534">
        <v>0</v>
      </c>
      <c r="L253" s="534">
        <v>0</v>
      </c>
      <c r="M253" s="534">
        <v>0</v>
      </c>
      <c r="N253" s="534">
        <v>0</v>
      </c>
      <c r="O253" s="534">
        <v>0</v>
      </c>
      <c r="P253" s="534">
        <v>0</v>
      </c>
      <c r="Q253" s="534">
        <v>0</v>
      </c>
      <c r="R253" s="534">
        <v>0</v>
      </c>
      <c r="S253" s="536">
        <v>0</v>
      </c>
      <c r="T253" s="533"/>
      <c r="U253" s="534">
        <v>0</v>
      </c>
      <c r="V253" s="534">
        <v>0</v>
      </c>
      <c r="W253" s="534">
        <v>0</v>
      </c>
      <c r="X253" s="534">
        <v>0</v>
      </c>
      <c r="Y253" s="534">
        <v>0</v>
      </c>
      <c r="Z253" s="534">
        <v>0</v>
      </c>
      <c r="AA253" s="534">
        <v>0</v>
      </c>
      <c r="AB253" s="534">
        <v>0</v>
      </c>
      <c r="AC253" s="534">
        <v>0</v>
      </c>
      <c r="AD253" s="534">
        <v>0</v>
      </c>
      <c r="AE253" s="536">
        <v>0</v>
      </c>
      <c r="AF253" s="533"/>
      <c r="AG253" s="534">
        <v>0</v>
      </c>
      <c r="AH253" s="534">
        <v>0</v>
      </c>
      <c r="AI253" s="534">
        <v>0</v>
      </c>
      <c r="AJ253" s="534">
        <v>0</v>
      </c>
      <c r="AK253" s="536">
        <v>0</v>
      </c>
      <c r="AL253" s="533"/>
      <c r="AM253" s="534">
        <v>0</v>
      </c>
      <c r="AN253" s="534">
        <v>0</v>
      </c>
      <c r="AO253" s="534">
        <v>0</v>
      </c>
      <c r="AP253" s="537">
        <v>0</v>
      </c>
      <c r="AQ253" s="535">
        <v>0</v>
      </c>
      <c r="AR253" s="534">
        <v>0</v>
      </c>
      <c r="AS253" s="534">
        <v>0</v>
      </c>
      <c r="AT253" s="534">
        <v>0</v>
      </c>
      <c r="AU253" s="536">
        <v>0</v>
      </c>
      <c r="AV253" s="533"/>
      <c r="AW253" s="538">
        <v>0</v>
      </c>
      <c r="AX253" s="538">
        <v>19053824.60002128</v>
      </c>
      <c r="AY253" s="533"/>
      <c r="AZ253" s="534">
        <f t="shared" si="114"/>
        <v>0</v>
      </c>
      <c r="BA253" s="534">
        <v>0</v>
      </c>
      <c r="BD253" s="392">
        <f t="shared" si="115"/>
        <v>0</v>
      </c>
      <c r="BE253" s="425">
        <f t="shared" si="116"/>
        <v>0</v>
      </c>
      <c r="BF253" s="425">
        <f t="shared" si="122"/>
        <v>0</v>
      </c>
      <c r="BG253" s="425">
        <f t="shared" si="122"/>
        <v>0</v>
      </c>
      <c r="BH253" s="425">
        <f t="shared" si="122"/>
        <v>0</v>
      </c>
      <c r="BI253" s="425">
        <f t="shared" si="122"/>
        <v>0</v>
      </c>
      <c r="BJ253" s="425">
        <f t="shared" si="122"/>
        <v>0</v>
      </c>
      <c r="BK253" s="425">
        <f t="shared" si="122"/>
        <v>0</v>
      </c>
      <c r="BL253" s="425">
        <f t="shared" si="122"/>
        <v>0</v>
      </c>
      <c r="BM253" s="425">
        <f t="shared" si="119"/>
        <v>0</v>
      </c>
      <c r="BN253" s="425">
        <f t="shared" si="119"/>
        <v>0</v>
      </c>
      <c r="BO253" s="425">
        <f t="shared" si="119"/>
        <v>0</v>
      </c>
      <c r="BP253" s="425">
        <f t="shared" si="120"/>
        <v>0</v>
      </c>
      <c r="BQ253" s="425">
        <f t="shared" si="120"/>
        <v>0</v>
      </c>
      <c r="BR253" s="425">
        <f t="shared" si="120"/>
        <v>0</v>
      </c>
      <c r="BS253" s="425">
        <f t="shared" si="121"/>
        <v>0</v>
      </c>
      <c r="BT253" s="426">
        <f t="shared" si="121"/>
        <v>0</v>
      </c>
    </row>
    <row r="254" spans="2:72" x14ac:dyDescent="0.25">
      <c r="B254" s="145"/>
      <c r="C254" s="539">
        <v>45992</v>
      </c>
      <c r="D254" s="533"/>
      <c r="E254" s="534">
        <v>0</v>
      </c>
      <c r="F254" s="534">
        <v>0</v>
      </c>
      <c r="G254" s="534">
        <v>0</v>
      </c>
      <c r="H254" s="540">
        <v>0</v>
      </c>
      <c r="I254" s="536">
        <v>0</v>
      </c>
      <c r="J254" s="533"/>
      <c r="K254" s="534">
        <v>0</v>
      </c>
      <c r="L254" s="534">
        <v>0</v>
      </c>
      <c r="M254" s="534">
        <v>0</v>
      </c>
      <c r="N254" s="534">
        <v>0</v>
      </c>
      <c r="O254" s="534">
        <v>0</v>
      </c>
      <c r="P254" s="534">
        <v>0</v>
      </c>
      <c r="Q254" s="534">
        <v>0</v>
      </c>
      <c r="R254" s="534">
        <v>0</v>
      </c>
      <c r="S254" s="536">
        <v>0</v>
      </c>
      <c r="T254" s="533"/>
      <c r="U254" s="534">
        <v>0</v>
      </c>
      <c r="V254" s="534">
        <v>0</v>
      </c>
      <c r="W254" s="534">
        <v>0</v>
      </c>
      <c r="X254" s="534">
        <v>0</v>
      </c>
      <c r="Y254" s="534">
        <v>0</v>
      </c>
      <c r="Z254" s="534">
        <v>0</v>
      </c>
      <c r="AA254" s="534">
        <v>0</v>
      </c>
      <c r="AB254" s="534">
        <v>0</v>
      </c>
      <c r="AC254" s="534">
        <v>0</v>
      </c>
      <c r="AD254" s="534">
        <v>0</v>
      </c>
      <c r="AE254" s="536">
        <v>0</v>
      </c>
      <c r="AF254" s="533"/>
      <c r="AG254" s="534">
        <v>0</v>
      </c>
      <c r="AH254" s="534">
        <v>0</v>
      </c>
      <c r="AI254" s="534">
        <v>0</v>
      </c>
      <c r="AJ254" s="534">
        <v>0</v>
      </c>
      <c r="AK254" s="536">
        <v>0</v>
      </c>
      <c r="AL254" s="533"/>
      <c r="AM254" s="534">
        <v>0</v>
      </c>
      <c r="AN254" s="534">
        <v>0</v>
      </c>
      <c r="AO254" s="534">
        <v>0</v>
      </c>
      <c r="AP254" s="537">
        <v>0</v>
      </c>
      <c r="AQ254" s="535">
        <v>0</v>
      </c>
      <c r="AR254" s="534">
        <v>0</v>
      </c>
      <c r="AS254" s="534">
        <v>0</v>
      </c>
      <c r="AT254" s="534">
        <v>0</v>
      </c>
      <c r="AU254" s="536">
        <v>0</v>
      </c>
      <c r="AV254" s="533"/>
      <c r="AW254" s="538">
        <v>0</v>
      </c>
      <c r="AX254" s="538">
        <v>19053824.60002128</v>
      </c>
      <c r="AY254" s="533"/>
      <c r="AZ254" s="534">
        <f t="shared" si="114"/>
        <v>0</v>
      </c>
      <c r="BA254" s="534">
        <v>0</v>
      </c>
      <c r="BD254" s="392">
        <f t="shared" si="115"/>
        <v>0</v>
      </c>
      <c r="BE254" s="425">
        <f t="shared" si="116"/>
        <v>0</v>
      </c>
      <c r="BF254" s="425">
        <f t="shared" si="122"/>
        <v>0</v>
      </c>
      <c r="BG254" s="425">
        <f t="shared" si="122"/>
        <v>0</v>
      </c>
      <c r="BH254" s="425">
        <f t="shared" si="122"/>
        <v>0</v>
      </c>
      <c r="BI254" s="425">
        <f t="shared" si="122"/>
        <v>0</v>
      </c>
      <c r="BJ254" s="425">
        <f t="shared" si="122"/>
        <v>0</v>
      </c>
      <c r="BK254" s="425">
        <f t="shared" si="122"/>
        <v>0</v>
      </c>
      <c r="BL254" s="425">
        <f t="shared" si="122"/>
        <v>0</v>
      </c>
      <c r="BM254" s="425">
        <f t="shared" si="119"/>
        <v>0</v>
      </c>
      <c r="BN254" s="425">
        <f t="shared" si="119"/>
        <v>0</v>
      </c>
      <c r="BO254" s="425">
        <f t="shared" si="119"/>
        <v>0</v>
      </c>
      <c r="BP254" s="425">
        <f t="shared" si="120"/>
        <v>0</v>
      </c>
      <c r="BQ254" s="425">
        <f t="shared" si="120"/>
        <v>0</v>
      </c>
      <c r="BR254" s="425">
        <f t="shared" si="120"/>
        <v>0</v>
      </c>
      <c r="BS254" s="425">
        <f t="shared" si="121"/>
        <v>0</v>
      </c>
      <c r="BT254" s="426">
        <f t="shared" si="121"/>
        <v>0</v>
      </c>
    </row>
    <row r="255" spans="2:72" x14ac:dyDescent="0.25">
      <c r="B255" s="145"/>
      <c r="C255" s="539">
        <v>46023</v>
      </c>
      <c r="D255" s="533"/>
      <c r="E255" s="534">
        <v>0</v>
      </c>
      <c r="F255" s="534">
        <v>0</v>
      </c>
      <c r="G255" s="534">
        <v>0</v>
      </c>
      <c r="H255" s="540">
        <v>0</v>
      </c>
      <c r="I255" s="536">
        <v>0</v>
      </c>
      <c r="J255" s="533"/>
      <c r="K255" s="534">
        <v>0</v>
      </c>
      <c r="L255" s="534">
        <v>0</v>
      </c>
      <c r="M255" s="534">
        <v>0</v>
      </c>
      <c r="N255" s="534">
        <v>0</v>
      </c>
      <c r="O255" s="534">
        <v>0</v>
      </c>
      <c r="P255" s="534">
        <v>0</v>
      </c>
      <c r="Q255" s="534">
        <v>0</v>
      </c>
      <c r="R255" s="534">
        <v>0</v>
      </c>
      <c r="S255" s="536">
        <v>0</v>
      </c>
      <c r="T255" s="533"/>
      <c r="U255" s="534">
        <v>0</v>
      </c>
      <c r="V255" s="534">
        <v>0</v>
      </c>
      <c r="W255" s="534">
        <v>0</v>
      </c>
      <c r="X255" s="534">
        <v>0</v>
      </c>
      <c r="Y255" s="534">
        <v>0</v>
      </c>
      <c r="Z255" s="534">
        <v>0</v>
      </c>
      <c r="AA255" s="534">
        <v>0</v>
      </c>
      <c r="AB255" s="534">
        <v>0</v>
      </c>
      <c r="AC255" s="534">
        <v>0</v>
      </c>
      <c r="AD255" s="534">
        <v>0</v>
      </c>
      <c r="AE255" s="536">
        <v>0</v>
      </c>
      <c r="AF255" s="533"/>
      <c r="AG255" s="534">
        <v>0</v>
      </c>
      <c r="AH255" s="534">
        <v>0</v>
      </c>
      <c r="AI255" s="534">
        <v>0</v>
      </c>
      <c r="AJ255" s="534">
        <v>0</v>
      </c>
      <c r="AK255" s="536">
        <v>0</v>
      </c>
      <c r="AL255" s="533"/>
      <c r="AM255" s="534">
        <v>0</v>
      </c>
      <c r="AN255" s="534">
        <v>0</v>
      </c>
      <c r="AO255" s="534">
        <v>0</v>
      </c>
      <c r="AP255" s="537">
        <v>0</v>
      </c>
      <c r="AQ255" s="535">
        <v>0</v>
      </c>
      <c r="AR255" s="534">
        <v>0</v>
      </c>
      <c r="AS255" s="534">
        <v>0</v>
      </c>
      <c r="AT255" s="534">
        <v>0</v>
      </c>
      <c r="AU255" s="536">
        <v>0</v>
      </c>
      <c r="AV255" s="533"/>
      <c r="AW255" s="538">
        <v>0</v>
      </c>
      <c r="AX255" s="538">
        <v>19053824.60002128</v>
      </c>
      <c r="AY255" s="533"/>
      <c r="AZ255" s="534">
        <f t="shared" ref="AZ255:AZ286" si="123">0 - BA255</f>
        <v>0</v>
      </c>
      <c r="BA255" s="534">
        <v>0</v>
      </c>
      <c r="BD255" s="392">
        <f t="shared" si="115"/>
        <v>0</v>
      </c>
      <c r="BE255" s="425">
        <f t="shared" si="116"/>
        <v>0</v>
      </c>
      <c r="BF255" s="425">
        <f t="shared" si="122"/>
        <v>0</v>
      </c>
      <c r="BG255" s="425">
        <f t="shared" si="122"/>
        <v>0</v>
      </c>
      <c r="BH255" s="425">
        <f t="shared" si="122"/>
        <v>0</v>
      </c>
      <c r="BI255" s="425">
        <f t="shared" si="122"/>
        <v>0</v>
      </c>
      <c r="BJ255" s="425">
        <f t="shared" si="122"/>
        <v>0</v>
      </c>
      <c r="BK255" s="425">
        <f t="shared" si="122"/>
        <v>0</v>
      </c>
      <c r="BL255" s="425">
        <f t="shared" si="122"/>
        <v>0</v>
      </c>
      <c r="BM255" s="425">
        <f t="shared" si="119"/>
        <v>0</v>
      </c>
      <c r="BN255" s="425">
        <f t="shared" si="119"/>
        <v>0</v>
      </c>
      <c r="BO255" s="425">
        <f t="shared" si="119"/>
        <v>0</v>
      </c>
      <c r="BP255" s="425">
        <f t="shared" si="120"/>
        <v>0</v>
      </c>
      <c r="BQ255" s="425">
        <f t="shared" si="120"/>
        <v>0</v>
      </c>
      <c r="BR255" s="425">
        <f t="shared" si="120"/>
        <v>0</v>
      </c>
      <c r="BS255" s="425">
        <f t="shared" si="121"/>
        <v>0</v>
      </c>
      <c r="BT255" s="426">
        <f t="shared" si="121"/>
        <v>0</v>
      </c>
    </row>
    <row r="256" spans="2:72" x14ac:dyDescent="0.25">
      <c r="B256" s="145"/>
      <c r="C256" s="539">
        <v>46054</v>
      </c>
      <c r="D256" s="533"/>
      <c r="E256" s="534">
        <v>0</v>
      </c>
      <c r="F256" s="534">
        <v>0</v>
      </c>
      <c r="G256" s="534">
        <v>0</v>
      </c>
      <c r="H256" s="540">
        <v>0</v>
      </c>
      <c r="I256" s="536">
        <v>0</v>
      </c>
      <c r="J256" s="533"/>
      <c r="K256" s="534">
        <v>0</v>
      </c>
      <c r="L256" s="534">
        <v>0</v>
      </c>
      <c r="M256" s="534">
        <v>0</v>
      </c>
      <c r="N256" s="534">
        <v>0</v>
      </c>
      <c r="O256" s="534">
        <v>0</v>
      </c>
      <c r="P256" s="534">
        <v>0</v>
      </c>
      <c r="Q256" s="534">
        <v>0</v>
      </c>
      <c r="R256" s="534">
        <v>0</v>
      </c>
      <c r="S256" s="536">
        <v>0</v>
      </c>
      <c r="T256" s="533"/>
      <c r="U256" s="534">
        <v>0</v>
      </c>
      <c r="V256" s="534">
        <v>0</v>
      </c>
      <c r="W256" s="534">
        <v>0</v>
      </c>
      <c r="X256" s="534">
        <v>0</v>
      </c>
      <c r="Y256" s="534">
        <v>0</v>
      </c>
      <c r="Z256" s="534">
        <v>0</v>
      </c>
      <c r="AA256" s="534">
        <v>0</v>
      </c>
      <c r="AB256" s="534">
        <v>0</v>
      </c>
      <c r="AC256" s="534">
        <v>0</v>
      </c>
      <c r="AD256" s="534">
        <v>0</v>
      </c>
      <c r="AE256" s="536">
        <v>0</v>
      </c>
      <c r="AF256" s="533"/>
      <c r="AG256" s="534">
        <v>0</v>
      </c>
      <c r="AH256" s="534">
        <v>0</v>
      </c>
      <c r="AI256" s="534">
        <v>0</v>
      </c>
      <c r="AJ256" s="534">
        <v>0</v>
      </c>
      <c r="AK256" s="536">
        <v>0</v>
      </c>
      <c r="AL256" s="533"/>
      <c r="AM256" s="534">
        <v>0</v>
      </c>
      <c r="AN256" s="534">
        <v>0</v>
      </c>
      <c r="AO256" s="534">
        <v>0</v>
      </c>
      <c r="AP256" s="537">
        <v>0</v>
      </c>
      <c r="AQ256" s="535">
        <v>0</v>
      </c>
      <c r="AR256" s="534">
        <v>0</v>
      </c>
      <c r="AS256" s="534">
        <v>0</v>
      </c>
      <c r="AT256" s="534">
        <v>0</v>
      </c>
      <c r="AU256" s="536">
        <v>0</v>
      </c>
      <c r="AV256" s="533"/>
      <c r="AW256" s="538">
        <v>0</v>
      </c>
      <c r="AX256" s="538">
        <v>19053824.60002128</v>
      </c>
      <c r="AY256" s="533"/>
      <c r="AZ256" s="534">
        <f t="shared" si="123"/>
        <v>0</v>
      </c>
      <c r="BA256" s="534">
        <v>0</v>
      </c>
      <c r="BD256" s="392">
        <f t="shared" si="115"/>
        <v>0</v>
      </c>
      <c r="BE256" s="425">
        <f t="shared" si="116"/>
        <v>0</v>
      </c>
      <c r="BF256" s="425">
        <f t="shared" si="122"/>
        <v>0</v>
      </c>
      <c r="BG256" s="425">
        <f t="shared" si="122"/>
        <v>0</v>
      </c>
      <c r="BH256" s="425">
        <f t="shared" si="122"/>
        <v>0</v>
      </c>
      <c r="BI256" s="425">
        <f t="shared" si="122"/>
        <v>0</v>
      </c>
      <c r="BJ256" s="425">
        <f t="shared" si="122"/>
        <v>0</v>
      </c>
      <c r="BK256" s="425">
        <f t="shared" si="122"/>
        <v>0</v>
      </c>
      <c r="BL256" s="425">
        <f t="shared" si="122"/>
        <v>0</v>
      </c>
      <c r="BM256" s="425">
        <f t="shared" si="119"/>
        <v>0</v>
      </c>
      <c r="BN256" s="425">
        <f t="shared" si="119"/>
        <v>0</v>
      </c>
      <c r="BO256" s="425">
        <f t="shared" si="119"/>
        <v>0</v>
      </c>
      <c r="BP256" s="425">
        <f t="shared" si="120"/>
        <v>0</v>
      </c>
      <c r="BQ256" s="425">
        <f t="shared" si="120"/>
        <v>0</v>
      </c>
      <c r="BR256" s="425">
        <f t="shared" si="120"/>
        <v>0</v>
      </c>
      <c r="BS256" s="425">
        <f t="shared" si="121"/>
        <v>0</v>
      </c>
      <c r="BT256" s="426">
        <f t="shared" si="121"/>
        <v>0</v>
      </c>
    </row>
    <row r="257" spans="2:72" x14ac:dyDescent="0.25">
      <c r="B257" s="145"/>
      <c r="C257" s="539">
        <v>46082</v>
      </c>
      <c r="D257" s="533"/>
      <c r="E257" s="534">
        <v>0</v>
      </c>
      <c r="F257" s="534">
        <v>0</v>
      </c>
      <c r="G257" s="534">
        <v>0</v>
      </c>
      <c r="H257" s="540">
        <v>0</v>
      </c>
      <c r="I257" s="536">
        <v>0</v>
      </c>
      <c r="J257" s="533"/>
      <c r="K257" s="534">
        <v>0</v>
      </c>
      <c r="L257" s="534">
        <v>0</v>
      </c>
      <c r="M257" s="534">
        <v>0</v>
      </c>
      <c r="N257" s="534">
        <v>0</v>
      </c>
      <c r="O257" s="534">
        <v>0</v>
      </c>
      <c r="P257" s="534">
        <v>0</v>
      </c>
      <c r="Q257" s="534">
        <v>0</v>
      </c>
      <c r="R257" s="534">
        <v>0</v>
      </c>
      <c r="S257" s="536">
        <v>0</v>
      </c>
      <c r="T257" s="533"/>
      <c r="U257" s="534">
        <v>0</v>
      </c>
      <c r="V257" s="534">
        <v>0</v>
      </c>
      <c r="W257" s="534">
        <v>0</v>
      </c>
      <c r="X257" s="534">
        <v>0</v>
      </c>
      <c r="Y257" s="534">
        <v>0</v>
      </c>
      <c r="Z257" s="534">
        <v>0</v>
      </c>
      <c r="AA257" s="534">
        <v>0</v>
      </c>
      <c r="AB257" s="534">
        <v>0</v>
      </c>
      <c r="AC257" s="534">
        <v>0</v>
      </c>
      <c r="AD257" s="534">
        <v>0</v>
      </c>
      <c r="AE257" s="536">
        <v>0</v>
      </c>
      <c r="AF257" s="533"/>
      <c r="AG257" s="534">
        <v>0</v>
      </c>
      <c r="AH257" s="534">
        <v>0</v>
      </c>
      <c r="AI257" s="534">
        <v>0</v>
      </c>
      <c r="AJ257" s="534">
        <v>0</v>
      </c>
      <c r="AK257" s="536">
        <v>0</v>
      </c>
      <c r="AL257" s="533"/>
      <c r="AM257" s="534">
        <v>0</v>
      </c>
      <c r="AN257" s="534">
        <v>0</v>
      </c>
      <c r="AO257" s="534">
        <v>0</v>
      </c>
      <c r="AP257" s="537">
        <v>0</v>
      </c>
      <c r="AQ257" s="535">
        <v>0</v>
      </c>
      <c r="AR257" s="534">
        <v>0</v>
      </c>
      <c r="AS257" s="534">
        <v>0</v>
      </c>
      <c r="AT257" s="534">
        <v>0</v>
      </c>
      <c r="AU257" s="536">
        <v>0</v>
      </c>
      <c r="AV257" s="533"/>
      <c r="AW257" s="538">
        <v>0</v>
      </c>
      <c r="AX257" s="538">
        <v>19053824.60002128</v>
      </c>
      <c r="AY257" s="533"/>
      <c r="AZ257" s="534">
        <f t="shared" si="123"/>
        <v>0</v>
      </c>
      <c r="BA257" s="534">
        <v>0</v>
      </c>
      <c r="BD257" s="392">
        <f t="shared" si="115"/>
        <v>0</v>
      </c>
      <c r="BE257" s="425">
        <f t="shared" si="116"/>
        <v>0</v>
      </c>
      <c r="BF257" s="425">
        <f t="shared" si="122"/>
        <v>0</v>
      </c>
      <c r="BG257" s="425">
        <f t="shared" si="122"/>
        <v>0</v>
      </c>
      <c r="BH257" s="425">
        <f t="shared" si="122"/>
        <v>0</v>
      </c>
      <c r="BI257" s="425">
        <f t="shared" si="122"/>
        <v>0</v>
      </c>
      <c r="BJ257" s="425">
        <f t="shared" si="122"/>
        <v>0</v>
      </c>
      <c r="BK257" s="425">
        <f t="shared" si="122"/>
        <v>0</v>
      </c>
      <c r="BL257" s="425">
        <f t="shared" si="122"/>
        <v>0</v>
      </c>
      <c r="BM257" s="425">
        <f t="shared" si="119"/>
        <v>0</v>
      </c>
      <c r="BN257" s="425">
        <f t="shared" si="119"/>
        <v>0</v>
      </c>
      <c r="BO257" s="425">
        <f t="shared" si="119"/>
        <v>0</v>
      </c>
      <c r="BP257" s="425">
        <f t="shared" si="120"/>
        <v>0</v>
      </c>
      <c r="BQ257" s="425">
        <f t="shared" si="120"/>
        <v>0</v>
      </c>
      <c r="BR257" s="425">
        <f t="shared" si="120"/>
        <v>0</v>
      </c>
      <c r="BS257" s="425">
        <f t="shared" si="121"/>
        <v>0</v>
      </c>
      <c r="BT257" s="426">
        <f t="shared" si="121"/>
        <v>0</v>
      </c>
    </row>
    <row r="258" spans="2:72" x14ac:dyDescent="0.25">
      <c r="B258" s="145"/>
      <c r="C258" s="539">
        <v>46113</v>
      </c>
      <c r="D258" s="533"/>
      <c r="E258" s="534">
        <v>0</v>
      </c>
      <c r="F258" s="534">
        <v>0</v>
      </c>
      <c r="G258" s="534">
        <v>0</v>
      </c>
      <c r="H258" s="540">
        <v>0</v>
      </c>
      <c r="I258" s="536">
        <v>0</v>
      </c>
      <c r="J258" s="533"/>
      <c r="K258" s="534">
        <v>0</v>
      </c>
      <c r="L258" s="534">
        <v>0</v>
      </c>
      <c r="M258" s="534">
        <v>0</v>
      </c>
      <c r="N258" s="534">
        <v>0</v>
      </c>
      <c r="O258" s="534">
        <v>0</v>
      </c>
      <c r="P258" s="534">
        <v>0</v>
      </c>
      <c r="Q258" s="534">
        <v>0</v>
      </c>
      <c r="R258" s="534">
        <v>0</v>
      </c>
      <c r="S258" s="536">
        <v>0</v>
      </c>
      <c r="T258" s="533"/>
      <c r="U258" s="534">
        <v>0</v>
      </c>
      <c r="V258" s="534">
        <v>0</v>
      </c>
      <c r="W258" s="534">
        <v>0</v>
      </c>
      <c r="X258" s="534">
        <v>0</v>
      </c>
      <c r="Y258" s="534">
        <v>0</v>
      </c>
      <c r="Z258" s="534">
        <v>0</v>
      </c>
      <c r="AA258" s="534">
        <v>0</v>
      </c>
      <c r="AB258" s="534">
        <v>0</v>
      </c>
      <c r="AC258" s="534">
        <v>0</v>
      </c>
      <c r="AD258" s="534">
        <v>0</v>
      </c>
      <c r="AE258" s="536">
        <v>0</v>
      </c>
      <c r="AF258" s="533"/>
      <c r="AG258" s="534">
        <v>0</v>
      </c>
      <c r="AH258" s="534">
        <v>0</v>
      </c>
      <c r="AI258" s="534">
        <v>0</v>
      </c>
      <c r="AJ258" s="534">
        <v>0</v>
      </c>
      <c r="AK258" s="536">
        <v>0</v>
      </c>
      <c r="AL258" s="533"/>
      <c r="AM258" s="534">
        <v>0</v>
      </c>
      <c r="AN258" s="534">
        <v>0</v>
      </c>
      <c r="AO258" s="534">
        <v>0</v>
      </c>
      <c r="AP258" s="537">
        <v>0</v>
      </c>
      <c r="AQ258" s="535">
        <v>0</v>
      </c>
      <c r="AR258" s="534">
        <v>0</v>
      </c>
      <c r="AS258" s="534">
        <v>0</v>
      </c>
      <c r="AT258" s="534">
        <v>0</v>
      </c>
      <c r="AU258" s="536">
        <v>0</v>
      </c>
      <c r="AV258" s="533"/>
      <c r="AW258" s="538">
        <v>0</v>
      </c>
      <c r="AX258" s="538">
        <v>19053824.60002128</v>
      </c>
      <c r="AY258" s="533"/>
      <c r="AZ258" s="534">
        <f t="shared" si="123"/>
        <v>0</v>
      </c>
      <c r="BA258" s="534">
        <v>0</v>
      </c>
      <c r="BD258" s="392">
        <f t="shared" si="115"/>
        <v>0</v>
      </c>
      <c r="BE258" s="425">
        <f t="shared" si="116"/>
        <v>0</v>
      </c>
      <c r="BF258" s="425">
        <f t="shared" si="122"/>
        <v>0</v>
      </c>
      <c r="BG258" s="425">
        <f t="shared" si="122"/>
        <v>0</v>
      </c>
      <c r="BH258" s="425">
        <f t="shared" si="122"/>
        <v>0</v>
      </c>
      <c r="BI258" s="425">
        <f t="shared" si="122"/>
        <v>0</v>
      </c>
      <c r="BJ258" s="425">
        <f t="shared" si="122"/>
        <v>0</v>
      </c>
      <c r="BK258" s="425">
        <f t="shared" si="122"/>
        <v>0</v>
      </c>
      <c r="BL258" s="425">
        <f t="shared" si="122"/>
        <v>0</v>
      </c>
      <c r="BM258" s="425">
        <f t="shared" si="119"/>
        <v>0</v>
      </c>
      <c r="BN258" s="425">
        <f t="shared" si="119"/>
        <v>0</v>
      </c>
      <c r="BO258" s="425">
        <f t="shared" si="119"/>
        <v>0</v>
      </c>
      <c r="BP258" s="425">
        <f t="shared" si="120"/>
        <v>0</v>
      </c>
      <c r="BQ258" s="425">
        <f t="shared" si="120"/>
        <v>0</v>
      </c>
      <c r="BR258" s="425">
        <f t="shared" si="120"/>
        <v>0</v>
      </c>
      <c r="BS258" s="425">
        <f t="shared" si="121"/>
        <v>0</v>
      </c>
      <c r="BT258" s="426">
        <f t="shared" si="121"/>
        <v>0</v>
      </c>
    </row>
    <row r="259" spans="2:72" x14ac:dyDescent="0.25">
      <c r="B259" s="145"/>
      <c r="C259" s="539">
        <v>46143</v>
      </c>
      <c r="D259" s="533"/>
      <c r="E259" s="534">
        <v>0</v>
      </c>
      <c r="F259" s="534">
        <v>0</v>
      </c>
      <c r="G259" s="534">
        <v>0</v>
      </c>
      <c r="H259" s="540">
        <v>0</v>
      </c>
      <c r="I259" s="536">
        <v>0</v>
      </c>
      <c r="J259" s="533"/>
      <c r="K259" s="534">
        <v>0</v>
      </c>
      <c r="L259" s="534">
        <v>0</v>
      </c>
      <c r="M259" s="534">
        <v>0</v>
      </c>
      <c r="N259" s="534">
        <v>0</v>
      </c>
      <c r="O259" s="534">
        <v>0</v>
      </c>
      <c r="P259" s="534">
        <v>0</v>
      </c>
      <c r="Q259" s="534">
        <v>0</v>
      </c>
      <c r="R259" s="534">
        <v>0</v>
      </c>
      <c r="S259" s="536">
        <v>0</v>
      </c>
      <c r="T259" s="533"/>
      <c r="U259" s="534">
        <v>0</v>
      </c>
      <c r="V259" s="534">
        <v>0</v>
      </c>
      <c r="W259" s="534">
        <v>0</v>
      </c>
      <c r="X259" s="534">
        <v>0</v>
      </c>
      <c r="Y259" s="534">
        <v>0</v>
      </c>
      <c r="Z259" s="534">
        <v>0</v>
      </c>
      <c r="AA259" s="534">
        <v>0</v>
      </c>
      <c r="AB259" s="534">
        <v>0</v>
      </c>
      <c r="AC259" s="534">
        <v>0</v>
      </c>
      <c r="AD259" s="534">
        <v>0</v>
      </c>
      <c r="AE259" s="536">
        <v>0</v>
      </c>
      <c r="AF259" s="533"/>
      <c r="AG259" s="534">
        <v>0</v>
      </c>
      <c r="AH259" s="534">
        <v>0</v>
      </c>
      <c r="AI259" s="534">
        <v>0</v>
      </c>
      <c r="AJ259" s="534">
        <v>0</v>
      </c>
      <c r="AK259" s="536">
        <v>0</v>
      </c>
      <c r="AL259" s="533"/>
      <c r="AM259" s="534">
        <v>0</v>
      </c>
      <c r="AN259" s="534">
        <v>0</v>
      </c>
      <c r="AO259" s="534">
        <v>0</v>
      </c>
      <c r="AP259" s="537">
        <v>0</v>
      </c>
      <c r="AQ259" s="535">
        <v>0</v>
      </c>
      <c r="AR259" s="534">
        <v>0</v>
      </c>
      <c r="AS259" s="534">
        <v>0</v>
      </c>
      <c r="AT259" s="534">
        <v>0</v>
      </c>
      <c r="AU259" s="536">
        <v>0</v>
      </c>
      <c r="AV259" s="533"/>
      <c r="AW259" s="538">
        <v>0</v>
      </c>
      <c r="AX259" s="538">
        <v>19053824.60002128</v>
      </c>
      <c r="AY259" s="533"/>
      <c r="AZ259" s="534">
        <f t="shared" si="123"/>
        <v>0</v>
      </c>
      <c r="BA259" s="534">
        <v>0</v>
      </c>
      <c r="BD259" s="392">
        <f t="shared" si="115"/>
        <v>0</v>
      </c>
      <c r="BE259" s="425">
        <f t="shared" si="116"/>
        <v>0</v>
      </c>
      <c r="BF259" s="425">
        <f t="shared" si="122"/>
        <v>0</v>
      </c>
      <c r="BG259" s="425">
        <f t="shared" si="122"/>
        <v>0</v>
      </c>
      <c r="BH259" s="425">
        <f t="shared" si="122"/>
        <v>0</v>
      </c>
      <c r="BI259" s="425">
        <f t="shared" si="122"/>
        <v>0</v>
      </c>
      <c r="BJ259" s="425">
        <f t="shared" si="122"/>
        <v>0</v>
      </c>
      <c r="BK259" s="425">
        <f t="shared" si="122"/>
        <v>0</v>
      </c>
      <c r="BL259" s="425">
        <f t="shared" si="122"/>
        <v>0</v>
      </c>
      <c r="BM259" s="425">
        <f t="shared" si="119"/>
        <v>0</v>
      </c>
      <c r="BN259" s="425">
        <f t="shared" si="119"/>
        <v>0</v>
      </c>
      <c r="BO259" s="425">
        <f t="shared" si="119"/>
        <v>0</v>
      </c>
      <c r="BP259" s="425">
        <f t="shared" si="120"/>
        <v>0</v>
      </c>
      <c r="BQ259" s="425">
        <f t="shared" si="120"/>
        <v>0</v>
      </c>
      <c r="BR259" s="425">
        <f t="shared" si="120"/>
        <v>0</v>
      </c>
      <c r="BS259" s="425">
        <f t="shared" si="121"/>
        <v>0</v>
      </c>
      <c r="BT259" s="426">
        <f t="shared" si="121"/>
        <v>0</v>
      </c>
    </row>
    <row r="260" spans="2:72" x14ac:dyDescent="0.25">
      <c r="B260" s="145"/>
      <c r="C260" s="539">
        <v>46174</v>
      </c>
      <c r="D260" s="533"/>
      <c r="E260" s="534">
        <v>0</v>
      </c>
      <c r="F260" s="534">
        <v>0</v>
      </c>
      <c r="G260" s="534">
        <v>0</v>
      </c>
      <c r="H260" s="540">
        <v>0</v>
      </c>
      <c r="I260" s="536">
        <v>0</v>
      </c>
      <c r="J260" s="533"/>
      <c r="K260" s="534">
        <v>0</v>
      </c>
      <c r="L260" s="534">
        <v>0</v>
      </c>
      <c r="M260" s="534">
        <v>0</v>
      </c>
      <c r="N260" s="534">
        <v>0</v>
      </c>
      <c r="O260" s="534">
        <v>0</v>
      </c>
      <c r="P260" s="534">
        <v>0</v>
      </c>
      <c r="Q260" s="534">
        <v>0</v>
      </c>
      <c r="R260" s="534">
        <v>0</v>
      </c>
      <c r="S260" s="536">
        <v>0</v>
      </c>
      <c r="T260" s="533"/>
      <c r="U260" s="534">
        <v>0</v>
      </c>
      <c r="V260" s="534">
        <v>0</v>
      </c>
      <c r="W260" s="534">
        <v>0</v>
      </c>
      <c r="X260" s="534">
        <v>0</v>
      </c>
      <c r="Y260" s="534">
        <v>0</v>
      </c>
      <c r="Z260" s="534">
        <v>0</v>
      </c>
      <c r="AA260" s="534">
        <v>0</v>
      </c>
      <c r="AB260" s="534">
        <v>0</v>
      </c>
      <c r="AC260" s="534">
        <v>0</v>
      </c>
      <c r="AD260" s="534">
        <v>0</v>
      </c>
      <c r="AE260" s="536">
        <v>0</v>
      </c>
      <c r="AF260" s="533"/>
      <c r="AG260" s="534">
        <v>0</v>
      </c>
      <c r="AH260" s="534">
        <v>0</v>
      </c>
      <c r="AI260" s="534">
        <v>0</v>
      </c>
      <c r="AJ260" s="534">
        <v>0</v>
      </c>
      <c r="AK260" s="536">
        <v>0</v>
      </c>
      <c r="AL260" s="533"/>
      <c r="AM260" s="534">
        <v>0</v>
      </c>
      <c r="AN260" s="534">
        <v>0</v>
      </c>
      <c r="AO260" s="534">
        <v>0</v>
      </c>
      <c r="AP260" s="537">
        <v>0</v>
      </c>
      <c r="AQ260" s="535">
        <v>0</v>
      </c>
      <c r="AR260" s="534">
        <v>0</v>
      </c>
      <c r="AS260" s="534">
        <v>0</v>
      </c>
      <c r="AT260" s="534">
        <v>0</v>
      </c>
      <c r="AU260" s="536">
        <v>0</v>
      </c>
      <c r="AV260" s="533"/>
      <c r="AW260" s="538">
        <v>0</v>
      </c>
      <c r="AX260" s="538">
        <v>19053824.60002128</v>
      </c>
      <c r="AY260" s="533"/>
      <c r="AZ260" s="534">
        <f t="shared" si="123"/>
        <v>0</v>
      </c>
      <c r="BA260" s="534">
        <v>0</v>
      </c>
      <c r="BD260" s="392">
        <f t="shared" si="115"/>
        <v>0</v>
      </c>
      <c r="BE260" s="425">
        <f t="shared" si="116"/>
        <v>0</v>
      </c>
      <c r="BF260" s="425">
        <f t="shared" si="122"/>
        <v>0</v>
      </c>
      <c r="BG260" s="425">
        <f t="shared" si="122"/>
        <v>0</v>
      </c>
      <c r="BH260" s="425">
        <f t="shared" si="122"/>
        <v>0</v>
      </c>
      <c r="BI260" s="425">
        <f t="shared" si="122"/>
        <v>0</v>
      </c>
      <c r="BJ260" s="425">
        <f t="shared" si="122"/>
        <v>0</v>
      </c>
      <c r="BK260" s="425">
        <f t="shared" si="122"/>
        <v>0</v>
      </c>
      <c r="BL260" s="425">
        <f t="shared" si="122"/>
        <v>0</v>
      </c>
      <c r="BM260" s="425">
        <f t="shared" si="119"/>
        <v>0</v>
      </c>
      <c r="BN260" s="425">
        <f t="shared" si="119"/>
        <v>0</v>
      </c>
      <c r="BO260" s="425">
        <f t="shared" si="119"/>
        <v>0</v>
      </c>
      <c r="BP260" s="425">
        <f t="shared" si="120"/>
        <v>0</v>
      </c>
      <c r="BQ260" s="425">
        <f t="shared" si="120"/>
        <v>0</v>
      </c>
      <c r="BR260" s="425">
        <f t="shared" si="120"/>
        <v>0</v>
      </c>
      <c r="BS260" s="425">
        <f t="shared" si="121"/>
        <v>0</v>
      </c>
      <c r="BT260" s="426">
        <f t="shared" si="121"/>
        <v>0</v>
      </c>
    </row>
    <row r="261" spans="2:72" x14ac:dyDescent="0.25">
      <c r="B261" s="145"/>
      <c r="C261" s="539">
        <v>46204</v>
      </c>
      <c r="D261" s="533"/>
      <c r="E261" s="534">
        <v>0</v>
      </c>
      <c r="F261" s="534">
        <v>0</v>
      </c>
      <c r="G261" s="534">
        <v>0</v>
      </c>
      <c r="H261" s="540">
        <v>0</v>
      </c>
      <c r="I261" s="536">
        <v>0</v>
      </c>
      <c r="J261" s="533"/>
      <c r="K261" s="534">
        <v>0</v>
      </c>
      <c r="L261" s="534">
        <v>0</v>
      </c>
      <c r="M261" s="534">
        <v>0</v>
      </c>
      <c r="N261" s="534">
        <v>0</v>
      </c>
      <c r="O261" s="534">
        <v>0</v>
      </c>
      <c r="P261" s="534">
        <v>0</v>
      </c>
      <c r="Q261" s="534">
        <v>0</v>
      </c>
      <c r="R261" s="534">
        <v>0</v>
      </c>
      <c r="S261" s="536">
        <v>0</v>
      </c>
      <c r="T261" s="533"/>
      <c r="U261" s="534">
        <v>0</v>
      </c>
      <c r="V261" s="534">
        <v>0</v>
      </c>
      <c r="W261" s="534">
        <v>0</v>
      </c>
      <c r="X261" s="534">
        <v>0</v>
      </c>
      <c r="Y261" s="534">
        <v>0</v>
      </c>
      <c r="Z261" s="534">
        <v>0</v>
      </c>
      <c r="AA261" s="534">
        <v>0</v>
      </c>
      <c r="AB261" s="534">
        <v>0</v>
      </c>
      <c r="AC261" s="534">
        <v>0</v>
      </c>
      <c r="AD261" s="534">
        <v>0</v>
      </c>
      <c r="AE261" s="536">
        <v>0</v>
      </c>
      <c r="AF261" s="533"/>
      <c r="AG261" s="534">
        <v>0</v>
      </c>
      <c r="AH261" s="534">
        <v>0</v>
      </c>
      <c r="AI261" s="534">
        <v>0</v>
      </c>
      <c r="AJ261" s="534">
        <v>0</v>
      </c>
      <c r="AK261" s="536">
        <v>0</v>
      </c>
      <c r="AL261" s="533"/>
      <c r="AM261" s="534">
        <v>0</v>
      </c>
      <c r="AN261" s="534">
        <v>0</v>
      </c>
      <c r="AO261" s="534">
        <v>0</v>
      </c>
      <c r="AP261" s="537">
        <v>0</v>
      </c>
      <c r="AQ261" s="535">
        <v>0</v>
      </c>
      <c r="AR261" s="534">
        <v>0</v>
      </c>
      <c r="AS261" s="534">
        <v>0</v>
      </c>
      <c r="AT261" s="534">
        <v>0</v>
      </c>
      <c r="AU261" s="536">
        <v>0</v>
      </c>
      <c r="AV261" s="533"/>
      <c r="AW261" s="538">
        <v>0</v>
      </c>
      <c r="AX261" s="538">
        <v>19053824.60002128</v>
      </c>
      <c r="AY261" s="533"/>
      <c r="AZ261" s="534">
        <f t="shared" si="123"/>
        <v>0</v>
      </c>
      <c r="BA261" s="534">
        <v>0</v>
      </c>
      <c r="BD261" s="392">
        <f t="shared" si="115"/>
        <v>0</v>
      </c>
      <c r="BE261" s="425">
        <f t="shared" si="116"/>
        <v>0</v>
      </c>
      <c r="BF261" s="425">
        <f t="shared" ref="BF261:BL270" si="124">-SUMIF($E$6:$BA$6, BF$6, $E261:$BA261)</f>
        <v>0</v>
      </c>
      <c r="BG261" s="425">
        <f t="shared" si="124"/>
        <v>0</v>
      </c>
      <c r="BH261" s="425">
        <f t="shared" si="124"/>
        <v>0</v>
      </c>
      <c r="BI261" s="425">
        <f t="shared" si="124"/>
        <v>0</v>
      </c>
      <c r="BJ261" s="425">
        <f t="shared" si="124"/>
        <v>0</v>
      </c>
      <c r="BK261" s="425">
        <f t="shared" si="124"/>
        <v>0</v>
      </c>
      <c r="BL261" s="425">
        <f t="shared" si="124"/>
        <v>0</v>
      </c>
      <c r="BM261" s="425">
        <f t="shared" ref="BM261:BO280" si="125">SUMIF($E$6:$BA$6, BM$6, $E261:$BA261)</f>
        <v>0</v>
      </c>
      <c r="BN261" s="425">
        <f t="shared" si="125"/>
        <v>0</v>
      </c>
      <c r="BO261" s="425">
        <f t="shared" si="125"/>
        <v>0</v>
      </c>
      <c r="BP261" s="425">
        <f t="shared" ref="BP261:BR280" si="126">-SUMIF($E$6:$BA$6, BP$6, $E261:$BA261)</f>
        <v>0</v>
      </c>
      <c r="BQ261" s="425">
        <f t="shared" si="126"/>
        <v>0</v>
      </c>
      <c r="BR261" s="425">
        <f t="shared" si="126"/>
        <v>0</v>
      </c>
      <c r="BS261" s="425">
        <f t="shared" ref="BS261:BT280" si="127">SUMIF($E$6:$BA$6, BS$6, $E261:$BA261)</f>
        <v>0</v>
      </c>
      <c r="BT261" s="426">
        <f t="shared" si="127"/>
        <v>0</v>
      </c>
    </row>
    <row r="262" spans="2:72" x14ac:dyDescent="0.25">
      <c r="B262" s="145"/>
      <c r="C262" s="539">
        <v>46235</v>
      </c>
      <c r="D262" s="533"/>
      <c r="E262" s="534">
        <v>0</v>
      </c>
      <c r="F262" s="534">
        <v>0</v>
      </c>
      <c r="G262" s="534">
        <v>0</v>
      </c>
      <c r="H262" s="540">
        <v>0</v>
      </c>
      <c r="I262" s="536">
        <v>0</v>
      </c>
      <c r="J262" s="533"/>
      <c r="K262" s="534">
        <v>0</v>
      </c>
      <c r="L262" s="534">
        <v>0</v>
      </c>
      <c r="M262" s="534">
        <v>0</v>
      </c>
      <c r="N262" s="534">
        <v>0</v>
      </c>
      <c r="O262" s="534">
        <v>0</v>
      </c>
      <c r="P262" s="534">
        <v>0</v>
      </c>
      <c r="Q262" s="534">
        <v>0</v>
      </c>
      <c r="R262" s="534">
        <v>0</v>
      </c>
      <c r="S262" s="536">
        <v>0</v>
      </c>
      <c r="T262" s="533"/>
      <c r="U262" s="534">
        <v>0</v>
      </c>
      <c r="V262" s="534">
        <v>0</v>
      </c>
      <c r="W262" s="534">
        <v>0</v>
      </c>
      <c r="X262" s="534">
        <v>0</v>
      </c>
      <c r="Y262" s="534">
        <v>0</v>
      </c>
      <c r="Z262" s="534">
        <v>0</v>
      </c>
      <c r="AA262" s="534">
        <v>0</v>
      </c>
      <c r="AB262" s="534">
        <v>0</v>
      </c>
      <c r="AC262" s="534">
        <v>0</v>
      </c>
      <c r="AD262" s="534">
        <v>0</v>
      </c>
      <c r="AE262" s="536">
        <v>0</v>
      </c>
      <c r="AF262" s="533"/>
      <c r="AG262" s="534">
        <v>0</v>
      </c>
      <c r="AH262" s="534">
        <v>0</v>
      </c>
      <c r="AI262" s="534">
        <v>0</v>
      </c>
      <c r="AJ262" s="534">
        <v>0</v>
      </c>
      <c r="AK262" s="536">
        <v>0</v>
      </c>
      <c r="AL262" s="533"/>
      <c r="AM262" s="534">
        <v>0</v>
      </c>
      <c r="AN262" s="534">
        <v>0</v>
      </c>
      <c r="AO262" s="534">
        <v>0</v>
      </c>
      <c r="AP262" s="537">
        <v>0</v>
      </c>
      <c r="AQ262" s="535">
        <v>0</v>
      </c>
      <c r="AR262" s="534">
        <v>0</v>
      </c>
      <c r="AS262" s="534">
        <v>0</v>
      </c>
      <c r="AT262" s="534">
        <v>0</v>
      </c>
      <c r="AU262" s="536">
        <v>0</v>
      </c>
      <c r="AV262" s="533"/>
      <c r="AW262" s="538">
        <v>0</v>
      </c>
      <c r="AX262" s="538">
        <v>19053824.60002128</v>
      </c>
      <c r="AY262" s="533"/>
      <c r="AZ262" s="534">
        <f t="shared" si="123"/>
        <v>0</v>
      </c>
      <c r="BA262" s="534">
        <v>0</v>
      </c>
      <c r="BD262" s="392">
        <f t="shared" si="115"/>
        <v>0</v>
      </c>
      <c r="BE262" s="425">
        <f t="shared" si="116"/>
        <v>0</v>
      </c>
      <c r="BF262" s="425">
        <f t="shared" si="124"/>
        <v>0</v>
      </c>
      <c r="BG262" s="425">
        <f t="shared" si="124"/>
        <v>0</v>
      </c>
      <c r="BH262" s="425">
        <f t="shared" si="124"/>
        <v>0</v>
      </c>
      <c r="BI262" s="425">
        <f t="shared" si="124"/>
        <v>0</v>
      </c>
      <c r="BJ262" s="425">
        <f t="shared" si="124"/>
        <v>0</v>
      </c>
      <c r="BK262" s="425">
        <f t="shared" si="124"/>
        <v>0</v>
      </c>
      <c r="BL262" s="425">
        <f t="shared" si="124"/>
        <v>0</v>
      </c>
      <c r="BM262" s="425">
        <f t="shared" si="125"/>
        <v>0</v>
      </c>
      <c r="BN262" s="425">
        <f t="shared" si="125"/>
        <v>0</v>
      </c>
      <c r="BO262" s="425">
        <f t="shared" si="125"/>
        <v>0</v>
      </c>
      <c r="BP262" s="425">
        <f t="shared" si="126"/>
        <v>0</v>
      </c>
      <c r="BQ262" s="425">
        <f t="shared" si="126"/>
        <v>0</v>
      </c>
      <c r="BR262" s="425">
        <f t="shared" si="126"/>
        <v>0</v>
      </c>
      <c r="BS262" s="425">
        <f t="shared" si="127"/>
        <v>0</v>
      </c>
      <c r="BT262" s="426">
        <f t="shared" si="127"/>
        <v>0</v>
      </c>
    </row>
    <row r="263" spans="2:72" x14ac:dyDescent="0.25">
      <c r="B263" s="145"/>
      <c r="C263" s="539">
        <v>46266</v>
      </c>
      <c r="D263" s="533"/>
      <c r="E263" s="534">
        <v>0</v>
      </c>
      <c r="F263" s="534">
        <v>0</v>
      </c>
      <c r="G263" s="534">
        <v>0</v>
      </c>
      <c r="H263" s="540">
        <v>0</v>
      </c>
      <c r="I263" s="536">
        <v>0</v>
      </c>
      <c r="J263" s="533"/>
      <c r="K263" s="534">
        <v>0</v>
      </c>
      <c r="L263" s="534">
        <v>0</v>
      </c>
      <c r="M263" s="534">
        <v>0</v>
      </c>
      <c r="N263" s="534">
        <v>0</v>
      </c>
      <c r="O263" s="534">
        <v>0</v>
      </c>
      <c r="P263" s="534">
        <v>0</v>
      </c>
      <c r="Q263" s="534">
        <v>0</v>
      </c>
      <c r="R263" s="534">
        <v>0</v>
      </c>
      <c r="S263" s="536">
        <v>0</v>
      </c>
      <c r="T263" s="533"/>
      <c r="U263" s="534">
        <v>0</v>
      </c>
      <c r="V263" s="534">
        <v>0</v>
      </c>
      <c r="W263" s="534">
        <v>0</v>
      </c>
      <c r="X263" s="534">
        <v>0</v>
      </c>
      <c r="Y263" s="534">
        <v>0</v>
      </c>
      <c r="Z263" s="534">
        <v>0</v>
      </c>
      <c r="AA263" s="534">
        <v>0</v>
      </c>
      <c r="AB263" s="534">
        <v>0</v>
      </c>
      <c r="AC263" s="534">
        <v>0</v>
      </c>
      <c r="AD263" s="534">
        <v>0</v>
      </c>
      <c r="AE263" s="536">
        <v>0</v>
      </c>
      <c r="AF263" s="533"/>
      <c r="AG263" s="534">
        <v>0</v>
      </c>
      <c r="AH263" s="534">
        <v>0</v>
      </c>
      <c r="AI263" s="534">
        <v>0</v>
      </c>
      <c r="AJ263" s="534">
        <v>0</v>
      </c>
      <c r="AK263" s="536">
        <v>0</v>
      </c>
      <c r="AL263" s="533"/>
      <c r="AM263" s="534">
        <v>0</v>
      </c>
      <c r="AN263" s="534">
        <v>0</v>
      </c>
      <c r="AO263" s="534">
        <v>0</v>
      </c>
      <c r="AP263" s="537">
        <v>0</v>
      </c>
      <c r="AQ263" s="535">
        <v>0</v>
      </c>
      <c r="AR263" s="534">
        <v>0</v>
      </c>
      <c r="AS263" s="534">
        <v>0</v>
      </c>
      <c r="AT263" s="534">
        <v>0</v>
      </c>
      <c r="AU263" s="536">
        <v>0</v>
      </c>
      <c r="AV263" s="533"/>
      <c r="AW263" s="538">
        <v>0</v>
      </c>
      <c r="AX263" s="538">
        <v>19053824.60002128</v>
      </c>
      <c r="AY263" s="533"/>
      <c r="AZ263" s="534">
        <f t="shared" si="123"/>
        <v>0</v>
      </c>
      <c r="BA263" s="534">
        <v>0</v>
      </c>
      <c r="BD263" s="392">
        <f t="shared" si="115"/>
        <v>0</v>
      </c>
      <c r="BE263" s="425">
        <f t="shared" si="116"/>
        <v>0</v>
      </c>
      <c r="BF263" s="425">
        <f t="shared" si="124"/>
        <v>0</v>
      </c>
      <c r="BG263" s="425">
        <f t="shared" si="124"/>
        <v>0</v>
      </c>
      <c r="BH263" s="425">
        <f t="shared" si="124"/>
        <v>0</v>
      </c>
      <c r="BI263" s="425">
        <f t="shared" si="124"/>
        <v>0</v>
      </c>
      <c r="BJ263" s="425">
        <f t="shared" si="124"/>
        <v>0</v>
      </c>
      <c r="BK263" s="425">
        <f t="shared" si="124"/>
        <v>0</v>
      </c>
      <c r="BL263" s="425">
        <f t="shared" si="124"/>
        <v>0</v>
      </c>
      <c r="BM263" s="425">
        <f t="shared" si="125"/>
        <v>0</v>
      </c>
      <c r="BN263" s="425">
        <f t="shared" si="125"/>
        <v>0</v>
      </c>
      <c r="BO263" s="425">
        <f t="shared" si="125"/>
        <v>0</v>
      </c>
      <c r="BP263" s="425">
        <f t="shared" si="126"/>
        <v>0</v>
      </c>
      <c r="BQ263" s="425">
        <f t="shared" si="126"/>
        <v>0</v>
      </c>
      <c r="BR263" s="425">
        <f t="shared" si="126"/>
        <v>0</v>
      </c>
      <c r="BS263" s="425">
        <f t="shared" si="127"/>
        <v>0</v>
      </c>
      <c r="BT263" s="426">
        <f t="shared" si="127"/>
        <v>0</v>
      </c>
    </row>
    <row r="264" spans="2:72" x14ac:dyDescent="0.25">
      <c r="B264" s="145"/>
      <c r="C264" s="539">
        <v>46296</v>
      </c>
      <c r="D264" s="533"/>
      <c r="E264" s="534">
        <v>0</v>
      </c>
      <c r="F264" s="534">
        <v>0</v>
      </c>
      <c r="G264" s="534">
        <v>0</v>
      </c>
      <c r="H264" s="540">
        <v>0</v>
      </c>
      <c r="I264" s="536">
        <v>0</v>
      </c>
      <c r="J264" s="533"/>
      <c r="K264" s="534">
        <v>0</v>
      </c>
      <c r="L264" s="534">
        <v>0</v>
      </c>
      <c r="M264" s="534">
        <v>0</v>
      </c>
      <c r="N264" s="534">
        <v>0</v>
      </c>
      <c r="O264" s="534">
        <v>0</v>
      </c>
      <c r="P264" s="534">
        <v>0</v>
      </c>
      <c r="Q264" s="534">
        <v>0</v>
      </c>
      <c r="R264" s="534">
        <v>0</v>
      </c>
      <c r="S264" s="536">
        <v>0</v>
      </c>
      <c r="T264" s="533"/>
      <c r="U264" s="534">
        <v>0</v>
      </c>
      <c r="V264" s="534">
        <v>0</v>
      </c>
      <c r="W264" s="534">
        <v>0</v>
      </c>
      <c r="X264" s="534">
        <v>0</v>
      </c>
      <c r="Y264" s="534">
        <v>0</v>
      </c>
      <c r="Z264" s="534">
        <v>0</v>
      </c>
      <c r="AA264" s="534">
        <v>0</v>
      </c>
      <c r="AB264" s="534">
        <v>0</v>
      </c>
      <c r="AC264" s="534">
        <v>0</v>
      </c>
      <c r="AD264" s="534">
        <v>0</v>
      </c>
      <c r="AE264" s="536">
        <v>0</v>
      </c>
      <c r="AF264" s="533"/>
      <c r="AG264" s="534">
        <v>0</v>
      </c>
      <c r="AH264" s="534">
        <v>0</v>
      </c>
      <c r="AI264" s="534">
        <v>0</v>
      </c>
      <c r="AJ264" s="534">
        <v>0</v>
      </c>
      <c r="AK264" s="536">
        <v>0</v>
      </c>
      <c r="AL264" s="533"/>
      <c r="AM264" s="534">
        <v>0</v>
      </c>
      <c r="AN264" s="534">
        <v>0</v>
      </c>
      <c r="AO264" s="534">
        <v>0</v>
      </c>
      <c r="AP264" s="537">
        <v>0</v>
      </c>
      <c r="AQ264" s="535">
        <v>0</v>
      </c>
      <c r="AR264" s="534">
        <v>0</v>
      </c>
      <c r="AS264" s="534">
        <v>0</v>
      </c>
      <c r="AT264" s="534">
        <v>0</v>
      </c>
      <c r="AU264" s="536">
        <v>0</v>
      </c>
      <c r="AV264" s="533"/>
      <c r="AW264" s="538">
        <v>0</v>
      </c>
      <c r="AX264" s="538">
        <v>19053824.60002128</v>
      </c>
      <c r="AY264" s="533"/>
      <c r="AZ264" s="534">
        <f t="shared" si="123"/>
        <v>0</v>
      </c>
      <c r="BA264" s="534">
        <v>0</v>
      </c>
      <c r="BD264" s="392">
        <f t="shared" si="115"/>
        <v>0</v>
      </c>
      <c r="BE264" s="425">
        <f t="shared" si="116"/>
        <v>0</v>
      </c>
      <c r="BF264" s="425">
        <f t="shared" si="124"/>
        <v>0</v>
      </c>
      <c r="BG264" s="425">
        <f t="shared" si="124"/>
        <v>0</v>
      </c>
      <c r="BH264" s="425">
        <f t="shared" si="124"/>
        <v>0</v>
      </c>
      <c r="BI264" s="425">
        <f t="shared" si="124"/>
        <v>0</v>
      </c>
      <c r="BJ264" s="425">
        <f t="shared" si="124"/>
        <v>0</v>
      </c>
      <c r="BK264" s="425">
        <f t="shared" si="124"/>
        <v>0</v>
      </c>
      <c r="BL264" s="425">
        <f t="shared" si="124"/>
        <v>0</v>
      </c>
      <c r="BM264" s="425">
        <f t="shared" si="125"/>
        <v>0</v>
      </c>
      <c r="BN264" s="425">
        <f t="shared" si="125"/>
        <v>0</v>
      </c>
      <c r="BO264" s="425">
        <f t="shared" si="125"/>
        <v>0</v>
      </c>
      <c r="BP264" s="425">
        <f t="shared" si="126"/>
        <v>0</v>
      </c>
      <c r="BQ264" s="425">
        <f t="shared" si="126"/>
        <v>0</v>
      </c>
      <c r="BR264" s="425">
        <f t="shared" si="126"/>
        <v>0</v>
      </c>
      <c r="BS264" s="425">
        <f t="shared" si="127"/>
        <v>0</v>
      </c>
      <c r="BT264" s="426">
        <f t="shared" si="127"/>
        <v>0</v>
      </c>
    </row>
    <row r="265" spans="2:72" x14ac:dyDescent="0.25">
      <c r="B265" s="145"/>
      <c r="C265" s="539">
        <v>46327</v>
      </c>
      <c r="D265" s="533"/>
      <c r="E265" s="534">
        <v>0</v>
      </c>
      <c r="F265" s="534">
        <v>0</v>
      </c>
      <c r="G265" s="534">
        <v>0</v>
      </c>
      <c r="H265" s="540">
        <v>0</v>
      </c>
      <c r="I265" s="536">
        <v>0</v>
      </c>
      <c r="J265" s="533"/>
      <c r="K265" s="534">
        <v>0</v>
      </c>
      <c r="L265" s="534">
        <v>0</v>
      </c>
      <c r="M265" s="534">
        <v>0</v>
      </c>
      <c r="N265" s="534">
        <v>0</v>
      </c>
      <c r="O265" s="534">
        <v>0</v>
      </c>
      <c r="P265" s="534">
        <v>0</v>
      </c>
      <c r="Q265" s="534">
        <v>0</v>
      </c>
      <c r="R265" s="534">
        <v>0</v>
      </c>
      <c r="S265" s="536">
        <v>0</v>
      </c>
      <c r="T265" s="533"/>
      <c r="U265" s="534">
        <v>0</v>
      </c>
      <c r="V265" s="534">
        <v>0</v>
      </c>
      <c r="W265" s="534">
        <v>0</v>
      </c>
      <c r="X265" s="534">
        <v>0</v>
      </c>
      <c r="Y265" s="534">
        <v>0</v>
      </c>
      <c r="Z265" s="534">
        <v>0</v>
      </c>
      <c r="AA265" s="534">
        <v>0</v>
      </c>
      <c r="AB265" s="534">
        <v>0</v>
      </c>
      <c r="AC265" s="534">
        <v>0</v>
      </c>
      <c r="AD265" s="534">
        <v>0</v>
      </c>
      <c r="AE265" s="536">
        <v>0</v>
      </c>
      <c r="AF265" s="533"/>
      <c r="AG265" s="534">
        <v>0</v>
      </c>
      <c r="AH265" s="534">
        <v>0</v>
      </c>
      <c r="AI265" s="534">
        <v>0</v>
      </c>
      <c r="AJ265" s="534">
        <v>0</v>
      </c>
      <c r="AK265" s="536">
        <v>0</v>
      </c>
      <c r="AL265" s="533"/>
      <c r="AM265" s="534">
        <v>0</v>
      </c>
      <c r="AN265" s="534">
        <v>0</v>
      </c>
      <c r="AO265" s="534">
        <v>0</v>
      </c>
      <c r="AP265" s="537">
        <v>0</v>
      </c>
      <c r="AQ265" s="535">
        <v>0</v>
      </c>
      <c r="AR265" s="534">
        <v>0</v>
      </c>
      <c r="AS265" s="534">
        <v>0</v>
      </c>
      <c r="AT265" s="534">
        <v>0</v>
      </c>
      <c r="AU265" s="536">
        <v>0</v>
      </c>
      <c r="AV265" s="533"/>
      <c r="AW265" s="538">
        <v>0</v>
      </c>
      <c r="AX265" s="538">
        <v>19053824.60002128</v>
      </c>
      <c r="AY265" s="533"/>
      <c r="AZ265" s="534">
        <f t="shared" si="123"/>
        <v>0</v>
      </c>
      <c r="BA265" s="534">
        <v>0</v>
      </c>
      <c r="BD265" s="392">
        <f t="shared" si="115"/>
        <v>0</v>
      </c>
      <c r="BE265" s="425">
        <f t="shared" si="116"/>
        <v>0</v>
      </c>
      <c r="BF265" s="425">
        <f t="shared" si="124"/>
        <v>0</v>
      </c>
      <c r="BG265" s="425">
        <f t="shared" si="124"/>
        <v>0</v>
      </c>
      <c r="BH265" s="425">
        <f t="shared" si="124"/>
        <v>0</v>
      </c>
      <c r="BI265" s="425">
        <f t="shared" si="124"/>
        <v>0</v>
      </c>
      <c r="BJ265" s="425">
        <f t="shared" si="124"/>
        <v>0</v>
      </c>
      <c r="BK265" s="425">
        <f t="shared" si="124"/>
        <v>0</v>
      </c>
      <c r="BL265" s="425">
        <f t="shared" si="124"/>
        <v>0</v>
      </c>
      <c r="BM265" s="425">
        <f t="shared" si="125"/>
        <v>0</v>
      </c>
      <c r="BN265" s="425">
        <f t="shared" si="125"/>
        <v>0</v>
      </c>
      <c r="BO265" s="425">
        <f t="shared" si="125"/>
        <v>0</v>
      </c>
      <c r="BP265" s="425">
        <f t="shared" si="126"/>
        <v>0</v>
      </c>
      <c r="BQ265" s="425">
        <f t="shared" si="126"/>
        <v>0</v>
      </c>
      <c r="BR265" s="425">
        <f t="shared" si="126"/>
        <v>0</v>
      </c>
      <c r="BS265" s="425">
        <f t="shared" si="127"/>
        <v>0</v>
      </c>
      <c r="BT265" s="426">
        <f t="shared" si="127"/>
        <v>0</v>
      </c>
    </row>
    <row r="266" spans="2:72" x14ac:dyDescent="0.25">
      <c r="B266" s="145"/>
      <c r="C266" s="539">
        <v>46357</v>
      </c>
      <c r="D266" s="533"/>
      <c r="E266" s="534">
        <v>0</v>
      </c>
      <c r="F266" s="534">
        <v>0</v>
      </c>
      <c r="G266" s="534">
        <v>0</v>
      </c>
      <c r="H266" s="540">
        <v>0</v>
      </c>
      <c r="I266" s="536">
        <v>0</v>
      </c>
      <c r="J266" s="533"/>
      <c r="K266" s="534">
        <v>0</v>
      </c>
      <c r="L266" s="534">
        <v>0</v>
      </c>
      <c r="M266" s="534">
        <v>0</v>
      </c>
      <c r="N266" s="534">
        <v>0</v>
      </c>
      <c r="O266" s="534">
        <v>0</v>
      </c>
      <c r="P266" s="534">
        <v>0</v>
      </c>
      <c r="Q266" s="534">
        <v>0</v>
      </c>
      <c r="R266" s="534">
        <v>0</v>
      </c>
      <c r="S266" s="536">
        <v>0</v>
      </c>
      <c r="T266" s="533"/>
      <c r="U266" s="534">
        <v>0</v>
      </c>
      <c r="V266" s="534">
        <v>0</v>
      </c>
      <c r="W266" s="534">
        <v>0</v>
      </c>
      <c r="X266" s="534">
        <v>0</v>
      </c>
      <c r="Y266" s="534">
        <v>0</v>
      </c>
      <c r="Z266" s="534">
        <v>0</v>
      </c>
      <c r="AA266" s="534">
        <v>0</v>
      </c>
      <c r="AB266" s="534">
        <v>0</v>
      </c>
      <c r="AC266" s="534">
        <v>0</v>
      </c>
      <c r="AD266" s="534">
        <v>0</v>
      </c>
      <c r="AE266" s="536">
        <v>0</v>
      </c>
      <c r="AF266" s="533"/>
      <c r="AG266" s="534">
        <v>0</v>
      </c>
      <c r="AH266" s="534">
        <v>0</v>
      </c>
      <c r="AI266" s="534">
        <v>0</v>
      </c>
      <c r="AJ266" s="534">
        <v>0</v>
      </c>
      <c r="AK266" s="536">
        <v>0</v>
      </c>
      <c r="AL266" s="533"/>
      <c r="AM266" s="534">
        <v>0</v>
      </c>
      <c r="AN266" s="534">
        <v>0</v>
      </c>
      <c r="AO266" s="534">
        <v>0</v>
      </c>
      <c r="AP266" s="537">
        <v>0</v>
      </c>
      <c r="AQ266" s="535">
        <v>0</v>
      </c>
      <c r="AR266" s="534">
        <v>0</v>
      </c>
      <c r="AS266" s="534">
        <v>0</v>
      </c>
      <c r="AT266" s="534">
        <v>0</v>
      </c>
      <c r="AU266" s="536">
        <v>0</v>
      </c>
      <c r="AV266" s="533"/>
      <c r="AW266" s="538">
        <v>0</v>
      </c>
      <c r="AX266" s="538">
        <v>19053824.60002128</v>
      </c>
      <c r="AY266" s="533"/>
      <c r="AZ266" s="534">
        <f t="shared" si="123"/>
        <v>0</v>
      </c>
      <c r="BA266" s="534">
        <v>0</v>
      </c>
      <c r="BD266" s="392">
        <f t="shared" si="115"/>
        <v>0</v>
      </c>
      <c r="BE266" s="425">
        <f t="shared" si="116"/>
        <v>0</v>
      </c>
      <c r="BF266" s="425">
        <f t="shared" si="124"/>
        <v>0</v>
      </c>
      <c r="BG266" s="425">
        <f t="shared" si="124"/>
        <v>0</v>
      </c>
      <c r="BH266" s="425">
        <f t="shared" si="124"/>
        <v>0</v>
      </c>
      <c r="BI266" s="425">
        <f t="shared" si="124"/>
        <v>0</v>
      </c>
      <c r="BJ266" s="425">
        <f t="shared" si="124"/>
        <v>0</v>
      </c>
      <c r="BK266" s="425">
        <f t="shared" si="124"/>
        <v>0</v>
      </c>
      <c r="BL266" s="425">
        <f t="shared" si="124"/>
        <v>0</v>
      </c>
      <c r="BM266" s="425">
        <f t="shared" si="125"/>
        <v>0</v>
      </c>
      <c r="BN266" s="425">
        <f t="shared" si="125"/>
        <v>0</v>
      </c>
      <c r="BO266" s="425">
        <f t="shared" si="125"/>
        <v>0</v>
      </c>
      <c r="BP266" s="425">
        <f t="shared" si="126"/>
        <v>0</v>
      </c>
      <c r="BQ266" s="425">
        <f t="shared" si="126"/>
        <v>0</v>
      </c>
      <c r="BR266" s="425">
        <f t="shared" si="126"/>
        <v>0</v>
      </c>
      <c r="BS266" s="425">
        <f t="shared" si="127"/>
        <v>0</v>
      </c>
      <c r="BT266" s="426">
        <f t="shared" si="127"/>
        <v>0</v>
      </c>
    </row>
    <row r="267" spans="2:72" x14ac:dyDescent="0.25">
      <c r="B267" s="145"/>
      <c r="C267" s="539">
        <v>46388</v>
      </c>
      <c r="D267" s="533"/>
      <c r="E267" s="534">
        <v>0</v>
      </c>
      <c r="F267" s="534">
        <v>0</v>
      </c>
      <c r="G267" s="534">
        <v>0</v>
      </c>
      <c r="H267" s="540">
        <v>0</v>
      </c>
      <c r="I267" s="536">
        <v>0</v>
      </c>
      <c r="J267" s="533"/>
      <c r="K267" s="534">
        <v>0</v>
      </c>
      <c r="L267" s="534">
        <v>0</v>
      </c>
      <c r="M267" s="534">
        <v>0</v>
      </c>
      <c r="N267" s="534">
        <v>0</v>
      </c>
      <c r="O267" s="534">
        <v>0</v>
      </c>
      <c r="P267" s="534">
        <v>0</v>
      </c>
      <c r="Q267" s="534">
        <v>0</v>
      </c>
      <c r="R267" s="534">
        <v>0</v>
      </c>
      <c r="S267" s="536">
        <v>0</v>
      </c>
      <c r="T267" s="533"/>
      <c r="U267" s="534">
        <v>0</v>
      </c>
      <c r="V267" s="534">
        <v>0</v>
      </c>
      <c r="W267" s="534">
        <v>0</v>
      </c>
      <c r="X267" s="534">
        <v>0</v>
      </c>
      <c r="Y267" s="534">
        <v>0</v>
      </c>
      <c r="Z267" s="534">
        <v>0</v>
      </c>
      <c r="AA267" s="534">
        <v>0</v>
      </c>
      <c r="AB267" s="534">
        <v>0</v>
      </c>
      <c r="AC267" s="534">
        <v>0</v>
      </c>
      <c r="AD267" s="534">
        <v>0</v>
      </c>
      <c r="AE267" s="536">
        <v>0</v>
      </c>
      <c r="AF267" s="533"/>
      <c r="AG267" s="534">
        <v>0</v>
      </c>
      <c r="AH267" s="534">
        <v>0</v>
      </c>
      <c r="AI267" s="534">
        <v>0</v>
      </c>
      <c r="AJ267" s="534">
        <v>0</v>
      </c>
      <c r="AK267" s="536">
        <v>0</v>
      </c>
      <c r="AL267" s="533"/>
      <c r="AM267" s="534">
        <v>0</v>
      </c>
      <c r="AN267" s="534">
        <v>0</v>
      </c>
      <c r="AO267" s="534">
        <v>0</v>
      </c>
      <c r="AP267" s="537">
        <v>0</v>
      </c>
      <c r="AQ267" s="535">
        <v>0</v>
      </c>
      <c r="AR267" s="534">
        <v>0</v>
      </c>
      <c r="AS267" s="534">
        <v>0</v>
      </c>
      <c r="AT267" s="534">
        <v>0</v>
      </c>
      <c r="AU267" s="536">
        <v>0</v>
      </c>
      <c r="AV267" s="533"/>
      <c r="AW267" s="538">
        <v>0</v>
      </c>
      <c r="AX267" s="538">
        <v>19053824.60002128</v>
      </c>
      <c r="AY267" s="533"/>
      <c r="AZ267" s="534">
        <f t="shared" si="123"/>
        <v>0</v>
      </c>
      <c r="BA267" s="534">
        <v>0</v>
      </c>
      <c r="BD267" s="392">
        <f t="shared" si="115"/>
        <v>0</v>
      </c>
      <c r="BE267" s="425">
        <f t="shared" si="116"/>
        <v>0</v>
      </c>
      <c r="BF267" s="425">
        <f t="shared" si="124"/>
        <v>0</v>
      </c>
      <c r="BG267" s="425">
        <f t="shared" si="124"/>
        <v>0</v>
      </c>
      <c r="BH267" s="425">
        <f t="shared" si="124"/>
        <v>0</v>
      </c>
      <c r="BI267" s="425">
        <f t="shared" si="124"/>
        <v>0</v>
      </c>
      <c r="BJ267" s="425">
        <f t="shared" si="124"/>
        <v>0</v>
      </c>
      <c r="BK267" s="425">
        <f t="shared" si="124"/>
        <v>0</v>
      </c>
      <c r="BL267" s="425">
        <f t="shared" si="124"/>
        <v>0</v>
      </c>
      <c r="BM267" s="425">
        <f t="shared" si="125"/>
        <v>0</v>
      </c>
      <c r="BN267" s="425">
        <f t="shared" si="125"/>
        <v>0</v>
      </c>
      <c r="BO267" s="425">
        <f t="shared" si="125"/>
        <v>0</v>
      </c>
      <c r="BP267" s="425">
        <f t="shared" si="126"/>
        <v>0</v>
      </c>
      <c r="BQ267" s="425">
        <f t="shared" si="126"/>
        <v>0</v>
      </c>
      <c r="BR267" s="425">
        <f t="shared" si="126"/>
        <v>0</v>
      </c>
      <c r="BS267" s="425">
        <f t="shared" si="127"/>
        <v>0</v>
      </c>
      <c r="BT267" s="426">
        <f t="shared" si="127"/>
        <v>0</v>
      </c>
    </row>
    <row r="268" spans="2:72" x14ac:dyDescent="0.25">
      <c r="B268" s="145"/>
      <c r="C268" s="539">
        <v>46419</v>
      </c>
      <c r="D268" s="533"/>
      <c r="E268" s="534">
        <v>0</v>
      </c>
      <c r="F268" s="534">
        <v>0</v>
      </c>
      <c r="G268" s="534">
        <v>0</v>
      </c>
      <c r="H268" s="540">
        <v>0</v>
      </c>
      <c r="I268" s="536">
        <v>0</v>
      </c>
      <c r="J268" s="533"/>
      <c r="K268" s="534">
        <v>0</v>
      </c>
      <c r="L268" s="534">
        <v>0</v>
      </c>
      <c r="M268" s="534">
        <v>0</v>
      </c>
      <c r="N268" s="534">
        <v>0</v>
      </c>
      <c r="O268" s="534">
        <v>0</v>
      </c>
      <c r="P268" s="534">
        <v>0</v>
      </c>
      <c r="Q268" s="534">
        <v>0</v>
      </c>
      <c r="R268" s="534">
        <v>0</v>
      </c>
      <c r="S268" s="536">
        <v>0</v>
      </c>
      <c r="T268" s="533"/>
      <c r="U268" s="534">
        <v>0</v>
      </c>
      <c r="V268" s="534">
        <v>0</v>
      </c>
      <c r="W268" s="534">
        <v>0</v>
      </c>
      <c r="X268" s="534">
        <v>0</v>
      </c>
      <c r="Y268" s="534">
        <v>0</v>
      </c>
      <c r="Z268" s="534">
        <v>0</v>
      </c>
      <c r="AA268" s="534">
        <v>0</v>
      </c>
      <c r="AB268" s="534">
        <v>0</v>
      </c>
      <c r="AC268" s="534">
        <v>0</v>
      </c>
      <c r="AD268" s="534">
        <v>0</v>
      </c>
      <c r="AE268" s="536">
        <v>0</v>
      </c>
      <c r="AF268" s="533"/>
      <c r="AG268" s="534">
        <v>0</v>
      </c>
      <c r="AH268" s="534">
        <v>0</v>
      </c>
      <c r="AI268" s="534">
        <v>0</v>
      </c>
      <c r="AJ268" s="534">
        <v>0</v>
      </c>
      <c r="AK268" s="536">
        <v>0</v>
      </c>
      <c r="AL268" s="533"/>
      <c r="AM268" s="534">
        <v>0</v>
      </c>
      <c r="AN268" s="534">
        <v>0</v>
      </c>
      <c r="AO268" s="534">
        <v>0</v>
      </c>
      <c r="AP268" s="537">
        <v>0</v>
      </c>
      <c r="AQ268" s="535">
        <v>0</v>
      </c>
      <c r="AR268" s="534">
        <v>0</v>
      </c>
      <c r="AS268" s="534">
        <v>0</v>
      </c>
      <c r="AT268" s="534">
        <v>0</v>
      </c>
      <c r="AU268" s="536">
        <v>0</v>
      </c>
      <c r="AV268" s="533"/>
      <c r="AW268" s="538">
        <v>0</v>
      </c>
      <c r="AX268" s="538">
        <v>19053824.60002128</v>
      </c>
      <c r="AY268" s="533"/>
      <c r="AZ268" s="534">
        <f t="shared" si="123"/>
        <v>0</v>
      </c>
      <c r="BA268" s="534">
        <v>0</v>
      </c>
      <c r="BD268" s="392">
        <f t="shared" si="115"/>
        <v>0</v>
      </c>
      <c r="BE268" s="425">
        <f t="shared" si="116"/>
        <v>0</v>
      </c>
      <c r="BF268" s="425">
        <f t="shared" si="124"/>
        <v>0</v>
      </c>
      <c r="BG268" s="425">
        <f t="shared" si="124"/>
        <v>0</v>
      </c>
      <c r="BH268" s="425">
        <f t="shared" si="124"/>
        <v>0</v>
      </c>
      <c r="BI268" s="425">
        <f t="shared" si="124"/>
        <v>0</v>
      </c>
      <c r="BJ268" s="425">
        <f t="shared" si="124"/>
        <v>0</v>
      </c>
      <c r="BK268" s="425">
        <f t="shared" si="124"/>
        <v>0</v>
      </c>
      <c r="BL268" s="425">
        <f t="shared" si="124"/>
        <v>0</v>
      </c>
      <c r="BM268" s="425">
        <f t="shared" si="125"/>
        <v>0</v>
      </c>
      <c r="BN268" s="425">
        <f t="shared" si="125"/>
        <v>0</v>
      </c>
      <c r="BO268" s="425">
        <f t="shared" si="125"/>
        <v>0</v>
      </c>
      <c r="BP268" s="425">
        <f t="shared" si="126"/>
        <v>0</v>
      </c>
      <c r="BQ268" s="425">
        <f t="shared" si="126"/>
        <v>0</v>
      </c>
      <c r="BR268" s="425">
        <f t="shared" si="126"/>
        <v>0</v>
      </c>
      <c r="BS268" s="425">
        <f t="shared" si="127"/>
        <v>0</v>
      </c>
      <c r="BT268" s="426">
        <f t="shared" si="127"/>
        <v>0</v>
      </c>
    </row>
    <row r="269" spans="2:72" x14ac:dyDescent="0.25">
      <c r="B269" s="145"/>
      <c r="C269" s="539">
        <v>46447</v>
      </c>
      <c r="D269" s="533"/>
      <c r="E269" s="534">
        <v>0</v>
      </c>
      <c r="F269" s="534">
        <v>0</v>
      </c>
      <c r="G269" s="534">
        <v>0</v>
      </c>
      <c r="H269" s="540">
        <v>0</v>
      </c>
      <c r="I269" s="536">
        <v>0</v>
      </c>
      <c r="J269" s="533"/>
      <c r="K269" s="534">
        <v>0</v>
      </c>
      <c r="L269" s="534">
        <v>0</v>
      </c>
      <c r="M269" s="534">
        <v>0</v>
      </c>
      <c r="N269" s="534">
        <v>0</v>
      </c>
      <c r="O269" s="534">
        <v>0</v>
      </c>
      <c r="P269" s="534">
        <v>0</v>
      </c>
      <c r="Q269" s="534">
        <v>0</v>
      </c>
      <c r="R269" s="534">
        <v>0</v>
      </c>
      <c r="S269" s="536">
        <v>0</v>
      </c>
      <c r="T269" s="533"/>
      <c r="U269" s="534">
        <v>0</v>
      </c>
      <c r="V269" s="534">
        <v>0</v>
      </c>
      <c r="W269" s="534">
        <v>0</v>
      </c>
      <c r="X269" s="534">
        <v>0</v>
      </c>
      <c r="Y269" s="534">
        <v>0</v>
      </c>
      <c r="Z269" s="534">
        <v>0</v>
      </c>
      <c r="AA269" s="534">
        <v>0</v>
      </c>
      <c r="AB269" s="534">
        <v>0</v>
      </c>
      <c r="AC269" s="534">
        <v>0</v>
      </c>
      <c r="AD269" s="534">
        <v>0</v>
      </c>
      <c r="AE269" s="536">
        <v>0</v>
      </c>
      <c r="AF269" s="533"/>
      <c r="AG269" s="534">
        <v>0</v>
      </c>
      <c r="AH269" s="534">
        <v>0</v>
      </c>
      <c r="AI269" s="534">
        <v>0</v>
      </c>
      <c r="AJ269" s="534">
        <v>0</v>
      </c>
      <c r="AK269" s="536">
        <v>0</v>
      </c>
      <c r="AL269" s="533"/>
      <c r="AM269" s="534">
        <v>0</v>
      </c>
      <c r="AN269" s="534">
        <v>0</v>
      </c>
      <c r="AO269" s="534">
        <v>0</v>
      </c>
      <c r="AP269" s="537">
        <v>0</v>
      </c>
      <c r="AQ269" s="535">
        <v>0</v>
      </c>
      <c r="AR269" s="534">
        <v>0</v>
      </c>
      <c r="AS269" s="534">
        <v>0</v>
      </c>
      <c r="AT269" s="534">
        <v>0</v>
      </c>
      <c r="AU269" s="536">
        <v>0</v>
      </c>
      <c r="AV269" s="533"/>
      <c r="AW269" s="538">
        <v>0</v>
      </c>
      <c r="AX269" s="538">
        <v>19053824.60002128</v>
      </c>
      <c r="AY269" s="533"/>
      <c r="AZ269" s="534">
        <f t="shared" si="123"/>
        <v>0</v>
      </c>
      <c r="BA269" s="534">
        <v>0</v>
      </c>
      <c r="BD269" s="392">
        <f t="shared" si="115"/>
        <v>0</v>
      </c>
      <c r="BE269" s="425">
        <f t="shared" si="116"/>
        <v>0</v>
      </c>
      <c r="BF269" s="425">
        <f t="shared" si="124"/>
        <v>0</v>
      </c>
      <c r="BG269" s="425">
        <f t="shared" si="124"/>
        <v>0</v>
      </c>
      <c r="BH269" s="425">
        <f t="shared" si="124"/>
        <v>0</v>
      </c>
      <c r="BI269" s="425">
        <f t="shared" si="124"/>
        <v>0</v>
      </c>
      <c r="BJ269" s="425">
        <f t="shared" si="124"/>
        <v>0</v>
      </c>
      <c r="BK269" s="425">
        <f t="shared" si="124"/>
        <v>0</v>
      </c>
      <c r="BL269" s="425">
        <f t="shared" si="124"/>
        <v>0</v>
      </c>
      <c r="BM269" s="425">
        <f t="shared" si="125"/>
        <v>0</v>
      </c>
      <c r="BN269" s="425">
        <f t="shared" si="125"/>
        <v>0</v>
      </c>
      <c r="BO269" s="425">
        <f t="shared" si="125"/>
        <v>0</v>
      </c>
      <c r="BP269" s="425">
        <f t="shared" si="126"/>
        <v>0</v>
      </c>
      <c r="BQ269" s="425">
        <f t="shared" si="126"/>
        <v>0</v>
      </c>
      <c r="BR269" s="425">
        <f t="shared" si="126"/>
        <v>0</v>
      </c>
      <c r="BS269" s="425">
        <f t="shared" si="127"/>
        <v>0</v>
      </c>
      <c r="BT269" s="426">
        <f t="shared" si="127"/>
        <v>0</v>
      </c>
    </row>
    <row r="270" spans="2:72" x14ac:dyDescent="0.25">
      <c r="B270" s="145"/>
      <c r="C270" s="539">
        <v>46478</v>
      </c>
      <c r="D270" s="533"/>
      <c r="E270" s="534">
        <v>0</v>
      </c>
      <c r="F270" s="534">
        <v>0</v>
      </c>
      <c r="G270" s="534">
        <v>0</v>
      </c>
      <c r="H270" s="540">
        <v>0</v>
      </c>
      <c r="I270" s="536">
        <v>0</v>
      </c>
      <c r="J270" s="533"/>
      <c r="K270" s="534">
        <v>0</v>
      </c>
      <c r="L270" s="534">
        <v>0</v>
      </c>
      <c r="M270" s="534">
        <v>0</v>
      </c>
      <c r="N270" s="534">
        <v>0</v>
      </c>
      <c r="O270" s="534">
        <v>0</v>
      </c>
      <c r="P270" s="534">
        <v>0</v>
      </c>
      <c r="Q270" s="534">
        <v>0</v>
      </c>
      <c r="R270" s="534">
        <v>0</v>
      </c>
      <c r="S270" s="536">
        <v>0</v>
      </c>
      <c r="T270" s="533"/>
      <c r="U270" s="534">
        <v>0</v>
      </c>
      <c r="V270" s="534">
        <v>0</v>
      </c>
      <c r="W270" s="534">
        <v>0</v>
      </c>
      <c r="X270" s="534">
        <v>0</v>
      </c>
      <c r="Y270" s="534">
        <v>0</v>
      </c>
      <c r="Z270" s="534">
        <v>0</v>
      </c>
      <c r="AA270" s="534">
        <v>0</v>
      </c>
      <c r="AB270" s="534">
        <v>0</v>
      </c>
      <c r="AC270" s="534">
        <v>0</v>
      </c>
      <c r="AD270" s="534">
        <v>0</v>
      </c>
      <c r="AE270" s="536">
        <v>0</v>
      </c>
      <c r="AF270" s="533"/>
      <c r="AG270" s="534">
        <v>0</v>
      </c>
      <c r="AH270" s="534">
        <v>0</v>
      </c>
      <c r="AI270" s="534">
        <v>0</v>
      </c>
      <c r="AJ270" s="534">
        <v>0</v>
      </c>
      <c r="AK270" s="536">
        <v>0</v>
      </c>
      <c r="AL270" s="533"/>
      <c r="AM270" s="534">
        <v>0</v>
      </c>
      <c r="AN270" s="534">
        <v>0</v>
      </c>
      <c r="AO270" s="534">
        <v>0</v>
      </c>
      <c r="AP270" s="537">
        <v>0</v>
      </c>
      <c r="AQ270" s="535">
        <v>0</v>
      </c>
      <c r="AR270" s="534">
        <v>0</v>
      </c>
      <c r="AS270" s="534">
        <v>0</v>
      </c>
      <c r="AT270" s="534">
        <v>0</v>
      </c>
      <c r="AU270" s="536">
        <v>0</v>
      </c>
      <c r="AV270" s="533"/>
      <c r="AW270" s="538">
        <v>0</v>
      </c>
      <c r="AX270" s="538">
        <v>19053824.60002128</v>
      </c>
      <c r="AY270" s="533"/>
      <c r="AZ270" s="534">
        <f t="shared" si="123"/>
        <v>0</v>
      </c>
      <c r="BA270" s="534">
        <v>0</v>
      </c>
      <c r="BD270" s="392">
        <f t="shared" si="115"/>
        <v>0</v>
      </c>
      <c r="BE270" s="425">
        <f t="shared" si="116"/>
        <v>0</v>
      </c>
      <c r="BF270" s="425">
        <f t="shared" si="124"/>
        <v>0</v>
      </c>
      <c r="BG270" s="425">
        <f t="shared" si="124"/>
        <v>0</v>
      </c>
      <c r="BH270" s="425">
        <f t="shared" si="124"/>
        <v>0</v>
      </c>
      <c r="BI270" s="425">
        <f t="shared" si="124"/>
        <v>0</v>
      </c>
      <c r="BJ270" s="425">
        <f t="shared" si="124"/>
        <v>0</v>
      </c>
      <c r="BK270" s="425">
        <f t="shared" si="124"/>
        <v>0</v>
      </c>
      <c r="BL270" s="425">
        <f t="shared" si="124"/>
        <v>0</v>
      </c>
      <c r="BM270" s="425">
        <f t="shared" si="125"/>
        <v>0</v>
      </c>
      <c r="BN270" s="425">
        <f t="shared" si="125"/>
        <v>0</v>
      </c>
      <c r="BO270" s="425">
        <f t="shared" si="125"/>
        <v>0</v>
      </c>
      <c r="BP270" s="425">
        <f t="shared" si="126"/>
        <v>0</v>
      </c>
      <c r="BQ270" s="425">
        <f t="shared" si="126"/>
        <v>0</v>
      </c>
      <c r="BR270" s="425">
        <f t="shared" si="126"/>
        <v>0</v>
      </c>
      <c r="BS270" s="425">
        <f t="shared" si="127"/>
        <v>0</v>
      </c>
      <c r="BT270" s="426">
        <f t="shared" si="127"/>
        <v>0</v>
      </c>
    </row>
    <row r="271" spans="2:72" x14ac:dyDescent="0.25">
      <c r="B271" s="145"/>
      <c r="C271" s="539">
        <v>46508</v>
      </c>
      <c r="D271" s="533"/>
      <c r="E271" s="534">
        <v>0</v>
      </c>
      <c r="F271" s="534">
        <v>0</v>
      </c>
      <c r="G271" s="534">
        <v>0</v>
      </c>
      <c r="H271" s="540">
        <v>0</v>
      </c>
      <c r="I271" s="536">
        <v>0</v>
      </c>
      <c r="J271" s="533"/>
      <c r="K271" s="534">
        <v>0</v>
      </c>
      <c r="L271" s="534">
        <v>0</v>
      </c>
      <c r="M271" s="534">
        <v>0</v>
      </c>
      <c r="N271" s="534">
        <v>0</v>
      </c>
      <c r="O271" s="534">
        <v>0</v>
      </c>
      <c r="P271" s="534">
        <v>0</v>
      </c>
      <c r="Q271" s="534">
        <v>0</v>
      </c>
      <c r="R271" s="534">
        <v>0</v>
      </c>
      <c r="S271" s="536">
        <v>0</v>
      </c>
      <c r="T271" s="533"/>
      <c r="U271" s="534">
        <v>0</v>
      </c>
      <c r="V271" s="534">
        <v>0</v>
      </c>
      <c r="W271" s="534">
        <v>0</v>
      </c>
      <c r="X271" s="534">
        <v>0</v>
      </c>
      <c r="Y271" s="534">
        <v>0</v>
      </c>
      <c r="Z271" s="534">
        <v>0</v>
      </c>
      <c r="AA271" s="534">
        <v>0</v>
      </c>
      <c r="AB271" s="534">
        <v>0</v>
      </c>
      <c r="AC271" s="534">
        <v>0</v>
      </c>
      <c r="AD271" s="534">
        <v>0</v>
      </c>
      <c r="AE271" s="536">
        <v>0</v>
      </c>
      <c r="AF271" s="533"/>
      <c r="AG271" s="534">
        <v>0</v>
      </c>
      <c r="AH271" s="534">
        <v>0</v>
      </c>
      <c r="AI271" s="534">
        <v>0</v>
      </c>
      <c r="AJ271" s="534">
        <v>0</v>
      </c>
      <c r="AK271" s="536">
        <v>0</v>
      </c>
      <c r="AL271" s="533"/>
      <c r="AM271" s="534">
        <v>0</v>
      </c>
      <c r="AN271" s="534">
        <v>0</v>
      </c>
      <c r="AO271" s="534">
        <v>0</v>
      </c>
      <c r="AP271" s="537">
        <v>0</v>
      </c>
      <c r="AQ271" s="535">
        <v>0</v>
      </c>
      <c r="AR271" s="534">
        <v>0</v>
      </c>
      <c r="AS271" s="534">
        <v>0</v>
      </c>
      <c r="AT271" s="534">
        <v>0</v>
      </c>
      <c r="AU271" s="536">
        <v>0</v>
      </c>
      <c r="AV271" s="533"/>
      <c r="AW271" s="538">
        <v>0</v>
      </c>
      <c r="AX271" s="538">
        <v>19053824.60002128</v>
      </c>
      <c r="AY271" s="533"/>
      <c r="AZ271" s="534">
        <f t="shared" si="123"/>
        <v>0</v>
      </c>
      <c r="BA271" s="534">
        <v>0</v>
      </c>
      <c r="BD271" s="392">
        <f t="shared" si="115"/>
        <v>0</v>
      </c>
      <c r="BE271" s="425">
        <f t="shared" si="116"/>
        <v>0</v>
      </c>
      <c r="BF271" s="425">
        <f t="shared" ref="BF271:BL280" si="128">-SUMIF($E$6:$BA$6, BF$6, $E271:$BA271)</f>
        <v>0</v>
      </c>
      <c r="BG271" s="425">
        <f t="shared" si="128"/>
        <v>0</v>
      </c>
      <c r="BH271" s="425">
        <f t="shared" si="128"/>
        <v>0</v>
      </c>
      <c r="BI271" s="425">
        <f t="shared" si="128"/>
        <v>0</v>
      </c>
      <c r="BJ271" s="425">
        <f t="shared" si="128"/>
        <v>0</v>
      </c>
      <c r="BK271" s="425">
        <f t="shared" si="128"/>
        <v>0</v>
      </c>
      <c r="BL271" s="425">
        <f t="shared" si="128"/>
        <v>0</v>
      </c>
      <c r="BM271" s="425">
        <f t="shared" si="125"/>
        <v>0</v>
      </c>
      <c r="BN271" s="425">
        <f t="shared" si="125"/>
        <v>0</v>
      </c>
      <c r="BO271" s="425">
        <f t="shared" si="125"/>
        <v>0</v>
      </c>
      <c r="BP271" s="425">
        <f t="shared" si="126"/>
        <v>0</v>
      </c>
      <c r="BQ271" s="425">
        <f t="shared" si="126"/>
        <v>0</v>
      </c>
      <c r="BR271" s="425">
        <f t="shared" si="126"/>
        <v>0</v>
      </c>
      <c r="BS271" s="425">
        <f t="shared" si="127"/>
        <v>0</v>
      </c>
      <c r="BT271" s="426">
        <f t="shared" si="127"/>
        <v>0</v>
      </c>
    </row>
    <row r="272" spans="2:72" x14ac:dyDescent="0.25">
      <c r="B272" s="145"/>
      <c r="C272" s="539">
        <v>46539</v>
      </c>
      <c r="D272" s="533"/>
      <c r="E272" s="534">
        <v>0</v>
      </c>
      <c r="F272" s="534">
        <v>0</v>
      </c>
      <c r="G272" s="534">
        <v>0</v>
      </c>
      <c r="H272" s="540">
        <v>0</v>
      </c>
      <c r="I272" s="536">
        <v>0</v>
      </c>
      <c r="J272" s="533"/>
      <c r="K272" s="534">
        <v>0</v>
      </c>
      <c r="L272" s="534">
        <v>0</v>
      </c>
      <c r="M272" s="534">
        <v>0</v>
      </c>
      <c r="N272" s="534">
        <v>0</v>
      </c>
      <c r="O272" s="534">
        <v>0</v>
      </c>
      <c r="P272" s="534">
        <v>0</v>
      </c>
      <c r="Q272" s="534">
        <v>0</v>
      </c>
      <c r="R272" s="534">
        <v>0</v>
      </c>
      <c r="S272" s="536">
        <v>0</v>
      </c>
      <c r="T272" s="533"/>
      <c r="U272" s="534">
        <v>0</v>
      </c>
      <c r="V272" s="534">
        <v>0</v>
      </c>
      <c r="W272" s="534">
        <v>0</v>
      </c>
      <c r="X272" s="534">
        <v>0</v>
      </c>
      <c r="Y272" s="534">
        <v>0</v>
      </c>
      <c r="Z272" s="534">
        <v>0</v>
      </c>
      <c r="AA272" s="534">
        <v>0</v>
      </c>
      <c r="AB272" s="534">
        <v>0</v>
      </c>
      <c r="AC272" s="534">
        <v>0</v>
      </c>
      <c r="AD272" s="534">
        <v>0</v>
      </c>
      <c r="AE272" s="536">
        <v>0</v>
      </c>
      <c r="AF272" s="533"/>
      <c r="AG272" s="534">
        <v>0</v>
      </c>
      <c r="AH272" s="534">
        <v>0</v>
      </c>
      <c r="AI272" s="534">
        <v>0</v>
      </c>
      <c r="AJ272" s="534">
        <v>0</v>
      </c>
      <c r="AK272" s="536">
        <v>0</v>
      </c>
      <c r="AL272" s="533"/>
      <c r="AM272" s="534">
        <v>0</v>
      </c>
      <c r="AN272" s="534">
        <v>0</v>
      </c>
      <c r="AO272" s="534">
        <v>0</v>
      </c>
      <c r="AP272" s="537">
        <v>0</v>
      </c>
      <c r="AQ272" s="535">
        <v>0</v>
      </c>
      <c r="AR272" s="534">
        <v>0</v>
      </c>
      <c r="AS272" s="534">
        <v>0</v>
      </c>
      <c r="AT272" s="534">
        <v>0</v>
      </c>
      <c r="AU272" s="536">
        <v>0</v>
      </c>
      <c r="AV272" s="533"/>
      <c r="AW272" s="538">
        <v>0</v>
      </c>
      <c r="AX272" s="538">
        <v>19053824.60002128</v>
      </c>
      <c r="AY272" s="533"/>
      <c r="AZ272" s="534">
        <f t="shared" si="123"/>
        <v>0</v>
      </c>
      <c r="BA272" s="534">
        <v>0</v>
      </c>
      <c r="BD272" s="392">
        <f t="shared" si="115"/>
        <v>0</v>
      </c>
      <c r="BE272" s="425">
        <f t="shared" si="116"/>
        <v>0</v>
      </c>
      <c r="BF272" s="425">
        <f t="shared" si="128"/>
        <v>0</v>
      </c>
      <c r="BG272" s="425">
        <f t="shared" si="128"/>
        <v>0</v>
      </c>
      <c r="BH272" s="425">
        <f t="shared" si="128"/>
        <v>0</v>
      </c>
      <c r="BI272" s="425">
        <f t="shared" si="128"/>
        <v>0</v>
      </c>
      <c r="BJ272" s="425">
        <f t="shared" si="128"/>
        <v>0</v>
      </c>
      <c r="BK272" s="425">
        <f t="shared" si="128"/>
        <v>0</v>
      </c>
      <c r="BL272" s="425">
        <f t="shared" si="128"/>
        <v>0</v>
      </c>
      <c r="BM272" s="425">
        <f t="shared" si="125"/>
        <v>0</v>
      </c>
      <c r="BN272" s="425">
        <f t="shared" si="125"/>
        <v>0</v>
      </c>
      <c r="BO272" s="425">
        <f t="shared" si="125"/>
        <v>0</v>
      </c>
      <c r="BP272" s="425">
        <f t="shared" si="126"/>
        <v>0</v>
      </c>
      <c r="BQ272" s="425">
        <f t="shared" si="126"/>
        <v>0</v>
      </c>
      <c r="BR272" s="425">
        <f t="shared" si="126"/>
        <v>0</v>
      </c>
      <c r="BS272" s="425">
        <f t="shared" si="127"/>
        <v>0</v>
      </c>
      <c r="BT272" s="426">
        <f t="shared" si="127"/>
        <v>0</v>
      </c>
    </row>
    <row r="273" spans="2:72" x14ac:dyDescent="0.25">
      <c r="B273" s="145"/>
      <c r="C273" s="539">
        <v>46569</v>
      </c>
      <c r="D273" s="533"/>
      <c r="E273" s="534">
        <v>0</v>
      </c>
      <c r="F273" s="534">
        <v>0</v>
      </c>
      <c r="G273" s="534">
        <v>0</v>
      </c>
      <c r="H273" s="540">
        <v>0</v>
      </c>
      <c r="I273" s="536">
        <v>0</v>
      </c>
      <c r="J273" s="533"/>
      <c r="K273" s="534">
        <v>0</v>
      </c>
      <c r="L273" s="534">
        <v>0</v>
      </c>
      <c r="M273" s="534">
        <v>0</v>
      </c>
      <c r="N273" s="534">
        <v>0</v>
      </c>
      <c r="O273" s="534">
        <v>0</v>
      </c>
      <c r="P273" s="534">
        <v>0</v>
      </c>
      <c r="Q273" s="534">
        <v>0</v>
      </c>
      <c r="R273" s="534">
        <v>0</v>
      </c>
      <c r="S273" s="536">
        <v>0</v>
      </c>
      <c r="T273" s="533"/>
      <c r="U273" s="534">
        <v>0</v>
      </c>
      <c r="V273" s="534">
        <v>0</v>
      </c>
      <c r="W273" s="534">
        <v>0</v>
      </c>
      <c r="X273" s="534">
        <v>0</v>
      </c>
      <c r="Y273" s="534">
        <v>0</v>
      </c>
      <c r="Z273" s="534">
        <v>0</v>
      </c>
      <c r="AA273" s="534">
        <v>0</v>
      </c>
      <c r="AB273" s="534">
        <v>0</v>
      </c>
      <c r="AC273" s="534">
        <v>0</v>
      </c>
      <c r="AD273" s="534">
        <v>0</v>
      </c>
      <c r="AE273" s="536">
        <v>0</v>
      </c>
      <c r="AF273" s="533"/>
      <c r="AG273" s="534">
        <v>0</v>
      </c>
      <c r="AH273" s="534">
        <v>0</v>
      </c>
      <c r="AI273" s="534">
        <v>0</v>
      </c>
      <c r="AJ273" s="534">
        <v>0</v>
      </c>
      <c r="AK273" s="536">
        <v>0</v>
      </c>
      <c r="AL273" s="533"/>
      <c r="AM273" s="534">
        <v>0</v>
      </c>
      <c r="AN273" s="534">
        <v>0</v>
      </c>
      <c r="AO273" s="534">
        <v>0</v>
      </c>
      <c r="AP273" s="537">
        <v>0</v>
      </c>
      <c r="AQ273" s="535">
        <v>0</v>
      </c>
      <c r="AR273" s="534">
        <v>0</v>
      </c>
      <c r="AS273" s="534">
        <v>0</v>
      </c>
      <c r="AT273" s="534">
        <v>0</v>
      </c>
      <c r="AU273" s="536">
        <v>0</v>
      </c>
      <c r="AV273" s="533"/>
      <c r="AW273" s="538">
        <v>0</v>
      </c>
      <c r="AX273" s="538">
        <v>19053824.60002128</v>
      </c>
      <c r="AY273" s="533"/>
      <c r="AZ273" s="534">
        <f t="shared" si="123"/>
        <v>0</v>
      </c>
      <c r="BA273" s="534">
        <v>0</v>
      </c>
      <c r="BD273" s="392">
        <f t="shared" si="115"/>
        <v>0</v>
      </c>
      <c r="BE273" s="425">
        <f t="shared" si="116"/>
        <v>0</v>
      </c>
      <c r="BF273" s="425">
        <f t="shared" si="128"/>
        <v>0</v>
      </c>
      <c r="BG273" s="425">
        <f t="shared" si="128"/>
        <v>0</v>
      </c>
      <c r="BH273" s="425">
        <f t="shared" si="128"/>
        <v>0</v>
      </c>
      <c r="BI273" s="425">
        <f t="shared" si="128"/>
        <v>0</v>
      </c>
      <c r="BJ273" s="425">
        <f t="shared" si="128"/>
        <v>0</v>
      </c>
      <c r="BK273" s="425">
        <f t="shared" si="128"/>
        <v>0</v>
      </c>
      <c r="BL273" s="425">
        <f t="shared" si="128"/>
        <v>0</v>
      </c>
      <c r="BM273" s="425">
        <f t="shared" si="125"/>
        <v>0</v>
      </c>
      <c r="BN273" s="425">
        <f t="shared" si="125"/>
        <v>0</v>
      </c>
      <c r="BO273" s="425">
        <f t="shared" si="125"/>
        <v>0</v>
      </c>
      <c r="BP273" s="425">
        <f t="shared" si="126"/>
        <v>0</v>
      </c>
      <c r="BQ273" s="425">
        <f t="shared" si="126"/>
        <v>0</v>
      </c>
      <c r="BR273" s="425">
        <f t="shared" si="126"/>
        <v>0</v>
      </c>
      <c r="BS273" s="425">
        <f t="shared" si="127"/>
        <v>0</v>
      </c>
      <c r="BT273" s="426">
        <f t="shared" si="127"/>
        <v>0</v>
      </c>
    </row>
    <row r="274" spans="2:72" x14ac:dyDescent="0.25">
      <c r="B274" s="145"/>
      <c r="C274" s="539">
        <v>46600</v>
      </c>
      <c r="D274" s="533"/>
      <c r="E274" s="534">
        <v>0</v>
      </c>
      <c r="F274" s="534">
        <v>0</v>
      </c>
      <c r="G274" s="534">
        <v>0</v>
      </c>
      <c r="H274" s="540">
        <v>0</v>
      </c>
      <c r="I274" s="536">
        <v>0</v>
      </c>
      <c r="J274" s="533"/>
      <c r="K274" s="534">
        <v>0</v>
      </c>
      <c r="L274" s="534">
        <v>0</v>
      </c>
      <c r="M274" s="534">
        <v>0</v>
      </c>
      <c r="N274" s="534">
        <v>0</v>
      </c>
      <c r="O274" s="534">
        <v>0</v>
      </c>
      <c r="P274" s="534">
        <v>0</v>
      </c>
      <c r="Q274" s="534">
        <v>0</v>
      </c>
      <c r="R274" s="534">
        <v>0</v>
      </c>
      <c r="S274" s="536">
        <v>0</v>
      </c>
      <c r="T274" s="533"/>
      <c r="U274" s="534">
        <v>0</v>
      </c>
      <c r="V274" s="534">
        <v>0</v>
      </c>
      <c r="W274" s="534">
        <v>0</v>
      </c>
      <c r="X274" s="534">
        <v>0</v>
      </c>
      <c r="Y274" s="534">
        <v>0</v>
      </c>
      <c r="Z274" s="534">
        <v>0</v>
      </c>
      <c r="AA274" s="534">
        <v>0</v>
      </c>
      <c r="AB274" s="534">
        <v>0</v>
      </c>
      <c r="AC274" s="534">
        <v>0</v>
      </c>
      <c r="AD274" s="534">
        <v>0</v>
      </c>
      <c r="AE274" s="536">
        <v>0</v>
      </c>
      <c r="AF274" s="533"/>
      <c r="AG274" s="534">
        <v>0</v>
      </c>
      <c r="AH274" s="534">
        <v>0</v>
      </c>
      <c r="AI274" s="534">
        <v>0</v>
      </c>
      <c r="AJ274" s="534">
        <v>0</v>
      </c>
      <c r="AK274" s="536">
        <v>0</v>
      </c>
      <c r="AL274" s="533"/>
      <c r="AM274" s="534">
        <v>0</v>
      </c>
      <c r="AN274" s="534">
        <v>0</v>
      </c>
      <c r="AO274" s="534">
        <v>0</v>
      </c>
      <c r="AP274" s="537">
        <v>0</v>
      </c>
      <c r="AQ274" s="535">
        <v>0</v>
      </c>
      <c r="AR274" s="534">
        <v>0</v>
      </c>
      <c r="AS274" s="534">
        <v>0</v>
      </c>
      <c r="AT274" s="534">
        <v>0</v>
      </c>
      <c r="AU274" s="536">
        <v>0</v>
      </c>
      <c r="AV274" s="533"/>
      <c r="AW274" s="538">
        <v>0</v>
      </c>
      <c r="AX274" s="538">
        <v>19053824.60002128</v>
      </c>
      <c r="AY274" s="533"/>
      <c r="AZ274" s="534">
        <f t="shared" si="123"/>
        <v>0</v>
      </c>
      <c r="BA274" s="534">
        <v>0</v>
      </c>
      <c r="BD274" s="392">
        <f t="shared" si="115"/>
        <v>0</v>
      </c>
      <c r="BE274" s="425">
        <f t="shared" si="116"/>
        <v>0</v>
      </c>
      <c r="BF274" s="425">
        <f t="shared" si="128"/>
        <v>0</v>
      </c>
      <c r="BG274" s="425">
        <f t="shared" si="128"/>
        <v>0</v>
      </c>
      <c r="BH274" s="425">
        <f t="shared" si="128"/>
        <v>0</v>
      </c>
      <c r="BI274" s="425">
        <f t="shared" si="128"/>
        <v>0</v>
      </c>
      <c r="BJ274" s="425">
        <f t="shared" si="128"/>
        <v>0</v>
      </c>
      <c r="BK274" s="425">
        <f t="shared" si="128"/>
        <v>0</v>
      </c>
      <c r="BL274" s="425">
        <f t="shared" si="128"/>
        <v>0</v>
      </c>
      <c r="BM274" s="425">
        <f t="shared" si="125"/>
        <v>0</v>
      </c>
      <c r="BN274" s="425">
        <f t="shared" si="125"/>
        <v>0</v>
      </c>
      <c r="BO274" s="425">
        <f t="shared" si="125"/>
        <v>0</v>
      </c>
      <c r="BP274" s="425">
        <f t="shared" si="126"/>
        <v>0</v>
      </c>
      <c r="BQ274" s="425">
        <f t="shared" si="126"/>
        <v>0</v>
      </c>
      <c r="BR274" s="425">
        <f t="shared" si="126"/>
        <v>0</v>
      </c>
      <c r="BS274" s="425">
        <f t="shared" si="127"/>
        <v>0</v>
      </c>
      <c r="BT274" s="426">
        <f t="shared" si="127"/>
        <v>0</v>
      </c>
    </row>
    <row r="275" spans="2:72" x14ac:dyDescent="0.25">
      <c r="B275" s="145"/>
      <c r="C275" s="539">
        <v>46631</v>
      </c>
      <c r="D275" s="533"/>
      <c r="E275" s="534">
        <v>0</v>
      </c>
      <c r="F275" s="534">
        <v>0</v>
      </c>
      <c r="G275" s="534">
        <v>0</v>
      </c>
      <c r="H275" s="540">
        <v>0</v>
      </c>
      <c r="I275" s="536">
        <v>0</v>
      </c>
      <c r="J275" s="533"/>
      <c r="K275" s="534">
        <v>0</v>
      </c>
      <c r="L275" s="534">
        <v>0</v>
      </c>
      <c r="M275" s="534">
        <v>0</v>
      </c>
      <c r="N275" s="534">
        <v>0</v>
      </c>
      <c r="O275" s="534">
        <v>0</v>
      </c>
      <c r="P275" s="534">
        <v>0</v>
      </c>
      <c r="Q275" s="534">
        <v>0</v>
      </c>
      <c r="R275" s="534">
        <v>0</v>
      </c>
      <c r="S275" s="536">
        <v>0</v>
      </c>
      <c r="T275" s="533"/>
      <c r="U275" s="534">
        <v>0</v>
      </c>
      <c r="V275" s="534">
        <v>0</v>
      </c>
      <c r="W275" s="534">
        <v>0</v>
      </c>
      <c r="X275" s="534">
        <v>0</v>
      </c>
      <c r="Y275" s="534">
        <v>0</v>
      </c>
      <c r="Z275" s="534">
        <v>0</v>
      </c>
      <c r="AA275" s="534">
        <v>0</v>
      </c>
      <c r="AB275" s="534">
        <v>0</v>
      </c>
      <c r="AC275" s="534">
        <v>0</v>
      </c>
      <c r="AD275" s="534">
        <v>0</v>
      </c>
      <c r="AE275" s="536">
        <v>0</v>
      </c>
      <c r="AF275" s="533"/>
      <c r="AG275" s="534">
        <v>0</v>
      </c>
      <c r="AH275" s="534">
        <v>0</v>
      </c>
      <c r="AI275" s="534">
        <v>0</v>
      </c>
      <c r="AJ275" s="534">
        <v>0</v>
      </c>
      <c r="AK275" s="536">
        <v>0</v>
      </c>
      <c r="AL275" s="533"/>
      <c r="AM275" s="534">
        <v>0</v>
      </c>
      <c r="AN275" s="534">
        <v>0</v>
      </c>
      <c r="AO275" s="534">
        <v>0</v>
      </c>
      <c r="AP275" s="537">
        <v>0</v>
      </c>
      <c r="AQ275" s="535">
        <v>0</v>
      </c>
      <c r="AR275" s="534">
        <v>0</v>
      </c>
      <c r="AS275" s="534">
        <v>0</v>
      </c>
      <c r="AT275" s="534">
        <v>0</v>
      </c>
      <c r="AU275" s="536">
        <v>0</v>
      </c>
      <c r="AV275" s="533"/>
      <c r="AW275" s="538">
        <v>0</v>
      </c>
      <c r="AX275" s="538">
        <v>19053824.60002128</v>
      </c>
      <c r="AY275" s="533"/>
      <c r="AZ275" s="534">
        <f t="shared" si="123"/>
        <v>0</v>
      </c>
      <c r="BA275" s="534">
        <v>0</v>
      </c>
      <c r="BD275" s="392">
        <f t="shared" si="115"/>
        <v>0</v>
      </c>
      <c r="BE275" s="425">
        <f t="shared" si="116"/>
        <v>0</v>
      </c>
      <c r="BF275" s="425">
        <f t="shared" si="128"/>
        <v>0</v>
      </c>
      <c r="BG275" s="425">
        <f t="shared" si="128"/>
        <v>0</v>
      </c>
      <c r="BH275" s="425">
        <f t="shared" si="128"/>
        <v>0</v>
      </c>
      <c r="BI275" s="425">
        <f t="shared" si="128"/>
        <v>0</v>
      </c>
      <c r="BJ275" s="425">
        <f t="shared" si="128"/>
        <v>0</v>
      </c>
      <c r="BK275" s="425">
        <f t="shared" si="128"/>
        <v>0</v>
      </c>
      <c r="BL275" s="425">
        <f t="shared" si="128"/>
        <v>0</v>
      </c>
      <c r="BM275" s="425">
        <f t="shared" si="125"/>
        <v>0</v>
      </c>
      <c r="BN275" s="425">
        <f t="shared" si="125"/>
        <v>0</v>
      </c>
      <c r="BO275" s="425">
        <f t="shared" si="125"/>
        <v>0</v>
      </c>
      <c r="BP275" s="425">
        <f t="shared" si="126"/>
        <v>0</v>
      </c>
      <c r="BQ275" s="425">
        <f t="shared" si="126"/>
        <v>0</v>
      </c>
      <c r="BR275" s="425">
        <f t="shared" si="126"/>
        <v>0</v>
      </c>
      <c r="BS275" s="425">
        <f t="shared" si="127"/>
        <v>0</v>
      </c>
      <c r="BT275" s="426">
        <f t="shared" si="127"/>
        <v>0</v>
      </c>
    </row>
    <row r="276" spans="2:72" x14ac:dyDescent="0.25">
      <c r="B276" s="145"/>
      <c r="C276" s="539">
        <v>46661</v>
      </c>
      <c r="D276" s="533"/>
      <c r="E276" s="534">
        <v>0</v>
      </c>
      <c r="F276" s="534">
        <v>0</v>
      </c>
      <c r="G276" s="534">
        <v>0</v>
      </c>
      <c r="H276" s="540">
        <v>0</v>
      </c>
      <c r="I276" s="536">
        <v>0</v>
      </c>
      <c r="J276" s="533"/>
      <c r="K276" s="534">
        <v>0</v>
      </c>
      <c r="L276" s="534">
        <v>0</v>
      </c>
      <c r="M276" s="534">
        <v>0</v>
      </c>
      <c r="N276" s="534">
        <v>0</v>
      </c>
      <c r="O276" s="534">
        <v>0</v>
      </c>
      <c r="P276" s="534">
        <v>0</v>
      </c>
      <c r="Q276" s="534">
        <v>0</v>
      </c>
      <c r="R276" s="534">
        <v>0</v>
      </c>
      <c r="S276" s="536">
        <v>0</v>
      </c>
      <c r="T276" s="533"/>
      <c r="U276" s="534">
        <v>0</v>
      </c>
      <c r="V276" s="534">
        <v>0</v>
      </c>
      <c r="W276" s="534">
        <v>0</v>
      </c>
      <c r="X276" s="534">
        <v>0</v>
      </c>
      <c r="Y276" s="534">
        <v>0</v>
      </c>
      <c r="Z276" s="534">
        <v>0</v>
      </c>
      <c r="AA276" s="534">
        <v>0</v>
      </c>
      <c r="AB276" s="534">
        <v>0</v>
      </c>
      <c r="AC276" s="534">
        <v>0</v>
      </c>
      <c r="AD276" s="534">
        <v>0</v>
      </c>
      <c r="AE276" s="536">
        <v>0</v>
      </c>
      <c r="AF276" s="533"/>
      <c r="AG276" s="534">
        <v>0</v>
      </c>
      <c r="AH276" s="534">
        <v>0</v>
      </c>
      <c r="AI276" s="534">
        <v>0</v>
      </c>
      <c r="AJ276" s="534">
        <v>0</v>
      </c>
      <c r="AK276" s="536">
        <v>0</v>
      </c>
      <c r="AL276" s="533"/>
      <c r="AM276" s="534">
        <v>0</v>
      </c>
      <c r="AN276" s="534">
        <v>0</v>
      </c>
      <c r="AO276" s="534">
        <v>0</v>
      </c>
      <c r="AP276" s="537">
        <v>0</v>
      </c>
      <c r="AQ276" s="535">
        <v>0</v>
      </c>
      <c r="AR276" s="534">
        <v>0</v>
      </c>
      <c r="AS276" s="534">
        <v>0</v>
      </c>
      <c r="AT276" s="534">
        <v>0</v>
      </c>
      <c r="AU276" s="536">
        <v>0</v>
      </c>
      <c r="AV276" s="533"/>
      <c r="AW276" s="538">
        <v>0</v>
      </c>
      <c r="AX276" s="538">
        <v>19053824.60002128</v>
      </c>
      <c r="AY276" s="533"/>
      <c r="AZ276" s="534">
        <f t="shared" si="123"/>
        <v>0</v>
      </c>
      <c r="BA276" s="534">
        <v>0</v>
      </c>
      <c r="BD276" s="392">
        <f t="shared" si="115"/>
        <v>0</v>
      </c>
      <c r="BE276" s="425">
        <f t="shared" si="116"/>
        <v>0</v>
      </c>
      <c r="BF276" s="425">
        <f t="shared" si="128"/>
        <v>0</v>
      </c>
      <c r="BG276" s="425">
        <f t="shared" si="128"/>
        <v>0</v>
      </c>
      <c r="BH276" s="425">
        <f t="shared" si="128"/>
        <v>0</v>
      </c>
      <c r="BI276" s="425">
        <f t="shared" si="128"/>
        <v>0</v>
      </c>
      <c r="BJ276" s="425">
        <f t="shared" si="128"/>
        <v>0</v>
      </c>
      <c r="BK276" s="425">
        <f t="shared" si="128"/>
        <v>0</v>
      </c>
      <c r="BL276" s="425">
        <f t="shared" si="128"/>
        <v>0</v>
      </c>
      <c r="BM276" s="425">
        <f t="shared" si="125"/>
        <v>0</v>
      </c>
      <c r="BN276" s="425">
        <f t="shared" si="125"/>
        <v>0</v>
      </c>
      <c r="BO276" s="425">
        <f t="shared" si="125"/>
        <v>0</v>
      </c>
      <c r="BP276" s="425">
        <f t="shared" si="126"/>
        <v>0</v>
      </c>
      <c r="BQ276" s="425">
        <f t="shared" si="126"/>
        <v>0</v>
      </c>
      <c r="BR276" s="425">
        <f t="shared" si="126"/>
        <v>0</v>
      </c>
      <c r="BS276" s="425">
        <f t="shared" si="127"/>
        <v>0</v>
      </c>
      <c r="BT276" s="426">
        <f t="shared" si="127"/>
        <v>0</v>
      </c>
    </row>
    <row r="277" spans="2:72" x14ac:dyDescent="0.25">
      <c r="B277" s="145"/>
      <c r="C277" s="539">
        <v>46692</v>
      </c>
      <c r="D277" s="533"/>
      <c r="E277" s="534">
        <v>0</v>
      </c>
      <c r="F277" s="534">
        <v>0</v>
      </c>
      <c r="G277" s="534">
        <v>0</v>
      </c>
      <c r="H277" s="540">
        <v>0</v>
      </c>
      <c r="I277" s="536">
        <v>0</v>
      </c>
      <c r="J277" s="533"/>
      <c r="K277" s="534">
        <v>0</v>
      </c>
      <c r="L277" s="534">
        <v>0</v>
      </c>
      <c r="M277" s="534">
        <v>0</v>
      </c>
      <c r="N277" s="534">
        <v>0</v>
      </c>
      <c r="O277" s="534">
        <v>0</v>
      </c>
      <c r="P277" s="534">
        <v>0</v>
      </c>
      <c r="Q277" s="534">
        <v>0</v>
      </c>
      <c r="R277" s="534">
        <v>0</v>
      </c>
      <c r="S277" s="536">
        <v>0</v>
      </c>
      <c r="T277" s="533"/>
      <c r="U277" s="534">
        <v>0</v>
      </c>
      <c r="V277" s="534">
        <v>0</v>
      </c>
      <c r="W277" s="534">
        <v>0</v>
      </c>
      <c r="X277" s="534">
        <v>0</v>
      </c>
      <c r="Y277" s="534">
        <v>0</v>
      </c>
      <c r="Z277" s="534">
        <v>0</v>
      </c>
      <c r="AA277" s="534">
        <v>0</v>
      </c>
      <c r="AB277" s="534">
        <v>0</v>
      </c>
      <c r="AC277" s="534">
        <v>0</v>
      </c>
      <c r="AD277" s="534">
        <v>0</v>
      </c>
      <c r="AE277" s="536">
        <v>0</v>
      </c>
      <c r="AF277" s="533"/>
      <c r="AG277" s="534">
        <v>0</v>
      </c>
      <c r="AH277" s="534">
        <v>0</v>
      </c>
      <c r="AI277" s="534">
        <v>0</v>
      </c>
      <c r="AJ277" s="534">
        <v>0</v>
      </c>
      <c r="AK277" s="536">
        <v>0</v>
      </c>
      <c r="AL277" s="533"/>
      <c r="AM277" s="534">
        <v>0</v>
      </c>
      <c r="AN277" s="534">
        <v>0</v>
      </c>
      <c r="AO277" s="534">
        <v>0</v>
      </c>
      <c r="AP277" s="537">
        <v>0</v>
      </c>
      <c r="AQ277" s="535">
        <v>0</v>
      </c>
      <c r="AR277" s="534">
        <v>0</v>
      </c>
      <c r="AS277" s="534">
        <v>0</v>
      </c>
      <c r="AT277" s="534">
        <v>0</v>
      </c>
      <c r="AU277" s="536">
        <v>0</v>
      </c>
      <c r="AV277" s="533"/>
      <c r="AW277" s="538">
        <v>0</v>
      </c>
      <c r="AX277" s="538">
        <v>19053824.60002128</v>
      </c>
      <c r="AY277" s="533"/>
      <c r="AZ277" s="534">
        <f t="shared" si="123"/>
        <v>0</v>
      </c>
      <c r="BA277" s="534">
        <v>0</v>
      </c>
      <c r="BD277" s="392">
        <f t="shared" si="115"/>
        <v>0</v>
      </c>
      <c r="BE277" s="425">
        <f t="shared" si="116"/>
        <v>0</v>
      </c>
      <c r="BF277" s="425">
        <f t="shared" si="128"/>
        <v>0</v>
      </c>
      <c r="BG277" s="425">
        <f t="shared" si="128"/>
        <v>0</v>
      </c>
      <c r="BH277" s="425">
        <f t="shared" si="128"/>
        <v>0</v>
      </c>
      <c r="BI277" s="425">
        <f t="shared" si="128"/>
        <v>0</v>
      </c>
      <c r="BJ277" s="425">
        <f t="shared" si="128"/>
        <v>0</v>
      </c>
      <c r="BK277" s="425">
        <f t="shared" si="128"/>
        <v>0</v>
      </c>
      <c r="BL277" s="425">
        <f t="shared" si="128"/>
        <v>0</v>
      </c>
      <c r="BM277" s="425">
        <f t="shared" si="125"/>
        <v>0</v>
      </c>
      <c r="BN277" s="425">
        <f t="shared" si="125"/>
        <v>0</v>
      </c>
      <c r="BO277" s="425">
        <f t="shared" si="125"/>
        <v>0</v>
      </c>
      <c r="BP277" s="425">
        <f t="shared" si="126"/>
        <v>0</v>
      </c>
      <c r="BQ277" s="425">
        <f t="shared" si="126"/>
        <v>0</v>
      </c>
      <c r="BR277" s="425">
        <f t="shared" si="126"/>
        <v>0</v>
      </c>
      <c r="BS277" s="425">
        <f t="shared" si="127"/>
        <v>0</v>
      </c>
      <c r="BT277" s="426">
        <f t="shared" si="127"/>
        <v>0</v>
      </c>
    </row>
    <row r="278" spans="2:72" x14ac:dyDescent="0.25">
      <c r="B278" s="145"/>
      <c r="C278" s="539">
        <v>46722</v>
      </c>
      <c r="D278" s="533"/>
      <c r="E278" s="534">
        <v>0</v>
      </c>
      <c r="F278" s="534">
        <v>0</v>
      </c>
      <c r="G278" s="534">
        <v>0</v>
      </c>
      <c r="H278" s="540">
        <v>0</v>
      </c>
      <c r="I278" s="536">
        <v>0</v>
      </c>
      <c r="J278" s="533"/>
      <c r="K278" s="534">
        <v>0</v>
      </c>
      <c r="L278" s="534">
        <v>0</v>
      </c>
      <c r="M278" s="534">
        <v>0</v>
      </c>
      <c r="N278" s="534">
        <v>0</v>
      </c>
      <c r="O278" s="534">
        <v>0</v>
      </c>
      <c r="P278" s="534">
        <v>0</v>
      </c>
      <c r="Q278" s="534">
        <v>0</v>
      </c>
      <c r="R278" s="534">
        <v>0</v>
      </c>
      <c r="S278" s="536">
        <v>0</v>
      </c>
      <c r="T278" s="533"/>
      <c r="U278" s="534">
        <v>0</v>
      </c>
      <c r="V278" s="534">
        <v>0</v>
      </c>
      <c r="W278" s="534">
        <v>0</v>
      </c>
      <c r="X278" s="534">
        <v>0</v>
      </c>
      <c r="Y278" s="534">
        <v>0</v>
      </c>
      <c r="Z278" s="534">
        <v>0</v>
      </c>
      <c r="AA278" s="534">
        <v>0</v>
      </c>
      <c r="AB278" s="534">
        <v>0</v>
      </c>
      <c r="AC278" s="534">
        <v>0</v>
      </c>
      <c r="AD278" s="534">
        <v>0</v>
      </c>
      <c r="AE278" s="536">
        <v>0</v>
      </c>
      <c r="AF278" s="533"/>
      <c r="AG278" s="534">
        <v>0</v>
      </c>
      <c r="AH278" s="534">
        <v>0</v>
      </c>
      <c r="AI278" s="534">
        <v>0</v>
      </c>
      <c r="AJ278" s="534">
        <v>0</v>
      </c>
      <c r="AK278" s="536">
        <v>0</v>
      </c>
      <c r="AL278" s="533"/>
      <c r="AM278" s="534">
        <v>0</v>
      </c>
      <c r="AN278" s="534">
        <v>0</v>
      </c>
      <c r="AO278" s="534">
        <v>0</v>
      </c>
      <c r="AP278" s="537">
        <v>0</v>
      </c>
      <c r="AQ278" s="535">
        <v>0</v>
      </c>
      <c r="AR278" s="534">
        <v>0</v>
      </c>
      <c r="AS278" s="534">
        <v>0</v>
      </c>
      <c r="AT278" s="534">
        <v>0</v>
      </c>
      <c r="AU278" s="536">
        <v>0</v>
      </c>
      <c r="AV278" s="533"/>
      <c r="AW278" s="538">
        <v>0</v>
      </c>
      <c r="AX278" s="538">
        <v>19053824.60002128</v>
      </c>
      <c r="AY278" s="533"/>
      <c r="AZ278" s="534">
        <f t="shared" si="123"/>
        <v>0</v>
      </c>
      <c r="BA278" s="534">
        <v>0</v>
      </c>
      <c r="BD278" s="392">
        <f t="shared" si="115"/>
        <v>0</v>
      </c>
      <c r="BE278" s="425">
        <f t="shared" si="116"/>
        <v>0</v>
      </c>
      <c r="BF278" s="425">
        <f t="shared" si="128"/>
        <v>0</v>
      </c>
      <c r="BG278" s="425">
        <f t="shared" si="128"/>
        <v>0</v>
      </c>
      <c r="BH278" s="425">
        <f t="shared" si="128"/>
        <v>0</v>
      </c>
      <c r="BI278" s="425">
        <f t="shared" si="128"/>
        <v>0</v>
      </c>
      <c r="BJ278" s="425">
        <f t="shared" si="128"/>
        <v>0</v>
      </c>
      <c r="BK278" s="425">
        <f t="shared" si="128"/>
        <v>0</v>
      </c>
      <c r="BL278" s="425">
        <f t="shared" si="128"/>
        <v>0</v>
      </c>
      <c r="BM278" s="425">
        <f t="shared" si="125"/>
        <v>0</v>
      </c>
      <c r="BN278" s="425">
        <f t="shared" si="125"/>
        <v>0</v>
      </c>
      <c r="BO278" s="425">
        <f t="shared" si="125"/>
        <v>0</v>
      </c>
      <c r="BP278" s="425">
        <f t="shared" si="126"/>
        <v>0</v>
      </c>
      <c r="BQ278" s="425">
        <f t="shared" si="126"/>
        <v>0</v>
      </c>
      <c r="BR278" s="425">
        <f t="shared" si="126"/>
        <v>0</v>
      </c>
      <c r="BS278" s="425">
        <f t="shared" si="127"/>
        <v>0</v>
      </c>
      <c r="BT278" s="426">
        <f t="shared" si="127"/>
        <v>0</v>
      </c>
    </row>
    <row r="279" spans="2:72" x14ac:dyDescent="0.25">
      <c r="B279" s="145"/>
      <c r="C279" s="539">
        <v>46753</v>
      </c>
      <c r="D279" s="533"/>
      <c r="E279" s="534">
        <v>0</v>
      </c>
      <c r="F279" s="534">
        <v>0</v>
      </c>
      <c r="G279" s="534">
        <v>0</v>
      </c>
      <c r="H279" s="540">
        <v>0</v>
      </c>
      <c r="I279" s="536">
        <v>0</v>
      </c>
      <c r="J279" s="533"/>
      <c r="K279" s="534">
        <v>0</v>
      </c>
      <c r="L279" s="534">
        <v>0</v>
      </c>
      <c r="M279" s="534">
        <v>0</v>
      </c>
      <c r="N279" s="534">
        <v>0</v>
      </c>
      <c r="O279" s="534">
        <v>0</v>
      </c>
      <c r="P279" s="534">
        <v>0</v>
      </c>
      <c r="Q279" s="534">
        <v>0</v>
      </c>
      <c r="R279" s="534">
        <v>0</v>
      </c>
      <c r="S279" s="536">
        <v>0</v>
      </c>
      <c r="T279" s="533"/>
      <c r="U279" s="534">
        <v>0</v>
      </c>
      <c r="V279" s="534">
        <v>0</v>
      </c>
      <c r="W279" s="534">
        <v>0</v>
      </c>
      <c r="X279" s="534">
        <v>0</v>
      </c>
      <c r="Y279" s="534">
        <v>0</v>
      </c>
      <c r="Z279" s="534">
        <v>0</v>
      </c>
      <c r="AA279" s="534">
        <v>0</v>
      </c>
      <c r="AB279" s="534">
        <v>0</v>
      </c>
      <c r="AC279" s="534">
        <v>0</v>
      </c>
      <c r="AD279" s="534">
        <v>0</v>
      </c>
      <c r="AE279" s="536">
        <v>0</v>
      </c>
      <c r="AF279" s="533"/>
      <c r="AG279" s="534">
        <v>0</v>
      </c>
      <c r="AH279" s="534">
        <v>0</v>
      </c>
      <c r="AI279" s="534">
        <v>0</v>
      </c>
      <c r="AJ279" s="534">
        <v>0</v>
      </c>
      <c r="AK279" s="536">
        <v>0</v>
      </c>
      <c r="AL279" s="533"/>
      <c r="AM279" s="534">
        <v>0</v>
      </c>
      <c r="AN279" s="534">
        <v>0</v>
      </c>
      <c r="AO279" s="534">
        <v>0</v>
      </c>
      <c r="AP279" s="537">
        <v>0</v>
      </c>
      <c r="AQ279" s="535">
        <v>0</v>
      </c>
      <c r="AR279" s="534">
        <v>0</v>
      </c>
      <c r="AS279" s="534">
        <v>0</v>
      </c>
      <c r="AT279" s="534">
        <v>0</v>
      </c>
      <c r="AU279" s="536">
        <v>0</v>
      </c>
      <c r="AV279" s="533"/>
      <c r="AW279" s="538">
        <v>0</v>
      </c>
      <c r="AX279" s="538">
        <v>19053824.60002128</v>
      </c>
      <c r="AY279" s="533"/>
      <c r="AZ279" s="534">
        <f t="shared" si="123"/>
        <v>0</v>
      </c>
      <c r="BA279" s="534">
        <v>0</v>
      </c>
      <c r="BD279" s="392">
        <f t="shared" si="115"/>
        <v>0</v>
      </c>
      <c r="BE279" s="425">
        <f t="shared" si="116"/>
        <v>0</v>
      </c>
      <c r="BF279" s="425">
        <f t="shared" si="128"/>
        <v>0</v>
      </c>
      <c r="BG279" s="425">
        <f t="shared" si="128"/>
        <v>0</v>
      </c>
      <c r="BH279" s="425">
        <f t="shared" si="128"/>
        <v>0</v>
      </c>
      <c r="BI279" s="425">
        <f t="shared" si="128"/>
        <v>0</v>
      </c>
      <c r="BJ279" s="425">
        <f t="shared" si="128"/>
        <v>0</v>
      </c>
      <c r="BK279" s="425">
        <f t="shared" si="128"/>
        <v>0</v>
      </c>
      <c r="BL279" s="425">
        <f t="shared" si="128"/>
        <v>0</v>
      </c>
      <c r="BM279" s="425">
        <f t="shared" si="125"/>
        <v>0</v>
      </c>
      <c r="BN279" s="425">
        <f t="shared" si="125"/>
        <v>0</v>
      </c>
      <c r="BO279" s="425">
        <f t="shared" si="125"/>
        <v>0</v>
      </c>
      <c r="BP279" s="425">
        <f t="shared" si="126"/>
        <v>0</v>
      </c>
      <c r="BQ279" s="425">
        <f t="shared" si="126"/>
        <v>0</v>
      </c>
      <c r="BR279" s="425">
        <f t="shared" si="126"/>
        <v>0</v>
      </c>
      <c r="BS279" s="425">
        <f t="shared" si="127"/>
        <v>0</v>
      </c>
      <c r="BT279" s="426">
        <f t="shared" si="127"/>
        <v>0</v>
      </c>
    </row>
    <row r="280" spans="2:72" x14ac:dyDescent="0.25">
      <c r="B280" s="145"/>
      <c r="C280" s="539">
        <v>46784</v>
      </c>
      <c r="D280" s="533"/>
      <c r="E280" s="534">
        <v>0</v>
      </c>
      <c r="F280" s="534">
        <v>0</v>
      </c>
      <c r="G280" s="534">
        <v>0</v>
      </c>
      <c r="H280" s="540">
        <v>0</v>
      </c>
      <c r="I280" s="536">
        <v>0</v>
      </c>
      <c r="J280" s="533"/>
      <c r="K280" s="534">
        <v>0</v>
      </c>
      <c r="L280" s="534">
        <v>0</v>
      </c>
      <c r="M280" s="534">
        <v>0</v>
      </c>
      <c r="N280" s="534">
        <v>0</v>
      </c>
      <c r="O280" s="534">
        <v>0</v>
      </c>
      <c r="P280" s="534">
        <v>0</v>
      </c>
      <c r="Q280" s="534">
        <v>0</v>
      </c>
      <c r="R280" s="534">
        <v>0</v>
      </c>
      <c r="S280" s="536">
        <v>0</v>
      </c>
      <c r="T280" s="533"/>
      <c r="U280" s="534">
        <v>0</v>
      </c>
      <c r="V280" s="534">
        <v>0</v>
      </c>
      <c r="W280" s="534">
        <v>0</v>
      </c>
      <c r="X280" s="534">
        <v>0</v>
      </c>
      <c r="Y280" s="534">
        <v>0</v>
      </c>
      <c r="Z280" s="534">
        <v>0</v>
      </c>
      <c r="AA280" s="534">
        <v>0</v>
      </c>
      <c r="AB280" s="534">
        <v>0</v>
      </c>
      <c r="AC280" s="534">
        <v>0</v>
      </c>
      <c r="AD280" s="534">
        <v>0</v>
      </c>
      <c r="AE280" s="536">
        <v>0</v>
      </c>
      <c r="AF280" s="533"/>
      <c r="AG280" s="534">
        <v>0</v>
      </c>
      <c r="AH280" s="534">
        <v>0</v>
      </c>
      <c r="AI280" s="534">
        <v>0</v>
      </c>
      <c r="AJ280" s="534">
        <v>0</v>
      </c>
      <c r="AK280" s="536">
        <v>0</v>
      </c>
      <c r="AL280" s="533"/>
      <c r="AM280" s="534">
        <v>0</v>
      </c>
      <c r="AN280" s="534">
        <v>0</v>
      </c>
      <c r="AO280" s="534">
        <v>0</v>
      </c>
      <c r="AP280" s="537">
        <v>0</v>
      </c>
      <c r="AQ280" s="535">
        <v>0</v>
      </c>
      <c r="AR280" s="534">
        <v>0</v>
      </c>
      <c r="AS280" s="534">
        <v>0</v>
      </c>
      <c r="AT280" s="534">
        <v>0</v>
      </c>
      <c r="AU280" s="536">
        <v>0</v>
      </c>
      <c r="AV280" s="533"/>
      <c r="AW280" s="538">
        <v>0</v>
      </c>
      <c r="AX280" s="538">
        <v>19053824.60002128</v>
      </c>
      <c r="AY280" s="533"/>
      <c r="AZ280" s="534">
        <f t="shared" si="123"/>
        <v>0</v>
      </c>
      <c r="BA280" s="534">
        <v>0</v>
      </c>
      <c r="BD280" s="392">
        <f t="shared" si="115"/>
        <v>0</v>
      </c>
      <c r="BE280" s="425">
        <f t="shared" si="116"/>
        <v>0</v>
      </c>
      <c r="BF280" s="425">
        <f t="shared" si="128"/>
        <v>0</v>
      </c>
      <c r="BG280" s="425">
        <f t="shared" si="128"/>
        <v>0</v>
      </c>
      <c r="BH280" s="425">
        <f t="shared" si="128"/>
        <v>0</v>
      </c>
      <c r="BI280" s="425">
        <f t="shared" si="128"/>
        <v>0</v>
      </c>
      <c r="BJ280" s="425">
        <f t="shared" si="128"/>
        <v>0</v>
      </c>
      <c r="BK280" s="425">
        <f t="shared" si="128"/>
        <v>0</v>
      </c>
      <c r="BL280" s="425">
        <f t="shared" si="128"/>
        <v>0</v>
      </c>
      <c r="BM280" s="425">
        <f t="shared" si="125"/>
        <v>0</v>
      </c>
      <c r="BN280" s="425">
        <f t="shared" si="125"/>
        <v>0</v>
      </c>
      <c r="BO280" s="425">
        <f t="shared" si="125"/>
        <v>0</v>
      </c>
      <c r="BP280" s="425">
        <f t="shared" si="126"/>
        <v>0</v>
      </c>
      <c r="BQ280" s="425">
        <f t="shared" si="126"/>
        <v>0</v>
      </c>
      <c r="BR280" s="425">
        <f t="shared" si="126"/>
        <v>0</v>
      </c>
      <c r="BS280" s="425">
        <f t="shared" si="127"/>
        <v>0</v>
      </c>
      <c r="BT280" s="426">
        <f t="shared" si="127"/>
        <v>0</v>
      </c>
    </row>
    <row r="281" spans="2:72" x14ac:dyDescent="0.25">
      <c r="B281" s="145"/>
      <c r="C281" s="539">
        <v>46813</v>
      </c>
      <c r="D281" s="533"/>
      <c r="E281" s="534">
        <v>0</v>
      </c>
      <c r="F281" s="534">
        <v>0</v>
      </c>
      <c r="G281" s="534">
        <v>0</v>
      </c>
      <c r="H281" s="540">
        <v>0</v>
      </c>
      <c r="I281" s="536">
        <v>0</v>
      </c>
      <c r="J281" s="533"/>
      <c r="K281" s="534">
        <v>0</v>
      </c>
      <c r="L281" s="534">
        <v>0</v>
      </c>
      <c r="M281" s="534">
        <v>0</v>
      </c>
      <c r="N281" s="534">
        <v>0</v>
      </c>
      <c r="O281" s="534">
        <v>0</v>
      </c>
      <c r="P281" s="534">
        <v>0</v>
      </c>
      <c r="Q281" s="534">
        <v>0</v>
      </c>
      <c r="R281" s="534">
        <v>0</v>
      </c>
      <c r="S281" s="536">
        <v>0</v>
      </c>
      <c r="T281" s="533"/>
      <c r="U281" s="534">
        <v>0</v>
      </c>
      <c r="V281" s="534">
        <v>0</v>
      </c>
      <c r="W281" s="534">
        <v>0</v>
      </c>
      <c r="X281" s="534">
        <v>0</v>
      </c>
      <c r="Y281" s="534">
        <v>0</v>
      </c>
      <c r="Z281" s="534">
        <v>0</v>
      </c>
      <c r="AA281" s="534">
        <v>0</v>
      </c>
      <c r="AB281" s="534">
        <v>0</v>
      </c>
      <c r="AC281" s="534">
        <v>0</v>
      </c>
      <c r="AD281" s="534">
        <v>0</v>
      </c>
      <c r="AE281" s="536">
        <v>0</v>
      </c>
      <c r="AF281" s="533"/>
      <c r="AG281" s="534">
        <v>0</v>
      </c>
      <c r="AH281" s="534">
        <v>0</v>
      </c>
      <c r="AI281" s="534">
        <v>0</v>
      </c>
      <c r="AJ281" s="534">
        <v>0</v>
      </c>
      <c r="AK281" s="536">
        <v>0</v>
      </c>
      <c r="AL281" s="533"/>
      <c r="AM281" s="534">
        <v>0</v>
      </c>
      <c r="AN281" s="534">
        <v>0</v>
      </c>
      <c r="AO281" s="534">
        <v>0</v>
      </c>
      <c r="AP281" s="537">
        <v>0</v>
      </c>
      <c r="AQ281" s="535">
        <v>0</v>
      </c>
      <c r="AR281" s="534">
        <v>0</v>
      </c>
      <c r="AS281" s="534">
        <v>0</v>
      </c>
      <c r="AT281" s="534">
        <v>0</v>
      </c>
      <c r="AU281" s="536">
        <v>0</v>
      </c>
      <c r="AV281" s="533"/>
      <c r="AW281" s="538">
        <v>0</v>
      </c>
      <c r="AX281" s="538">
        <v>19053824.60002128</v>
      </c>
      <c r="AY281" s="533"/>
      <c r="AZ281" s="534">
        <f t="shared" si="123"/>
        <v>0</v>
      </c>
      <c r="BA281" s="534">
        <v>0</v>
      </c>
      <c r="BD281" s="392">
        <f t="shared" si="115"/>
        <v>0</v>
      </c>
      <c r="BE281" s="425">
        <f t="shared" si="116"/>
        <v>0</v>
      </c>
      <c r="BF281" s="425">
        <f t="shared" ref="BF281:BL290" si="129">-SUMIF($E$6:$BA$6, BF$6, $E281:$BA281)</f>
        <v>0</v>
      </c>
      <c r="BG281" s="425">
        <f t="shared" si="129"/>
        <v>0</v>
      </c>
      <c r="BH281" s="425">
        <f t="shared" si="129"/>
        <v>0</v>
      </c>
      <c r="BI281" s="425">
        <f t="shared" si="129"/>
        <v>0</v>
      </c>
      <c r="BJ281" s="425">
        <f t="shared" si="129"/>
        <v>0</v>
      </c>
      <c r="BK281" s="425">
        <f t="shared" si="129"/>
        <v>0</v>
      </c>
      <c r="BL281" s="425">
        <f t="shared" si="129"/>
        <v>0</v>
      </c>
      <c r="BM281" s="425">
        <f t="shared" ref="BM281:BO300" si="130">SUMIF($E$6:$BA$6, BM$6, $E281:$BA281)</f>
        <v>0</v>
      </c>
      <c r="BN281" s="425">
        <f t="shared" si="130"/>
        <v>0</v>
      </c>
      <c r="BO281" s="425">
        <f t="shared" si="130"/>
        <v>0</v>
      </c>
      <c r="BP281" s="425">
        <f t="shared" ref="BP281:BR300" si="131">-SUMIF($E$6:$BA$6, BP$6, $E281:$BA281)</f>
        <v>0</v>
      </c>
      <c r="BQ281" s="425">
        <f t="shared" si="131"/>
        <v>0</v>
      </c>
      <c r="BR281" s="425">
        <f t="shared" si="131"/>
        <v>0</v>
      </c>
      <c r="BS281" s="425">
        <f t="shared" ref="BS281:BT300" si="132">SUMIF($E$6:$BA$6, BS$6, $E281:$BA281)</f>
        <v>0</v>
      </c>
      <c r="BT281" s="426">
        <f t="shared" si="132"/>
        <v>0</v>
      </c>
    </row>
    <row r="282" spans="2:72" x14ac:dyDescent="0.25">
      <c r="B282" s="145"/>
      <c r="C282" s="539">
        <v>46844</v>
      </c>
      <c r="D282" s="533"/>
      <c r="E282" s="534">
        <v>0</v>
      </c>
      <c r="F282" s="534">
        <v>0</v>
      </c>
      <c r="G282" s="534">
        <v>0</v>
      </c>
      <c r="H282" s="540">
        <v>0</v>
      </c>
      <c r="I282" s="536">
        <v>0</v>
      </c>
      <c r="J282" s="533"/>
      <c r="K282" s="534">
        <v>0</v>
      </c>
      <c r="L282" s="534">
        <v>0</v>
      </c>
      <c r="M282" s="534">
        <v>0</v>
      </c>
      <c r="N282" s="534">
        <v>0</v>
      </c>
      <c r="O282" s="534">
        <v>0</v>
      </c>
      <c r="P282" s="534">
        <v>0</v>
      </c>
      <c r="Q282" s="534">
        <v>0</v>
      </c>
      <c r="R282" s="534">
        <v>0</v>
      </c>
      <c r="S282" s="536">
        <v>0</v>
      </c>
      <c r="T282" s="533"/>
      <c r="U282" s="534">
        <v>0</v>
      </c>
      <c r="V282" s="534">
        <v>0</v>
      </c>
      <c r="W282" s="534">
        <v>0</v>
      </c>
      <c r="X282" s="534">
        <v>0</v>
      </c>
      <c r="Y282" s="534">
        <v>0</v>
      </c>
      <c r="Z282" s="534">
        <v>0</v>
      </c>
      <c r="AA282" s="534">
        <v>0</v>
      </c>
      <c r="AB282" s="534">
        <v>0</v>
      </c>
      <c r="AC282" s="534">
        <v>0</v>
      </c>
      <c r="AD282" s="534">
        <v>0</v>
      </c>
      <c r="AE282" s="536">
        <v>0</v>
      </c>
      <c r="AF282" s="533"/>
      <c r="AG282" s="534">
        <v>0</v>
      </c>
      <c r="AH282" s="534">
        <v>0</v>
      </c>
      <c r="AI282" s="534">
        <v>0</v>
      </c>
      <c r="AJ282" s="534">
        <v>0</v>
      </c>
      <c r="AK282" s="536">
        <v>0</v>
      </c>
      <c r="AL282" s="533"/>
      <c r="AM282" s="534">
        <v>0</v>
      </c>
      <c r="AN282" s="534">
        <v>0</v>
      </c>
      <c r="AO282" s="534">
        <v>0</v>
      </c>
      <c r="AP282" s="537">
        <v>0</v>
      </c>
      <c r="AQ282" s="535">
        <v>0</v>
      </c>
      <c r="AR282" s="534">
        <v>0</v>
      </c>
      <c r="AS282" s="534">
        <v>0</v>
      </c>
      <c r="AT282" s="534">
        <v>0</v>
      </c>
      <c r="AU282" s="536">
        <v>0</v>
      </c>
      <c r="AV282" s="533"/>
      <c r="AW282" s="538">
        <v>0</v>
      </c>
      <c r="AX282" s="538">
        <v>19053824.60002128</v>
      </c>
      <c r="AY282" s="533"/>
      <c r="AZ282" s="534">
        <f t="shared" si="123"/>
        <v>0</v>
      </c>
      <c r="BA282" s="534">
        <v>0</v>
      </c>
      <c r="BD282" s="392">
        <f t="shared" si="115"/>
        <v>0</v>
      </c>
      <c r="BE282" s="425">
        <f t="shared" si="116"/>
        <v>0</v>
      </c>
      <c r="BF282" s="425">
        <f t="shared" si="129"/>
        <v>0</v>
      </c>
      <c r="BG282" s="425">
        <f t="shared" si="129"/>
        <v>0</v>
      </c>
      <c r="BH282" s="425">
        <f t="shared" si="129"/>
        <v>0</v>
      </c>
      <c r="BI282" s="425">
        <f t="shared" si="129"/>
        <v>0</v>
      </c>
      <c r="BJ282" s="425">
        <f t="shared" si="129"/>
        <v>0</v>
      </c>
      <c r="BK282" s="425">
        <f t="shared" si="129"/>
        <v>0</v>
      </c>
      <c r="BL282" s="425">
        <f t="shared" si="129"/>
        <v>0</v>
      </c>
      <c r="BM282" s="425">
        <f t="shared" si="130"/>
        <v>0</v>
      </c>
      <c r="BN282" s="425">
        <f t="shared" si="130"/>
        <v>0</v>
      </c>
      <c r="BO282" s="425">
        <f t="shared" si="130"/>
        <v>0</v>
      </c>
      <c r="BP282" s="425">
        <f t="shared" si="131"/>
        <v>0</v>
      </c>
      <c r="BQ282" s="425">
        <f t="shared" si="131"/>
        <v>0</v>
      </c>
      <c r="BR282" s="425">
        <f t="shared" si="131"/>
        <v>0</v>
      </c>
      <c r="BS282" s="425">
        <f t="shared" si="132"/>
        <v>0</v>
      </c>
      <c r="BT282" s="426">
        <f t="shared" si="132"/>
        <v>0</v>
      </c>
    </row>
    <row r="283" spans="2:72" x14ac:dyDescent="0.25">
      <c r="B283" s="145"/>
      <c r="C283" s="539">
        <v>46874</v>
      </c>
      <c r="D283" s="533"/>
      <c r="E283" s="534">
        <v>0</v>
      </c>
      <c r="F283" s="534">
        <v>0</v>
      </c>
      <c r="G283" s="534">
        <v>0</v>
      </c>
      <c r="H283" s="540">
        <v>0</v>
      </c>
      <c r="I283" s="536">
        <v>0</v>
      </c>
      <c r="J283" s="533"/>
      <c r="K283" s="534">
        <v>0</v>
      </c>
      <c r="L283" s="534">
        <v>0</v>
      </c>
      <c r="M283" s="534">
        <v>0</v>
      </c>
      <c r="N283" s="534">
        <v>0</v>
      </c>
      <c r="O283" s="534">
        <v>0</v>
      </c>
      <c r="P283" s="534">
        <v>0</v>
      </c>
      <c r="Q283" s="534">
        <v>0</v>
      </c>
      <c r="R283" s="534">
        <v>0</v>
      </c>
      <c r="S283" s="536">
        <v>0</v>
      </c>
      <c r="T283" s="533"/>
      <c r="U283" s="534">
        <v>0</v>
      </c>
      <c r="V283" s="534">
        <v>0</v>
      </c>
      <c r="W283" s="534">
        <v>0</v>
      </c>
      <c r="X283" s="534">
        <v>0</v>
      </c>
      <c r="Y283" s="534">
        <v>0</v>
      </c>
      <c r="Z283" s="534">
        <v>0</v>
      </c>
      <c r="AA283" s="534">
        <v>0</v>
      </c>
      <c r="AB283" s="534">
        <v>0</v>
      </c>
      <c r="AC283" s="534">
        <v>0</v>
      </c>
      <c r="AD283" s="534">
        <v>0</v>
      </c>
      <c r="AE283" s="536">
        <v>0</v>
      </c>
      <c r="AF283" s="533"/>
      <c r="AG283" s="534">
        <v>0</v>
      </c>
      <c r="AH283" s="534">
        <v>0</v>
      </c>
      <c r="AI283" s="534">
        <v>0</v>
      </c>
      <c r="AJ283" s="534">
        <v>0</v>
      </c>
      <c r="AK283" s="536">
        <v>0</v>
      </c>
      <c r="AL283" s="533"/>
      <c r="AM283" s="534">
        <v>0</v>
      </c>
      <c r="AN283" s="534">
        <v>0</v>
      </c>
      <c r="AO283" s="534">
        <v>0</v>
      </c>
      <c r="AP283" s="537">
        <v>0</v>
      </c>
      <c r="AQ283" s="535">
        <v>0</v>
      </c>
      <c r="AR283" s="534">
        <v>0</v>
      </c>
      <c r="AS283" s="534">
        <v>0</v>
      </c>
      <c r="AT283" s="534">
        <v>0</v>
      </c>
      <c r="AU283" s="536">
        <v>0</v>
      </c>
      <c r="AV283" s="533"/>
      <c r="AW283" s="538">
        <v>0</v>
      </c>
      <c r="AX283" s="538">
        <v>19053824.60002128</v>
      </c>
      <c r="AY283" s="533"/>
      <c r="AZ283" s="534">
        <f t="shared" si="123"/>
        <v>0</v>
      </c>
      <c r="BA283" s="534">
        <v>0</v>
      </c>
      <c r="BD283" s="392">
        <f t="shared" si="115"/>
        <v>0</v>
      </c>
      <c r="BE283" s="425">
        <f t="shared" si="116"/>
        <v>0</v>
      </c>
      <c r="BF283" s="425">
        <f t="shared" si="129"/>
        <v>0</v>
      </c>
      <c r="BG283" s="425">
        <f t="shared" si="129"/>
        <v>0</v>
      </c>
      <c r="BH283" s="425">
        <f t="shared" si="129"/>
        <v>0</v>
      </c>
      <c r="BI283" s="425">
        <f t="shared" si="129"/>
        <v>0</v>
      </c>
      <c r="BJ283" s="425">
        <f t="shared" si="129"/>
        <v>0</v>
      </c>
      <c r="BK283" s="425">
        <f t="shared" si="129"/>
        <v>0</v>
      </c>
      <c r="BL283" s="425">
        <f t="shared" si="129"/>
        <v>0</v>
      </c>
      <c r="BM283" s="425">
        <f t="shared" si="130"/>
        <v>0</v>
      </c>
      <c r="BN283" s="425">
        <f t="shared" si="130"/>
        <v>0</v>
      </c>
      <c r="BO283" s="425">
        <f t="shared" si="130"/>
        <v>0</v>
      </c>
      <c r="BP283" s="425">
        <f t="shared" si="131"/>
        <v>0</v>
      </c>
      <c r="BQ283" s="425">
        <f t="shared" si="131"/>
        <v>0</v>
      </c>
      <c r="BR283" s="425">
        <f t="shared" si="131"/>
        <v>0</v>
      </c>
      <c r="BS283" s="425">
        <f t="shared" si="132"/>
        <v>0</v>
      </c>
      <c r="BT283" s="426">
        <f t="shared" si="132"/>
        <v>0</v>
      </c>
    </row>
    <row r="284" spans="2:72" x14ac:dyDescent="0.25">
      <c r="B284" s="145"/>
      <c r="C284" s="539">
        <v>46905</v>
      </c>
      <c r="D284" s="533"/>
      <c r="E284" s="534">
        <v>0</v>
      </c>
      <c r="F284" s="534">
        <v>0</v>
      </c>
      <c r="G284" s="534">
        <v>0</v>
      </c>
      <c r="H284" s="540">
        <v>0</v>
      </c>
      <c r="I284" s="536">
        <v>0</v>
      </c>
      <c r="J284" s="533"/>
      <c r="K284" s="534">
        <v>0</v>
      </c>
      <c r="L284" s="534">
        <v>0</v>
      </c>
      <c r="M284" s="534">
        <v>0</v>
      </c>
      <c r="N284" s="534">
        <v>0</v>
      </c>
      <c r="O284" s="534">
        <v>0</v>
      </c>
      <c r="P284" s="534">
        <v>0</v>
      </c>
      <c r="Q284" s="534">
        <v>0</v>
      </c>
      <c r="R284" s="534">
        <v>0</v>
      </c>
      <c r="S284" s="536">
        <v>0</v>
      </c>
      <c r="T284" s="533"/>
      <c r="U284" s="534">
        <v>0</v>
      </c>
      <c r="V284" s="534">
        <v>0</v>
      </c>
      <c r="W284" s="534">
        <v>0</v>
      </c>
      <c r="X284" s="534">
        <v>0</v>
      </c>
      <c r="Y284" s="534">
        <v>0</v>
      </c>
      <c r="Z284" s="534">
        <v>0</v>
      </c>
      <c r="AA284" s="534">
        <v>0</v>
      </c>
      <c r="AB284" s="534">
        <v>0</v>
      </c>
      <c r="AC284" s="534">
        <v>0</v>
      </c>
      <c r="AD284" s="534">
        <v>0</v>
      </c>
      <c r="AE284" s="536">
        <v>0</v>
      </c>
      <c r="AF284" s="533"/>
      <c r="AG284" s="534">
        <v>0</v>
      </c>
      <c r="AH284" s="534">
        <v>0</v>
      </c>
      <c r="AI284" s="534">
        <v>0</v>
      </c>
      <c r="AJ284" s="534">
        <v>0</v>
      </c>
      <c r="AK284" s="536">
        <v>0</v>
      </c>
      <c r="AL284" s="533"/>
      <c r="AM284" s="534">
        <v>0</v>
      </c>
      <c r="AN284" s="534">
        <v>0</v>
      </c>
      <c r="AO284" s="534">
        <v>0</v>
      </c>
      <c r="AP284" s="537">
        <v>0</v>
      </c>
      <c r="AQ284" s="535">
        <v>0</v>
      </c>
      <c r="AR284" s="534">
        <v>0</v>
      </c>
      <c r="AS284" s="534">
        <v>0</v>
      </c>
      <c r="AT284" s="534">
        <v>0</v>
      </c>
      <c r="AU284" s="536">
        <v>0</v>
      </c>
      <c r="AV284" s="533"/>
      <c r="AW284" s="538">
        <v>0</v>
      </c>
      <c r="AX284" s="538">
        <v>19053824.60002128</v>
      </c>
      <c r="AY284" s="533"/>
      <c r="AZ284" s="534">
        <f t="shared" si="123"/>
        <v>0</v>
      </c>
      <c r="BA284" s="534">
        <v>0</v>
      </c>
      <c r="BD284" s="392">
        <f t="shared" si="115"/>
        <v>0</v>
      </c>
      <c r="BE284" s="425">
        <f t="shared" si="116"/>
        <v>0</v>
      </c>
      <c r="BF284" s="425">
        <f t="shared" si="129"/>
        <v>0</v>
      </c>
      <c r="BG284" s="425">
        <f t="shared" si="129"/>
        <v>0</v>
      </c>
      <c r="BH284" s="425">
        <f t="shared" si="129"/>
        <v>0</v>
      </c>
      <c r="BI284" s="425">
        <f t="shared" si="129"/>
        <v>0</v>
      </c>
      <c r="BJ284" s="425">
        <f t="shared" si="129"/>
        <v>0</v>
      </c>
      <c r="BK284" s="425">
        <f t="shared" si="129"/>
        <v>0</v>
      </c>
      <c r="BL284" s="425">
        <f t="shared" si="129"/>
        <v>0</v>
      </c>
      <c r="BM284" s="425">
        <f t="shared" si="130"/>
        <v>0</v>
      </c>
      <c r="BN284" s="425">
        <f t="shared" si="130"/>
        <v>0</v>
      </c>
      <c r="BO284" s="425">
        <f t="shared" si="130"/>
        <v>0</v>
      </c>
      <c r="BP284" s="425">
        <f t="shared" si="131"/>
        <v>0</v>
      </c>
      <c r="BQ284" s="425">
        <f t="shared" si="131"/>
        <v>0</v>
      </c>
      <c r="BR284" s="425">
        <f t="shared" si="131"/>
        <v>0</v>
      </c>
      <c r="BS284" s="425">
        <f t="shared" si="132"/>
        <v>0</v>
      </c>
      <c r="BT284" s="426">
        <f t="shared" si="132"/>
        <v>0</v>
      </c>
    </row>
    <row r="285" spans="2:72" x14ac:dyDescent="0.25">
      <c r="B285" s="145"/>
      <c r="C285" s="539">
        <v>46935</v>
      </c>
      <c r="D285" s="533"/>
      <c r="E285" s="534">
        <v>0</v>
      </c>
      <c r="F285" s="534">
        <v>0</v>
      </c>
      <c r="G285" s="534">
        <v>0</v>
      </c>
      <c r="H285" s="540">
        <v>0</v>
      </c>
      <c r="I285" s="536">
        <v>0</v>
      </c>
      <c r="J285" s="533"/>
      <c r="K285" s="534">
        <v>0</v>
      </c>
      <c r="L285" s="534">
        <v>0</v>
      </c>
      <c r="M285" s="534">
        <v>0</v>
      </c>
      <c r="N285" s="534">
        <v>0</v>
      </c>
      <c r="O285" s="534">
        <v>0</v>
      </c>
      <c r="P285" s="534">
        <v>0</v>
      </c>
      <c r="Q285" s="534">
        <v>0</v>
      </c>
      <c r="R285" s="534">
        <v>0</v>
      </c>
      <c r="S285" s="536">
        <v>0</v>
      </c>
      <c r="T285" s="533"/>
      <c r="U285" s="534">
        <v>0</v>
      </c>
      <c r="V285" s="534">
        <v>0</v>
      </c>
      <c r="W285" s="534">
        <v>0</v>
      </c>
      <c r="X285" s="534">
        <v>0</v>
      </c>
      <c r="Y285" s="534">
        <v>0</v>
      </c>
      <c r="Z285" s="534">
        <v>0</v>
      </c>
      <c r="AA285" s="534">
        <v>0</v>
      </c>
      <c r="AB285" s="534">
        <v>0</v>
      </c>
      <c r="AC285" s="534">
        <v>0</v>
      </c>
      <c r="AD285" s="534">
        <v>0</v>
      </c>
      <c r="AE285" s="536">
        <v>0</v>
      </c>
      <c r="AF285" s="533"/>
      <c r="AG285" s="534">
        <v>0</v>
      </c>
      <c r="AH285" s="534">
        <v>0</v>
      </c>
      <c r="AI285" s="534">
        <v>0</v>
      </c>
      <c r="AJ285" s="534">
        <v>0</v>
      </c>
      <c r="AK285" s="536">
        <v>0</v>
      </c>
      <c r="AL285" s="533"/>
      <c r="AM285" s="534">
        <v>0</v>
      </c>
      <c r="AN285" s="534">
        <v>0</v>
      </c>
      <c r="AO285" s="534">
        <v>0</v>
      </c>
      <c r="AP285" s="537">
        <v>0</v>
      </c>
      <c r="AQ285" s="535">
        <v>0</v>
      </c>
      <c r="AR285" s="534">
        <v>0</v>
      </c>
      <c r="AS285" s="534">
        <v>0</v>
      </c>
      <c r="AT285" s="534">
        <v>0</v>
      </c>
      <c r="AU285" s="536">
        <v>0</v>
      </c>
      <c r="AV285" s="533"/>
      <c r="AW285" s="538">
        <v>0</v>
      </c>
      <c r="AX285" s="538">
        <v>19053824.60002128</v>
      </c>
      <c r="AY285" s="533"/>
      <c r="AZ285" s="534">
        <f t="shared" si="123"/>
        <v>0</v>
      </c>
      <c r="BA285" s="534">
        <v>0</v>
      </c>
      <c r="BD285" s="392">
        <f t="shared" si="115"/>
        <v>0</v>
      </c>
      <c r="BE285" s="425">
        <f t="shared" si="116"/>
        <v>0</v>
      </c>
      <c r="BF285" s="425">
        <f t="shared" si="129"/>
        <v>0</v>
      </c>
      <c r="BG285" s="425">
        <f t="shared" si="129"/>
        <v>0</v>
      </c>
      <c r="BH285" s="425">
        <f t="shared" si="129"/>
        <v>0</v>
      </c>
      <c r="BI285" s="425">
        <f t="shared" si="129"/>
        <v>0</v>
      </c>
      <c r="BJ285" s="425">
        <f t="shared" si="129"/>
        <v>0</v>
      </c>
      <c r="BK285" s="425">
        <f t="shared" si="129"/>
        <v>0</v>
      </c>
      <c r="BL285" s="425">
        <f t="shared" si="129"/>
        <v>0</v>
      </c>
      <c r="BM285" s="425">
        <f t="shared" si="130"/>
        <v>0</v>
      </c>
      <c r="BN285" s="425">
        <f t="shared" si="130"/>
        <v>0</v>
      </c>
      <c r="BO285" s="425">
        <f t="shared" si="130"/>
        <v>0</v>
      </c>
      <c r="BP285" s="425">
        <f t="shared" si="131"/>
        <v>0</v>
      </c>
      <c r="BQ285" s="425">
        <f t="shared" si="131"/>
        <v>0</v>
      </c>
      <c r="BR285" s="425">
        <f t="shared" si="131"/>
        <v>0</v>
      </c>
      <c r="BS285" s="425">
        <f t="shared" si="132"/>
        <v>0</v>
      </c>
      <c r="BT285" s="426">
        <f t="shared" si="132"/>
        <v>0</v>
      </c>
    </row>
    <row r="286" spans="2:72" x14ac:dyDescent="0.25">
      <c r="B286" s="145"/>
      <c r="C286" s="539">
        <v>46966</v>
      </c>
      <c r="D286" s="533"/>
      <c r="E286" s="534">
        <v>0</v>
      </c>
      <c r="F286" s="534">
        <v>0</v>
      </c>
      <c r="G286" s="534">
        <v>0</v>
      </c>
      <c r="H286" s="540">
        <v>0</v>
      </c>
      <c r="I286" s="536">
        <v>0</v>
      </c>
      <c r="J286" s="533"/>
      <c r="K286" s="534">
        <v>0</v>
      </c>
      <c r="L286" s="534">
        <v>0</v>
      </c>
      <c r="M286" s="534">
        <v>0</v>
      </c>
      <c r="N286" s="534">
        <v>0</v>
      </c>
      <c r="O286" s="534">
        <v>0</v>
      </c>
      <c r="P286" s="534">
        <v>0</v>
      </c>
      <c r="Q286" s="534">
        <v>0</v>
      </c>
      <c r="R286" s="534">
        <v>0</v>
      </c>
      <c r="S286" s="536">
        <v>0</v>
      </c>
      <c r="T286" s="533"/>
      <c r="U286" s="534">
        <v>0</v>
      </c>
      <c r="V286" s="534">
        <v>0</v>
      </c>
      <c r="W286" s="534">
        <v>0</v>
      </c>
      <c r="X286" s="534">
        <v>0</v>
      </c>
      <c r="Y286" s="534">
        <v>0</v>
      </c>
      <c r="Z286" s="534">
        <v>0</v>
      </c>
      <c r="AA286" s="534">
        <v>0</v>
      </c>
      <c r="AB286" s="534">
        <v>0</v>
      </c>
      <c r="AC286" s="534">
        <v>0</v>
      </c>
      <c r="AD286" s="534">
        <v>0</v>
      </c>
      <c r="AE286" s="536">
        <v>0</v>
      </c>
      <c r="AF286" s="533"/>
      <c r="AG286" s="534">
        <v>0</v>
      </c>
      <c r="AH286" s="534">
        <v>0</v>
      </c>
      <c r="AI286" s="534">
        <v>0</v>
      </c>
      <c r="AJ286" s="534">
        <v>0</v>
      </c>
      <c r="AK286" s="536">
        <v>0</v>
      </c>
      <c r="AL286" s="533"/>
      <c r="AM286" s="534">
        <v>0</v>
      </c>
      <c r="AN286" s="534">
        <v>0</v>
      </c>
      <c r="AO286" s="534">
        <v>0</v>
      </c>
      <c r="AP286" s="537">
        <v>0</v>
      </c>
      <c r="AQ286" s="535">
        <v>0</v>
      </c>
      <c r="AR286" s="534">
        <v>0</v>
      </c>
      <c r="AS286" s="534">
        <v>0</v>
      </c>
      <c r="AT286" s="534">
        <v>0</v>
      </c>
      <c r="AU286" s="536">
        <v>0</v>
      </c>
      <c r="AV286" s="533"/>
      <c r="AW286" s="538">
        <v>0</v>
      </c>
      <c r="AX286" s="538">
        <v>19053824.60002128</v>
      </c>
      <c r="AY286" s="533"/>
      <c r="AZ286" s="534">
        <f t="shared" si="123"/>
        <v>0</v>
      </c>
      <c r="BA286" s="534">
        <v>0</v>
      </c>
      <c r="BD286" s="392">
        <f t="shared" si="115"/>
        <v>0</v>
      </c>
      <c r="BE286" s="425">
        <f t="shared" si="116"/>
        <v>0</v>
      </c>
      <c r="BF286" s="425">
        <f t="shared" si="129"/>
        <v>0</v>
      </c>
      <c r="BG286" s="425">
        <f t="shared" si="129"/>
        <v>0</v>
      </c>
      <c r="BH286" s="425">
        <f t="shared" si="129"/>
        <v>0</v>
      </c>
      <c r="BI286" s="425">
        <f t="shared" si="129"/>
        <v>0</v>
      </c>
      <c r="BJ286" s="425">
        <f t="shared" si="129"/>
        <v>0</v>
      </c>
      <c r="BK286" s="425">
        <f t="shared" si="129"/>
        <v>0</v>
      </c>
      <c r="BL286" s="425">
        <f t="shared" si="129"/>
        <v>0</v>
      </c>
      <c r="BM286" s="425">
        <f t="shared" si="130"/>
        <v>0</v>
      </c>
      <c r="BN286" s="425">
        <f t="shared" si="130"/>
        <v>0</v>
      </c>
      <c r="BO286" s="425">
        <f t="shared" si="130"/>
        <v>0</v>
      </c>
      <c r="BP286" s="425">
        <f t="shared" si="131"/>
        <v>0</v>
      </c>
      <c r="BQ286" s="425">
        <f t="shared" si="131"/>
        <v>0</v>
      </c>
      <c r="BR286" s="425">
        <f t="shared" si="131"/>
        <v>0</v>
      </c>
      <c r="BS286" s="425">
        <f t="shared" si="132"/>
        <v>0</v>
      </c>
      <c r="BT286" s="426">
        <f t="shared" si="132"/>
        <v>0</v>
      </c>
    </row>
    <row r="287" spans="2:72" x14ac:dyDescent="0.25">
      <c r="B287" s="145"/>
      <c r="C287" s="539">
        <v>46997</v>
      </c>
      <c r="D287" s="533"/>
      <c r="E287" s="534">
        <v>0</v>
      </c>
      <c r="F287" s="534">
        <v>0</v>
      </c>
      <c r="G287" s="534">
        <v>0</v>
      </c>
      <c r="H287" s="540">
        <v>0</v>
      </c>
      <c r="I287" s="536">
        <v>0</v>
      </c>
      <c r="J287" s="533"/>
      <c r="K287" s="534">
        <v>0</v>
      </c>
      <c r="L287" s="534">
        <v>0</v>
      </c>
      <c r="M287" s="534">
        <v>0</v>
      </c>
      <c r="N287" s="534">
        <v>0</v>
      </c>
      <c r="O287" s="534">
        <v>0</v>
      </c>
      <c r="P287" s="534">
        <v>0</v>
      </c>
      <c r="Q287" s="534">
        <v>0</v>
      </c>
      <c r="R287" s="534">
        <v>0</v>
      </c>
      <c r="S287" s="536">
        <v>0</v>
      </c>
      <c r="T287" s="533"/>
      <c r="U287" s="534">
        <v>0</v>
      </c>
      <c r="V287" s="534">
        <v>0</v>
      </c>
      <c r="W287" s="534">
        <v>0</v>
      </c>
      <c r="X287" s="534">
        <v>0</v>
      </c>
      <c r="Y287" s="534">
        <v>0</v>
      </c>
      <c r="Z287" s="534">
        <v>0</v>
      </c>
      <c r="AA287" s="534">
        <v>0</v>
      </c>
      <c r="AB287" s="534">
        <v>0</v>
      </c>
      <c r="AC287" s="534">
        <v>0</v>
      </c>
      <c r="AD287" s="534">
        <v>0</v>
      </c>
      <c r="AE287" s="536">
        <v>0</v>
      </c>
      <c r="AF287" s="533"/>
      <c r="AG287" s="534">
        <v>0</v>
      </c>
      <c r="AH287" s="534">
        <v>0</v>
      </c>
      <c r="AI287" s="534">
        <v>0</v>
      </c>
      <c r="AJ287" s="534">
        <v>0</v>
      </c>
      <c r="AK287" s="536">
        <v>0</v>
      </c>
      <c r="AL287" s="533"/>
      <c r="AM287" s="534">
        <v>0</v>
      </c>
      <c r="AN287" s="534">
        <v>0</v>
      </c>
      <c r="AO287" s="534">
        <v>0</v>
      </c>
      <c r="AP287" s="537">
        <v>0</v>
      </c>
      <c r="AQ287" s="535">
        <v>0</v>
      </c>
      <c r="AR287" s="534">
        <v>0</v>
      </c>
      <c r="AS287" s="534">
        <v>0</v>
      </c>
      <c r="AT287" s="534">
        <v>0</v>
      </c>
      <c r="AU287" s="536">
        <v>0</v>
      </c>
      <c r="AV287" s="533"/>
      <c r="AW287" s="538">
        <v>0</v>
      </c>
      <c r="AX287" s="538">
        <v>19053824.60002128</v>
      </c>
      <c r="AY287" s="533"/>
      <c r="AZ287" s="534">
        <f t="shared" ref="AZ287:AZ318" si="133">0 - BA287</f>
        <v>0</v>
      </c>
      <c r="BA287" s="534">
        <v>0</v>
      </c>
      <c r="BD287" s="392">
        <f t="shared" si="115"/>
        <v>0</v>
      </c>
      <c r="BE287" s="425">
        <f t="shared" si="116"/>
        <v>0</v>
      </c>
      <c r="BF287" s="425">
        <f t="shared" si="129"/>
        <v>0</v>
      </c>
      <c r="BG287" s="425">
        <f t="shared" si="129"/>
        <v>0</v>
      </c>
      <c r="BH287" s="425">
        <f t="shared" si="129"/>
        <v>0</v>
      </c>
      <c r="BI287" s="425">
        <f t="shared" si="129"/>
        <v>0</v>
      </c>
      <c r="BJ287" s="425">
        <f t="shared" si="129"/>
        <v>0</v>
      </c>
      <c r="BK287" s="425">
        <f t="shared" si="129"/>
        <v>0</v>
      </c>
      <c r="BL287" s="425">
        <f t="shared" si="129"/>
        <v>0</v>
      </c>
      <c r="BM287" s="425">
        <f t="shared" si="130"/>
        <v>0</v>
      </c>
      <c r="BN287" s="425">
        <f t="shared" si="130"/>
        <v>0</v>
      </c>
      <c r="BO287" s="425">
        <f t="shared" si="130"/>
        <v>0</v>
      </c>
      <c r="BP287" s="425">
        <f t="shared" si="131"/>
        <v>0</v>
      </c>
      <c r="BQ287" s="425">
        <f t="shared" si="131"/>
        <v>0</v>
      </c>
      <c r="BR287" s="425">
        <f t="shared" si="131"/>
        <v>0</v>
      </c>
      <c r="BS287" s="425">
        <f t="shared" si="132"/>
        <v>0</v>
      </c>
      <c r="BT287" s="426">
        <f t="shared" si="132"/>
        <v>0</v>
      </c>
    </row>
    <row r="288" spans="2:72" x14ac:dyDescent="0.25">
      <c r="B288" s="145"/>
      <c r="C288" s="539">
        <v>47027</v>
      </c>
      <c r="D288" s="533"/>
      <c r="E288" s="534">
        <v>0</v>
      </c>
      <c r="F288" s="534">
        <v>0</v>
      </c>
      <c r="G288" s="534">
        <v>0</v>
      </c>
      <c r="H288" s="540">
        <v>0</v>
      </c>
      <c r="I288" s="536">
        <v>0</v>
      </c>
      <c r="J288" s="533"/>
      <c r="K288" s="534">
        <v>0</v>
      </c>
      <c r="L288" s="534">
        <v>0</v>
      </c>
      <c r="M288" s="534">
        <v>0</v>
      </c>
      <c r="N288" s="534">
        <v>0</v>
      </c>
      <c r="O288" s="534">
        <v>0</v>
      </c>
      <c r="P288" s="534">
        <v>0</v>
      </c>
      <c r="Q288" s="534">
        <v>0</v>
      </c>
      <c r="R288" s="534">
        <v>0</v>
      </c>
      <c r="S288" s="536">
        <v>0</v>
      </c>
      <c r="T288" s="533"/>
      <c r="U288" s="534">
        <v>0</v>
      </c>
      <c r="V288" s="534">
        <v>0</v>
      </c>
      <c r="W288" s="534">
        <v>0</v>
      </c>
      <c r="X288" s="534">
        <v>0</v>
      </c>
      <c r="Y288" s="534">
        <v>0</v>
      </c>
      <c r="Z288" s="534">
        <v>0</v>
      </c>
      <c r="AA288" s="534">
        <v>0</v>
      </c>
      <c r="AB288" s="534">
        <v>0</v>
      </c>
      <c r="AC288" s="534">
        <v>0</v>
      </c>
      <c r="AD288" s="534">
        <v>0</v>
      </c>
      <c r="AE288" s="536">
        <v>0</v>
      </c>
      <c r="AF288" s="533"/>
      <c r="AG288" s="534">
        <v>0</v>
      </c>
      <c r="AH288" s="534">
        <v>0</v>
      </c>
      <c r="AI288" s="534">
        <v>0</v>
      </c>
      <c r="AJ288" s="534">
        <v>0</v>
      </c>
      <c r="AK288" s="536">
        <v>0</v>
      </c>
      <c r="AL288" s="533"/>
      <c r="AM288" s="534">
        <v>0</v>
      </c>
      <c r="AN288" s="534">
        <v>0</v>
      </c>
      <c r="AO288" s="534">
        <v>0</v>
      </c>
      <c r="AP288" s="537">
        <v>0</v>
      </c>
      <c r="AQ288" s="535">
        <v>0</v>
      </c>
      <c r="AR288" s="534">
        <v>0</v>
      </c>
      <c r="AS288" s="534">
        <v>0</v>
      </c>
      <c r="AT288" s="534">
        <v>0</v>
      </c>
      <c r="AU288" s="536">
        <v>0</v>
      </c>
      <c r="AV288" s="533"/>
      <c r="AW288" s="538">
        <v>0</v>
      </c>
      <c r="AX288" s="538">
        <v>19053824.60002128</v>
      </c>
      <c r="AY288" s="533"/>
      <c r="AZ288" s="534">
        <f t="shared" si="133"/>
        <v>0</v>
      </c>
      <c r="BA288" s="534">
        <v>0</v>
      </c>
      <c r="BD288" s="392">
        <f t="shared" si="115"/>
        <v>0</v>
      </c>
      <c r="BE288" s="425">
        <f t="shared" si="116"/>
        <v>0</v>
      </c>
      <c r="BF288" s="425">
        <f t="shared" si="129"/>
        <v>0</v>
      </c>
      <c r="BG288" s="425">
        <f t="shared" si="129"/>
        <v>0</v>
      </c>
      <c r="BH288" s="425">
        <f t="shared" si="129"/>
        <v>0</v>
      </c>
      <c r="BI288" s="425">
        <f t="shared" si="129"/>
        <v>0</v>
      </c>
      <c r="BJ288" s="425">
        <f t="shared" si="129"/>
        <v>0</v>
      </c>
      <c r="BK288" s="425">
        <f t="shared" si="129"/>
        <v>0</v>
      </c>
      <c r="BL288" s="425">
        <f t="shared" si="129"/>
        <v>0</v>
      </c>
      <c r="BM288" s="425">
        <f t="shared" si="130"/>
        <v>0</v>
      </c>
      <c r="BN288" s="425">
        <f t="shared" si="130"/>
        <v>0</v>
      </c>
      <c r="BO288" s="425">
        <f t="shared" si="130"/>
        <v>0</v>
      </c>
      <c r="BP288" s="425">
        <f t="shared" si="131"/>
        <v>0</v>
      </c>
      <c r="BQ288" s="425">
        <f t="shared" si="131"/>
        <v>0</v>
      </c>
      <c r="BR288" s="425">
        <f t="shared" si="131"/>
        <v>0</v>
      </c>
      <c r="BS288" s="425">
        <f t="shared" si="132"/>
        <v>0</v>
      </c>
      <c r="BT288" s="426">
        <f t="shared" si="132"/>
        <v>0</v>
      </c>
    </row>
    <row r="289" spans="2:72" x14ac:dyDescent="0.25">
      <c r="B289" s="145"/>
      <c r="C289" s="539">
        <v>47058</v>
      </c>
      <c r="D289" s="533"/>
      <c r="E289" s="534">
        <v>0</v>
      </c>
      <c r="F289" s="534">
        <v>0</v>
      </c>
      <c r="G289" s="534">
        <v>0</v>
      </c>
      <c r="H289" s="540">
        <v>0</v>
      </c>
      <c r="I289" s="536">
        <v>0</v>
      </c>
      <c r="J289" s="533"/>
      <c r="K289" s="534">
        <v>0</v>
      </c>
      <c r="L289" s="534">
        <v>0</v>
      </c>
      <c r="M289" s="534">
        <v>0</v>
      </c>
      <c r="N289" s="534">
        <v>0</v>
      </c>
      <c r="O289" s="534">
        <v>0</v>
      </c>
      <c r="P289" s="534">
        <v>0</v>
      </c>
      <c r="Q289" s="534">
        <v>0</v>
      </c>
      <c r="R289" s="534">
        <v>0</v>
      </c>
      <c r="S289" s="536">
        <v>0</v>
      </c>
      <c r="T289" s="533"/>
      <c r="U289" s="534">
        <v>0</v>
      </c>
      <c r="V289" s="534">
        <v>0</v>
      </c>
      <c r="W289" s="534">
        <v>0</v>
      </c>
      <c r="X289" s="534">
        <v>0</v>
      </c>
      <c r="Y289" s="534">
        <v>0</v>
      </c>
      <c r="Z289" s="534">
        <v>0</v>
      </c>
      <c r="AA289" s="534">
        <v>0</v>
      </c>
      <c r="AB289" s="534">
        <v>0</v>
      </c>
      <c r="AC289" s="534">
        <v>0</v>
      </c>
      <c r="AD289" s="534">
        <v>0</v>
      </c>
      <c r="AE289" s="536">
        <v>0</v>
      </c>
      <c r="AF289" s="533"/>
      <c r="AG289" s="534">
        <v>0</v>
      </c>
      <c r="AH289" s="534">
        <v>0</v>
      </c>
      <c r="AI289" s="534">
        <v>0</v>
      </c>
      <c r="AJ289" s="534">
        <v>0</v>
      </c>
      <c r="AK289" s="536">
        <v>0</v>
      </c>
      <c r="AL289" s="533"/>
      <c r="AM289" s="534">
        <v>0</v>
      </c>
      <c r="AN289" s="534">
        <v>0</v>
      </c>
      <c r="AO289" s="534">
        <v>0</v>
      </c>
      <c r="AP289" s="537">
        <v>0</v>
      </c>
      <c r="AQ289" s="535">
        <v>0</v>
      </c>
      <c r="AR289" s="534">
        <v>0</v>
      </c>
      <c r="AS289" s="534">
        <v>0</v>
      </c>
      <c r="AT289" s="534">
        <v>0</v>
      </c>
      <c r="AU289" s="536">
        <v>0</v>
      </c>
      <c r="AV289" s="533"/>
      <c r="AW289" s="538">
        <v>0</v>
      </c>
      <c r="AX289" s="538">
        <v>19053824.60002128</v>
      </c>
      <c r="AY289" s="533"/>
      <c r="AZ289" s="534">
        <f t="shared" si="133"/>
        <v>0</v>
      </c>
      <c r="BA289" s="534">
        <v>0</v>
      </c>
      <c r="BD289" s="392">
        <f t="shared" ref="BD289:BD352" si="134">SUMIF($E$6:$BA$6, BD$6, $E289:$BA289)</f>
        <v>0</v>
      </c>
      <c r="BE289" s="425">
        <f t="shared" ref="BE289:BE352" si="135">-SUMIF($E$6:$BA$6, BE$6, $E289:$BA289)+2*H289</f>
        <v>0</v>
      </c>
      <c r="BF289" s="425">
        <f t="shared" si="129"/>
        <v>0</v>
      </c>
      <c r="BG289" s="425">
        <f t="shared" si="129"/>
        <v>0</v>
      </c>
      <c r="BH289" s="425">
        <f t="shared" si="129"/>
        <v>0</v>
      </c>
      <c r="BI289" s="425">
        <f t="shared" si="129"/>
        <v>0</v>
      </c>
      <c r="BJ289" s="425">
        <f t="shared" si="129"/>
        <v>0</v>
      </c>
      <c r="BK289" s="425">
        <f t="shared" si="129"/>
        <v>0</v>
      </c>
      <c r="BL289" s="425">
        <f t="shared" si="129"/>
        <v>0</v>
      </c>
      <c r="BM289" s="425">
        <f t="shared" si="130"/>
        <v>0</v>
      </c>
      <c r="BN289" s="425">
        <f t="shared" si="130"/>
        <v>0</v>
      </c>
      <c r="BO289" s="425">
        <f t="shared" si="130"/>
        <v>0</v>
      </c>
      <c r="BP289" s="425">
        <f t="shared" si="131"/>
        <v>0</v>
      </c>
      <c r="BQ289" s="425">
        <f t="shared" si="131"/>
        <v>0</v>
      </c>
      <c r="BR289" s="425">
        <f t="shared" si="131"/>
        <v>0</v>
      </c>
      <c r="BS289" s="425">
        <f t="shared" si="132"/>
        <v>0</v>
      </c>
      <c r="BT289" s="426">
        <f t="shared" si="132"/>
        <v>0</v>
      </c>
    </row>
    <row r="290" spans="2:72" x14ac:dyDescent="0.25">
      <c r="B290" s="145"/>
      <c r="C290" s="539">
        <v>47088</v>
      </c>
      <c r="D290" s="533"/>
      <c r="E290" s="534">
        <v>0</v>
      </c>
      <c r="F290" s="534">
        <v>0</v>
      </c>
      <c r="G290" s="534">
        <v>0</v>
      </c>
      <c r="H290" s="540">
        <v>0</v>
      </c>
      <c r="I290" s="536">
        <v>0</v>
      </c>
      <c r="J290" s="533"/>
      <c r="K290" s="534">
        <v>0</v>
      </c>
      <c r="L290" s="534">
        <v>0</v>
      </c>
      <c r="M290" s="534">
        <v>0</v>
      </c>
      <c r="N290" s="534">
        <v>0</v>
      </c>
      <c r="O290" s="534">
        <v>0</v>
      </c>
      <c r="P290" s="534">
        <v>0</v>
      </c>
      <c r="Q290" s="534">
        <v>0</v>
      </c>
      <c r="R290" s="534">
        <v>0</v>
      </c>
      <c r="S290" s="536">
        <v>0</v>
      </c>
      <c r="T290" s="533"/>
      <c r="U290" s="534">
        <v>0</v>
      </c>
      <c r="V290" s="534">
        <v>0</v>
      </c>
      <c r="W290" s="534">
        <v>0</v>
      </c>
      <c r="X290" s="534">
        <v>0</v>
      </c>
      <c r="Y290" s="534">
        <v>0</v>
      </c>
      <c r="Z290" s="534">
        <v>0</v>
      </c>
      <c r="AA290" s="534">
        <v>0</v>
      </c>
      <c r="AB290" s="534">
        <v>0</v>
      </c>
      <c r="AC290" s="534">
        <v>0</v>
      </c>
      <c r="AD290" s="534">
        <v>0</v>
      </c>
      <c r="AE290" s="536">
        <v>0</v>
      </c>
      <c r="AF290" s="533"/>
      <c r="AG290" s="534">
        <v>0</v>
      </c>
      <c r="AH290" s="534">
        <v>0</v>
      </c>
      <c r="AI290" s="534">
        <v>0</v>
      </c>
      <c r="AJ290" s="534">
        <v>0</v>
      </c>
      <c r="AK290" s="536">
        <v>0</v>
      </c>
      <c r="AL290" s="533"/>
      <c r="AM290" s="534">
        <v>0</v>
      </c>
      <c r="AN290" s="534">
        <v>0</v>
      </c>
      <c r="AO290" s="534">
        <v>0</v>
      </c>
      <c r="AP290" s="537">
        <v>0</v>
      </c>
      <c r="AQ290" s="535">
        <v>0</v>
      </c>
      <c r="AR290" s="534">
        <v>0</v>
      </c>
      <c r="AS290" s="534">
        <v>0</v>
      </c>
      <c r="AT290" s="534">
        <v>0</v>
      </c>
      <c r="AU290" s="536">
        <v>0</v>
      </c>
      <c r="AV290" s="533"/>
      <c r="AW290" s="538">
        <v>0</v>
      </c>
      <c r="AX290" s="538">
        <v>19053824.60002128</v>
      </c>
      <c r="AY290" s="533"/>
      <c r="AZ290" s="534">
        <f t="shared" si="133"/>
        <v>0</v>
      </c>
      <c r="BA290" s="534">
        <v>0</v>
      </c>
      <c r="BD290" s="392">
        <f t="shared" si="134"/>
        <v>0</v>
      </c>
      <c r="BE290" s="425">
        <f t="shared" si="135"/>
        <v>0</v>
      </c>
      <c r="BF290" s="425">
        <f t="shared" si="129"/>
        <v>0</v>
      </c>
      <c r="BG290" s="425">
        <f t="shared" si="129"/>
        <v>0</v>
      </c>
      <c r="BH290" s="425">
        <f t="shared" si="129"/>
        <v>0</v>
      </c>
      <c r="BI290" s="425">
        <f t="shared" si="129"/>
        <v>0</v>
      </c>
      <c r="BJ290" s="425">
        <f t="shared" si="129"/>
        <v>0</v>
      </c>
      <c r="BK290" s="425">
        <f t="shared" si="129"/>
        <v>0</v>
      </c>
      <c r="BL290" s="425">
        <f t="shared" si="129"/>
        <v>0</v>
      </c>
      <c r="BM290" s="425">
        <f t="shared" si="130"/>
        <v>0</v>
      </c>
      <c r="BN290" s="425">
        <f t="shared" si="130"/>
        <v>0</v>
      </c>
      <c r="BO290" s="425">
        <f t="shared" si="130"/>
        <v>0</v>
      </c>
      <c r="BP290" s="425">
        <f t="shared" si="131"/>
        <v>0</v>
      </c>
      <c r="BQ290" s="425">
        <f t="shared" si="131"/>
        <v>0</v>
      </c>
      <c r="BR290" s="425">
        <f t="shared" si="131"/>
        <v>0</v>
      </c>
      <c r="BS290" s="425">
        <f t="shared" si="132"/>
        <v>0</v>
      </c>
      <c r="BT290" s="426">
        <f t="shared" si="132"/>
        <v>0</v>
      </c>
    </row>
    <row r="291" spans="2:72" x14ac:dyDescent="0.25">
      <c r="B291" s="145"/>
      <c r="C291" s="539">
        <v>47119</v>
      </c>
      <c r="D291" s="533"/>
      <c r="E291" s="534">
        <v>0</v>
      </c>
      <c r="F291" s="534">
        <v>0</v>
      </c>
      <c r="G291" s="534">
        <v>0</v>
      </c>
      <c r="H291" s="540">
        <v>0</v>
      </c>
      <c r="I291" s="536">
        <v>0</v>
      </c>
      <c r="J291" s="533"/>
      <c r="K291" s="534">
        <v>0</v>
      </c>
      <c r="L291" s="534">
        <v>0</v>
      </c>
      <c r="M291" s="534">
        <v>0</v>
      </c>
      <c r="N291" s="534">
        <v>0</v>
      </c>
      <c r="O291" s="534">
        <v>0</v>
      </c>
      <c r="P291" s="534">
        <v>0</v>
      </c>
      <c r="Q291" s="534">
        <v>0</v>
      </c>
      <c r="R291" s="534">
        <v>0</v>
      </c>
      <c r="S291" s="536">
        <v>0</v>
      </c>
      <c r="T291" s="533"/>
      <c r="U291" s="534">
        <v>0</v>
      </c>
      <c r="V291" s="534">
        <v>0</v>
      </c>
      <c r="W291" s="534">
        <v>0</v>
      </c>
      <c r="X291" s="534">
        <v>0</v>
      </c>
      <c r="Y291" s="534">
        <v>0</v>
      </c>
      <c r="Z291" s="534">
        <v>0</v>
      </c>
      <c r="AA291" s="534">
        <v>0</v>
      </c>
      <c r="AB291" s="534">
        <v>0</v>
      </c>
      <c r="AC291" s="534">
        <v>0</v>
      </c>
      <c r="AD291" s="534">
        <v>0</v>
      </c>
      <c r="AE291" s="536">
        <v>0</v>
      </c>
      <c r="AF291" s="533"/>
      <c r="AG291" s="534">
        <v>0</v>
      </c>
      <c r="AH291" s="534">
        <v>0</v>
      </c>
      <c r="AI291" s="534">
        <v>0</v>
      </c>
      <c r="AJ291" s="534">
        <v>0</v>
      </c>
      <c r="AK291" s="536">
        <v>0</v>
      </c>
      <c r="AL291" s="533"/>
      <c r="AM291" s="534">
        <v>0</v>
      </c>
      <c r="AN291" s="534">
        <v>0</v>
      </c>
      <c r="AO291" s="534">
        <v>0</v>
      </c>
      <c r="AP291" s="537">
        <v>0</v>
      </c>
      <c r="AQ291" s="535">
        <v>0</v>
      </c>
      <c r="AR291" s="534">
        <v>0</v>
      </c>
      <c r="AS291" s="534">
        <v>0</v>
      </c>
      <c r="AT291" s="534">
        <v>0</v>
      </c>
      <c r="AU291" s="536">
        <v>0</v>
      </c>
      <c r="AV291" s="533"/>
      <c r="AW291" s="538">
        <v>0</v>
      </c>
      <c r="AX291" s="538">
        <v>19053824.60002128</v>
      </c>
      <c r="AY291" s="533"/>
      <c r="AZ291" s="534">
        <f t="shared" si="133"/>
        <v>0</v>
      </c>
      <c r="BA291" s="534">
        <v>0</v>
      </c>
      <c r="BD291" s="392">
        <f t="shared" si="134"/>
        <v>0</v>
      </c>
      <c r="BE291" s="425">
        <f t="shared" si="135"/>
        <v>0</v>
      </c>
      <c r="BF291" s="425">
        <f t="shared" ref="BF291:BL300" si="136">-SUMIF($E$6:$BA$6, BF$6, $E291:$BA291)</f>
        <v>0</v>
      </c>
      <c r="BG291" s="425">
        <f t="shared" si="136"/>
        <v>0</v>
      </c>
      <c r="BH291" s="425">
        <f t="shared" si="136"/>
        <v>0</v>
      </c>
      <c r="BI291" s="425">
        <f t="shared" si="136"/>
        <v>0</v>
      </c>
      <c r="BJ291" s="425">
        <f t="shared" si="136"/>
        <v>0</v>
      </c>
      <c r="BK291" s="425">
        <f t="shared" si="136"/>
        <v>0</v>
      </c>
      <c r="BL291" s="425">
        <f t="shared" si="136"/>
        <v>0</v>
      </c>
      <c r="BM291" s="425">
        <f t="shared" si="130"/>
        <v>0</v>
      </c>
      <c r="BN291" s="425">
        <f t="shared" si="130"/>
        <v>0</v>
      </c>
      <c r="BO291" s="425">
        <f t="shared" si="130"/>
        <v>0</v>
      </c>
      <c r="BP291" s="425">
        <f t="shared" si="131"/>
        <v>0</v>
      </c>
      <c r="BQ291" s="425">
        <f t="shared" si="131"/>
        <v>0</v>
      </c>
      <c r="BR291" s="425">
        <f t="shared" si="131"/>
        <v>0</v>
      </c>
      <c r="BS291" s="425">
        <f t="shared" si="132"/>
        <v>0</v>
      </c>
      <c r="BT291" s="426">
        <f t="shared" si="132"/>
        <v>0</v>
      </c>
    </row>
    <row r="292" spans="2:72" x14ac:dyDescent="0.25">
      <c r="B292" s="145"/>
      <c r="C292" s="539">
        <v>47150</v>
      </c>
      <c r="D292" s="533"/>
      <c r="E292" s="534">
        <v>0</v>
      </c>
      <c r="F292" s="534">
        <v>0</v>
      </c>
      <c r="G292" s="534">
        <v>0</v>
      </c>
      <c r="H292" s="540">
        <v>0</v>
      </c>
      <c r="I292" s="536">
        <v>0</v>
      </c>
      <c r="J292" s="533"/>
      <c r="K292" s="534">
        <v>0</v>
      </c>
      <c r="L292" s="534">
        <v>0</v>
      </c>
      <c r="M292" s="534">
        <v>0</v>
      </c>
      <c r="N292" s="534">
        <v>0</v>
      </c>
      <c r="O292" s="534">
        <v>0</v>
      </c>
      <c r="P292" s="534">
        <v>0</v>
      </c>
      <c r="Q292" s="534">
        <v>0</v>
      </c>
      <c r="R292" s="534">
        <v>0</v>
      </c>
      <c r="S292" s="536">
        <v>0</v>
      </c>
      <c r="T292" s="533"/>
      <c r="U292" s="534">
        <v>0</v>
      </c>
      <c r="V292" s="534">
        <v>0</v>
      </c>
      <c r="W292" s="534">
        <v>0</v>
      </c>
      <c r="X292" s="534">
        <v>0</v>
      </c>
      <c r="Y292" s="534">
        <v>0</v>
      </c>
      <c r="Z292" s="534">
        <v>0</v>
      </c>
      <c r="AA292" s="534">
        <v>0</v>
      </c>
      <c r="AB292" s="534">
        <v>0</v>
      </c>
      <c r="AC292" s="534">
        <v>0</v>
      </c>
      <c r="AD292" s="534">
        <v>0</v>
      </c>
      <c r="AE292" s="536">
        <v>0</v>
      </c>
      <c r="AF292" s="533"/>
      <c r="AG292" s="534">
        <v>0</v>
      </c>
      <c r="AH292" s="534">
        <v>0</v>
      </c>
      <c r="AI292" s="534">
        <v>0</v>
      </c>
      <c r="AJ292" s="534">
        <v>0</v>
      </c>
      <c r="AK292" s="536">
        <v>0</v>
      </c>
      <c r="AL292" s="533"/>
      <c r="AM292" s="534">
        <v>0</v>
      </c>
      <c r="AN292" s="534">
        <v>0</v>
      </c>
      <c r="AO292" s="534">
        <v>0</v>
      </c>
      <c r="AP292" s="537">
        <v>0</v>
      </c>
      <c r="AQ292" s="535">
        <v>0</v>
      </c>
      <c r="AR292" s="534">
        <v>0</v>
      </c>
      <c r="AS292" s="534">
        <v>0</v>
      </c>
      <c r="AT292" s="534">
        <v>0</v>
      </c>
      <c r="AU292" s="536">
        <v>0</v>
      </c>
      <c r="AV292" s="533"/>
      <c r="AW292" s="538">
        <v>0</v>
      </c>
      <c r="AX292" s="538">
        <v>19053824.60002128</v>
      </c>
      <c r="AY292" s="533"/>
      <c r="AZ292" s="534">
        <f t="shared" si="133"/>
        <v>0</v>
      </c>
      <c r="BA292" s="534">
        <v>0</v>
      </c>
      <c r="BD292" s="392">
        <f t="shared" si="134"/>
        <v>0</v>
      </c>
      <c r="BE292" s="425">
        <f t="shared" si="135"/>
        <v>0</v>
      </c>
      <c r="BF292" s="425">
        <f t="shared" si="136"/>
        <v>0</v>
      </c>
      <c r="BG292" s="425">
        <f t="shared" si="136"/>
        <v>0</v>
      </c>
      <c r="BH292" s="425">
        <f t="shared" si="136"/>
        <v>0</v>
      </c>
      <c r="BI292" s="425">
        <f t="shared" si="136"/>
        <v>0</v>
      </c>
      <c r="BJ292" s="425">
        <f t="shared" si="136"/>
        <v>0</v>
      </c>
      <c r="BK292" s="425">
        <f t="shared" si="136"/>
        <v>0</v>
      </c>
      <c r="BL292" s="425">
        <f t="shared" si="136"/>
        <v>0</v>
      </c>
      <c r="BM292" s="425">
        <f t="shared" si="130"/>
        <v>0</v>
      </c>
      <c r="BN292" s="425">
        <f t="shared" si="130"/>
        <v>0</v>
      </c>
      <c r="BO292" s="425">
        <f t="shared" si="130"/>
        <v>0</v>
      </c>
      <c r="BP292" s="425">
        <f t="shared" si="131"/>
        <v>0</v>
      </c>
      <c r="BQ292" s="425">
        <f t="shared" si="131"/>
        <v>0</v>
      </c>
      <c r="BR292" s="425">
        <f t="shared" si="131"/>
        <v>0</v>
      </c>
      <c r="BS292" s="425">
        <f t="shared" si="132"/>
        <v>0</v>
      </c>
      <c r="BT292" s="426">
        <f t="shared" si="132"/>
        <v>0</v>
      </c>
    </row>
    <row r="293" spans="2:72" x14ac:dyDescent="0.25">
      <c r="B293" s="145"/>
      <c r="C293" s="539">
        <v>47178</v>
      </c>
      <c r="D293" s="533"/>
      <c r="E293" s="534">
        <v>0</v>
      </c>
      <c r="F293" s="534">
        <v>0</v>
      </c>
      <c r="G293" s="534">
        <v>0</v>
      </c>
      <c r="H293" s="540">
        <v>0</v>
      </c>
      <c r="I293" s="536">
        <v>0</v>
      </c>
      <c r="J293" s="533"/>
      <c r="K293" s="534">
        <v>0</v>
      </c>
      <c r="L293" s="534">
        <v>0</v>
      </c>
      <c r="M293" s="534">
        <v>0</v>
      </c>
      <c r="N293" s="534">
        <v>0</v>
      </c>
      <c r="O293" s="534">
        <v>0</v>
      </c>
      <c r="P293" s="534">
        <v>0</v>
      </c>
      <c r="Q293" s="534">
        <v>0</v>
      </c>
      <c r="R293" s="534">
        <v>0</v>
      </c>
      <c r="S293" s="536">
        <v>0</v>
      </c>
      <c r="T293" s="533"/>
      <c r="U293" s="534">
        <v>0</v>
      </c>
      <c r="V293" s="534">
        <v>0</v>
      </c>
      <c r="W293" s="534">
        <v>0</v>
      </c>
      <c r="X293" s="534">
        <v>0</v>
      </c>
      <c r="Y293" s="534">
        <v>0</v>
      </c>
      <c r="Z293" s="534">
        <v>0</v>
      </c>
      <c r="AA293" s="534">
        <v>0</v>
      </c>
      <c r="AB293" s="534">
        <v>0</v>
      </c>
      <c r="AC293" s="534">
        <v>0</v>
      </c>
      <c r="AD293" s="534">
        <v>0</v>
      </c>
      <c r="AE293" s="536">
        <v>0</v>
      </c>
      <c r="AF293" s="533"/>
      <c r="AG293" s="534">
        <v>0</v>
      </c>
      <c r="AH293" s="534">
        <v>0</v>
      </c>
      <c r="AI293" s="534">
        <v>0</v>
      </c>
      <c r="AJ293" s="534">
        <v>0</v>
      </c>
      <c r="AK293" s="536">
        <v>0</v>
      </c>
      <c r="AL293" s="533"/>
      <c r="AM293" s="534">
        <v>0</v>
      </c>
      <c r="AN293" s="534">
        <v>0</v>
      </c>
      <c r="AO293" s="534">
        <v>0</v>
      </c>
      <c r="AP293" s="537">
        <v>0</v>
      </c>
      <c r="AQ293" s="535">
        <v>0</v>
      </c>
      <c r="AR293" s="534">
        <v>0</v>
      </c>
      <c r="AS293" s="534">
        <v>0</v>
      </c>
      <c r="AT293" s="534">
        <v>0</v>
      </c>
      <c r="AU293" s="536">
        <v>0</v>
      </c>
      <c r="AV293" s="533"/>
      <c r="AW293" s="538">
        <v>0</v>
      </c>
      <c r="AX293" s="538">
        <v>19053824.60002128</v>
      </c>
      <c r="AY293" s="533"/>
      <c r="AZ293" s="534">
        <f t="shared" si="133"/>
        <v>0</v>
      </c>
      <c r="BA293" s="534">
        <v>0</v>
      </c>
      <c r="BD293" s="392">
        <f t="shared" si="134"/>
        <v>0</v>
      </c>
      <c r="BE293" s="425">
        <f t="shared" si="135"/>
        <v>0</v>
      </c>
      <c r="BF293" s="425">
        <f t="shared" si="136"/>
        <v>0</v>
      </c>
      <c r="BG293" s="425">
        <f t="shared" si="136"/>
        <v>0</v>
      </c>
      <c r="BH293" s="425">
        <f t="shared" si="136"/>
        <v>0</v>
      </c>
      <c r="BI293" s="425">
        <f t="shared" si="136"/>
        <v>0</v>
      </c>
      <c r="BJ293" s="425">
        <f t="shared" si="136"/>
        <v>0</v>
      </c>
      <c r="BK293" s="425">
        <f t="shared" si="136"/>
        <v>0</v>
      </c>
      <c r="BL293" s="425">
        <f t="shared" si="136"/>
        <v>0</v>
      </c>
      <c r="BM293" s="425">
        <f t="shared" si="130"/>
        <v>0</v>
      </c>
      <c r="BN293" s="425">
        <f t="shared" si="130"/>
        <v>0</v>
      </c>
      <c r="BO293" s="425">
        <f t="shared" si="130"/>
        <v>0</v>
      </c>
      <c r="BP293" s="425">
        <f t="shared" si="131"/>
        <v>0</v>
      </c>
      <c r="BQ293" s="425">
        <f t="shared" si="131"/>
        <v>0</v>
      </c>
      <c r="BR293" s="425">
        <f t="shared" si="131"/>
        <v>0</v>
      </c>
      <c r="BS293" s="425">
        <f t="shared" si="132"/>
        <v>0</v>
      </c>
      <c r="BT293" s="426">
        <f t="shared" si="132"/>
        <v>0</v>
      </c>
    </row>
    <row r="294" spans="2:72" x14ac:dyDescent="0.25">
      <c r="B294" s="145"/>
      <c r="C294" s="539">
        <v>47209</v>
      </c>
      <c r="D294" s="533"/>
      <c r="E294" s="534">
        <v>0</v>
      </c>
      <c r="F294" s="534">
        <v>0</v>
      </c>
      <c r="G294" s="534">
        <v>0</v>
      </c>
      <c r="H294" s="540">
        <v>0</v>
      </c>
      <c r="I294" s="536">
        <v>0</v>
      </c>
      <c r="J294" s="533"/>
      <c r="K294" s="534">
        <v>0</v>
      </c>
      <c r="L294" s="534">
        <v>0</v>
      </c>
      <c r="M294" s="534">
        <v>0</v>
      </c>
      <c r="N294" s="534">
        <v>0</v>
      </c>
      <c r="O294" s="534">
        <v>0</v>
      </c>
      <c r="P294" s="534">
        <v>0</v>
      </c>
      <c r="Q294" s="534">
        <v>0</v>
      </c>
      <c r="R294" s="534">
        <v>0</v>
      </c>
      <c r="S294" s="536">
        <v>0</v>
      </c>
      <c r="T294" s="533"/>
      <c r="U294" s="534">
        <v>0</v>
      </c>
      <c r="V294" s="534">
        <v>0</v>
      </c>
      <c r="W294" s="534">
        <v>0</v>
      </c>
      <c r="X294" s="534">
        <v>0</v>
      </c>
      <c r="Y294" s="534">
        <v>0</v>
      </c>
      <c r="Z294" s="534">
        <v>0</v>
      </c>
      <c r="AA294" s="534">
        <v>0</v>
      </c>
      <c r="AB294" s="534">
        <v>0</v>
      </c>
      <c r="AC294" s="534">
        <v>0</v>
      </c>
      <c r="AD294" s="534">
        <v>0</v>
      </c>
      <c r="AE294" s="536">
        <v>0</v>
      </c>
      <c r="AF294" s="533"/>
      <c r="AG294" s="534">
        <v>0</v>
      </c>
      <c r="AH294" s="534">
        <v>0</v>
      </c>
      <c r="AI294" s="534">
        <v>0</v>
      </c>
      <c r="AJ294" s="534">
        <v>0</v>
      </c>
      <c r="AK294" s="536">
        <v>0</v>
      </c>
      <c r="AL294" s="533"/>
      <c r="AM294" s="534">
        <v>0</v>
      </c>
      <c r="AN294" s="534">
        <v>0</v>
      </c>
      <c r="AO294" s="534">
        <v>0</v>
      </c>
      <c r="AP294" s="537">
        <v>0</v>
      </c>
      <c r="AQ294" s="535">
        <v>0</v>
      </c>
      <c r="AR294" s="534">
        <v>0</v>
      </c>
      <c r="AS294" s="534">
        <v>0</v>
      </c>
      <c r="AT294" s="534">
        <v>0</v>
      </c>
      <c r="AU294" s="536">
        <v>0</v>
      </c>
      <c r="AV294" s="533"/>
      <c r="AW294" s="538">
        <v>0</v>
      </c>
      <c r="AX294" s="538">
        <v>19053824.60002128</v>
      </c>
      <c r="AY294" s="533"/>
      <c r="AZ294" s="534">
        <f t="shared" si="133"/>
        <v>0</v>
      </c>
      <c r="BA294" s="534">
        <v>0</v>
      </c>
      <c r="BD294" s="392">
        <f t="shared" si="134"/>
        <v>0</v>
      </c>
      <c r="BE294" s="425">
        <f t="shared" si="135"/>
        <v>0</v>
      </c>
      <c r="BF294" s="425">
        <f t="shared" si="136"/>
        <v>0</v>
      </c>
      <c r="BG294" s="425">
        <f t="shared" si="136"/>
        <v>0</v>
      </c>
      <c r="BH294" s="425">
        <f t="shared" si="136"/>
        <v>0</v>
      </c>
      <c r="BI294" s="425">
        <f t="shared" si="136"/>
        <v>0</v>
      </c>
      <c r="BJ294" s="425">
        <f t="shared" si="136"/>
        <v>0</v>
      </c>
      <c r="BK294" s="425">
        <f t="shared" si="136"/>
        <v>0</v>
      </c>
      <c r="BL294" s="425">
        <f t="shared" si="136"/>
        <v>0</v>
      </c>
      <c r="BM294" s="425">
        <f t="shared" si="130"/>
        <v>0</v>
      </c>
      <c r="BN294" s="425">
        <f t="shared" si="130"/>
        <v>0</v>
      </c>
      <c r="BO294" s="425">
        <f t="shared" si="130"/>
        <v>0</v>
      </c>
      <c r="BP294" s="425">
        <f t="shared" si="131"/>
        <v>0</v>
      </c>
      <c r="BQ294" s="425">
        <f t="shared" si="131"/>
        <v>0</v>
      </c>
      <c r="BR294" s="425">
        <f t="shared" si="131"/>
        <v>0</v>
      </c>
      <c r="BS294" s="425">
        <f t="shared" si="132"/>
        <v>0</v>
      </c>
      <c r="BT294" s="426">
        <f t="shared" si="132"/>
        <v>0</v>
      </c>
    </row>
    <row r="295" spans="2:72" x14ac:dyDescent="0.25">
      <c r="B295" s="145"/>
      <c r="C295" s="539">
        <v>47239</v>
      </c>
      <c r="D295" s="533"/>
      <c r="E295" s="534">
        <v>0</v>
      </c>
      <c r="F295" s="534">
        <v>0</v>
      </c>
      <c r="G295" s="534">
        <v>0</v>
      </c>
      <c r="H295" s="540">
        <v>0</v>
      </c>
      <c r="I295" s="536">
        <v>0</v>
      </c>
      <c r="J295" s="533"/>
      <c r="K295" s="534">
        <v>0</v>
      </c>
      <c r="L295" s="534">
        <v>0</v>
      </c>
      <c r="M295" s="534">
        <v>0</v>
      </c>
      <c r="N295" s="534">
        <v>0</v>
      </c>
      <c r="O295" s="534">
        <v>0</v>
      </c>
      <c r="P295" s="534">
        <v>0</v>
      </c>
      <c r="Q295" s="534">
        <v>0</v>
      </c>
      <c r="R295" s="534">
        <v>0</v>
      </c>
      <c r="S295" s="536">
        <v>0</v>
      </c>
      <c r="T295" s="533"/>
      <c r="U295" s="534">
        <v>0</v>
      </c>
      <c r="V295" s="534">
        <v>0</v>
      </c>
      <c r="W295" s="534">
        <v>0</v>
      </c>
      <c r="X295" s="534">
        <v>0</v>
      </c>
      <c r="Y295" s="534">
        <v>0</v>
      </c>
      <c r="Z295" s="534">
        <v>0</v>
      </c>
      <c r="AA295" s="534">
        <v>0</v>
      </c>
      <c r="AB295" s="534">
        <v>0</v>
      </c>
      <c r="AC295" s="534">
        <v>0</v>
      </c>
      <c r="AD295" s="534">
        <v>0</v>
      </c>
      <c r="AE295" s="536">
        <v>0</v>
      </c>
      <c r="AF295" s="533"/>
      <c r="AG295" s="534">
        <v>0</v>
      </c>
      <c r="AH295" s="534">
        <v>0</v>
      </c>
      <c r="AI295" s="534">
        <v>0</v>
      </c>
      <c r="AJ295" s="534">
        <v>0</v>
      </c>
      <c r="AK295" s="536">
        <v>0</v>
      </c>
      <c r="AL295" s="533"/>
      <c r="AM295" s="534">
        <v>0</v>
      </c>
      <c r="AN295" s="534">
        <v>0</v>
      </c>
      <c r="AO295" s="534">
        <v>0</v>
      </c>
      <c r="AP295" s="537">
        <v>0</v>
      </c>
      <c r="AQ295" s="535">
        <v>0</v>
      </c>
      <c r="AR295" s="534">
        <v>0</v>
      </c>
      <c r="AS295" s="534">
        <v>0</v>
      </c>
      <c r="AT295" s="534">
        <v>0</v>
      </c>
      <c r="AU295" s="536">
        <v>0</v>
      </c>
      <c r="AV295" s="533"/>
      <c r="AW295" s="538">
        <v>0</v>
      </c>
      <c r="AX295" s="538">
        <v>19053824.60002128</v>
      </c>
      <c r="AY295" s="533"/>
      <c r="AZ295" s="534">
        <f t="shared" si="133"/>
        <v>0</v>
      </c>
      <c r="BA295" s="534">
        <v>0</v>
      </c>
      <c r="BD295" s="392">
        <f t="shared" si="134"/>
        <v>0</v>
      </c>
      <c r="BE295" s="425">
        <f t="shared" si="135"/>
        <v>0</v>
      </c>
      <c r="BF295" s="425">
        <f t="shared" si="136"/>
        <v>0</v>
      </c>
      <c r="BG295" s="425">
        <f t="shared" si="136"/>
        <v>0</v>
      </c>
      <c r="BH295" s="425">
        <f t="shared" si="136"/>
        <v>0</v>
      </c>
      <c r="BI295" s="425">
        <f t="shared" si="136"/>
        <v>0</v>
      </c>
      <c r="BJ295" s="425">
        <f t="shared" si="136"/>
        <v>0</v>
      </c>
      <c r="BK295" s="425">
        <f t="shared" si="136"/>
        <v>0</v>
      </c>
      <c r="BL295" s="425">
        <f t="shared" si="136"/>
        <v>0</v>
      </c>
      <c r="BM295" s="425">
        <f t="shared" si="130"/>
        <v>0</v>
      </c>
      <c r="BN295" s="425">
        <f t="shared" si="130"/>
        <v>0</v>
      </c>
      <c r="BO295" s="425">
        <f t="shared" si="130"/>
        <v>0</v>
      </c>
      <c r="BP295" s="425">
        <f t="shared" si="131"/>
        <v>0</v>
      </c>
      <c r="BQ295" s="425">
        <f t="shared" si="131"/>
        <v>0</v>
      </c>
      <c r="BR295" s="425">
        <f t="shared" si="131"/>
        <v>0</v>
      </c>
      <c r="BS295" s="425">
        <f t="shared" si="132"/>
        <v>0</v>
      </c>
      <c r="BT295" s="426">
        <f t="shared" si="132"/>
        <v>0</v>
      </c>
    </row>
    <row r="296" spans="2:72" x14ac:dyDescent="0.25">
      <c r="B296" s="145"/>
      <c r="C296" s="539">
        <v>47270</v>
      </c>
      <c r="D296" s="533"/>
      <c r="E296" s="534">
        <v>0</v>
      </c>
      <c r="F296" s="534">
        <v>0</v>
      </c>
      <c r="G296" s="534">
        <v>0</v>
      </c>
      <c r="H296" s="540">
        <v>0</v>
      </c>
      <c r="I296" s="536">
        <v>0</v>
      </c>
      <c r="J296" s="533"/>
      <c r="K296" s="534">
        <v>0</v>
      </c>
      <c r="L296" s="534">
        <v>0</v>
      </c>
      <c r="M296" s="534">
        <v>0</v>
      </c>
      <c r="N296" s="534">
        <v>0</v>
      </c>
      <c r="O296" s="534">
        <v>0</v>
      </c>
      <c r="P296" s="534">
        <v>0</v>
      </c>
      <c r="Q296" s="534">
        <v>0</v>
      </c>
      <c r="R296" s="534">
        <v>0</v>
      </c>
      <c r="S296" s="536">
        <v>0</v>
      </c>
      <c r="T296" s="533"/>
      <c r="U296" s="534">
        <v>0</v>
      </c>
      <c r="V296" s="534">
        <v>0</v>
      </c>
      <c r="W296" s="534">
        <v>0</v>
      </c>
      <c r="X296" s="534">
        <v>0</v>
      </c>
      <c r="Y296" s="534">
        <v>0</v>
      </c>
      <c r="Z296" s="534">
        <v>0</v>
      </c>
      <c r="AA296" s="534">
        <v>0</v>
      </c>
      <c r="AB296" s="534">
        <v>0</v>
      </c>
      <c r="AC296" s="534">
        <v>0</v>
      </c>
      <c r="AD296" s="534">
        <v>0</v>
      </c>
      <c r="AE296" s="536">
        <v>0</v>
      </c>
      <c r="AF296" s="533"/>
      <c r="AG296" s="534">
        <v>0</v>
      </c>
      <c r="AH296" s="534">
        <v>0</v>
      </c>
      <c r="AI296" s="534">
        <v>0</v>
      </c>
      <c r="AJ296" s="534">
        <v>0</v>
      </c>
      <c r="AK296" s="536">
        <v>0</v>
      </c>
      <c r="AL296" s="533"/>
      <c r="AM296" s="534">
        <v>0</v>
      </c>
      <c r="AN296" s="534">
        <v>0</v>
      </c>
      <c r="AO296" s="534">
        <v>0</v>
      </c>
      <c r="AP296" s="537">
        <v>0</v>
      </c>
      <c r="AQ296" s="535">
        <v>0</v>
      </c>
      <c r="AR296" s="534">
        <v>0</v>
      </c>
      <c r="AS296" s="534">
        <v>0</v>
      </c>
      <c r="AT296" s="534">
        <v>0</v>
      </c>
      <c r="AU296" s="536">
        <v>0</v>
      </c>
      <c r="AV296" s="533"/>
      <c r="AW296" s="538">
        <v>0</v>
      </c>
      <c r="AX296" s="538">
        <v>19053824.60002128</v>
      </c>
      <c r="AY296" s="533"/>
      <c r="AZ296" s="534">
        <f t="shared" si="133"/>
        <v>0</v>
      </c>
      <c r="BA296" s="534">
        <v>0</v>
      </c>
      <c r="BD296" s="392">
        <f t="shared" si="134"/>
        <v>0</v>
      </c>
      <c r="BE296" s="425">
        <f t="shared" si="135"/>
        <v>0</v>
      </c>
      <c r="BF296" s="425">
        <f t="shared" si="136"/>
        <v>0</v>
      </c>
      <c r="BG296" s="425">
        <f t="shared" si="136"/>
        <v>0</v>
      </c>
      <c r="BH296" s="425">
        <f t="shared" si="136"/>
        <v>0</v>
      </c>
      <c r="BI296" s="425">
        <f t="shared" si="136"/>
        <v>0</v>
      </c>
      <c r="BJ296" s="425">
        <f t="shared" si="136"/>
        <v>0</v>
      </c>
      <c r="BK296" s="425">
        <f t="shared" si="136"/>
        <v>0</v>
      </c>
      <c r="BL296" s="425">
        <f t="shared" si="136"/>
        <v>0</v>
      </c>
      <c r="BM296" s="425">
        <f t="shared" si="130"/>
        <v>0</v>
      </c>
      <c r="BN296" s="425">
        <f t="shared" si="130"/>
        <v>0</v>
      </c>
      <c r="BO296" s="425">
        <f t="shared" si="130"/>
        <v>0</v>
      </c>
      <c r="BP296" s="425">
        <f t="shared" si="131"/>
        <v>0</v>
      </c>
      <c r="BQ296" s="425">
        <f t="shared" si="131"/>
        <v>0</v>
      </c>
      <c r="BR296" s="425">
        <f t="shared" si="131"/>
        <v>0</v>
      </c>
      <c r="BS296" s="425">
        <f t="shared" si="132"/>
        <v>0</v>
      </c>
      <c r="BT296" s="426">
        <f t="shared" si="132"/>
        <v>0</v>
      </c>
    </row>
    <row r="297" spans="2:72" x14ac:dyDescent="0.25">
      <c r="B297" s="145"/>
      <c r="C297" s="539">
        <v>47300</v>
      </c>
      <c r="D297" s="533"/>
      <c r="E297" s="534">
        <v>0</v>
      </c>
      <c r="F297" s="534">
        <v>0</v>
      </c>
      <c r="G297" s="534">
        <v>0</v>
      </c>
      <c r="H297" s="540">
        <v>0</v>
      </c>
      <c r="I297" s="536">
        <v>0</v>
      </c>
      <c r="J297" s="533"/>
      <c r="K297" s="534">
        <v>0</v>
      </c>
      <c r="L297" s="534">
        <v>0</v>
      </c>
      <c r="M297" s="534">
        <v>0</v>
      </c>
      <c r="N297" s="534">
        <v>0</v>
      </c>
      <c r="O297" s="534">
        <v>0</v>
      </c>
      <c r="P297" s="534">
        <v>0</v>
      </c>
      <c r="Q297" s="534">
        <v>0</v>
      </c>
      <c r="R297" s="534">
        <v>0</v>
      </c>
      <c r="S297" s="536">
        <v>0</v>
      </c>
      <c r="T297" s="533"/>
      <c r="U297" s="534">
        <v>0</v>
      </c>
      <c r="V297" s="534">
        <v>0</v>
      </c>
      <c r="W297" s="534">
        <v>0</v>
      </c>
      <c r="X297" s="534">
        <v>0</v>
      </c>
      <c r="Y297" s="534">
        <v>0</v>
      </c>
      <c r="Z297" s="534">
        <v>0</v>
      </c>
      <c r="AA297" s="534">
        <v>0</v>
      </c>
      <c r="AB297" s="534">
        <v>0</v>
      </c>
      <c r="AC297" s="534">
        <v>0</v>
      </c>
      <c r="AD297" s="534">
        <v>0</v>
      </c>
      <c r="AE297" s="536">
        <v>0</v>
      </c>
      <c r="AF297" s="533"/>
      <c r="AG297" s="534">
        <v>0</v>
      </c>
      <c r="AH297" s="534">
        <v>0</v>
      </c>
      <c r="AI297" s="534">
        <v>0</v>
      </c>
      <c r="AJ297" s="534">
        <v>0</v>
      </c>
      <c r="AK297" s="536">
        <v>0</v>
      </c>
      <c r="AL297" s="533"/>
      <c r="AM297" s="534">
        <v>0</v>
      </c>
      <c r="AN297" s="534">
        <v>0</v>
      </c>
      <c r="AO297" s="534">
        <v>0</v>
      </c>
      <c r="AP297" s="537">
        <v>0</v>
      </c>
      <c r="AQ297" s="535">
        <v>0</v>
      </c>
      <c r="AR297" s="534">
        <v>0</v>
      </c>
      <c r="AS297" s="534">
        <v>0</v>
      </c>
      <c r="AT297" s="534">
        <v>0</v>
      </c>
      <c r="AU297" s="536">
        <v>0</v>
      </c>
      <c r="AV297" s="533"/>
      <c r="AW297" s="538">
        <v>0</v>
      </c>
      <c r="AX297" s="538">
        <v>19053824.60002128</v>
      </c>
      <c r="AY297" s="533"/>
      <c r="AZ297" s="534">
        <f t="shared" si="133"/>
        <v>0</v>
      </c>
      <c r="BA297" s="534">
        <v>0</v>
      </c>
      <c r="BD297" s="392">
        <f t="shared" si="134"/>
        <v>0</v>
      </c>
      <c r="BE297" s="425">
        <f t="shared" si="135"/>
        <v>0</v>
      </c>
      <c r="BF297" s="425">
        <f t="shared" si="136"/>
        <v>0</v>
      </c>
      <c r="BG297" s="425">
        <f t="shared" si="136"/>
        <v>0</v>
      </c>
      <c r="BH297" s="425">
        <f t="shared" si="136"/>
        <v>0</v>
      </c>
      <c r="BI297" s="425">
        <f t="shared" si="136"/>
        <v>0</v>
      </c>
      <c r="BJ297" s="425">
        <f t="shared" si="136"/>
        <v>0</v>
      </c>
      <c r="BK297" s="425">
        <f t="shared" si="136"/>
        <v>0</v>
      </c>
      <c r="BL297" s="425">
        <f t="shared" si="136"/>
        <v>0</v>
      </c>
      <c r="BM297" s="425">
        <f t="shared" si="130"/>
        <v>0</v>
      </c>
      <c r="BN297" s="425">
        <f t="shared" si="130"/>
        <v>0</v>
      </c>
      <c r="BO297" s="425">
        <f t="shared" si="130"/>
        <v>0</v>
      </c>
      <c r="BP297" s="425">
        <f t="shared" si="131"/>
        <v>0</v>
      </c>
      <c r="BQ297" s="425">
        <f t="shared" si="131"/>
        <v>0</v>
      </c>
      <c r="BR297" s="425">
        <f t="shared" si="131"/>
        <v>0</v>
      </c>
      <c r="BS297" s="425">
        <f t="shared" si="132"/>
        <v>0</v>
      </c>
      <c r="BT297" s="426">
        <f t="shared" si="132"/>
        <v>0</v>
      </c>
    </row>
    <row r="298" spans="2:72" x14ac:dyDescent="0.25">
      <c r="B298" s="145"/>
      <c r="C298" s="539">
        <v>47331</v>
      </c>
      <c r="D298" s="533"/>
      <c r="E298" s="534">
        <v>0</v>
      </c>
      <c r="F298" s="534">
        <v>0</v>
      </c>
      <c r="G298" s="534">
        <v>0</v>
      </c>
      <c r="H298" s="540">
        <v>0</v>
      </c>
      <c r="I298" s="536">
        <v>0</v>
      </c>
      <c r="J298" s="533"/>
      <c r="K298" s="534">
        <v>0</v>
      </c>
      <c r="L298" s="534">
        <v>0</v>
      </c>
      <c r="M298" s="534">
        <v>0</v>
      </c>
      <c r="N298" s="534">
        <v>0</v>
      </c>
      <c r="O298" s="534">
        <v>0</v>
      </c>
      <c r="P298" s="534">
        <v>0</v>
      </c>
      <c r="Q298" s="534">
        <v>0</v>
      </c>
      <c r="R298" s="534">
        <v>0</v>
      </c>
      <c r="S298" s="536">
        <v>0</v>
      </c>
      <c r="T298" s="533"/>
      <c r="U298" s="534">
        <v>0</v>
      </c>
      <c r="V298" s="534">
        <v>0</v>
      </c>
      <c r="W298" s="534">
        <v>0</v>
      </c>
      <c r="X298" s="534">
        <v>0</v>
      </c>
      <c r="Y298" s="534">
        <v>0</v>
      </c>
      <c r="Z298" s="534">
        <v>0</v>
      </c>
      <c r="AA298" s="534">
        <v>0</v>
      </c>
      <c r="AB298" s="534">
        <v>0</v>
      </c>
      <c r="AC298" s="534">
        <v>0</v>
      </c>
      <c r="AD298" s="534">
        <v>0</v>
      </c>
      <c r="AE298" s="536">
        <v>0</v>
      </c>
      <c r="AF298" s="533"/>
      <c r="AG298" s="534">
        <v>0</v>
      </c>
      <c r="AH298" s="534">
        <v>0</v>
      </c>
      <c r="AI298" s="534">
        <v>0</v>
      </c>
      <c r="AJ298" s="534">
        <v>0</v>
      </c>
      <c r="AK298" s="536">
        <v>0</v>
      </c>
      <c r="AL298" s="533"/>
      <c r="AM298" s="534">
        <v>0</v>
      </c>
      <c r="AN298" s="534">
        <v>0</v>
      </c>
      <c r="AO298" s="534">
        <v>0</v>
      </c>
      <c r="AP298" s="537">
        <v>0</v>
      </c>
      <c r="AQ298" s="535">
        <v>0</v>
      </c>
      <c r="AR298" s="534">
        <v>0</v>
      </c>
      <c r="AS298" s="534">
        <v>0</v>
      </c>
      <c r="AT298" s="534">
        <v>0</v>
      </c>
      <c r="AU298" s="536">
        <v>0</v>
      </c>
      <c r="AV298" s="533"/>
      <c r="AW298" s="538">
        <v>0</v>
      </c>
      <c r="AX298" s="538">
        <v>19053824.60002128</v>
      </c>
      <c r="AY298" s="533"/>
      <c r="AZ298" s="534">
        <f t="shared" si="133"/>
        <v>0</v>
      </c>
      <c r="BA298" s="534">
        <v>0</v>
      </c>
      <c r="BD298" s="392">
        <f t="shared" si="134"/>
        <v>0</v>
      </c>
      <c r="BE298" s="425">
        <f t="shared" si="135"/>
        <v>0</v>
      </c>
      <c r="BF298" s="425">
        <f t="shared" si="136"/>
        <v>0</v>
      </c>
      <c r="BG298" s="425">
        <f t="shared" si="136"/>
        <v>0</v>
      </c>
      <c r="BH298" s="425">
        <f t="shared" si="136"/>
        <v>0</v>
      </c>
      <c r="BI298" s="425">
        <f t="shared" si="136"/>
        <v>0</v>
      </c>
      <c r="BJ298" s="425">
        <f t="shared" si="136"/>
        <v>0</v>
      </c>
      <c r="BK298" s="425">
        <f t="shared" si="136"/>
        <v>0</v>
      </c>
      <c r="BL298" s="425">
        <f t="shared" si="136"/>
        <v>0</v>
      </c>
      <c r="BM298" s="425">
        <f t="shared" si="130"/>
        <v>0</v>
      </c>
      <c r="BN298" s="425">
        <f t="shared" si="130"/>
        <v>0</v>
      </c>
      <c r="BO298" s="425">
        <f t="shared" si="130"/>
        <v>0</v>
      </c>
      <c r="BP298" s="425">
        <f t="shared" si="131"/>
        <v>0</v>
      </c>
      <c r="BQ298" s="425">
        <f t="shared" si="131"/>
        <v>0</v>
      </c>
      <c r="BR298" s="425">
        <f t="shared" si="131"/>
        <v>0</v>
      </c>
      <c r="BS298" s="425">
        <f t="shared" si="132"/>
        <v>0</v>
      </c>
      <c r="BT298" s="426">
        <f t="shared" si="132"/>
        <v>0</v>
      </c>
    </row>
    <row r="299" spans="2:72" x14ac:dyDescent="0.25">
      <c r="B299" s="145"/>
      <c r="C299" s="539">
        <v>47362</v>
      </c>
      <c r="D299" s="533"/>
      <c r="E299" s="534">
        <v>0</v>
      </c>
      <c r="F299" s="534">
        <v>0</v>
      </c>
      <c r="G299" s="534">
        <v>0</v>
      </c>
      <c r="H299" s="540">
        <v>0</v>
      </c>
      <c r="I299" s="536">
        <v>0</v>
      </c>
      <c r="J299" s="533"/>
      <c r="K299" s="534">
        <v>0</v>
      </c>
      <c r="L299" s="534">
        <v>0</v>
      </c>
      <c r="M299" s="534">
        <v>0</v>
      </c>
      <c r="N299" s="534">
        <v>0</v>
      </c>
      <c r="O299" s="534">
        <v>0</v>
      </c>
      <c r="P299" s="534">
        <v>0</v>
      </c>
      <c r="Q299" s="534">
        <v>0</v>
      </c>
      <c r="R299" s="534">
        <v>0</v>
      </c>
      <c r="S299" s="536">
        <v>0</v>
      </c>
      <c r="T299" s="533"/>
      <c r="U299" s="534">
        <v>0</v>
      </c>
      <c r="V299" s="534">
        <v>0</v>
      </c>
      <c r="W299" s="534">
        <v>0</v>
      </c>
      <c r="X299" s="534">
        <v>0</v>
      </c>
      <c r="Y299" s="534">
        <v>0</v>
      </c>
      <c r="Z299" s="534">
        <v>0</v>
      </c>
      <c r="AA299" s="534">
        <v>0</v>
      </c>
      <c r="AB299" s="534">
        <v>0</v>
      </c>
      <c r="AC299" s="534">
        <v>0</v>
      </c>
      <c r="AD299" s="534">
        <v>0</v>
      </c>
      <c r="AE299" s="536">
        <v>0</v>
      </c>
      <c r="AF299" s="533"/>
      <c r="AG299" s="534">
        <v>0</v>
      </c>
      <c r="AH299" s="534">
        <v>0</v>
      </c>
      <c r="AI299" s="534">
        <v>0</v>
      </c>
      <c r="AJ299" s="534">
        <v>0</v>
      </c>
      <c r="AK299" s="536">
        <v>0</v>
      </c>
      <c r="AL299" s="533"/>
      <c r="AM299" s="534">
        <v>0</v>
      </c>
      <c r="AN299" s="534">
        <v>0</v>
      </c>
      <c r="AO299" s="534">
        <v>0</v>
      </c>
      <c r="AP299" s="537">
        <v>0</v>
      </c>
      <c r="AQ299" s="535">
        <v>0</v>
      </c>
      <c r="AR299" s="534">
        <v>0</v>
      </c>
      <c r="AS299" s="534">
        <v>0</v>
      </c>
      <c r="AT299" s="534">
        <v>0</v>
      </c>
      <c r="AU299" s="536">
        <v>0</v>
      </c>
      <c r="AV299" s="533"/>
      <c r="AW299" s="538">
        <v>0</v>
      </c>
      <c r="AX299" s="538">
        <v>19053824.60002128</v>
      </c>
      <c r="AY299" s="533"/>
      <c r="AZ299" s="534">
        <f t="shared" si="133"/>
        <v>0</v>
      </c>
      <c r="BA299" s="534">
        <v>0</v>
      </c>
      <c r="BD299" s="392">
        <f t="shared" si="134"/>
        <v>0</v>
      </c>
      <c r="BE299" s="425">
        <f t="shared" si="135"/>
        <v>0</v>
      </c>
      <c r="BF299" s="425">
        <f t="shared" si="136"/>
        <v>0</v>
      </c>
      <c r="BG299" s="425">
        <f t="shared" si="136"/>
        <v>0</v>
      </c>
      <c r="BH299" s="425">
        <f t="shared" si="136"/>
        <v>0</v>
      </c>
      <c r="BI299" s="425">
        <f t="shared" si="136"/>
        <v>0</v>
      </c>
      <c r="BJ299" s="425">
        <f t="shared" si="136"/>
        <v>0</v>
      </c>
      <c r="BK299" s="425">
        <f t="shared" si="136"/>
        <v>0</v>
      </c>
      <c r="BL299" s="425">
        <f t="shared" si="136"/>
        <v>0</v>
      </c>
      <c r="BM299" s="425">
        <f t="shared" si="130"/>
        <v>0</v>
      </c>
      <c r="BN299" s="425">
        <f t="shared" si="130"/>
        <v>0</v>
      </c>
      <c r="BO299" s="425">
        <f t="shared" si="130"/>
        <v>0</v>
      </c>
      <c r="BP299" s="425">
        <f t="shared" si="131"/>
        <v>0</v>
      </c>
      <c r="BQ299" s="425">
        <f t="shared" si="131"/>
        <v>0</v>
      </c>
      <c r="BR299" s="425">
        <f t="shared" si="131"/>
        <v>0</v>
      </c>
      <c r="BS299" s="425">
        <f t="shared" si="132"/>
        <v>0</v>
      </c>
      <c r="BT299" s="426">
        <f t="shared" si="132"/>
        <v>0</v>
      </c>
    </row>
    <row r="300" spans="2:72" x14ac:dyDescent="0.25">
      <c r="B300" s="145"/>
      <c r="C300" s="539">
        <v>47392</v>
      </c>
      <c r="D300" s="533"/>
      <c r="E300" s="534">
        <v>0</v>
      </c>
      <c r="F300" s="534">
        <v>0</v>
      </c>
      <c r="G300" s="534">
        <v>0</v>
      </c>
      <c r="H300" s="540">
        <v>0</v>
      </c>
      <c r="I300" s="536">
        <v>0</v>
      </c>
      <c r="J300" s="533"/>
      <c r="K300" s="534">
        <v>0</v>
      </c>
      <c r="L300" s="534">
        <v>0</v>
      </c>
      <c r="M300" s="534">
        <v>0</v>
      </c>
      <c r="N300" s="534">
        <v>0</v>
      </c>
      <c r="O300" s="534">
        <v>0</v>
      </c>
      <c r="P300" s="534">
        <v>0</v>
      </c>
      <c r="Q300" s="534">
        <v>0</v>
      </c>
      <c r="R300" s="534">
        <v>0</v>
      </c>
      <c r="S300" s="536">
        <v>0</v>
      </c>
      <c r="T300" s="533"/>
      <c r="U300" s="534">
        <v>0</v>
      </c>
      <c r="V300" s="534">
        <v>0</v>
      </c>
      <c r="W300" s="534">
        <v>0</v>
      </c>
      <c r="X300" s="534">
        <v>0</v>
      </c>
      <c r="Y300" s="534">
        <v>0</v>
      </c>
      <c r="Z300" s="534">
        <v>0</v>
      </c>
      <c r="AA300" s="534">
        <v>0</v>
      </c>
      <c r="AB300" s="534">
        <v>0</v>
      </c>
      <c r="AC300" s="534">
        <v>0</v>
      </c>
      <c r="AD300" s="534">
        <v>0</v>
      </c>
      <c r="AE300" s="536">
        <v>0</v>
      </c>
      <c r="AF300" s="533"/>
      <c r="AG300" s="534">
        <v>0</v>
      </c>
      <c r="AH300" s="534">
        <v>0</v>
      </c>
      <c r="AI300" s="534">
        <v>0</v>
      </c>
      <c r="AJ300" s="534">
        <v>0</v>
      </c>
      <c r="AK300" s="536">
        <v>0</v>
      </c>
      <c r="AL300" s="533"/>
      <c r="AM300" s="534">
        <v>0</v>
      </c>
      <c r="AN300" s="534">
        <v>0</v>
      </c>
      <c r="AO300" s="534">
        <v>0</v>
      </c>
      <c r="AP300" s="537">
        <v>0</v>
      </c>
      <c r="AQ300" s="535">
        <v>0</v>
      </c>
      <c r="AR300" s="534">
        <v>0</v>
      </c>
      <c r="AS300" s="534">
        <v>0</v>
      </c>
      <c r="AT300" s="534">
        <v>0</v>
      </c>
      <c r="AU300" s="536">
        <v>0</v>
      </c>
      <c r="AV300" s="533"/>
      <c r="AW300" s="538">
        <v>0</v>
      </c>
      <c r="AX300" s="538">
        <v>19053824.60002128</v>
      </c>
      <c r="AY300" s="533"/>
      <c r="AZ300" s="534">
        <f t="shared" si="133"/>
        <v>0</v>
      </c>
      <c r="BA300" s="534">
        <v>0</v>
      </c>
      <c r="BD300" s="392">
        <f t="shared" si="134"/>
        <v>0</v>
      </c>
      <c r="BE300" s="425">
        <f t="shared" si="135"/>
        <v>0</v>
      </c>
      <c r="BF300" s="425">
        <f t="shared" si="136"/>
        <v>0</v>
      </c>
      <c r="BG300" s="425">
        <f t="shared" si="136"/>
        <v>0</v>
      </c>
      <c r="BH300" s="425">
        <f t="shared" si="136"/>
        <v>0</v>
      </c>
      <c r="BI300" s="425">
        <f t="shared" si="136"/>
        <v>0</v>
      </c>
      <c r="BJ300" s="425">
        <f t="shared" si="136"/>
        <v>0</v>
      </c>
      <c r="BK300" s="425">
        <f t="shared" si="136"/>
        <v>0</v>
      </c>
      <c r="BL300" s="425">
        <f t="shared" si="136"/>
        <v>0</v>
      </c>
      <c r="BM300" s="425">
        <f t="shared" si="130"/>
        <v>0</v>
      </c>
      <c r="BN300" s="425">
        <f t="shared" si="130"/>
        <v>0</v>
      </c>
      <c r="BO300" s="425">
        <f t="shared" si="130"/>
        <v>0</v>
      </c>
      <c r="BP300" s="425">
        <f t="shared" si="131"/>
        <v>0</v>
      </c>
      <c r="BQ300" s="425">
        <f t="shared" si="131"/>
        <v>0</v>
      </c>
      <c r="BR300" s="425">
        <f t="shared" si="131"/>
        <v>0</v>
      </c>
      <c r="BS300" s="425">
        <f t="shared" si="132"/>
        <v>0</v>
      </c>
      <c r="BT300" s="426">
        <f t="shared" si="132"/>
        <v>0</v>
      </c>
    </row>
    <row r="301" spans="2:72" x14ac:dyDescent="0.25">
      <c r="B301" s="145"/>
      <c r="C301" s="539">
        <v>47423</v>
      </c>
      <c r="D301" s="533"/>
      <c r="E301" s="534">
        <v>0</v>
      </c>
      <c r="F301" s="534">
        <v>0</v>
      </c>
      <c r="G301" s="534">
        <v>0</v>
      </c>
      <c r="H301" s="540">
        <v>0</v>
      </c>
      <c r="I301" s="536">
        <v>0</v>
      </c>
      <c r="J301" s="533"/>
      <c r="K301" s="534">
        <v>0</v>
      </c>
      <c r="L301" s="534">
        <v>0</v>
      </c>
      <c r="M301" s="534">
        <v>0</v>
      </c>
      <c r="N301" s="534">
        <v>0</v>
      </c>
      <c r="O301" s="534">
        <v>0</v>
      </c>
      <c r="P301" s="534">
        <v>0</v>
      </c>
      <c r="Q301" s="534">
        <v>0</v>
      </c>
      <c r="R301" s="534">
        <v>0</v>
      </c>
      <c r="S301" s="536">
        <v>0</v>
      </c>
      <c r="T301" s="533"/>
      <c r="U301" s="534">
        <v>0</v>
      </c>
      <c r="V301" s="534">
        <v>0</v>
      </c>
      <c r="W301" s="534">
        <v>0</v>
      </c>
      <c r="X301" s="534">
        <v>0</v>
      </c>
      <c r="Y301" s="534">
        <v>0</v>
      </c>
      <c r="Z301" s="534">
        <v>0</v>
      </c>
      <c r="AA301" s="534">
        <v>0</v>
      </c>
      <c r="AB301" s="534">
        <v>0</v>
      </c>
      <c r="AC301" s="534">
        <v>0</v>
      </c>
      <c r="AD301" s="534">
        <v>0</v>
      </c>
      <c r="AE301" s="536">
        <v>0</v>
      </c>
      <c r="AF301" s="533"/>
      <c r="AG301" s="534">
        <v>0</v>
      </c>
      <c r="AH301" s="534">
        <v>0</v>
      </c>
      <c r="AI301" s="534">
        <v>0</v>
      </c>
      <c r="AJ301" s="534">
        <v>0</v>
      </c>
      <c r="AK301" s="536">
        <v>0</v>
      </c>
      <c r="AL301" s="533"/>
      <c r="AM301" s="534">
        <v>0</v>
      </c>
      <c r="AN301" s="534">
        <v>0</v>
      </c>
      <c r="AO301" s="534">
        <v>0</v>
      </c>
      <c r="AP301" s="537">
        <v>0</v>
      </c>
      <c r="AQ301" s="535">
        <v>0</v>
      </c>
      <c r="AR301" s="534">
        <v>0</v>
      </c>
      <c r="AS301" s="534">
        <v>0</v>
      </c>
      <c r="AT301" s="534">
        <v>0</v>
      </c>
      <c r="AU301" s="536">
        <v>0</v>
      </c>
      <c r="AV301" s="533"/>
      <c r="AW301" s="538">
        <v>0</v>
      </c>
      <c r="AX301" s="538">
        <v>19053824.60002128</v>
      </c>
      <c r="AY301" s="533"/>
      <c r="AZ301" s="534">
        <f t="shared" si="133"/>
        <v>0</v>
      </c>
      <c r="BA301" s="534">
        <v>0</v>
      </c>
      <c r="BD301" s="392">
        <f t="shared" si="134"/>
        <v>0</v>
      </c>
      <c r="BE301" s="425">
        <f t="shared" si="135"/>
        <v>0</v>
      </c>
      <c r="BF301" s="425">
        <f t="shared" ref="BF301:BL310" si="137">-SUMIF($E$6:$BA$6, BF$6, $E301:$BA301)</f>
        <v>0</v>
      </c>
      <c r="BG301" s="425">
        <f t="shared" si="137"/>
        <v>0</v>
      </c>
      <c r="BH301" s="425">
        <f t="shared" si="137"/>
        <v>0</v>
      </c>
      <c r="BI301" s="425">
        <f t="shared" si="137"/>
        <v>0</v>
      </c>
      <c r="BJ301" s="425">
        <f t="shared" si="137"/>
        <v>0</v>
      </c>
      <c r="BK301" s="425">
        <f t="shared" si="137"/>
        <v>0</v>
      </c>
      <c r="BL301" s="425">
        <f t="shared" si="137"/>
        <v>0</v>
      </c>
      <c r="BM301" s="425">
        <f t="shared" ref="BM301:BO320" si="138">SUMIF($E$6:$BA$6, BM$6, $E301:$BA301)</f>
        <v>0</v>
      </c>
      <c r="BN301" s="425">
        <f t="shared" si="138"/>
        <v>0</v>
      </c>
      <c r="BO301" s="425">
        <f t="shared" si="138"/>
        <v>0</v>
      </c>
      <c r="BP301" s="425">
        <f t="shared" ref="BP301:BR320" si="139">-SUMIF($E$6:$BA$6, BP$6, $E301:$BA301)</f>
        <v>0</v>
      </c>
      <c r="BQ301" s="425">
        <f t="shared" si="139"/>
        <v>0</v>
      </c>
      <c r="BR301" s="425">
        <f t="shared" si="139"/>
        <v>0</v>
      </c>
      <c r="BS301" s="425">
        <f t="shared" ref="BS301:BT320" si="140">SUMIF($E$6:$BA$6, BS$6, $E301:$BA301)</f>
        <v>0</v>
      </c>
      <c r="BT301" s="426">
        <f t="shared" si="140"/>
        <v>0</v>
      </c>
    </row>
    <row r="302" spans="2:72" x14ac:dyDescent="0.25">
      <c r="B302" s="145"/>
      <c r="C302" s="539">
        <v>47453</v>
      </c>
      <c r="D302" s="533"/>
      <c r="E302" s="534">
        <v>0</v>
      </c>
      <c r="F302" s="534">
        <v>0</v>
      </c>
      <c r="G302" s="534">
        <v>0</v>
      </c>
      <c r="H302" s="540">
        <v>0</v>
      </c>
      <c r="I302" s="536">
        <v>0</v>
      </c>
      <c r="J302" s="533"/>
      <c r="K302" s="534">
        <v>0</v>
      </c>
      <c r="L302" s="534">
        <v>0</v>
      </c>
      <c r="M302" s="534">
        <v>0</v>
      </c>
      <c r="N302" s="534">
        <v>0</v>
      </c>
      <c r="O302" s="534">
        <v>0</v>
      </c>
      <c r="P302" s="534">
        <v>0</v>
      </c>
      <c r="Q302" s="534">
        <v>0</v>
      </c>
      <c r="R302" s="534">
        <v>0</v>
      </c>
      <c r="S302" s="536">
        <v>0</v>
      </c>
      <c r="T302" s="533"/>
      <c r="U302" s="534">
        <v>0</v>
      </c>
      <c r="V302" s="534">
        <v>0</v>
      </c>
      <c r="W302" s="534">
        <v>0</v>
      </c>
      <c r="X302" s="534">
        <v>0</v>
      </c>
      <c r="Y302" s="534">
        <v>0</v>
      </c>
      <c r="Z302" s="534">
        <v>0</v>
      </c>
      <c r="AA302" s="534">
        <v>0</v>
      </c>
      <c r="AB302" s="534">
        <v>0</v>
      </c>
      <c r="AC302" s="534">
        <v>0</v>
      </c>
      <c r="AD302" s="534">
        <v>0</v>
      </c>
      <c r="AE302" s="536">
        <v>0</v>
      </c>
      <c r="AF302" s="533"/>
      <c r="AG302" s="534">
        <v>0</v>
      </c>
      <c r="AH302" s="534">
        <v>0</v>
      </c>
      <c r="AI302" s="534">
        <v>0</v>
      </c>
      <c r="AJ302" s="534">
        <v>0</v>
      </c>
      <c r="AK302" s="536">
        <v>0</v>
      </c>
      <c r="AL302" s="533"/>
      <c r="AM302" s="534">
        <v>0</v>
      </c>
      <c r="AN302" s="534">
        <v>0</v>
      </c>
      <c r="AO302" s="534">
        <v>0</v>
      </c>
      <c r="AP302" s="537">
        <v>0</v>
      </c>
      <c r="AQ302" s="535">
        <v>0</v>
      </c>
      <c r="AR302" s="534">
        <v>0</v>
      </c>
      <c r="AS302" s="534">
        <v>0</v>
      </c>
      <c r="AT302" s="534">
        <v>0</v>
      </c>
      <c r="AU302" s="536">
        <v>0</v>
      </c>
      <c r="AV302" s="533"/>
      <c r="AW302" s="538">
        <v>0</v>
      </c>
      <c r="AX302" s="538">
        <v>19053824.60002128</v>
      </c>
      <c r="AY302" s="533"/>
      <c r="AZ302" s="534">
        <f t="shared" si="133"/>
        <v>0</v>
      </c>
      <c r="BA302" s="534">
        <v>0</v>
      </c>
      <c r="BD302" s="392">
        <f t="shared" si="134"/>
        <v>0</v>
      </c>
      <c r="BE302" s="425">
        <f t="shared" si="135"/>
        <v>0</v>
      </c>
      <c r="BF302" s="425">
        <f t="shared" si="137"/>
        <v>0</v>
      </c>
      <c r="BG302" s="425">
        <f t="shared" si="137"/>
        <v>0</v>
      </c>
      <c r="BH302" s="425">
        <f t="shared" si="137"/>
        <v>0</v>
      </c>
      <c r="BI302" s="425">
        <f t="shared" si="137"/>
        <v>0</v>
      </c>
      <c r="BJ302" s="425">
        <f t="shared" si="137"/>
        <v>0</v>
      </c>
      <c r="BK302" s="425">
        <f t="shared" si="137"/>
        <v>0</v>
      </c>
      <c r="BL302" s="425">
        <f t="shared" si="137"/>
        <v>0</v>
      </c>
      <c r="BM302" s="425">
        <f t="shared" si="138"/>
        <v>0</v>
      </c>
      <c r="BN302" s="425">
        <f t="shared" si="138"/>
        <v>0</v>
      </c>
      <c r="BO302" s="425">
        <f t="shared" si="138"/>
        <v>0</v>
      </c>
      <c r="BP302" s="425">
        <f t="shared" si="139"/>
        <v>0</v>
      </c>
      <c r="BQ302" s="425">
        <f t="shared" si="139"/>
        <v>0</v>
      </c>
      <c r="BR302" s="425">
        <f t="shared" si="139"/>
        <v>0</v>
      </c>
      <c r="BS302" s="425">
        <f t="shared" si="140"/>
        <v>0</v>
      </c>
      <c r="BT302" s="426">
        <f t="shared" si="140"/>
        <v>0</v>
      </c>
    </row>
    <row r="303" spans="2:72" x14ac:dyDescent="0.25">
      <c r="B303" s="145"/>
      <c r="C303" s="539">
        <v>47484</v>
      </c>
      <c r="D303" s="533"/>
      <c r="E303" s="534">
        <v>0</v>
      </c>
      <c r="F303" s="534">
        <v>0</v>
      </c>
      <c r="G303" s="534">
        <v>0</v>
      </c>
      <c r="H303" s="540">
        <v>0</v>
      </c>
      <c r="I303" s="536">
        <v>0</v>
      </c>
      <c r="J303" s="533"/>
      <c r="K303" s="534">
        <v>0</v>
      </c>
      <c r="L303" s="534">
        <v>0</v>
      </c>
      <c r="M303" s="534">
        <v>0</v>
      </c>
      <c r="N303" s="534">
        <v>0</v>
      </c>
      <c r="O303" s="534">
        <v>0</v>
      </c>
      <c r="P303" s="534">
        <v>0</v>
      </c>
      <c r="Q303" s="534">
        <v>0</v>
      </c>
      <c r="R303" s="534">
        <v>0</v>
      </c>
      <c r="S303" s="536">
        <v>0</v>
      </c>
      <c r="T303" s="533"/>
      <c r="U303" s="534">
        <v>0</v>
      </c>
      <c r="V303" s="534">
        <v>0</v>
      </c>
      <c r="W303" s="534">
        <v>0</v>
      </c>
      <c r="X303" s="534">
        <v>0</v>
      </c>
      <c r="Y303" s="534">
        <v>0</v>
      </c>
      <c r="Z303" s="534">
        <v>0</v>
      </c>
      <c r="AA303" s="534">
        <v>0</v>
      </c>
      <c r="AB303" s="534">
        <v>0</v>
      </c>
      <c r="AC303" s="534">
        <v>0</v>
      </c>
      <c r="AD303" s="534">
        <v>0</v>
      </c>
      <c r="AE303" s="536">
        <v>0</v>
      </c>
      <c r="AF303" s="533"/>
      <c r="AG303" s="534">
        <v>0</v>
      </c>
      <c r="AH303" s="534">
        <v>0</v>
      </c>
      <c r="AI303" s="534">
        <v>0</v>
      </c>
      <c r="AJ303" s="534">
        <v>0</v>
      </c>
      <c r="AK303" s="536">
        <v>0</v>
      </c>
      <c r="AL303" s="533"/>
      <c r="AM303" s="534">
        <v>0</v>
      </c>
      <c r="AN303" s="534">
        <v>0</v>
      </c>
      <c r="AO303" s="534">
        <v>0</v>
      </c>
      <c r="AP303" s="537">
        <v>0</v>
      </c>
      <c r="AQ303" s="535">
        <v>0</v>
      </c>
      <c r="AR303" s="534">
        <v>0</v>
      </c>
      <c r="AS303" s="534">
        <v>0</v>
      </c>
      <c r="AT303" s="534">
        <v>0</v>
      </c>
      <c r="AU303" s="536">
        <v>0</v>
      </c>
      <c r="AV303" s="533"/>
      <c r="AW303" s="538">
        <v>0</v>
      </c>
      <c r="AX303" s="538">
        <v>19053824.60002128</v>
      </c>
      <c r="AY303" s="533"/>
      <c r="AZ303" s="534">
        <f t="shared" si="133"/>
        <v>0</v>
      </c>
      <c r="BA303" s="534">
        <v>0</v>
      </c>
      <c r="BD303" s="392">
        <f t="shared" si="134"/>
        <v>0</v>
      </c>
      <c r="BE303" s="425">
        <f t="shared" si="135"/>
        <v>0</v>
      </c>
      <c r="BF303" s="425">
        <f t="shared" si="137"/>
        <v>0</v>
      </c>
      <c r="BG303" s="425">
        <f t="shared" si="137"/>
        <v>0</v>
      </c>
      <c r="BH303" s="425">
        <f t="shared" si="137"/>
        <v>0</v>
      </c>
      <c r="BI303" s="425">
        <f t="shared" si="137"/>
        <v>0</v>
      </c>
      <c r="BJ303" s="425">
        <f t="shared" si="137"/>
        <v>0</v>
      </c>
      <c r="BK303" s="425">
        <f t="shared" si="137"/>
        <v>0</v>
      </c>
      <c r="BL303" s="425">
        <f t="shared" si="137"/>
        <v>0</v>
      </c>
      <c r="BM303" s="425">
        <f t="shared" si="138"/>
        <v>0</v>
      </c>
      <c r="BN303" s="425">
        <f t="shared" si="138"/>
        <v>0</v>
      </c>
      <c r="BO303" s="425">
        <f t="shared" si="138"/>
        <v>0</v>
      </c>
      <c r="BP303" s="425">
        <f t="shared" si="139"/>
        <v>0</v>
      </c>
      <c r="BQ303" s="425">
        <f t="shared" si="139"/>
        <v>0</v>
      </c>
      <c r="BR303" s="425">
        <f t="shared" si="139"/>
        <v>0</v>
      </c>
      <c r="BS303" s="425">
        <f t="shared" si="140"/>
        <v>0</v>
      </c>
      <c r="BT303" s="426">
        <f t="shared" si="140"/>
        <v>0</v>
      </c>
    </row>
    <row r="304" spans="2:72" x14ac:dyDescent="0.25">
      <c r="B304" s="145"/>
      <c r="C304" s="539">
        <v>47515</v>
      </c>
      <c r="D304" s="533"/>
      <c r="E304" s="534">
        <v>0</v>
      </c>
      <c r="F304" s="534">
        <v>0</v>
      </c>
      <c r="G304" s="534">
        <v>0</v>
      </c>
      <c r="H304" s="540">
        <v>0</v>
      </c>
      <c r="I304" s="536">
        <v>0</v>
      </c>
      <c r="J304" s="533"/>
      <c r="K304" s="534">
        <v>0</v>
      </c>
      <c r="L304" s="534">
        <v>0</v>
      </c>
      <c r="M304" s="534">
        <v>0</v>
      </c>
      <c r="N304" s="534">
        <v>0</v>
      </c>
      <c r="O304" s="534">
        <v>0</v>
      </c>
      <c r="P304" s="534">
        <v>0</v>
      </c>
      <c r="Q304" s="534">
        <v>0</v>
      </c>
      <c r="R304" s="534">
        <v>0</v>
      </c>
      <c r="S304" s="536">
        <v>0</v>
      </c>
      <c r="T304" s="533"/>
      <c r="U304" s="534">
        <v>0</v>
      </c>
      <c r="V304" s="534">
        <v>0</v>
      </c>
      <c r="W304" s="534">
        <v>0</v>
      </c>
      <c r="X304" s="534">
        <v>0</v>
      </c>
      <c r="Y304" s="534">
        <v>0</v>
      </c>
      <c r="Z304" s="534">
        <v>0</v>
      </c>
      <c r="AA304" s="534">
        <v>0</v>
      </c>
      <c r="AB304" s="534">
        <v>0</v>
      </c>
      <c r="AC304" s="534">
        <v>0</v>
      </c>
      <c r="AD304" s="534">
        <v>0</v>
      </c>
      <c r="AE304" s="536">
        <v>0</v>
      </c>
      <c r="AF304" s="533"/>
      <c r="AG304" s="534">
        <v>0</v>
      </c>
      <c r="AH304" s="534">
        <v>0</v>
      </c>
      <c r="AI304" s="534">
        <v>0</v>
      </c>
      <c r="AJ304" s="534">
        <v>0</v>
      </c>
      <c r="AK304" s="536">
        <v>0</v>
      </c>
      <c r="AL304" s="533"/>
      <c r="AM304" s="534">
        <v>0</v>
      </c>
      <c r="AN304" s="534">
        <v>0</v>
      </c>
      <c r="AO304" s="534">
        <v>0</v>
      </c>
      <c r="AP304" s="537">
        <v>0</v>
      </c>
      <c r="AQ304" s="535">
        <v>0</v>
      </c>
      <c r="AR304" s="534">
        <v>0</v>
      </c>
      <c r="AS304" s="534">
        <v>0</v>
      </c>
      <c r="AT304" s="534">
        <v>0</v>
      </c>
      <c r="AU304" s="536">
        <v>0</v>
      </c>
      <c r="AV304" s="533"/>
      <c r="AW304" s="538">
        <v>0</v>
      </c>
      <c r="AX304" s="538">
        <v>19053824.60002128</v>
      </c>
      <c r="AY304" s="533"/>
      <c r="AZ304" s="534">
        <f t="shared" si="133"/>
        <v>0</v>
      </c>
      <c r="BA304" s="534">
        <v>0</v>
      </c>
      <c r="BD304" s="392">
        <f t="shared" si="134"/>
        <v>0</v>
      </c>
      <c r="BE304" s="425">
        <f t="shared" si="135"/>
        <v>0</v>
      </c>
      <c r="BF304" s="425">
        <f t="shared" si="137"/>
        <v>0</v>
      </c>
      <c r="BG304" s="425">
        <f t="shared" si="137"/>
        <v>0</v>
      </c>
      <c r="BH304" s="425">
        <f t="shared" si="137"/>
        <v>0</v>
      </c>
      <c r="BI304" s="425">
        <f t="shared" si="137"/>
        <v>0</v>
      </c>
      <c r="BJ304" s="425">
        <f t="shared" si="137"/>
        <v>0</v>
      </c>
      <c r="BK304" s="425">
        <f t="shared" si="137"/>
        <v>0</v>
      </c>
      <c r="BL304" s="425">
        <f t="shared" si="137"/>
        <v>0</v>
      </c>
      <c r="BM304" s="425">
        <f t="shared" si="138"/>
        <v>0</v>
      </c>
      <c r="BN304" s="425">
        <f t="shared" si="138"/>
        <v>0</v>
      </c>
      <c r="BO304" s="425">
        <f t="shared" si="138"/>
        <v>0</v>
      </c>
      <c r="BP304" s="425">
        <f t="shared" si="139"/>
        <v>0</v>
      </c>
      <c r="BQ304" s="425">
        <f t="shared" si="139"/>
        <v>0</v>
      </c>
      <c r="BR304" s="425">
        <f t="shared" si="139"/>
        <v>0</v>
      </c>
      <c r="BS304" s="425">
        <f t="shared" si="140"/>
        <v>0</v>
      </c>
      <c r="BT304" s="426">
        <f t="shared" si="140"/>
        <v>0</v>
      </c>
    </row>
    <row r="305" spans="2:72" x14ac:dyDescent="0.25">
      <c r="B305" s="145"/>
      <c r="C305" s="539">
        <v>47543</v>
      </c>
      <c r="D305" s="533"/>
      <c r="E305" s="534">
        <v>0</v>
      </c>
      <c r="F305" s="534">
        <v>0</v>
      </c>
      <c r="G305" s="534">
        <v>0</v>
      </c>
      <c r="H305" s="540">
        <v>0</v>
      </c>
      <c r="I305" s="536">
        <v>0</v>
      </c>
      <c r="J305" s="533"/>
      <c r="K305" s="534">
        <v>0</v>
      </c>
      <c r="L305" s="534">
        <v>0</v>
      </c>
      <c r="M305" s="534">
        <v>0</v>
      </c>
      <c r="N305" s="534">
        <v>0</v>
      </c>
      <c r="O305" s="534">
        <v>0</v>
      </c>
      <c r="P305" s="534">
        <v>0</v>
      </c>
      <c r="Q305" s="534">
        <v>0</v>
      </c>
      <c r="R305" s="534">
        <v>0</v>
      </c>
      <c r="S305" s="536">
        <v>0</v>
      </c>
      <c r="T305" s="533"/>
      <c r="U305" s="534">
        <v>0</v>
      </c>
      <c r="V305" s="534">
        <v>0</v>
      </c>
      <c r="W305" s="534">
        <v>0</v>
      </c>
      <c r="X305" s="534">
        <v>0</v>
      </c>
      <c r="Y305" s="534">
        <v>0</v>
      </c>
      <c r="Z305" s="534">
        <v>0</v>
      </c>
      <c r="AA305" s="534">
        <v>0</v>
      </c>
      <c r="AB305" s="534">
        <v>0</v>
      </c>
      <c r="AC305" s="534">
        <v>0</v>
      </c>
      <c r="AD305" s="534">
        <v>0</v>
      </c>
      <c r="AE305" s="536">
        <v>0</v>
      </c>
      <c r="AF305" s="533"/>
      <c r="AG305" s="534">
        <v>0</v>
      </c>
      <c r="AH305" s="534">
        <v>0</v>
      </c>
      <c r="AI305" s="534">
        <v>0</v>
      </c>
      <c r="AJ305" s="534">
        <v>0</v>
      </c>
      <c r="AK305" s="536">
        <v>0</v>
      </c>
      <c r="AL305" s="533"/>
      <c r="AM305" s="534">
        <v>0</v>
      </c>
      <c r="AN305" s="534">
        <v>0</v>
      </c>
      <c r="AO305" s="534">
        <v>0</v>
      </c>
      <c r="AP305" s="537">
        <v>0</v>
      </c>
      <c r="AQ305" s="535">
        <v>0</v>
      </c>
      <c r="AR305" s="534">
        <v>0</v>
      </c>
      <c r="AS305" s="534">
        <v>0</v>
      </c>
      <c r="AT305" s="534">
        <v>0</v>
      </c>
      <c r="AU305" s="536">
        <v>0</v>
      </c>
      <c r="AV305" s="533"/>
      <c r="AW305" s="538">
        <v>0</v>
      </c>
      <c r="AX305" s="538">
        <v>19053824.60002128</v>
      </c>
      <c r="AY305" s="533"/>
      <c r="AZ305" s="534">
        <f t="shared" si="133"/>
        <v>0</v>
      </c>
      <c r="BA305" s="534">
        <v>0</v>
      </c>
      <c r="BD305" s="392">
        <f t="shared" si="134"/>
        <v>0</v>
      </c>
      <c r="BE305" s="425">
        <f t="shared" si="135"/>
        <v>0</v>
      </c>
      <c r="BF305" s="425">
        <f t="shared" si="137"/>
        <v>0</v>
      </c>
      <c r="BG305" s="425">
        <f t="shared" si="137"/>
        <v>0</v>
      </c>
      <c r="BH305" s="425">
        <f t="shared" si="137"/>
        <v>0</v>
      </c>
      <c r="BI305" s="425">
        <f t="shared" si="137"/>
        <v>0</v>
      </c>
      <c r="BJ305" s="425">
        <f t="shared" si="137"/>
        <v>0</v>
      </c>
      <c r="BK305" s="425">
        <f t="shared" si="137"/>
        <v>0</v>
      </c>
      <c r="BL305" s="425">
        <f t="shared" si="137"/>
        <v>0</v>
      </c>
      <c r="BM305" s="425">
        <f t="shared" si="138"/>
        <v>0</v>
      </c>
      <c r="BN305" s="425">
        <f t="shared" si="138"/>
        <v>0</v>
      </c>
      <c r="BO305" s="425">
        <f t="shared" si="138"/>
        <v>0</v>
      </c>
      <c r="BP305" s="425">
        <f t="shared" si="139"/>
        <v>0</v>
      </c>
      <c r="BQ305" s="425">
        <f t="shared" si="139"/>
        <v>0</v>
      </c>
      <c r="BR305" s="425">
        <f t="shared" si="139"/>
        <v>0</v>
      </c>
      <c r="BS305" s="425">
        <f t="shared" si="140"/>
        <v>0</v>
      </c>
      <c r="BT305" s="426">
        <f t="shared" si="140"/>
        <v>0</v>
      </c>
    </row>
    <row r="306" spans="2:72" x14ac:dyDescent="0.25">
      <c r="B306" s="145"/>
      <c r="C306" s="539">
        <v>47574</v>
      </c>
      <c r="D306" s="533"/>
      <c r="E306" s="534">
        <v>0</v>
      </c>
      <c r="F306" s="534">
        <v>0</v>
      </c>
      <c r="G306" s="534">
        <v>0</v>
      </c>
      <c r="H306" s="540">
        <v>0</v>
      </c>
      <c r="I306" s="536">
        <v>0</v>
      </c>
      <c r="J306" s="533"/>
      <c r="K306" s="534">
        <v>0</v>
      </c>
      <c r="L306" s="534">
        <v>0</v>
      </c>
      <c r="M306" s="534">
        <v>0</v>
      </c>
      <c r="N306" s="534">
        <v>0</v>
      </c>
      <c r="O306" s="534">
        <v>0</v>
      </c>
      <c r="P306" s="534">
        <v>0</v>
      </c>
      <c r="Q306" s="534">
        <v>0</v>
      </c>
      <c r="R306" s="534">
        <v>0</v>
      </c>
      <c r="S306" s="536">
        <v>0</v>
      </c>
      <c r="T306" s="533"/>
      <c r="U306" s="534">
        <v>0</v>
      </c>
      <c r="V306" s="534">
        <v>0</v>
      </c>
      <c r="W306" s="534">
        <v>0</v>
      </c>
      <c r="X306" s="534">
        <v>0</v>
      </c>
      <c r="Y306" s="534">
        <v>0</v>
      </c>
      <c r="Z306" s="534">
        <v>0</v>
      </c>
      <c r="AA306" s="534">
        <v>0</v>
      </c>
      <c r="AB306" s="534">
        <v>0</v>
      </c>
      <c r="AC306" s="534">
        <v>0</v>
      </c>
      <c r="AD306" s="534">
        <v>0</v>
      </c>
      <c r="AE306" s="536">
        <v>0</v>
      </c>
      <c r="AF306" s="533"/>
      <c r="AG306" s="534">
        <v>0</v>
      </c>
      <c r="AH306" s="534">
        <v>0</v>
      </c>
      <c r="AI306" s="534">
        <v>0</v>
      </c>
      <c r="AJ306" s="534">
        <v>0</v>
      </c>
      <c r="AK306" s="536">
        <v>0</v>
      </c>
      <c r="AL306" s="533"/>
      <c r="AM306" s="534">
        <v>0</v>
      </c>
      <c r="AN306" s="534">
        <v>0</v>
      </c>
      <c r="AO306" s="534">
        <v>0</v>
      </c>
      <c r="AP306" s="537">
        <v>0</v>
      </c>
      <c r="AQ306" s="535">
        <v>0</v>
      </c>
      <c r="AR306" s="534">
        <v>0</v>
      </c>
      <c r="AS306" s="534">
        <v>0</v>
      </c>
      <c r="AT306" s="534">
        <v>0</v>
      </c>
      <c r="AU306" s="536">
        <v>0</v>
      </c>
      <c r="AV306" s="533"/>
      <c r="AW306" s="538">
        <v>0</v>
      </c>
      <c r="AX306" s="538">
        <v>19053824.60002128</v>
      </c>
      <c r="AY306" s="533"/>
      <c r="AZ306" s="534">
        <f t="shared" si="133"/>
        <v>0</v>
      </c>
      <c r="BA306" s="534">
        <v>0</v>
      </c>
      <c r="BD306" s="392">
        <f t="shared" si="134"/>
        <v>0</v>
      </c>
      <c r="BE306" s="425">
        <f t="shared" si="135"/>
        <v>0</v>
      </c>
      <c r="BF306" s="425">
        <f t="shared" si="137"/>
        <v>0</v>
      </c>
      <c r="BG306" s="425">
        <f t="shared" si="137"/>
        <v>0</v>
      </c>
      <c r="BH306" s="425">
        <f t="shared" si="137"/>
        <v>0</v>
      </c>
      <c r="BI306" s="425">
        <f t="shared" si="137"/>
        <v>0</v>
      </c>
      <c r="BJ306" s="425">
        <f t="shared" si="137"/>
        <v>0</v>
      </c>
      <c r="BK306" s="425">
        <f t="shared" si="137"/>
        <v>0</v>
      </c>
      <c r="BL306" s="425">
        <f t="shared" si="137"/>
        <v>0</v>
      </c>
      <c r="BM306" s="425">
        <f t="shared" si="138"/>
        <v>0</v>
      </c>
      <c r="BN306" s="425">
        <f t="shared" si="138"/>
        <v>0</v>
      </c>
      <c r="BO306" s="425">
        <f t="shared" si="138"/>
        <v>0</v>
      </c>
      <c r="BP306" s="425">
        <f t="shared" si="139"/>
        <v>0</v>
      </c>
      <c r="BQ306" s="425">
        <f t="shared" si="139"/>
        <v>0</v>
      </c>
      <c r="BR306" s="425">
        <f t="shared" si="139"/>
        <v>0</v>
      </c>
      <c r="BS306" s="425">
        <f t="shared" si="140"/>
        <v>0</v>
      </c>
      <c r="BT306" s="426">
        <f t="shared" si="140"/>
        <v>0</v>
      </c>
    </row>
    <row r="307" spans="2:72" x14ac:dyDescent="0.25">
      <c r="B307" s="145"/>
      <c r="C307" s="539">
        <v>47604</v>
      </c>
      <c r="D307" s="533"/>
      <c r="E307" s="534">
        <v>0</v>
      </c>
      <c r="F307" s="534">
        <v>0</v>
      </c>
      <c r="G307" s="534">
        <v>0</v>
      </c>
      <c r="H307" s="540">
        <v>0</v>
      </c>
      <c r="I307" s="536">
        <v>0</v>
      </c>
      <c r="J307" s="533"/>
      <c r="K307" s="534">
        <v>0</v>
      </c>
      <c r="L307" s="534">
        <v>0</v>
      </c>
      <c r="M307" s="534">
        <v>0</v>
      </c>
      <c r="N307" s="534">
        <v>0</v>
      </c>
      <c r="O307" s="534">
        <v>0</v>
      </c>
      <c r="P307" s="534">
        <v>0</v>
      </c>
      <c r="Q307" s="534">
        <v>0</v>
      </c>
      <c r="R307" s="534">
        <v>0</v>
      </c>
      <c r="S307" s="536">
        <v>0</v>
      </c>
      <c r="T307" s="533"/>
      <c r="U307" s="534">
        <v>0</v>
      </c>
      <c r="V307" s="534">
        <v>0</v>
      </c>
      <c r="W307" s="534">
        <v>0</v>
      </c>
      <c r="X307" s="534">
        <v>0</v>
      </c>
      <c r="Y307" s="534">
        <v>0</v>
      </c>
      <c r="Z307" s="534">
        <v>0</v>
      </c>
      <c r="AA307" s="534">
        <v>0</v>
      </c>
      <c r="AB307" s="534">
        <v>0</v>
      </c>
      <c r="AC307" s="534">
        <v>0</v>
      </c>
      <c r="AD307" s="534">
        <v>0</v>
      </c>
      <c r="AE307" s="536">
        <v>0</v>
      </c>
      <c r="AF307" s="533"/>
      <c r="AG307" s="534">
        <v>0</v>
      </c>
      <c r="AH307" s="534">
        <v>0</v>
      </c>
      <c r="AI307" s="534">
        <v>0</v>
      </c>
      <c r="AJ307" s="534">
        <v>0</v>
      </c>
      <c r="AK307" s="536">
        <v>0</v>
      </c>
      <c r="AL307" s="533"/>
      <c r="AM307" s="534">
        <v>0</v>
      </c>
      <c r="AN307" s="534">
        <v>0</v>
      </c>
      <c r="AO307" s="534">
        <v>0</v>
      </c>
      <c r="AP307" s="537">
        <v>0</v>
      </c>
      <c r="AQ307" s="535">
        <v>0</v>
      </c>
      <c r="AR307" s="534">
        <v>0</v>
      </c>
      <c r="AS307" s="534">
        <v>0</v>
      </c>
      <c r="AT307" s="534">
        <v>0</v>
      </c>
      <c r="AU307" s="536">
        <v>0</v>
      </c>
      <c r="AV307" s="533"/>
      <c r="AW307" s="538">
        <v>0</v>
      </c>
      <c r="AX307" s="538">
        <v>19053824.60002128</v>
      </c>
      <c r="AY307" s="533"/>
      <c r="AZ307" s="534">
        <f t="shared" si="133"/>
        <v>0</v>
      </c>
      <c r="BA307" s="534">
        <v>0</v>
      </c>
      <c r="BD307" s="392">
        <f t="shared" si="134"/>
        <v>0</v>
      </c>
      <c r="BE307" s="425">
        <f t="shared" si="135"/>
        <v>0</v>
      </c>
      <c r="BF307" s="425">
        <f t="shared" si="137"/>
        <v>0</v>
      </c>
      <c r="BG307" s="425">
        <f t="shared" si="137"/>
        <v>0</v>
      </c>
      <c r="BH307" s="425">
        <f t="shared" si="137"/>
        <v>0</v>
      </c>
      <c r="BI307" s="425">
        <f t="shared" si="137"/>
        <v>0</v>
      </c>
      <c r="BJ307" s="425">
        <f t="shared" si="137"/>
        <v>0</v>
      </c>
      <c r="BK307" s="425">
        <f t="shared" si="137"/>
        <v>0</v>
      </c>
      <c r="BL307" s="425">
        <f t="shared" si="137"/>
        <v>0</v>
      </c>
      <c r="BM307" s="425">
        <f t="shared" si="138"/>
        <v>0</v>
      </c>
      <c r="BN307" s="425">
        <f t="shared" si="138"/>
        <v>0</v>
      </c>
      <c r="BO307" s="425">
        <f t="shared" si="138"/>
        <v>0</v>
      </c>
      <c r="BP307" s="425">
        <f t="shared" si="139"/>
        <v>0</v>
      </c>
      <c r="BQ307" s="425">
        <f t="shared" si="139"/>
        <v>0</v>
      </c>
      <c r="BR307" s="425">
        <f t="shared" si="139"/>
        <v>0</v>
      </c>
      <c r="BS307" s="425">
        <f t="shared" si="140"/>
        <v>0</v>
      </c>
      <c r="BT307" s="426">
        <f t="shared" si="140"/>
        <v>0</v>
      </c>
    </row>
    <row r="308" spans="2:72" x14ac:dyDescent="0.25">
      <c r="B308" s="145"/>
      <c r="C308" s="539">
        <v>47635</v>
      </c>
      <c r="D308" s="533"/>
      <c r="E308" s="534">
        <v>0</v>
      </c>
      <c r="F308" s="534">
        <v>0</v>
      </c>
      <c r="G308" s="534">
        <v>0</v>
      </c>
      <c r="H308" s="540">
        <v>0</v>
      </c>
      <c r="I308" s="536">
        <v>0</v>
      </c>
      <c r="J308" s="533"/>
      <c r="K308" s="534">
        <v>0</v>
      </c>
      <c r="L308" s="534">
        <v>0</v>
      </c>
      <c r="M308" s="534">
        <v>0</v>
      </c>
      <c r="N308" s="534">
        <v>0</v>
      </c>
      <c r="O308" s="534">
        <v>0</v>
      </c>
      <c r="P308" s="534">
        <v>0</v>
      </c>
      <c r="Q308" s="534">
        <v>0</v>
      </c>
      <c r="R308" s="534">
        <v>0</v>
      </c>
      <c r="S308" s="536">
        <v>0</v>
      </c>
      <c r="T308" s="533"/>
      <c r="U308" s="534">
        <v>0</v>
      </c>
      <c r="V308" s="534">
        <v>0</v>
      </c>
      <c r="W308" s="534">
        <v>0</v>
      </c>
      <c r="X308" s="534">
        <v>0</v>
      </c>
      <c r="Y308" s="534">
        <v>0</v>
      </c>
      <c r="Z308" s="534">
        <v>0</v>
      </c>
      <c r="AA308" s="534">
        <v>0</v>
      </c>
      <c r="AB308" s="534">
        <v>0</v>
      </c>
      <c r="AC308" s="534">
        <v>0</v>
      </c>
      <c r="AD308" s="534">
        <v>0</v>
      </c>
      <c r="AE308" s="536">
        <v>0</v>
      </c>
      <c r="AF308" s="533"/>
      <c r="AG308" s="534">
        <v>0</v>
      </c>
      <c r="AH308" s="534">
        <v>0</v>
      </c>
      <c r="AI308" s="534">
        <v>0</v>
      </c>
      <c r="AJ308" s="534">
        <v>0</v>
      </c>
      <c r="AK308" s="536">
        <v>0</v>
      </c>
      <c r="AL308" s="533"/>
      <c r="AM308" s="534">
        <v>0</v>
      </c>
      <c r="AN308" s="534">
        <v>0</v>
      </c>
      <c r="AO308" s="534">
        <v>0</v>
      </c>
      <c r="AP308" s="537">
        <v>0</v>
      </c>
      <c r="AQ308" s="535">
        <v>0</v>
      </c>
      <c r="AR308" s="534">
        <v>0</v>
      </c>
      <c r="AS308" s="534">
        <v>0</v>
      </c>
      <c r="AT308" s="534">
        <v>0</v>
      </c>
      <c r="AU308" s="536">
        <v>0</v>
      </c>
      <c r="AV308" s="533"/>
      <c r="AW308" s="538">
        <v>0</v>
      </c>
      <c r="AX308" s="538">
        <v>19053824.60002128</v>
      </c>
      <c r="AY308" s="533"/>
      <c r="AZ308" s="534">
        <f t="shared" si="133"/>
        <v>0</v>
      </c>
      <c r="BA308" s="534">
        <v>0</v>
      </c>
      <c r="BD308" s="392">
        <f t="shared" si="134"/>
        <v>0</v>
      </c>
      <c r="BE308" s="425">
        <f t="shared" si="135"/>
        <v>0</v>
      </c>
      <c r="BF308" s="425">
        <f t="shared" si="137"/>
        <v>0</v>
      </c>
      <c r="BG308" s="425">
        <f t="shared" si="137"/>
        <v>0</v>
      </c>
      <c r="BH308" s="425">
        <f t="shared" si="137"/>
        <v>0</v>
      </c>
      <c r="BI308" s="425">
        <f t="shared" si="137"/>
        <v>0</v>
      </c>
      <c r="BJ308" s="425">
        <f t="shared" si="137"/>
        <v>0</v>
      </c>
      <c r="BK308" s="425">
        <f t="shared" si="137"/>
        <v>0</v>
      </c>
      <c r="BL308" s="425">
        <f t="shared" si="137"/>
        <v>0</v>
      </c>
      <c r="BM308" s="425">
        <f t="shared" si="138"/>
        <v>0</v>
      </c>
      <c r="BN308" s="425">
        <f t="shared" si="138"/>
        <v>0</v>
      </c>
      <c r="BO308" s="425">
        <f t="shared" si="138"/>
        <v>0</v>
      </c>
      <c r="BP308" s="425">
        <f t="shared" si="139"/>
        <v>0</v>
      </c>
      <c r="BQ308" s="425">
        <f t="shared" si="139"/>
        <v>0</v>
      </c>
      <c r="BR308" s="425">
        <f t="shared" si="139"/>
        <v>0</v>
      </c>
      <c r="BS308" s="425">
        <f t="shared" si="140"/>
        <v>0</v>
      </c>
      <c r="BT308" s="426">
        <f t="shared" si="140"/>
        <v>0</v>
      </c>
    </row>
    <row r="309" spans="2:72" x14ac:dyDescent="0.25">
      <c r="B309" s="145"/>
      <c r="C309" s="539">
        <v>47665</v>
      </c>
      <c r="D309" s="533"/>
      <c r="E309" s="534">
        <v>0</v>
      </c>
      <c r="F309" s="534">
        <v>0</v>
      </c>
      <c r="G309" s="534">
        <v>0</v>
      </c>
      <c r="H309" s="540">
        <v>0</v>
      </c>
      <c r="I309" s="536">
        <v>0</v>
      </c>
      <c r="J309" s="533"/>
      <c r="K309" s="534">
        <v>0</v>
      </c>
      <c r="L309" s="534">
        <v>0</v>
      </c>
      <c r="M309" s="534">
        <v>0</v>
      </c>
      <c r="N309" s="534">
        <v>0</v>
      </c>
      <c r="O309" s="534">
        <v>0</v>
      </c>
      <c r="P309" s="534">
        <v>0</v>
      </c>
      <c r="Q309" s="534">
        <v>0</v>
      </c>
      <c r="R309" s="534">
        <v>0</v>
      </c>
      <c r="S309" s="536">
        <v>0</v>
      </c>
      <c r="T309" s="533"/>
      <c r="U309" s="534">
        <v>0</v>
      </c>
      <c r="V309" s="534">
        <v>0</v>
      </c>
      <c r="W309" s="534">
        <v>0</v>
      </c>
      <c r="X309" s="534">
        <v>0</v>
      </c>
      <c r="Y309" s="534">
        <v>0</v>
      </c>
      <c r="Z309" s="534">
        <v>0</v>
      </c>
      <c r="AA309" s="534">
        <v>0</v>
      </c>
      <c r="AB309" s="534">
        <v>0</v>
      </c>
      <c r="AC309" s="534">
        <v>0</v>
      </c>
      <c r="AD309" s="534">
        <v>0</v>
      </c>
      <c r="AE309" s="536">
        <v>0</v>
      </c>
      <c r="AF309" s="533"/>
      <c r="AG309" s="534">
        <v>0</v>
      </c>
      <c r="AH309" s="534">
        <v>0</v>
      </c>
      <c r="AI309" s="534">
        <v>0</v>
      </c>
      <c r="AJ309" s="534">
        <v>0</v>
      </c>
      <c r="AK309" s="536">
        <v>0</v>
      </c>
      <c r="AL309" s="533"/>
      <c r="AM309" s="534">
        <v>0</v>
      </c>
      <c r="AN309" s="534">
        <v>0</v>
      </c>
      <c r="AO309" s="534">
        <v>0</v>
      </c>
      <c r="AP309" s="537">
        <v>0</v>
      </c>
      <c r="AQ309" s="535">
        <v>0</v>
      </c>
      <c r="AR309" s="534">
        <v>0</v>
      </c>
      <c r="AS309" s="534">
        <v>0</v>
      </c>
      <c r="AT309" s="534">
        <v>0</v>
      </c>
      <c r="AU309" s="536">
        <v>0</v>
      </c>
      <c r="AV309" s="533"/>
      <c r="AW309" s="538">
        <v>0</v>
      </c>
      <c r="AX309" s="538">
        <v>19053824.60002128</v>
      </c>
      <c r="AY309" s="533"/>
      <c r="AZ309" s="534">
        <f t="shared" si="133"/>
        <v>0</v>
      </c>
      <c r="BA309" s="534">
        <v>0</v>
      </c>
      <c r="BD309" s="392">
        <f t="shared" si="134"/>
        <v>0</v>
      </c>
      <c r="BE309" s="425">
        <f t="shared" si="135"/>
        <v>0</v>
      </c>
      <c r="BF309" s="425">
        <f t="shared" si="137"/>
        <v>0</v>
      </c>
      <c r="BG309" s="425">
        <f t="shared" si="137"/>
        <v>0</v>
      </c>
      <c r="BH309" s="425">
        <f t="shared" si="137"/>
        <v>0</v>
      </c>
      <c r="BI309" s="425">
        <f t="shared" si="137"/>
        <v>0</v>
      </c>
      <c r="BJ309" s="425">
        <f t="shared" si="137"/>
        <v>0</v>
      </c>
      <c r="BK309" s="425">
        <f t="shared" si="137"/>
        <v>0</v>
      </c>
      <c r="BL309" s="425">
        <f t="shared" si="137"/>
        <v>0</v>
      </c>
      <c r="BM309" s="425">
        <f t="shared" si="138"/>
        <v>0</v>
      </c>
      <c r="BN309" s="425">
        <f t="shared" si="138"/>
        <v>0</v>
      </c>
      <c r="BO309" s="425">
        <f t="shared" si="138"/>
        <v>0</v>
      </c>
      <c r="BP309" s="425">
        <f t="shared" si="139"/>
        <v>0</v>
      </c>
      <c r="BQ309" s="425">
        <f t="shared" si="139"/>
        <v>0</v>
      </c>
      <c r="BR309" s="425">
        <f t="shared" si="139"/>
        <v>0</v>
      </c>
      <c r="BS309" s="425">
        <f t="shared" si="140"/>
        <v>0</v>
      </c>
      <c r="BT309" s="426">
        <f t="shared" si="140"/>
        <v>0</v>
      </c>
    </row>
    <row r="310" spans="2:72" x14ac:dyDescent="0.25">
      <c r="B310" s="145"/>
      <c r="C310" s="539">
        <v>47696</v>
      </c>
      <c r="D310" s="533"/>
      <c r="E310" s="534">
        <v>0</v>
      </c>
      <c r="F310" s="534">
        <v>0</v>
      </c>
      <c r="G310" s="534">
        <v>0</v>
      </c>
      <c r="H310" s="540">
        <v>0</v>
      </c>
      <c r="I310" s="536">
        <v>0</v>
      </c>
      <c r="J310" s="533"/>
      <c r="K310" s="534">
        <v>0</v>
      </c>
      <c r="L310" s="534">
        <v>0</v>
      </c>
      <c r="M310" s="534">
        <v>0</v>
      </c>
      <c r="N310" s="534">
        <v>0</v>
      </c>
      <c r="O310" s="534">
        <v>0</v>
      </c>
      <c r="P310" s="534">
        <v>0</v>
      </c>
      <c r="Q310" s="534">
        <v>0</v>
      </c>
      <c r="R310" s="534">
        <v>0</v>
      </c>
      <c r="S310" s="536">
        <v>0</v>
      </c>
      <c r="T310" s="533"/>
      <c r="U310" s="534">
        <v>0</v>
      </c>
      <c r="V310" s="534">
        <v>0</v>
      </c>
      <c r="W310" s="534">
        <v>0</v>
      </c>
      <c r="X310" s="534">
        <v>0</v>
      </c>
      <c r="Y310" s="534">
        <v>0</v>
      </c>
      <c r="Z310" s="534">
        <v>0</v>
      </c>
      <c r="AA310" s="534">
        <v>0</v>
      </c>
      <c r="AB310" s="534">
        <v>0</v>
      </c>
      <c r="AC310" s="534">
        <v>0</v>
      </c>
      <c r="AD310" s="534">
        <v>0</v>
      </c>
      <c r="AE310" s="536">
        <v>0</v>
      </c>
      <c r="AF310" s="533"/>
      <c r="AG310" s="534">
        <v>0</v>
      </c>
      <c r="AH310" s="534">
        <v>0</v>
      </c>
      <c r="AI310" s="534">
        <v>0</v>
      </c>
      <c r="AJ310" s="534">
        <v>0</v>
      </c>
      <c r="AK310" s="536">
        <v>0</v>
      </c>
      <c r="AL310" s="533"/>
      <c r="AM310" s="534">
        <v>0</v>
      </c>
      <c r="AN310" s="534">
        <v>0</v>
      </c>
      <c r="AO310" s="534">
        <v>0</v>
      </c>
      <c r="AP310" s="537">
        <v>0</v>
      </c>
      <c r="AQ310" s="535">
        <v>0</v>
      </c>
      <c r="AR310" s="534">
        <v>0</v>
      </c>
      <c r="AS310" s="534">
        <v>0</v>
      </c>
      <c r="AT310" s="534">
        <v>0</v>
      </c>
      <c r="AU310" s="536">
        <v>0</v>
      </c>
      <c r="AV310" s="533"/>
      <c r="AW310" s="538">
        <v>0</v>
      </c>
      <c r="AX310" s="538">
        <v>19053824.60002128</v>
      </c>
      <c r="AY310" s="533"/>
      <c r="AZ310" s="534">
        <f t="shared" si="133"/>
        <v>0</v>
      </c>
      <c r="BA310" s="534">
        <v>0</v>
      </c>
      <c r="BD310" s="392">
        <f t="shared" si="134"/>
        <v>0</v>
      </c>
      <c r="BE310" s="425">
        <f t="shared" si="135"/>
        <v>0</v>
      </c>
      <c r="BF310" s="425">
        <f t="shared" si="137"/>
        <v>0</v>
      </c>
      <c r="BG310" s="425">
        <f t="shared" si="137"/>
        <v>0</v>
      </c>
      <c r="BH310" s="425">
        <f t="shared" si="137"/>
        <v>0</v>
      </c>
      <c r="BI310" s="425">
        <f t="shared" si="137"/>
        <v>0</v>
      </c>
      <c r="BJ310" s="425">
        <f t="shared" si="137"/>
        <v>0</v>
      </c>
      <c r="BK310" s="425">
        <f t="shared" si="137"/>
        <v>0</v>
      </c>
      <c r="BL310" s="425">
        <f t="shared" si="137"/>
        <v>0</v>
      </c>
      <c r="BM310" s="425">
        <f t="shared" si="138"/>
        <v>0</v>
      </c>
      <c r="BN310" s="425">
        <f t="shared" si="138"/>
        <v>0</v>
      </c>
      <c r="BO310" s="425">
        <f t="shared" si="138"/>
        <v>0</v>
      </c>
      <c r="BP310" s="425">
        <f t="shared" si="139"/>
        <v>0</v>
      </c>
      <c r="BQ310" s="425">
        <f t="shared" si="139"/>
        <v>0</v>
      </c>
      <c r="BR310" s="425">
        <f t="shared" si="139"/>
        <v>0</v>
      </c>
      <c r="BS310" s="425">
        <f t="shared" si="140"/>
        <v>0</v>
      </c>
      <c r="BT310" s="426">
        <f t="shared" si="140"/>
        <v>0</v>
      </c>
    </row>
    <row r="311" spans="2:72" x14ac:dyDescent="0.25">
      <c r="B311" s="145"/>
      <c r="C311" s="539">
        <v>47727</v>
      </c>
      <c r="D311" s="533"/>
      <c r="E311" s="534">
        <v>0</v>
      </c>
      <c r="F311" s="534">
        <v>0</v>
      </c>
      <c r="G311" s="534">
        <v>0</v>
      </c>
      <c r="H311" s="540">
        <v>0</v>
      </c>
      <c r="I311" s="536">
        <v>0</v>
      </c>
      <c r="J311" s="533"/>
      <c r="K311" s="534">
        <v>0</v>
      </c>
      <c r="L311" s="534">
        <v>0</v>
      </c>
      <c r="M311" s="534">
        <v>0</v>
      </c>
      <c r="N311" s="534">
        <v>0</v>
      </c>
      <c r="O311" s="534">
        <v>0</v>
      </c>
      <c r="P311" s="534">
        <v>0</v>
      </c>
      <c r="Q311" s="534">
        <v>0</v>
      </c>
      <c r="R311" s="534">
        <v>0</v>
      </c>
      <c r="S311" s="536">
        <v>0</v>
      </c>
      <c r="T311" s="533"/>
      <c r="U311" s="534">
        <v>0</v>
      </c>
      <c r="V311" s="534">
        <v>0</v>
      </c>
      <c r="W311" s="534">
        <v>0</v>
      </c>
      <c r="X311" s="534">
        <v>0</v>
      </c>
      <c r="Y311" s="534">
        <v>0</v>
      </c>
      <c r="Z311" s="534">
        <v>0</v>
      </c>
      <c r="AA311" s="534">
        <v>0</v>
      </c>
      <c r="AB311" s="534">
        <v>0</v>
      </c>
      <c r="AC311" s="534">
        <v>0</v>
      </c>
      <c r="AD311" s="534">
        <v>0</v>
      </c>
      <c r="AE311" s="536">
        <v>0</v>
      </c>
      <c r="AF311" s="533"/>
      <c r="AG311" s="534">
        <v>0</v>
      </c>
      <c r="AH311" s="534">
        <v>0</v>
      </c>
      <c r="AI311" s="534">
        <v>0</v>
      </c>
      <c r="AJ311" s="534">
        <v>0</v>
      </c>
      <c r="AK311" s="536">
        <v>0</v>
      </c>
      <c r="AL311" s="533"/>
      <c r="AM311" s="534">
        <v>0</v>
      </c>
      <c r="AN311" s="534">
        <v>0</v>
      </c>
      <c r="AO311" s="534">
        <v>0</v>
      </c>
      <c r="AP311" s="537">
        <v>0</v>
      </c>
      <c r="AQ311" s="535">
        <v>0</v>
      </c>
      <c r="AR311" s="534">
        <v>0</v>
      </c>
      <c r="AS311" s="534">
        <v>0</v>
      </c>
      <c r="AT311" s="534">
        <v>0</v>
      </c>
      <c r="AU311" s="536">
        <v>0</v>
      </c>
      <c r="AV311" s="533"/>
      <c r="AW311" s="538">
        <v>0</v>
      </c>
      <c r="AX311" s="538">
        <v>19053824.60002128</v>
      </c>
      <c r="AY311" s="533"/>
      <c r="AZ311" s="534">
        <f t="shared" si="133"/>
        <v>0</v>
      </c>
      <c r="BA311" s="534">
        <v>0</v>
      </c>
      <c r="BD311" s="392">
        <f t="shared" si="134"/>
        <v>0</v>
      </c>
      <c r="BE311" s="425">
        <f t="shared" si="135"/>
        <v>0</v>
      </c>
      <c r="BF311" s="425">
        <f t="shared" ref="BF311:BL320" si="141">-SUMIF($E$6:$BA$6, BF$6, $E311:$BA311)</f>
        <v>0</v>
      </c>
      <c r="BG311" s="425">
        <f t="shared" si="141"/>
        <v>0</v>
      </c>
      <c r="BH311" s="425">
        <f t="shared" si="141"/>
        <v>0</v>
      </c>
      <c r="BI311" s="425">
        <f t="shared" si="141"/>
        <v>0</v>
      </c>
      <c r="BJ311" s="425">
        <f t="shared" si="141"/>
        <v>0</v>
      </c>
      <c r="BK311" s="425">
        <f t="shared" si="141"/>
        <v>0</v>
      </c>
      <c r="BL311" s="425">
        <f t="shared" si="141"/>
        <v>0</v>
      </c>
      <c r="BM311" s="425">
        <f t="shared" si="138"/>
        <v>0</v>
      </c>
      <c r="BN311" s="425">
        <f t="shared" si="138"/>
        <v>0</v>
      </c>
      <c r="BO311" s="425">
        <f t="shared" si="138"/>
        <v>0</v>
      </c>
      <c r="BP311" s="425">
        <f t="shared" si="139"/>
        <v>0</v>
      </c>
      <c r="BQ311" s="425">
        <f t="shared" si="139"/>
        <v>0</v>
      </c>
      <c r="BR311" s="425">
        <f t="shared" si="139"/>
        <v>0</v>
      </c>
      <c r="BS311" s="425">
        <f t="shared" si="140"/>
        <v>0</v>
      </c>
      <c r="BT311" s="426">
        <f t="shared" si="140"/>
        <v>0</v>
      </c>
    </row>
    <row r="312" spans="2:72" x14ac:dyDescent="0.25">
      <c r="B312" s="145"/>
      <c r="C312" s="539">
        <v>47757</v>
      </c>
      <c r="D312" s="533"/>
      <c r="E312" s="534">
        <v>0</v>
      </c>
      <c r="F312" s="534">
        <v>0</v>
      </c>
      <c r="G312" s="534">
        <v>0</v>
      </c>
      <c r="H312" s="540">
        <v>0</v>
      </c>
      <c r="I312" s="536">
        <v>0</v>
      </c>
      <c r="J312" s="533"/>
      <c r="K312" s="534">
        <v>0</v>
      </c>
      <c r="L312" s="534">
        <v>0</v>
      </c>
      <c r="M312" s="534">
        <v>0</v>
      </c>
      <c r="N312" s="534">
        <v>0</v>
      </c>
      <c r="O312" s="534">
        <v>0</v>
      </c>
      <c r="P312" s="534">
        <v>0</v>
      </c>
      <c r="Q312" s="534">
        <v>0</v>
      </c>
      <c r="R312" s="534">
        <v>0</v>
      </c>
      <c r="S312" s="536">
        <v>0</v>
      </c>
      <c r="T312" s="533"/>
      <c r="U312" s="534">
        <v>0</v>
      </c>
      <c r="V312" s="534">
        <v>0</v>
      </c>
      <c r="W312" s="534">
        <v>0</v>
      </c>
      <c r="X312" s="534">
        <v>0</v>
      </c>
      <c r="Y312" s="534">
        <v>0</v>
      </c>
      <c r="Z312" s="534">
        <v>0</v>
      </c>
      <c r="AA312" s="534">
        <v>0</v>
      </c>
      <c r="AB312" s="534">
        <v>0</v>
      </c>
      <c r="AC312" s="534">
        <v>0</v>
      </c>
      <c r="AD312" s="534">
        <v>0</v>
      </c>
      <c r="AE312" s="536">
        <v>0</v>
      </c>
      <c r="AF312" s="533"/>
      <c r="AG312" s="534">
        <v>0</v>
      </c>
      <c r="AH312" s="534">
        <v>0</v>
      </c>
      <c r="AI312" s="534">
        <v>0</v>
      </c>
      <c r="AJ312" s="534">
        <v>0</v>
      </c>
      <c r="AK312" s="536">
        <v>0</v>
      </c>
      <c r="AL312" s="533"/>
      <c r="AM312" s="534">
        <v>0</v>
      </c>
      <c r="AN312" s="534">
        <v>0</v>
      </c>
      <c r="AO312" s="534">
        <v>0</v>
      </c>
      <c r="AP312" s="537">
        <v>0</v>
      </c>
      <c r="AQ312" s="535">
        <v>0</v>
      </c>
      <c r="AR312" s="534">
        <v>0</v>
      </c>
      <c r="AS312" s="534">
        <v>0</v>
      </c>
      <c r="AT312" s="534">
        <v>0</v>
      </c>
      <c r="AU312" s="536">
        <v>0</v>
      </c>
      <c r="AV312" s="533"/>
      <c r="AW312" s="538">
        <v>0</v>
      </c>
      <c r="AX312" s="538">
        <v>19053824.60002128</v>
      </c>
      <c r="AY312" s="533"/>
      <c r="AZ312" s="534">
        <f t="shared" si="133"/>
        <v>0</v>
      </c>
      <c r="BA312" s="534">
        <v>0</v>
      </c>
      <c r="BD312" s="392">
        <f t="shared" si="134"/>
        <v>0</v>
      </c>
      <c r="BE312" s="425">
        <f t="shared" si="135"/>
        <v>0</v>
      </c>
      <c r="BF312" s="425">
        <f t="shared" si="141"/>
        <v>0</v>
      </c>
      <c r="BG312" s="425">
        <f t="shared" si="141"/>
        <v>0</v>
      </c>
      <c r="BH312" s="425">
        <f t="shared" si="141"/>
        <v>0</v>
      </c>
      <c r="BI312" s="425">
        <f t="shared" si="141"/>
        <v>0</v>
      </c>
      <c r="BJ312" s="425">
        <f t="shared" si="141"/>
        <v>0</v>
      </c>
      <c r="BK312" s="425">
        <f t="shared" si="141"/>
        <v>0</v>
      </c>
      <c r="BL312" s="425">
        <f t="shared" si="141"/>
        <v>0</v>
      </c>
      <c r="BM312" s="425">
        <f t="shared" si="138"/>
        <v>0</v>
      </c>
      <c r="BN312" s="425">
        <f t="shared" si="138"/>
        <v>0</v>
      </c>
      <c r="BO312" s="425">
        <f t="shared" si="138"/>
        <v>0</v>
      </c>
      <c r="BP312" s="425">
        <f t="shared" si="139"/>
        <v>0</v>
      </c>
      <c r="BQ312" s="425">
        <f t="shared" si="139"/>
        <v>0</v>
      </c>
      <c r="BR312" s="425">
        <f t="shared" si="139"/>
        <v>0</v>
      </c>
      <c r="BS312" s="425">
        <f t="shared" si="140"/>
        <v>0</v>
      </c>
      <c r="BT312" s="426">
        <f t="shared" si="140"/>
        <v>0</v>
      </c>
    </row>
    <row r="313" spans="2:72" x14ac:dyDescent="0.25">
      <c r="B313" s="145"/>
      <c r="C313" s="539">
        <v>47788</v>
      </c>
      <c r="D313" s="533"/>
      <c r="E313" s="534">
        <v>0</v>
      </c>
      <c r="F313" s="534">
        <v>0</v>
      </c>
      <c r="G313" s="534">
        <v>0</v>
      </c>
      <c r="H313" s="540">
        <v>0</v>
      </c>
      <c r="I313" s="536">
        <v>0</v>
      </c>
      <c r="J313" s="533"/>
      <c r="K313" s="534">
        <v>0</v>
      </c>
      <c r="L313" s="534">
        <v>0</v>
      </c>
      <c r="M313" s="534">
        <v>0</v>
      </c>
      <c r="N313" s="534">
        <v>0</v>
      </c>
      <c r="O313" s="534">
        <v>0</v>
      </c>
      <c r="P313" s="534">
        <v>0</v>
      </c>
      <c r="Q313" s="534">
        <v>0</v>
      </c>
      <c r="R313" s="534">
        <v>0</v>
      </c>
      <c r="S313" s="536">
        <v>0</v>
      </c>
      <c r="T313" s="533"/>
      <c r="U313" s="534">
        <v>0</v>
      </c>
      <c r="V313" s="534">
        <v>0</v>
      </c>
      <c r="W313" s="534">
        <v>0</v>
      </c>
      <c r="X313" s="534">
        <v>0</v>
      </c>
      <c r="Y313" s="534">
        <v>0</v>
      </c>
      <c r="Z313" s="534">
        <v>0</v>
      </c>
      <c r="AA313" s="534">
        <v>0</v>
      </c>
      <c r="AB313" s="534">
        <v>0</v>
      </c>
      <c r="AC313" s="534">
        <v>0</v>
      </c>
      <c r="AD313" s="534">
        <v>0</v>
      </c>
      <c r="AE313" s="536">
        <v>0</v>
      </c>
      <c r="AF313" s="533"/>
      <c r="AG313" s="534">
        <v>0</v>
      </c>
      <c r="AH313" s="534">
        <v>0</v>
      </c>
      <c r="AI313" s="534">
        <v>0</v>
      </c>
      <c r="AJ313" s="534">
        <v>0</v>
      </c>
      <c r="AK313" s="536">
        <v>0</v>
      </c>
      <c r="AL313" s="533"/>
      <c r="AM313" s="534">
        <v>0</v>
      </c>
      <c r="AN313" s="534">
        <v>0</v>
      </c>
      <c r="AO313" s="534">
        <v>0</v>
      </c>
      <c r="AP313" s="537">
        <v>0</v>
      </c>
      <c r="AQ313" s="535">
        <v>0</v>
      </c>
      <c r="AR313" s="534">
        <v>0</v>
      </c>
      <c r="AS313" s="534">
        <v>0</v>
      </c>
      <c r="AT313" s="534">
        <v>0</v>
      </c>
      <c r="AU313" s="536">
        <v>0</v>
      </c>
      <c r="AV313" s="533"/>
      <c r="AW313" s="538">
        <v>0</v>
      </c>
      <c r="AX313" s="538">
        <v>19053824.60002128</v>
      </c>
      <c r="AY313" s="533"/>
      <c r="AZ313" s="534">
        <f t="shared" si="133"/>
        <v>0</v>
      </c>
      <c r="BA313" s="534">
        <v>0</v>
      </c>
      <c r="BD313" s="392">
        <f t="shared" si="134"/>
        <v>0</v>
      </c>
      <c r="BE313" s="425">
        <f t="shared" si="135"/>
        <v>0</v>
      </c>
      <c r="BF313" s="425">
        <f t="shared" si="141"/>
        <v>0</v>
      </c>
      <c r="BG313" s="425">
        <f t="shared" si="141"/>
        <v>0</v>
      </c>
      <c r="BH313" s="425">
        <f t="shared" si="141"/>
        <v>0</v>
      </c>
      <c r="BI313" s="425">
        <f t="shared" si="141"/>
        <v>0</v>
      </c>
      <c r="BJ313" s="425">
        <f t="shared" si="141"/>
        <v>0</v>
      </c>
      <c r="BK313" s="425">
        <f t="shared" si="141"/>
        <v>0</v>
      </c>
      <c r="BL313" s="425">
        <f t="shared" si="141"/>
        <v>0</v>
      </c>
      <c r="BM313" s="425">
        <f t="shared" si="138"/>
        <v>0</v>
      </c>
      <c r="BN313" s="425">
        <f t="shared" si="138"/>
        <v>0</v>
      </c>
      <c r="BO313" s="425">
        <f t="shared" si="138"/>
        <v>0</v>
      </c>
      <c r="BP313" s="425">
        <f t="shared" si="139"/>
        <v>0</v>
      </c>
      <c r="BQ313" s="425">
        <f t="shared" si="139"/>
        <v>0</v>
      </c>
      <c r="BR313" s="425">
        <f t="shared" si="139"/>
        <v>0</v>
      </c>
      <c r="BS313" s="425">
        <f t="shared" si="140"/>
        <v>0</v>
      </c>
      <c r="BT313" s="426">
        <f t="shared" si="140"/>
        <v>0</v>
      </c>
    </row>
    <row r="314" spans="2:72" x14ac:dyDescent="0.25">
      <c r="B314" s="145"/>
      <c r="C314" s="539">
        <v>47818</v>
      </c>
      <c r="D314" s="533"/>
      <c r="E314" s="534">
        <v>0</v>
      </c>
      <c r="F314" s="534">
        <v>0</v>
      </c>
      <c r="G314" s="534">
        <v>0</v>
      </c>
      <c r="H314" s="540">
        <v>0</v>
      </c>
      <c r="I314" s="536">
        <v>0</v>
      </c>
      <c r="J314" s="533"/>
      <c r="K314" s="534">
        <v>0</v>
      </c>
      <c r="L314" s="534">
        <v>0</v>
      </c>
      <c r="M314" s="534">
        <v>0</v>
      </c>
      <c r="N314" s="534">
        <v>0</v>
      </c>
      <c r="O314" s="534">
        <v>0</v>
      </c>
      <c r="P314" s="534">
        <v>0</v>
      </c>
      <c r="Q314" s="534">
        <v>0</v>
      </c>
      <c r="R314" s="534">
        <v>0</v>
      </c>
      <c r="S314" s="536">
        <v>0</v>
      </c>
      <c r="T314" s="533"/>
      <c r="U314" s="534">
        <v>0</v>
      </c>
      <c r="V314" s="534">
        <v>0</v>
      </c>
      <c r="W314" s="534">
        <v>0</v>
      </c>
      <c r="X314" s="534">
        <v>0</v>
      </c>
      <c r="Y314" s="534">
        <v>0</v>
      </c>
      <c r="Z314" s="534">
        <v>0</v>
      </c>
      <c r="AA314" s="534">
        <v>0</v>
      </c>
      <c r="AB314" s="534">
        <v>0</v>
      </c>
      <c r="AC314" s="534">
        <v>0</v>
      </c>
      <c r="AD314" s="534">
        <v>0</v>
      </c>
      <c r="AE314" s="536">
        <v>0</v>
      </c>
      <c r="AF314" s="533"/>
      <c r="AG314" s="534">
        <v>0</v>
      </c>
      <c r="AH314" s="534">
        <v>0</v>
      </c>
      <c r="AI314" s="534">
        <v>0</v>
      </c>
      <c r="AJ314" s="534">
        <v>0</v>
      </c>
      <c r="AK314" s="536">
        <v>0</v>
      </c>
      <c r="AL314" s="533"/>
      <c r="AM314" s="534">
        <v>0</v>
      </c>
      <c r="AN314" s="534">
        <v>0</v>
      </c>
      <c r="AO314" s="534">
        <v>0</v>
      </c>
      <c r="AP314" s="537">
        <v>0</v>
      </c>
      <c r="AQ314" s="535">
        <v>0</v>
      </c>
      <c r="AR314" s="534">
        <v>0</v>
      </c>
      <c r="AS314" s="534">
        <v>0</v>
      </c>
      <c r="AT314" s="534">
        <v>0</v>
      </c>
      <c r="AU314" s="536">
        <v>0</v>
      </c>
      <c r="AV314" s="533"/>
      <c r="AW314" s="538">
        <v>0</v>
      </c>
      <c r="AX314" s="538">
        <v>19053824.60002128</v>
      </c>
      <c r="AY314" s="533"/>
      <c r="AZ314" s="534">
        <f t="shared" si="133"/>
        <v>0</v>
      </c>
      <c r="BA314" s="534">
        <v>0</v>
      </c>
      <c r="BD314" s="392">
        <f t="shared" si="134"/>
        <v>0</v>
      </c>
      <c r="BE314" s="425">
        <f t="shared" si="135"/>
        <v>0</v>
      </c>
      <c r="BF314" s="425">
        <f t="shared" si="141"/>
        <v>0</v>
      </c>
      <c r="BG314" s="425">
        <f t="shared" si="141"/>
        <v>0</v>
      </c>
      <c r="BH314" s="425">
        <f t="shared" si="141"/>
        <v>0</v>
      </c>
      <c r="BI314" s="425">
        <f t="shared" si="141"/>
        <v>0</v>
      </c>
      <c r="BJ314" s="425">
        <f t="shared" si="141"/>
        <v>0</v>
      </c>
      <c r="BK314" s="425">
        <f t="shared" si="141"/>
        <v>0</v>
      </c>
      <c r="BL314" s="425">
        <f t="shared" si="141"/>
        <v>0</v>
      </c>
      <c r="BM314" s="425">
        <f t="shared" si="138"/>
        <v>0</v>
      </c>
      <c r="BN314" s="425">
        <f t="shared" si="138"/>
        <v>0</v>
      </c>
      <c r="BO314" s="425">
        <f t="shared" si="138"/>
        <v>0</v>
      </c>
      <c r="BP314" s="425">
        <f t="shared" si="139"/>
        <v>0</v>
      </c>
      <c r="BQ314" s="425">
        <f t="shared" si="139"/>
        <v>0</v>
      </c>
      <c r="BR314" s="425">
        <f t="shared" si="139"/>
        <v>0</v>
      </c>
      <c r="BS314" s="425">
        <f t="shared" si="140"/>
        <v>0</v>
      </c>
      <c r="BT314" s="426">
        <f t="shared" si="140"/>
        <v>0</v>
      </c>
    </row>
    <row r="315" spans="2:72" x14ac:dyDescent="0.25">
      <c r="B315" s="145"/>
      <c r="C315" s="539">
        <v>47849</v>
      </c>
      <c r="D315" s="533"/>
      <c r="E315" s="534">
        <v>0</v>
      </c>
      <c r="F315" s="534">
        <v>0</v>
      </c>
      <c r="G315" s="534">
        <v>0</v>
      </c>
      <c r="H315" s="540">
        <v>0</v>
      </c>
      <c r="I315" s="536">
        <v>0</v>
      </c>
      <c r="J315" s="533"/>
      <c r="K315" s="534">
        <v>0</v>
      </c>
      <c r="L315" s="534">
        <v>0</v>
      </c>
      <c r="M315" s="534">
        <v>0</v>
      </c>
      <c r="N315" s="534">
        <v>0</v>
      </c>
      <c r="O315" s="534">
        <v>0</v>
      </c>
      <c r="P315" s="534">
        <v>0</v>
      </c>
      <c r="Q315" s="534">
        <v>0</v>
      </c>
      <c r="R315" s="534">
        <v>0</v>
      </c>
      <c r="S315" s="536">
        <v>0</v>
      </c>
      <c r="T315" s="533"/>
      <c r="U315" s="534">
        <v>0</v>
      </c>
      <c r="V315" s="534">
        <v>0</v>
      </c>
      <c r="W315" s="534">
        <v>0</v>
      </c>
      <c r="X315" s="534">
        <v>0</v>
      </c>
      <c r="Y315" s="534">
        <v>0</v>
      </c>
      <c r="Z315" s="534">
        <v>0</v>
      </c>
      <c r="AA315" s="534">
        <v>0</v>
      </c>
      <c r="AB315" s="534">
        <v>0</v>
      </c>
      <c r="AC315" s="534">
        <v>0</v>
      </c>
      <c r="AD315" s="534">
        <v>0</v>
      </c>
      <c r="AE315" s="536">
        <v>0</v>
      </c>
      <c r="AF315" s="533"/>
      <c r="AG315" s="534">
        <v>0</v>
      </c>
      <c r="AH315" s="534">
        <v>0</v>
      </c>
      <c r="AI315" s="534">
        <v>0</v>
      </c>
      <c r="AJ315" s="534">
        <v>0</v>
      </c>
      <c r="AK315" s="536">
        <v>0</v>
      </c>
      <c r="AL315" s="533"/>
      <c r="AM315" s="534">
        <v>0</v>
      </c>
      <c r="AN315" s="534">
        <v>0</v>
      </c>
      <c r="AO315" s="534">
        <v>0</v>
      </c>
      <c r="AP315" s="537">
        <v>0</v>
      </c>
      <c r="AQ315" s="535">
        <v>0</v>
      </c>
      <c r="AR315" s="534">
        <v>0</v>
      </c>
      <c r="AS315" s="534">
        <v>0</v>
      </c>
      <c r="AT315" s="534">
        <v>0</v>
      </c>
      <c r="AU315" s="536">
        <v>0</v>
      </c>
      <c r="AV315" s="533"/>
      <c r="AW315" s="538">
        <v>0</v>
      </c>
      <c r="AX315" s="538">
        <v>19053824.60002128</v>
      </c>
      <c r="AY315" s="533"/>
      <c r="AZ315" s="534">
        <f t="shared" si="133"/>
        <v>0</v>
      </c>
      <c r="BA315" s="534">
        <v>0</v>
      </c>
      <c r="BD315" s="392">
        <f t="shared" si="134"/>
        <v>0</v>
      </c>
      <c r="BE315" s="425">
        <f t="shared" si="135"/>
        <v>0</v>
      </c>
      <c r="BF315" s="425">
        <f t="shared" si="141"/>
        <v>0</v>
      </c>
      <c r="BG315" s="425">
        <f t="shared" si="141"/>
        <v>0</v>
      </c>
      <c r="BH315" s="425">
        <f t="shared" si="141"/>
        <v>0</v>
      </c>
      <c r="BI315" s="425">
        <f t="shared" si="141"/>
        <v>0</v>
      </c>
      <c r="BJ315" s="425">
        <f t="shared" si="141"/>
        <v>0</v>
      </c>
      <c r="BK315" s="425">
        <f t="shared" si="141"/>
        <v>0</v>
      </c>
      <c r="BL315" s="425">
        <f t="shared" si="141"/>
        <v>0</v>
      </c>
      <c r="BM315" s="425">
        <f t="shared" si="138"/>
        <v>0</v>
      </c>
      <c r="BN315" s="425">
        <f t="shared" si="138"/>
        <v>0</v>
      </c>
      <c r="BO315" s="425">
        <f t="shared" si="138"/>
        <v>0</v>
      </c>
      <c r="BP315" s="425">
        <f t="shared" si="139"/>
        <v>0</v>
      </c>
      <c r="BQ315" s="425">
        <f t="shared" si="139"/>
        <v>0</v>
      </c>
      <c r="BR315" s="425">
        <f t="shared" si="139"/>
        <v>0</v>
      </c>
      <c r="BS315" s="425">
        <f t="shared" si="140"/>
        <v>0</v>
      </c>
      <c r="BT315" s="426">
        <f t="shared" si="140"/>
        <v>0</v>
      </c>
    </row>
    <row r="316" spans="2:72" x14ac:dyDescent="0.25">
      <c r="B316" s="145"/>
      <c r="C316" s="539">
        <v>47880</v>
      </c>
      <c r="D316" s="533"/>
      <c r="E316" s="534">
        <v>0</v>
      </c>
      <c r="F316" s="534">
        <v>0</v>
      </c>
      <c r="G316" s="534">
        <v>0</v>
      </c>
      <c r="H316" s="540">
        <v>0</v>
      </c>
      <c r="I316" s="536">
        <v>0</v>
      </c>
      <c r="J316" s="533"/>
      <c r="K316" s="534">
        <v>0</v>
      </c>
      <c r="L316" s="534">
        <v>0</v>
      </c>
      <c r="M316" s="534">
        <v>0</v>
      </c>
      <c r="N316" s="534">
        <v>0</v>
      </c>
      <c r="O316" s="534">
        <v>0</v>
      </c>
      <c r="P316" s="534">
        <v>0</v>
      </c>
      <c r="Q316" s="534">
        <v>0</v>
      </c>
      <c r="R316" s="534">
        <v>0</v>
      </c>
      <c r="S316" s="536">
        <v>0</v>
      </c>
      <c r="T316" s="533"/>
      <c r="U316" s="534">
        <v>0</v>
      </c>
      <c r="V316" s="534">
        <v>0</v>
      </c>
      <c r="W316" s="534">
        <v>0</v>
      </c>
      <c r="X316" s="534">
        <v>0</v>
      </c>
      <c r="Y316" s="534">
        <v>0</v>
      </c>
      <c r="Z316" s="534">
        <v>0</v>
      </c>
      <c r="AA316" s="534">
        <v>0</v>
      </c>
      <c r="AB316" s="534">
        <v>0</v>
      </c>
      <c r="AC316" s="534">
        <v>0</v>
      </c>
      <c r="AD316" s="534">
        <v>0</v>
      </c>
      <c r="AE316" s="536">
        <v>0</v>
      </c>
      <c r="AF316" s="533"/>
      <c r="AG316" s="534">
        <v>0</v>
      </c>
      <c r="AH316" s="534">
        <v>0</v>
      </c>
      <c r="AI316" s="534">
        <v>0</v>
      </c>
      <c r="AJ316" s="534">
        <v>0</v>
      </c>
      <c r="AK316" s="536">
        <v>0</v>
      </c>
      <c r="AL316" s="533"/>
      <c r="AM316" s="534">
        <v>0</v>
      </c>
      <c r="AN316" s="534">
        <v>0</v>
      </c>
      <c r="AO316" s="534">
        <v>0</v>
      </c>
      <c r="AP316" s="537">
        <v>0</v>
      </c>
      <c r="AQ316" s="535">
        <v>0</v>
      </c>
      <c r="AR316" s="534">
        <v>0</v>
      </c>
      <c r="AS316" s="534">
        <v>0</v>
      </c>
      <c r="AT316" s="534">
        <v>0</v>
      </c>
      <c r="AU316" s="536">
        <v>0</v>
      </c>
      <c r="AV316" s="533"/>
      <c r="AW316" s="538">
        <v>0</v>
      </c>
      <c r="AX316" s="538">
        <v>19053824.60002128</v>
      </c>
      <c r="AY316" s="533"/>
      <c r="AZ316" s="534">
        <f t="shared" si="133"/>
        <v>0</v>
      </c>
      <c r="BA316" s="534">
        <v>0</v>
      </c>
      <c r="BD316" s="392">
        <f t="shared" si="134"/>
        <v>0</v>
      </c>
      <c r="BE316" s="425">
        <f t="shared" si="135"/>
        <v>0</v>
      </c>
      <c r="BF316" s="425">
        <f t="shared" si="141"/>
        <v>0</v>
      </c>
      <c r="BG316" s="425">
        <f t="shared" si="141"/>
        <v>0</v>
      </c>
      <c r="BH316" s="425">
        <f t="shared" si="141"/>
        <v>0</v>
      </c>
      <c r="BI316" s="425">
        <f t="shared" si="141"/>
        <v>0</v>
      </c>
      <c r="BJ316" s="425">
        <f t="shared" si="141"/>
        <v>0</v>
      </c>
      <c r="BK316" s="425">
        <f t="shared" si="141"/>
        <v>0</v>
      </c>
      <c r="BL316" s="425">
        <f t="shared" si="141"/>
        <v>0</v>
      </c>
      <c r="BM316" s="425">
        <f t="shared" si="138"/>
        <v>0</v>
      </c>
      <c r="BN316" s="425">
        <f t="shared" si="138"/>
        <v>0</v>
      </c>
      <c r="BO316" s="425">
        <f t="shared" si="138"/>
        <v>0</v>
      </c>
      <c r="BP316" s="425">
        <f t="shared" si="139"/>
        <v>0</v>
      </c>
      <c r="BQ316" s="425">
        <f t="shared" si="139"/>
        <v>0</v>
      </c>
      <c r="BR316" s="425">
        <f t="shared" si="139"/>
        <v>0</v>
      </c>
      <c r="BS316" s="425">
        <f t="shared" si="140"/>
        <v>0</v>
      </c>
      <c r="BT316" s="426">
        <f t="shared" si="140"/>
        <v>0</v>
      </c>
    </row>
    <row r="317" spans="2:72" x14ac:dyDescent="0.25">
      <c r="B317" s="145"/>
      <c r="C317" s="539">
        <v>47908</v>
      </c>
      <c r="D317" s="533"/>
      <c r="E317" s="534">
        <v>0</v>
      </c>
      <c r="F317" s="534">
        <v>0</v>
      </c>
      <c r="G317" s="534">
        <v>0</v>
      </c>
      <c r="H317" s="540">
        <v>0</v>
      </c>
      <c r="I317" s="536">
        <v>0</v>
      </c>
      <c r="J317" s="533"/>
      <c r="K317" s="534">
        <v>0</v>
      </c>
      <c r="L317" s="534">
        <v>0</v>
      </c>
      <c r="M317" s="534">
        <v>0</v>
      </c>
      <c r="N317" s="534">
        <v>0</v>
      </c>
      <c r="O317" s="534">
        <v>0</v>
      </c>
      <c r="P317" s="534">
        <v>0</v>
      </c>
      <c r="Q317" s="534">
        <v>0</v>
      </c>
      <c r="R317" s="534">
        <v>0</v>
      </c>
      <c r="S317" s="536">
        <v>0</v>
      </c>
      <c r="T317" s="533"/>
      <c r="U317" s="534">
        <v>0</v>
      </c>
      <c r="V317" s="534">
        <v>0</v>
      </c>
      <c r="W317" s="534">
        <v>0</v>
      </c>
      <c r="X317" s="534">
        <v>0</v>
      </c>
      <c r="Y317" s="534">
        <v>0</v>
      </c>
      <c r="Z317" s="534">
        <v>0</v>
      </c>
      <c r="AA317" s="534">
        <v>0</v>
      </c>
      <c r="AB317" s="534">
        <v>0</v>
      </c>
      <c r="AC317" s="534">
        <v>0</v>
      </c>
      <c r="AD317" s="534">
        <v>0</v>
      </c>
      <c r="AE317" s="536">
        <v>0</v>
      </c>
      <c r="AF317" s="533"/>
      <c r="AG317" s="534">
        <v>0</v>
      </c>
      <c r="AH317" s="534">
        <v>0</v>
      </c>
      <c r="AI317" s="534">
        <v>0</v>
      </c>
      <c r="AJ317" s="534">
        <v>0</v>
      </c>
      <c r="AK317" s="536">
        <v>0</v>
      </c>
      <c r="AL317" s="533"/>
      <c r="AM317" s="534">
        <v>0</v>
      </c>
      <c r="AN317" s="534">
        <v>0</v>
      </c>
      <c r="AO317" s="534">
        <v>0</v>
      </c>
      <c r="AP317" s="537">
        <v>0</v>
      </c>
      <c r="AQ317" s="535">
        <v>0</v>
      </c>
      <c r="AR317" s="534">
        <v>0</v>
      </c>
      <c r="AS317" s="534">
        <v>0</v>
      </c>
      <c r="AT317" s="534">
        <v>0</v>
      </c>
      <c r="AU317" s="536">
        <v>0</v>
      </c>
      <c r="AV317" s="533"/>
      <c r="AW317" s="538">
        <v>0</v>
      </c>
      <c r="AX317" s="538">
        <v>19053824.60002128</v>
      </c>
      <c r="AY317" s="533"/>
      <c r="AZ317" s="534">
        <f t="shared" si="133"/>
        <v>0</v>
      </c>
      <c r="BA317" s="534">
        <v>0</v>
      </c>
      <c r="BD317" s="392">
        <f t="shared" si="134"/>
        <v>0</v>
      </c>
      <c r="BE317" s="425">
        <f t="shared" si="135"/>
        <v>0</v>
      </c>
      <c r="BF317" s="425">
        <f t="shared" si="141"/>
        <v>0</v>
      </c>
      <c r="BG317" s="425">
        <f t="shared" si="141"/>
        <v>0</v>
      </c>
      <c r="BH317" s="425">
        <f t="shared" si="141"/>
        <v>0</v>
      </c>
      <c r="BI317" s="425">
        <f t="shared" si="141"/>
        <v>0</v>
      </c>
      <c r="BJ317" s="425">
        <f t="shared" si="141"/>
        <v>0</v>
      </c>
      <c r="BK317" s="425">
        <f t="shared" si="141"/>
        <v>0</v>
      </c>
      <c r="BL317" s="425">
        <f t="shared" si="141"/>
        <v>0</v>
      </c>
      <c r="BM317" s="425">
        <f t="shared" si="138"/>
        <v>0</v>
      </c>
      <c r="BN317" s="425">
        <f t="shared" si="138"/>
        <v>0</v>
      </c>
      <c r="BO317" s="425">
        <f t="shared" si="138"/>
        <v>0</v>
      </c>
      <c r="BP317" s="425">
        <f t="shared" si="139"/>
        <v>0</v>
      </c>
      <c r="BQ317" s="425">
        <f t="shared" si="139"/>
        <v>0</v>
      </c>
      <c r="BR317" s="425">
        <f t="shared" si="139"/>
        <v>0</v>
      </c>
      <c r="BS317" s="425">
        <f t="shared" si="140"/>
        <v>0</v>
      </c>
      <c r="BT317" s="426">
        <f t="shared" si="140"/>
        <v>0</v>
      </c>
    </row>
    <row r="318" spans="2:72" x14ac:dyDescent="0.25">
      <c r="B318" s="145"/>
      <c r="C318" s="539">
        <v>47939</v>
      </c>
      <c r="D318" s="533"/>
      <c r="E318" s="534">
        <v>0</v>
      </c>
      <c r="F318" s="534">
        <v>0</v>
      </c>
      <c r="G318" s="534">
        <v>0</v>
      </c>
      <c r="H318" s="540">
        <v>0</v>
      </c>
      <c r="I318" s="536">
        <v>0</v>
      </c>
      <c r="J318" s="533"/>
      <c r="K318" s="534">
        <v>0</v>
      </c>
      <c r="L318" s="534">
        <v>0</v>
      </c>
      <c r="M318" s="534">
        <v>0</v>
      </c>
      <c r="N318" s="534">
        <v>0</v>
      </c>
      <c r="O318" s="534">
        <v>0</v>
      </c>
      <c r="P318" s="534">
        <v>0</v>
      </c>
      <c r="Q318" s="534">
        <v>0</v>
      </c>
      <c r="R318" s="534">
        <v>0</v>
      </c>
      <c r="S318" s="536">
        <v>0</v>
      </c>
      <c r="T318" s="533"/>
      <c r="U318" s="534">
        <v>0</v>
      </c>
      <c r="V318" s="534">
        <v>0</v>
      </c>
      <c r="W318" s="534">
        <v>0</v>
      </c>
      <c r="X318" s="534">
        <v>0</v>
      </c>
      <c r="Y318" s="534">
        <v>0</v>
      </c>
      <c r="Z318" s="534">
        <v>0</v>
      </c>
      <c r="AA318" s="534">
        <v>0</v>
      </c>
      <c r="AB318" s="534">
        <v>0</v>
      </c>
      <c r="AC318" s="534">
        <v>0</v>
      </c>
      <c r="AD318" s="534">
        <v>0</v>
      </c>
      <c r="AE318" s="536">
        <v>0</v>
      </c>
      <c r="AF318" s="533"/>
      <c r="AG318" s="534">
        <v>0</v>
      </c>
      <c r="AH318" s="534">
        <v>0</v>
      </c>
      <c r="AI318" s="534">
        <v>0</v>
      </c>
      <c r="AJ318" s="534">
        <v>0</v>
      </c>
      <c r="AK318" s="536">
        <v>0</v>
      </c>
      <c r="AL318" s="533"/>
      <c r="AM318" s="534">
        <v>0</v>
      </c>
      <c r="AN318" s="534">
        <v>0</v>
      </c>
      <c r="AO318" s="534">
        <v>0</v>
      </c>
      <c r="AP318" s="537">
        <v>0</v>
      </c>
      <c r="AQ318" s="535">
        <v>0</v>
      </c>
      <c r="AR318" s="534">
        <v>0</v>
      </c>
      <c r="AS318" s="534">
        <v>0</v>
      </c>
      <c r="AT318" s="534">
        <v>0</v>
      </c>
      <c r="AU318" s="536">
        <v>0</v>
      </c>
      <c r="AV318" s="533"/>
      <c r="AW318" s="538">
        <v>0</v>
      </c>
      <c r="AX318" s="538">
        <v>19053824.60002128</v>
      </c>
      <c r="AY318" s="533"/>
      <c r="AZ318" s="534">
        <f t="shared" si="133"/>
        <v>0</v>
      </c>
      <c r="BA318" s="534">
        <v>0</v>
      </c>
      <c r="BD318" s="392">
        <f t="shared" si="134"/>
        <v>0</v>
      </c>
      <c r="BE318" s="425">
        <f t="shared" si="135"/>
        <v>0</v>
      </c>
      <c r="BF318" s="425">
        <f t="shared" si="141"/>
        <v>0</v>
      </c>
      <c r="BG318" s="425">
        <f t="shared" si="141"/>
        <v>0</v>
      </c>
      <c r="BH318" s="425">
        <f t="shared" si="141"/>
        <v>0</v>
      </c>
      <c r="BI318" s="425">
        <f t="shared" si="141"/>
        <v>0</v>
      </c>
      <c r="BJ318" s="425">
        <f t="shared" si="141"/>
        <v>0</v>
      </c>
      <c r="BK318" s="425">
        <f t="shared" si="141"/>
        <v>0</v>
      </c>
      <c r="BL318" s="425">
        <f t="shared" si="141"/>
        <v>0</v>
      </c>
      <c r="BM318" s="425">
        <f t="shared" si="138"/>
        <v>0</v>
      </c>
      <c r="BN318" s="425">
        <f t="shared" si="138"/>
        <v>0</v>
      </c>
      <c r="BO318" s="425">
        <f t="shared" si="138"/>
        <v>0</v>
      </c>
      <c r="BP318" s="425">
        <f t="shared" si="139"/>
        <v>0</v>
      </c>
      <c r="BQ318" s="425">
        <f t="shared" si="139"/>
        <v>0</v>
      </c>
      <c r="BR318" s="425">
        <f t="shared" si="139"/>
        <v>0</v>
      </c>
      <c r="BS318" s="425">
        <f t="shared" si="140"/>
        <v>0</v>
      </c>
      <c r="BT318" s="426">
        <f t="shared" si="140"/>
        <v>0</v>
      </c>
    </row>
    <row r="319" spans="2:72" x14ac:dyDescent="0.25">
      <c r="B319" s="145"/>
      <c r="C319" s="539">
        <v>47969</v>
      </c>
      <c r="D319" s="533"/>
      <c r="E319" s="534">
        <v>0</v>
      </c>
      <c r="F319" s="534">
        <v>0</v>
      </c>
      <c r="G319" s="534">
        <v>0</v>
      </c>
      <c r="H319" s="540">
        <v>0</v>
      </c>
      <c r="I319" s="536">
        <v>0</v>
      </c>
      <c r="J319" s="533"/>
      <c r="K319" s="534">
        <v>0</v>
      </c>
      <c r="L319" s="534">
        <v>0</v>
      </c>
      <c r="M319" s="534">
        <v>0</v>
      </c>
      <c r="N319" s="534">
        <v>0</v>
      </c>
      <c r="O319" s="534">
        <v>0</v>
      </c>
      <c r="P319" s="534">
        <v>0</v>
      </c>
      <c r="Q319" s="534">
        <v>0</v>
      </c>
      <c r="R319" s="534">
        <v>0</v>
      </c>
      <c r="S319" s="536">
        <v>0</v>
      </c>
      <c r="T319" s="533"/>
      <c r="U319" s="534">
        <v>0</v>
      </c>
      <c r="V319" s="534">
        <v>0</v>
      </c>
      <c r="W319" s="534">
        <v>0</v>
      </c>
      <c r="X319" s="534">
        <v>0</v>
      </c>
      <c r="Y319" s="534">
        <v>0</v>
      </c>
      <c r="Z319" s="534">
        <v>0</v>
      </c>
      <c r="AA319" s="534">
        <v>0</v>
      </c>
      <c r="AB319" s="534">
        <v>0</v>
      </c>
      <c r="AC319" s="534">
        <v>0</v>
      </c>
      <c r="AD319" s="534">
        <v>0</v>
      </c>
      <c r="AE319" s="536">
        <v>0</v>
      </c>
      <c r="AF319" s="533"/>
      <c r="AG319" s="534">
        <v>0</v>
      </c>
      <c r="AH319" s="534">
        <v>0</v>
      </c>
      <c r="AI319" s="534">
        <v>0</v>
      </c>
      <c r="AJ319" s="534">
        <v>0</v>
      </c>
      <c r="AK319" s="536">
        <v>0</v>
      </c>
      <c r="AL319" s="533"/>
      <c r="AM319" s="534">
        <v>0</v>
      </c>
      <c r="AN319" s="534">
        <v>0</v>
      </c>
      <c r="AO319" s="534">
        <v>0</v>
      </c>
      <c r="AP319" s="537">
        <v>0</v>
      </c>
      <c r="AQ319" s="535">
        <v>0</v>
      </c>
      <c r="AR319" s="534">
        <v>0</v>
      </c>
      <c r="AS319" s="534">
        <v>0</v>
      </c>
      <c r="AT319" s="534">
        <v>0</v>
      </c>
      <c r="AU319" s="536">
        <v>0</v>
      </c>
      <c r="AV319" s="533"/>
      <c r="AW319" s="538">
        <v>0</v>
      </c>
      <c r="AX319" s="538">
        <v>19053824.60002128</v>
      </c>
      <c r="AY319" s="533"/>
      <c r="AZ319" s="534">
        <f t="shared" ref="AZ319:AZ350" si="142">0 - BA319</f>
        <v>0</v>
      </c>
      <c r="BA319" s="534">
        <v>0</v>
      </c>
      <c r="BD319" s="392">
        <f t="shared" si="134"/>
        <v>0</v>
      </c>
      <c r="BE319" s="425">
        <f t="shared" si="135"/>
        <v>0</v>
      </c>
      <c r="BF319" s="425">
        <f t="shared" si="141"/>
        <v>0</v>
      </c>
      <c r="BG319" s="425">
        <f t="shared" si="141"/>
        <v>0</v>
      </c>
      <c r="BH319" s="425">
        <f t="shared" si="141"/>
        <v>0</v>
      </c>
      <c r="BI319" s="425">
        <f t="shared" si="141"/>
        <v>0</v>
      </c>
      <c r="BJ319" s="425">
        <f t="shared" si="141"/>
        <v>0</v>
      </c>
      <c r="BK319" s="425">
        <f t="shared" si="141"/>
        <v>0</v>
      </c>
      <c r="BL319" s="425">
        <f t="shared" si="141"/>
        <v>0</v>
      </c>
      <c r="BM319" s="425">
        <f t="shared" si="138"/>
        <v>0</v>
      </c>
      <c r="BN319" s="425">
        <f t="shared" si="138"/>
        <v>0</v>
      </c>
      <c r="BO319" s="425">
        <f t="shared" si="138"/>
        <v>0</v>
      </c>
      <c r="BP319" s="425">
        <f t="shared" si="139"/>
        <v>0</v>
      </c>
      <c r="BQ319" s="425">
        <f t="shared" si="139"/>
        <v>0</v>
      </c>
      <c r="BR319" s="425">
        <f t="shared" si="139"/>
        <v>0</v>
      </c>
      <c r="BS319" s="425">
        <f t="shared" si="140"/>
        <v>0</v>
      </c>
      <c r="BT319" s="426">
        <f t="shared" si="140"/>
        <v>0</v>
      </c>
    </row>
    <row r="320" spans="2:72" x14ac:dyDescent="0.25">
      <c r="B320" s="145"/>
      <c r="C320" s="539">
        <v>48000</v>
      </c>
      <c r="D320" s="533"/>
      <c r="E320" s="534">
        <v>0</v>
      </c>
      <c r="F320" s="534">
        <v>0</v>
      </c>
      <c r="G320" s="534">
        <v>0</v>
      </c>
      <c r="H320" s="540">
        <v>0</v>
      </c>
      <c r="I320" s="536">
        <v>0</v>
      </c>
      <c r="J320" s="533"/>
      <c r="K320" s="534">
        <v>0</v>
      </c>
      <c r="L320" s="534">
        <v>0</v>
      </c>
      <c r="M320" s="534">
        <v>0</v>
      </c>
      <c r="N320" s="534">
        <v>0</v>
      </c>
      <c r="O320" s="534">
        <v>0</v>
      </c>
      <c r="P320" s="534">
        <v>0</v>
      </c>
      <c r="Q320" s="534">
        <v>0</v>
      </c>
      <c r="R320" s="534">
        <v>0</v>
      </c>
      <c r="S320" s="536">
        <v>0</v>
      </c>
      <c r="T320" s="533"/>
      <c r="U320" s="534">
        <v>0</v>
      </c>
      <c r="V320" s="534">
        <v>0</v>
      </c>
      <c r="W320" s="534">
        <v>0</v>
      </c>
      <c r="X320" s="534">
        <v>0</v>
      </c>
      <c r="Y320" s="534">
        <v>0</v>
      </c>
      <c r="Z320" s="534">
        <v>0</v>
      </c>
      <c r="AA320" s="534">
        <v>0</v>
      </c>
      <c r="AB320" s="534">
        <v>0</v>
      </c>
      <c r="AC320" s="534">
        <v>0</v>
      </c>
      <c r="AD320" s="534">
        <v>0</v>
      </c>
      <c r="AE320" s="536">
        <v>0</v>
      </c>
      <c r="AF320" s="533"/>
      <c r="AG320" s="534">
        <v>0</v>
      </c>
      <c r="AH320" s="534">
        <v>0</v>
      </c>
      <c r="AI320" s="534">
        <v>0</v>
      </c>
      <c r="AJ320" s="534">
        <v>0</v>
      </c>
      <c r="AK320" s="536">
        <v>0</v>
      </c>
      <c r="AL320" s="533"/>
      <c r="AM320" s="534">
        <v>0</v>
      </c>
      <c r="AN320" s="534">
        <v>0</v>
      </c>
      <c r="AO320" s="534">
        <v>0</v>
      </c>
      <c r="AP320" s="537">
        <v>0</v>
      </c>
      <c r="AQ320" s="535">
        <v>0</v>
      </c>
      <c r="AR320" s="534">
        <v>0</v>
      </c>
      <c r="AS320" s="534">
        <v>0</v>
      </c>
      <c r="AT320" s="534">
        <v>0</v>
      </c>
      <c r="AU320" s="536">
        <v>0</v>
      </c>
      <c r="AV320" s="533"/>
      <c r="AW320" s="538">
        <v>0</v>
      </c>
      <c r="AX320" s="538">
        <v>19053824.60002128</v>
      </c>
      <c r="AY320" s="533"/>
      <c r="AZ320" s="534">
        <f t="shared" si="142"/>
        <v>0</v>
      </c>
      <c r="BA320" s="534">
        <v>0</v>
      </c>
      <c r="BD320" s="392">
        <f t="shared" si="134"/>
        <v>0</v>
      </c>
      <c r="BE320" s="425">
        <f t="shared" si="135"/>
        <v>0</v>
      </c>
      <c r="BF320" s="425">
        <f t="shared" si="141"/>
        <v>0</v>
      </c>
      <c r="BG320" s="425">
        <f t="shared" si="141"/>
        <v>0</v>
      </c>
      <c r="BH320" s="425">
        <f t="shared" si="141"/>
        <v>0</v>
      </c>
      <c r="BI320" s="425">
        <f t="shared" si="141"/>
        <v>0</v>
      </c>
      <c r="BJ320" s="425">
        <f t="shared" si="141"/>
        <v>0</v>
      </c>
      <c r="BK320" s="425">
        <f t="shared" si="141"/>
        <v>0</v>
      </c>
      <c r="BL320" s="425">
        <f t="shared" si="141"/>
        <v>0</v>
      </c>
      <c r="BM320" s="425">
        <f t="shared" si="138"/>
        <v>0</v>
      </c>
      <c r="BN320" s="425">
        <f t="shared" si="138"/>
        <v>0</v>
      </c>
      <c r="BO320" s="425">
        <f t="shared" si="138"/>
        <v>0</v>
      </c>
      <c r="BP320" s="425">
        <f t="shared" si="139"/>
        <v>0</v>
      </c>
      <c r="BQ320" s="425">
        <f t="shared" si="139"/>
        <v>0</v>
      </c>
      <c r="BR320" s="425">
        <f t="shared" si="139"/>
        <v>0</v>
      </c>
      <c r="BS320" s="425">
        <f t="shared" si="140"/>
        <v>0</v>
      </c>
      <c r="BT320" s="426">
        <f t="shared" si="140"/>
        <v>0</v>
      </c>
    </row>
    <row r="321" spans="2:72" x14ac:dyDescent="0.25">
      <c r="B321" s="145"/>
      <c r="C321" s="539">
        <v>48030</v>
      </c>
      <c r="D321" s="533"/>
      <c r="E321" s="534">
        <v>0</v>
      </c>
      <c r="F321" s="534">
        <v>0</v>
      </c>
      <c r="G321" s="534">
        <v>0</v>
      </c>
      <c r="H321" s="540">
        <v>0</v>
      </c>
      <c r="I321" s="536">
        <v>0</v>
      </c>
      <c r="J321" s="533"/>
      <c r="K321" s="534">
        <v>0</v>
      </c>
      <c r="L321" s="534">
        <v>0</v>
      </c>
      <c r="M321" s="534">
        <v>0</v>
      </c>
      <c r="N321" s="534">
        <v>0</v>
      </c>
      <c r="O321" s="534">
        <v>0</v>
      </c>
      <c r="P321" s="534">
        <v>0</v>
      </c>
      <c r="Q321" s="534">
        <v>0</v>
      </c>
      <c r="R321" s="534">
        <v>0</v>
      </c>
      <c r="S321" s="536">
        <v>0</v>
      </c>
      <c r="T321" s="533"/>
      <c r="U321" s="534">
        <v>0</v>
      </c>
      <c r="V321" s="534">
        <v>0</v>
      </c>
      <c r="W321" s="534">
        <v>0</v>
      </c>
      <c r="X321" s="534">
        <v>0</v>
      </c>
      <c r="Y321" s="534">
        <v>0</v>
      </c>
      <c r="Z321" s="534">
        <v>0</v>
      </c>
      <c r="AA321" s="534">
        <v>0</v>
      </c>
      <c r="AB321" s="534">
        <v>0</v>
      </c>
      <c r="AC321" s="534">
        <v>0</v>
      </c>
      <c r="AD321" s="534">
        <v>0</v>
      </c>
      <c r="AE321" s="536">
        <v>0</v>
      </c>
      <c r="AF321" s="533"/>
      <c r="AG321" s="534">
        <v>0</v>
      </c>
      <c r="AH321" s="534">
        <v>0</v>
      </c>
      <c r="AI321" s="534">
        <v>0</v>
      </c>
      <c r="AJ321" s="534">
        <v>0</v>
      </c>
      <c r="AK321" s="536">
        <v>0</v>
      </c>
      <c r="AL321" s="533"/>
      <c r="AM321" s="534">
        <v>0</v>
      </c>
      <c r="AN321" s="534">
        <v>0</v>
      </c>
      <c r="AO321" s="534">
        <v>0</v>
      </c>
      <c r="AP321" s="537">
        <v>0</v>
      </c>
      <c r="AQ321" s="535">
        <v>0</v>
      </c>
      <c r="AR321" s="534">
        <v>0</v>
      </c>
      <c r="AS321" s="534">
        <v>0</v>
      </c>
      <c r="AT321" s="534">
        <v>0</v>
      </c>
      <c r="AU321" s="536">
        <v>0</v>
      </c>
      <c r="AV321" s="533"/>
      <c r="AW321" s="538">
        <v>0</v>
      </c>
      <c r="AX321" s="538">
        <v>19053824.60002128</v>
      </c>
      <c r="AY321" s="533"/>
      <c r="AZ321" s="534">
        <f t="shared" si="142"/>
        <v>0</v>
      </c>
      <c r="BA321" s="534">
        <v>0</v>
      </c>
      <c r="BD321" s="392">
        <f t="shared" si="134"/>
        <v>0</v>
      </c>
      <c r="BE321" s="425">
        <f t="shared" si="135"/>
        <v>0</v>
      </c>
      <c r="BF321" s="425">
        <f t="shared" ref="BF321:BL330" si="143">-SUMIF($E$6:$BA$6, BF$6, $E321:$BA321)</f>
        <v>0</v>
      </c>
      <c r="BG321" s="425">
        <f t="shared" si="143"/>
        <v>0</v>
      </c>
      <c r="BH321" s="425">
        <f t="shared" si="143"/>
        <v>0</v>
      </c>
      <c r="BI321" s="425">
        <f t="shared" si="143"/>
        <v>0</v>
      </c>
      <c r="BJ321" s="425">
        <f t="shared" si="143"/>
        <v>0</v>
      </c>
      <c r="BK321" s="425">
        <f t="shared" si="143"/>
        <v>0</v>
      </c>
      <c r="BL321" s="425">
        <f t="shared" si="143"/>
        <v>0</v>
      </c>
      <c r="BM321" s="425">
        <f t="shared" ref="BM321:BO340" si="144">SUMIF($E$6:$BA$6, BM$6, $E321:$BA321)</f>
        <v>0</v>
      </c>
      <c r="BN321" s="425">
        <f t="shared" si="144"/>
        <v>0</v>
      </c>
      <c r="BO321" s="425">
        <f t="shared" si="144"/>
        <v>0</v>
      </c>
      <c r="BP321" s="425">
        <f t="shared" ref="BP321:BR340" si="145">-SUMIF($E$6:$BA$6, BP$6, $E321:$BA321)</f>
        <v>0</v>
      </c>
      <c r="BQ321" s="425">
        <f t="shared" si="145"/>
        <v>0</v>
      </c>
      <c r="BR321" s="425">
        <f t="shared" si="145"/>
        <v>0</v>
      </c>
      <c r="BS321" s="425">
        <f t="shared" ref="BS321:BT340" si="146">SUMIF($E$6:$BA$6, BS$6, $E321:$BA321)</f>
        <v>0</v>
      </c>
      <c r="BT321" s="426">
        <f t="shared" si="146"/>
        <v>0</v>
      </c>
    </row>
    <row r="322" spans="2:72" x14ac:dyDescent="0.25">
      <c r="B322" s="145"/>
      <c r="C322" s="539">
        <v>48061</v>
      </c>
      <c r="D322" s="533"/>
      <c r="E322" s="534">
        <v>0</v>
      </c>
      <c r="F322" s="534">
        <v>0</v>
      </c>
      <c r="G322" s="534">
        <v>0</v>
      </c>
      <c r="H322" s="540">
        <v>0</v>
      </c>
      <c r="I322" s="536">
        <v>0</v>
      </c>
      <c r="J322" s="533"/>
      <c r="K322" s="534">
        <v>0</v>
      </c>
      <c r="L322" s="534">
        <v>0</v>
      </c>
      <c r="M322" s="534">
        <v>0</v>
      </c>
      <c r="N322" s="534">
        <v>0</v>
      </c>
      <c r="O322" s="534">
        <v>0</v>
      </c>
      <c r="P322" s="534">
        <v>0</v>
      </c>
      <c r="Q322" s="534">
        <v>0</v>
      </c>
      <c r="R322" s="534">
        <v>0</v>
      </c>
      <c r="S322" s="536">
        <v>0</v>
      </c>
      <c r="T322" s="533"/>
      <c r="U322" s="534">
        <v>0</v>
      </c>
      <c r="V322" s="534">
        <v>0</v>
      </c>
      <c r="W322" s="534">
        <v>0</v>
      </c>
      <c r="X322" s="534">
        <v>0</v>
      </c>
      <c r="Y322" s="534">
        <v>0</v>
      </c>
      <c r="Z322" s="534">
        <v>0</v>
      </c>
      <c r="AA322" s="534">
        <v>0</v>
      </c>
      <c r="AB322" s="534">
        <v>0</v>
      </c>
      <c r="AC322" s="534">
        <v>0</v>
      </c>
      <c r="AD322" s="534">
        <v>0</v>
      </c>
      <c r="AE322" s="536">
        <v>0</v>
      </c>
      <c r="AF322" s="533"/>
      <c r="AG322" s="534">
        <v>0</v>
      </c>
      <c r="AH322" s="534">
        <v>0</v>
      </c>
      <c r="AI322" s="534">
        <v>0</v>
      </c>
      <c r="AJ322" s="534">
        <v>0</v>
      </c>
      <c r="AK322" s="536">
        <v>0</v>
      </c>
      <c r="AL322" s="533"/>
      <c r="AM322" s="534">
        <v>0</v>
      </c>
      <c r="AN322" s="534">
        <v>0</v>
      </c>
      <c r="AO322" s="534">
        <v>0</v>
      </c>
      <c r="AP322" s="537">
        <v>0</v>
      </c>
      <c r="AQ322" s="535">
        <v>0</v>
      </c>
      <c r="AR322" s="534">
        <v>0</v>
      </c>
      <c r="AS322" s="534">
        <v>0</v>
      </c>
      <c r="AT322" s="534">
        <v>0</v>
      </c>
      <c r="AU322" s="536">
        <v>0</v>
      </c>
      <c r="AV322" s="533"/>
      <c r="AW322" s="538">
        <v>0</v>
      </c>
      <c r="AX322" s="538">
        <v>19053824.60002128</v>
      </c>
      <c r="AY322" s="533"/>
      <c r="AZ322" s="534">
        <f t="shared" si="142"/>
        <v>0</v>
      </c>
      <c r="BA322" s="534">
        <v>0</v>
      </c>
      <c r="BD322" s="392">
        <f t="shared" si="134"/>
        <v>0</v>
      </c>
      <c r="BE322" s="425">
        <f t="shared" si="135"/>
        <v>0</v>
      </c>
      <c r="BF322" s="425">
        <f t="shared" si="143"/>
        <v>0</v>
      </c>
      <c r="BG322" s="425">
        <f t="shared" si="143"/>
        <v>0</v>
      </c>
      <c r="BH322" s="425">
        <f t="shared" si="143"/>
        <v>0</v>
      </c>
      <c r="BI322" s="425">
        <f t="shared" si="143"/>
        <v>0</v>
      </c>
      <c r="BJ322" s="425">
        <f t="shared" si="143"/>
        <v>0</v>
      </c>
      <c r="BK322" s="425">
        <f t="shared" si="143"/>
        <v>0</v>
      </c>
      <c r="BL322" s="425">
        <f t="shared" si="143"/>
        <v>0</v>
      </c>
      <c r="BM322" s="425">
        <f t="shared" si="144"/>
        <v>0</v>
      </c>
      <c r="BN322" s="425">
        <f t="shared" si="144"/>
        <v>0</v>
      </c>
      <c r="BO322" s="425">
        <f t="shared" si="144"/>
        <v>0</v>
      </c>
      <c r="BP322" s="425">
        <f t="shared" si="145"/>
        <v>0</v>
      </c>
      <c r="BQ322" s="425">
        <f t="shared" si="145"/>
        <v>0</v>
      </c>
      <c r="BR322" s="425">
        <f t="shared" si="145"/>
        <v>0</v>
      </c>
      <c r="BS322" s="425">
        <f t="shared" si="146"/>
        <v>0</v>
      </c>
      <c r="BT322" s="426">
        <f t="shared" si="146"/>
        <v>0</v>
      </c>
    </row>
    <row r="323" spans="2:72" x14ac:dyDescent="0.25">
      <c r="B323" s="145"/>
      <c r="C323" s="539">
        <v>48092</v>
      </c>
      <c r="D323" s="533"/>
      <c r="E323" s="534">
        <v>0</v>
      </c>
      <c r="F323" s="534">
        <v>0</v>
      </c>
      <c r="G323" s="534">
        <v>0</v>
      </c>
      <c r="H323" s="540">
        <v>0</v>
      </c>
      <c r="I323" s="536">
        <v>0</v>
      </c>
      <c r="J323" s="533"/>
      <c r="K323" s="534">
        <v>0</v>
      </c>
      <c r="L323" s="534">
        <v>0</v>
      </c>
      <c r="M323" s="534">
        <v>0</v>
      </c>
      <c r="N323" s="534">
        <v>0</v>
      </c>
      <c r="O323" s="534">
        <v>0</v>
      </c>
      <c r="P323" s="534">
        <v>0</v>
      </c>
      <c r="Q323" s="534">
        <v>0</v>
      </c>
      <c r="R323" s="534">
        <v>0</v>
      </c>
      <c r="S323" s="536">
        <v>0</v>
      </c>
      <c r="T323" s="533"/>
      <c r="U323" s="534">
        <v>0</v>
      </c>
      <c r="V323" s="534">
        <v>0</v>
      </c>
      <c r="W323" s="534">
        <v>0</v>
      </c>
      <c r="X323" s="534">
        <v>0</v>
      </c>
      <c r="Y323" s="534">
        <v>0</v>
      </c>
      <c r="Z323" s="534">
        <v>0</v>
      </c>
      <c r="AA323" s="534">
        <v>0</v>
      </c>
      <c r="AB323" s="534">
        <v>0</v>
      </c>
      <c r="AC323" s="534">
        <v>0</v>
      </c>
      <c r="AD323" s="534">
        <v>0</v>
      </c>
      <c r="AE323" s="536">
        <v>0</v>
      </c>
      <c r="AF323" s="533"/>
      <c r="AG323" s="534">
        <v>0</v>
      </c>
      <c r="AH323" s="534">
        <v>0</v>
      </c>
      <c r="AI323" s="534">
        <v>0</v>
      </c>
      <c r="AJ323" s="534">
        <v>0</v>
      </c>
      <c r="AK323" s="536">
        <v>0</v>
      </c>
      <c r="AL323" s="533"/>
      <c r="AM323" s="534">
        <v>0</v>
      </c>
      <c r="AN323" s="534">
        <v>0</v>
      </c>
      <c r="AO323" s="534">
        <v>0</v>
      </c>
      <c r="AP323" s="537">
        <v>0</v>
      </c>
      <c r="AQ323" s="535">
        <v>0</v>
      </c>
      <c r="AR323" s="534">
        <v>0</v>
      </c>
      <c r="AS323" s="534">
        <v>0</v>
      </c>
      <c r="AT323" s="534">
        <v>0</v>
      </c>
      <c r="AU323" s="536">
        <v>0</v>
      </c>
      <c r="AV323" s="533"/>
      <c r="AW323" s="538">
        <v>0</v>
      </c>
      <c r="AX323" s="538">
        <v>19053824.60002128</v>
      </c>
      <c r="AY323" s="533"/>
      <c r="AZ323" s="534">
        <f t="shared" si="142"/>
        <v>0</v>
      </c>
      <c r="BA323" s="534">
        <v>0</v>
      </c>
      <c r="BD323" s="392">
        <f t="shared" si="134"/>
        <v>0</v>
      </c>
      <c r="BE323" s="425">
        <f t="shared" si="135"/>
        <v>0</v>
      </c>
      <c r="BF323" s="425">
        <f t="shared" si="143"/>
        <v>0</v>
      </c>
      <c r="BG323" s="425">
        <f t="shared" si="143"/>
        <v>0</v>
      </c>
      <c r="BH323" s="425">
        <f t="shared" si="143"/>
        <v>0</v>
      </c>
      <c r="BI323" s="425">
        <f t="shared" si="143"/>
        <v>0</v>
      </c>
      <c r="BJ323" s="425">
        <f t="shared" si="143"/>
        <v>0</v>
      </c>
      <c r="BK323" s="425">
        <f t="shared" si="143"/>
        <v>0</v>
      </c>
      <c r="BL323" s="425">
        <f t="shared" si="143"/>
        <v>0</v>
      </c>
      <c r="BM323" s="425">
        <f t="shared" si="144"/>
        <v>0</v>
      </c>
      <c r="BN323" s="425">
        <f t="shared" si="144"/>
        <v>0</v>
      </c>
      <c r="BO323" s="425">
        <f t="shared" si="144"/>
        <v>0</v>
      </c>
      <c r="BP323" s="425">
        <f t="shared" si="145"/>
        <v>0</v>
      </c>
      <c r="BQ323" s="425">
        <f t="shared" si="145"/>
        <v>0</v>
      </c>
      <c r="BR323" s="425">
        <f t="shared" si="145"/>
        <v>0</v>
      </c>
      <c r="BS323" s="425">
        <f t="shared" si="146"/>
        <v>0</v>
      </c>
      <c r="BT323" s="426">
        <f t="shared" si="146"/>
        <v>0</v>
      </c>
    </row>
    <row r="324" spans="2:72" x14ac:dyDescent="0.25">
      <c r="B324" s="145"/>
      <c r="C324" s="539">
        <v>48122</v>
      </c>
      <c r="D324" s="533"/>
      <c r="E324" s="534">
        <v>0</v>
      </c>
      <c r="F324" s="534">
        <v>0</v>
      </c>
      <c r="G324" s="534">
        <v>0</v>
      </c>
      <c r="H324" s="540">
        <v>0</v>
      </c>
      <c r="I324" s="536">
        <v>0</v>
      </c>
      <c r="J324" s="533"/>
      <c r="K324" s="534">
        <v>0</v>
      </c>
      <c r="L324" s="534">
        <v>0</v>
      </c>
      <c r="M324" s="534">
        <v>0</v>
      </c>
      <c r="N324" s="534">
        <v>0</v>
      </c>
      <c r="O324" s="534">
        <v>0</v>
      </c>
      <c r="P324" s="534">
        <v>0</v>
      </c>
      <c r="Q324" s="534">
        <v>0</v>
      </c>
      <c r="R324" s="534">
        <v>0</v>
      </c>
      <c r="S324" s="536">
        <v>0</v>
      </c>
      <c r="T324" s="533"/>
      <c r="U324" s="534">
        <v>0</v>
      </c>
      <c r="V324" s="534">
        <v>0</v>
      </c>
      <c r="W324" s="534">
        <v>0</v>
      </c>
      <c r="X324" s="534">
        <v>0</v>
      </c>
      <c r="Y324" s="534">
        <v>0</v>
      </c>
      <c r="Z324" s="534">
        <v>0</v>
      </c>
      <c r="AA324" s="534">
        <v>0</v>
      </c>
      <c r="AB324" s="534">
        <v>0</v>
      </c>
      <c r="AC324" s="534">
        <v>0</v>
      </c>
      <c r="AD324" s="534">
        <v>0</v>
      </c>
      <c r="AE324" s="536">
        <v>0</v>
      </c>
      <c r="AF324" s="533"/>
      <c r="AG324" s="534">
        <v>0</v>
      </c>
      <c r="AH324" s="534">
        <v>0</v>
      </c>
      <c r="AI324" s="534">
        <v>0</v>
      </c>
      <c r="AJ324" s="534">
        <v>0</v>
      </c>
      <c r="AK324" s="536">
        <v>0</v>
      </c>
      <c r="AL324" s="533"/>
      <c r="AM324" s="534">
        <v>0</v>
      </c>
      <c r="AN324" s="534">
        <v>0</v>
      </c>
      <c r="AO324" s="534">
        <v>0</v>
      </c>
      <c r="AP324" s="537">
        <v>0</v>
      </c>
      <c r="AQ324" s="535">
        <v>0</v>
      </c>
      <c r="AR324" s="534">
        <v>0</v>
      </c>
      <c r="AS324" s="534">
        <v>0</v>
      </c>
      <c r="AT324" s="534">
        <v>0</v>
      </c>
      <c r="AU324" s="536">
        <v>0</v>
      </c>
      <c r="AV324" s="533"/>
      <c r="AW324" s="538">
        <v>0</v>
      </c>
      <c r="AX324" s="538">
        <v>19053824.60002128</v>
      </c>
      <c r="AY324" s="533"/>
      <c r="AZ324" s="534">
        <f t="shared" si="142"/>
        <v>0</v>
      </c>
      <c r="BA324" s="534">
        <v>0</v>
      </c>
      <c r="BD324" s="392">
        <f t="shared" si="134"/>
        <v>0</v>
      </c>
      <c r="BE324" s="425">
        <f t="shared" si="135"/>
        <v>0</v>
      </c>
      <c r="BF324" s="425">
        <f t="shared" si="143"/>
        <v>0</v>
      </c>
      <c r="BG324" s="425">
        <f t="shared" si="143"/>
        <v>0</v>
      </c>
      <c r="BH324" s="425">
        <f t="shared" si="143"/>
        <v>0</v>
      </c>
      <c r="BI324" s="425">
        <f t="shared" si="143"/>
        <v>0</v>
      </c>
      <c r="BJ324" s="425">
        <f t="shared" si="143"/>
        <v>0</v>
      </c>
      <c r="BK324" s="425">
        <f t="shared" si="143"/>
        <v>0</v>
      </c>
      <c r="BL324" s="425">
        <f t="shared" si="143"/>
        <v>0</v>
      </c>
      <c r="BM324" s="425">
        <f t="shared" si="144"/>
        <v>0</v>
      </c>
      <c r="BN324" s="425">
        <f t="shared" si="144"/>
        <v>0</v>
      </c>
      <c r="BO324" s="425">
        <f t="shared" si="144"/>
        <v>0</v>
      </c>
      <c r="BP324" s="425">
        <f t="shared" si="145"/>
        <v>0</v>
      </c>
      <c r="BQ324" s="425">
        <f t="shared" si="145"/>
        <v>0</v>
      </c>
      <c r="BR324" s="425">
        <f t="shared" si="145"/>
        <v>0</v>
      </c>
      <c r="BS324" s="425">
        <f t="shared" si="146"/>
        <v>0</v>
      </c>
      <c r="BT324" s="426">
        <f t="shared" si="146"/>
        <v>0</v>
      </c>
    </row>
    <row r="325" spans="2:72" x14ac:dyDescent="0.25">
      <c r="B325" s="145"/>
      <c r="C325" s="539">
        <v>48153</v>
      </c>
      <c r="D325" s="533"/>
      <c r="E325" s="534">
        <v>0</v>
      </c>
      <c r="F325" s="534">
        <v>0</v>
      </c>
      <c r="G325" s="534">
        <v>0</v>
      </c>
      <c r="H325" s="540">
        <v>0</v>
      </c>
      <c r="I325" s="536">
        <v>0</v>
      </c>
      <c r="J325" s="533"/>
      <c r="K325" s="534">
        <v>0</v>
      </c>
      <c r="L325" s="534">
        <v>0</v>
      </c>
      <c r="M325" s="534">
        <v>0</v>
      </c>
      <c r="N325" s="534">
        <v>0</v>
      </c>
      <c r="O325" s="534">
        <v>0</v>
      </c>
      <c r="P325" s="534">
        <v>0</v>
      </c>
      <c r="Q325" s="534">
        <v>0</v>
      </c>
      <c r="R325" s="534">
        <v>0</v>
      </c>
      <c r="S325" s="536">
        <v>0</v>
      </c>
      <c r="T325" s="533"/>
      <c r="U325" s="534">
        <v>0</v>
      </c>
      <c r="V325" s="534">
        <v>0</v>
      </c>
      <c r="W325" s="534">
        <v>0</v>
      </c>
      <c r="X325" s="534">
        <v>0</v>
      </c>
      <c r="Y325" s="534">
        <v>0</v>
      </c>
      <c r="Z325" s="534">
        <v>0</v>
      </c>
      <c r="AA325" s="534">
        <v>0</v>
      </c>
      <c r="AB325" s="534">
        <v>0</v>
      </c>
      <c r="AC325" s="534">
        <v>0</v>
      </c>
      <c r="AD325" s="534">
        <v>0</v>
      </c>
      <c r="AE325" s="536">
        <v>0</v>
      </c>
      <c r="AF325" s="533"/>
      <c r="AG325" s="534">
        <v>0</v>
      </c>
      <c r="AH325" s="534">
        <v>0</v>
      </c>
      <c r="AI325" s="534">
        <v>0</v>
      </c>
      <c r="AJ325" s="534">
        <v>0</v>
      </c>
      <c r="AK325" s="536">
        <v>0</v>
      </c>
      <c r="AL325" s="533"/>
      <c r="AM325" s="534">
        <v>0</v>
      </c>
      <c r="AN325" s="534">
        <v>0</v>
      </c>
      <c r="AO325" s="534">
        <v>0</v>
      </c>
      <c r="AP325" s="537">
        <v>0</v>
      </c>
      <c r="AQ325" s="535">
        <v>0</v>
      </c>
      <c r="AR325" s="534">
        <v>0</v>
      </c>
      <c r="AS325" s="534">
        <v>0</v>
      </c>
      <c r="AT325" s="534">
        <v>0</v>
      </c>
      <c r="AU325" s="536">
        <v>0</v>
      </c>
      <c r="AV325" s="533"/>
      <c r="AW325" s="538">
        <v>0</v>
      </c>
      <c r="AX325" s="538">
        <v>19053824.60002128</v>
      </c>
      <c r="AY325" s="533"/>
      <c r="AZ325" s="534">
        <f t="shared" si="142"/>
        <v>0</v>
      </c>
      <c r="BA325" s="534">
        <v>0</v>
      </c>
      <c r="BD325" s="392">
        <f t="shared" si="134"/>
        <v>0</v>
      </c>
      <c r="BE325" s="425">
        <f t="shared" si="135"/>
        <v>0</v>
      </c>
      <c r="BF325" s="425">
        <f t="shared" si="143"/>
        <v>0</v>
      </c>
      <c r="BG325" s="425">
        <f t="shared" si="143"/>
        <v>0</v>
      </c>
      <c r="BH325" s="425">
        <f t="shared" si="143"/>
        <v>0</v>
      </c>
      <c r="BI325" s="425">
        <f t="shared" si="143"/>
        <v>0</v>
      </c>
      <c r="BJ325" s="425">
        <f t="shared" si="143"/>
        <v>0</v>
      </c>
      <c r="BK325" s="425">
        <f t="shared" si="143"/>
        <v>0</v>
      </c>
      <c r="BL325" s="425">
        <f t="shared" si="143"/>
        <v>0</v>
      </c>
      <c r="BM325" s="425">
        <f t="shared" si="144"/>
        <v>0</v>
      </c>
      <c r="BN325" s="425">
        <f t="shared" si="144"/>
        <v>0</v>
      </c>
      <c r="BO325" s="425">
        <f t="shared" si="144"/>
        <v>0</v>
      </c>
      <c r="BP325" s="425">
        <f t="shared" si="145"/>
        <v>0</v>
      </c>
      <c r="BQ325" s="425">
        <f t="shared" si="145"/>
        <v>0</v>
      </c>
      <c r="BR325" s="425">
        <f t="shared" si="145"/>
        <v>0</v>
      </c>
      <c r="BS325" s="425">
        <f t="shared" si="146"/>
        <v>0</v>
      </c>
      <c r="BT325" s="426">
        <f t="shared" si="146"/>
        <v>0</v>
      </c>
    </row>
    <row r="326" spans="2:72" x14ac:dyDescent="0.25">
      <c r="B326" s="145"/>
      <c r="C326" s="539">
        <v>48183</v>
      </c>
      <c r="D326" s="533"/>
      <c r="E326" s="534">
        <v>0</v>
      </c>
      <c r="F326" s="534">
        <v>0</v>
      </c>
      <c r="G326" s="534">
        <v>0</v>
      </c>
      <c r="H326" s="540">
        <v>0</v>
      </c>
      <c r="I326" s="536">
        <v>0</v>
      </c>
      <c r="J326" s="533"/>
      <c r="K326" s="534">
        <v>0</v>
      </c>
      <c r="L326" s="534">
        <v>0</v>
      </c>
      <c r="M326" s="534">
        <v>0</v>
      </c>
      <c r="N326" s="534">
        <v>0</v>
      </c>
      <c r="O326" s="534">
        <v>0</v>
      </c>
      <c r="P326" s="534">
        <v>0</v>
      </c>
      <c r="Q326" s="534">
        <v>0</v>
      </c>
      <c r="R326" s="534">
        <v>0</v>
      </c>
      <c r="S326" s="536">
        <v>0</v>
      </c>
      <c r="T326" s="533"/>
      <c r="U326" s="534">
        <v>0</v>
      </c>
      <c r="V326" s="534">
        <v>0</v>
      </c>
      <c r="W326" s="534">
        <v>0</v>
      </c>
      <c r="X326" s="534">
        <v>0</v>
      </c>
      <c r="Y326" s="534">
        <v>0</v>
      </c>
      <c r="Z326" s="534">
        <v>0</v>
      </c>
      <c r="AA326" s="534">
        <v>0</v>
      </c>
      <c r="AB326" s="534">
        <v>0</v>
      </c>
      <c r="AC326" s="534">
        <v>0</v>
      </c>
      <c r="AD326" s="534">
        <v>0</v>
      </c>
      <c r="AE326" s="536">
        <v>0</v>
      </c>
      <c r="AF326" s="533"/>
      <c r="AG326" s="534">
        <v>0</v>
      </c>
      <c r="AH326" s="534">
        <v>0</v>
      </c>
      <c r="AI326" s="534">
        <v>0</v>
      </c>
      <c r="AJ326" s="534">
        <v>0</v>
      </c>
      <c r="AK326" s="536">
        <v>0</v>
      </c>
      <c r="AL326" s="533"/>
      <c r="AM326" s="534">
        <v>0</v>
      </c>
      <c r="AN326" s="534">
        <v>0</v>
      </c>
      <c r="AO326" s="534">
        <v>0</v>
      </c>
      <c r="AP326" s="537">
        <v>0</v>
      </c>
      <c r="AQ326" s="535">
        <v>0</v>
      </c>
      <c r="AR326" s="534">
        <v>0</v>
      </c>
      <c r="AS326" s="534">
        <v>0</v>
      </c>
      <c r="AT326" s="534">
        <v>0</v>
      </c>
      <c r="AU326" s="536">
        <v>0</v>
      </c>
      <c r="AV326" s="533"/>
      <c r="AW326" s="538">
        <v>0</v>
      </c>
      <c r="AX326" s="538">
        <v>19053824.60002128</v>
      </c>
      <c r="AY326" s="533"/>
      <c r="AZ326" s="534">
        <f t="shared" si="142"/>
        <v>0</v>
      </c>
      <c r="BA326" s="534">
        <v>0</v>
      </c>
      <c r="BD326" s="392">
        <f t="shared" si="134"/>
        <v>0</v>
      </c>
      <c r="BE326" s="425">
        <f t="shared" si="135"/>
        <v>0</v>
      </c>
      <c r="BF326" s="425">
        <f t="shared" si="143"/>
        <v>0</v>
      </c>
      <c r="BG326" s="425">
        <f t="shared" si="143"/>
        <v>0</v>
      </c>
      <c r="BH326" s="425">
        <f t="shared" si="143"/>
        <v>0</v>
      </c>
      <c r="BI326" s="425">
        <f t="shared" si="143"/>
        <v>0</v>
      </c>
      <c r="BJ326" s="425">
        <f t="shared" si="143"/>
        <v>0</v>
      </c>
      <c r="BK326" s="425">
        <f t="shared" si="143"/>
        <v>0</v>
      </c>
      <c r="BL326" s="425">
        <f t="shared" si="143"/>
        <v>0</v>
      </c>
      <c r="BM326" s="425">
        <f t="shared" si="144"/>
        <v>0</v>
      </c>
      <c r="BN326" s="425">
        <f t="shared" si="144"/>
        <v>0</v>
      </c>
      <c r="BO326" s="425">
        <f t="shared" si="144"/>
        <v>0</v>
      </c>
      <c r="BP326" s="425">
        <f t="shared" si="145"/>
        <v>0</v>
      </c>
      <c r="BQ326" s="425">
        <f t="shared" si="145"/>
        <v>0</v>
      </c>
      <c r="BR326" s="425">
        <f t="shared" si="145"/>
        <v>0</v>
      </c>
      <c r="BS326" s="425">
        <f t="shared" si="146"/>
        <v>0</v>
      </c>
      <c r="BT326" s="426">
        <f t="shared" si="146"/>
        <v>0</v>
      </c>
    </row>
    <row r="327" spans="2:72" x14ac:dyDescent="0.25">
      <c r="B327" s="145"/>
      <c r="C327" s="539">
        <v>48214</v>
      </c>
      <c r="D327" s="533"/>
      <c r="E327" s="534">
        <v>0</v>
      </c>
      <c r="F327" s="534">
        <v>0</v>
      </c>
      <c r="G327" s="534">
        <v>0</v>
      </c>
      <c r="H327" s="540">
        <v>0</v>
      </c>
      <c r="I327" s="536">
        <v>0</v>
      </c>
      <c r="J327" s="533"/>
      <c r="K327" s="534">
        <v>0</v>
      </c>
      <c r="L327" s="534">
        <v>0</v>
      </c>
      <c r="M327" s="534">
        <v>0</v>
      </c>
      <c r="N327" s="534">
        <v>0</v>
      </c>
      <c r="O327" s="534">
        <v>0</v>
      </c>
      <c r="P327" s="534">
        <v>0</v>
      </c>
      <c r="Q327" s="534">
        <v>0</v>
      </c>
      <c r="R327" s="534">
        <v>0</v>
      </c>
      <c r="S327" s="536">
        <v>0</v>
      </c>
      <c r="T327" s="533"/>
      <c r="U327" s="534">
        <v>0</v>
      </c>
      <c r="V327" s="534">
        <v>0</v>
      </c>
      <c r="W327" s="534">
        <v>0</v>
      </c>
      <c r="X327" s="534">
        <v>0</v>
      </c>
      <c r="Y327" s="534">
        <v>0</v>
      </c>
      <c r="Z327" s="534">
        <v>0</v>
      </c>
      <c r="AA327" s="534">
        <v>0</v>
      </c>
      <c r="AB327" s="534">
        <v>0</v>
      </c>
      <c r="AC327" s="534">
        <v>0</v>
      </c>
      <c r="AD327" s="534">
        <v>0</v>
      </c>
      <c r="AE327" s="536">
        <v>0</v>
      </c>
      <c r="AF327" s="533"/>
      <c r="AG327" s="534">
        <v>0</v>
      </c>
      <c r="AH327" s="534">
        <v>0</v>
      </c>
      <c r="AI327" s="534">
        <v>0</v>
      </c>
      <c r="AJ327" s="534">
        <v>0</v>
      </c>
      <c r="AK327" s="536">
        <v>0</v>
      </c>
      <c r="AL327" s="533"/>
      <c r="AM327" s="534">
        <v>0</v>
      </c>
      <c r="AN327" s="534">
        <v>0</v>
      </c>
      <c r="AO327" s="534">
        <v>0</v>
      </c>
      <c r="AP327" s="537">
        <v>0</v>
      </c>
      <c r="AQ327" s="535">
        <v>0</v>
      </c>
      <c r="AR327" s="534">
        <v>0</v>
      </c>
      <c r="AS327" s="534">
        <v>0</v>
      </c>
      <c r="AT327" s="534">
        <v>0</v>
      </c>
      <c r="AU327" s="536">
        <v>0</v>
      </c>
      <c r="AV327" s="533"/>
      <c r="AW327" s="538">
        <v>0</v>
      </c>
      <c r="AX327" s="538">
        <v>19053824.60002128</v>
      </c>
      <c r="AY327" s="533"/>
      <c r="AZ327" s="534">
        <f t="shared" si="142"/>
        <v>0</v>
      </c>
      <c r="BA327" s="534">
        <v>0</v>
      </c>
      <c r="BD327" s="392">
        <f t="shared" si="134"/>
        <v>0</v>
      </c>
      <c r="BE327" s="425">
        <f t="shared" si="135"/>
        <v>0</v>
      </c>
      <c r="BF327" s="425">
        <f t="shared" si="143"/>
        <v>0</v>
      </c>
      <c r="BG327" s="425">
        <f t="shared" si="143"/>
        <v>0</v>
      </c>
      <c r="BH327" s="425">
        <f t="shared" si="143"/>
        <v>0</v>
      </c>
      <c r="BI327" s="425">
        <f t="shared" si="143"/>
        <v>0</v>
      </c>
      <c r="BJ327" s="425">
        <f t="shared" si="143"/>
        <v>0</v>
      </c>
      <c r="BK327" s="425">
        <f t="shared" si="143"/>
        <v>0</v>
      </c>
      <c r="BL327" s="425">
        <f t="shared" si="143"/>
        <v>0</v>
      </c>
      <c r="BM327" s="425">
        <f t="shared" si="144"/>
        <v>0</v>
      </c>
      <c r="BN327" s="425">
        <f t="shared" si="144"/>
        <v>0</v>
      </c>
      <c r="BO327" s="425">
        <f t="shared" si="144"/>
        <v>0</v>
      </c>
      <c r="BP327" s="425">
        <f t="shared" si="145"/>
        <v>0</v>
      </c>
      <c r="BQ327" s="425">
        <f t="shared" si="145"/>
        <v>0</v>
      </c>
      <c r="BR327" s="425">
        <f t="shared" si="145"/>
        <v>0</v>
      </c>
      <c r="BS327" s="425">
        <f t="shared" si="146"/>
        <v>0</v>
      </c>
      <c r="BT327" s="426">
        <f t="shared" si="146"/>
        <v>0</v>
      </c>
    </row>
    <row r="328" spans="2:72" x14ac:dyDescent="0.25">
      <c r="B328" s="145"/>
      <c r="C328" s="539">
        <v>48245</v>
      </c>
      <c r="D328" s="533"/>
      <c r="E328" s="534">
        <v>0</v>
      </c>
      <c r="F328" s="534">
        <v>0</v>
      </c>
      <c r="G328" s="534">
        <v>0</v>
      </c>
      <c r="H328" s="540">
        <v>0</v>
      </c>
      <c r="I328" s="536">
        <v>0</v>
      </c>
      <c r="J328" s="533"/>
      <c r="K328" s="534">
        <v>0</v>
      </c>
      <c r="L328" s="534">
        <v>0</v>
      </c>
      <c r="M328" s="534">
        <v>0</v>
      </c>
      <c r="N328" s="534">
        <v>0</v>
      </c>
      <c r="O328" s="534">
        <v>0</v>
      </c>
      <c r="P328" s="534">
        <v>0</v>
      </c>
      <c r="Q328" s="534">
        <v>0</v>
      </c>
      <c r="R328" s="534">
        <v>0</v>
      </c>
      <c r="S328" s="536">
        <v>0</v>
      </c>
      <c r="T328" s="533"/>
      <c r="U328" s="534">
        <v>0</v>
      </c>
      <c r="V328" s="534">
        <v>0</v>
      </c>
      <c r="W328" s="534">
        <v>0</v>
      </c>
      <c r="X328" s="534">
        <v>0</v>
      </c>
      <c r="Y328" s="534">
        <v>0</v>
      </c>
      <c r="Z328" s="534">
        <v>0</v>
      </c>
      <c r="AA328" s="534">
        <v>0</v>
      </c>
      <c r="AB328" s="534">
        <v>0</v>
      </c>
      <c r="AC328" s="534">
        <v>0</v>
      </c>
      <c r="AD328" s="534">
        <v>0</v>
      </c>
      <c r="AE328" s="536">
        <v>0</v>
      </c>
      <c r="AF328" s="533"/>
      <c r="AG328" s="534">
        <v>0</v>
      </c>
      <c r="AH328" s="534">
        <v>0</v>
      </c>
      <c r="AI328" s="534">
        <v>0</v>
      </c>
      <c r="AJ328" s="534">
        <v>0</v>
      </c>
      <c r="AK328" s="536">
        <v>0</v>
      </c>
      <c r="AL328" s="533"/>
      <c r="AM328" s="534">
        <v>0</v>
      </c>
      <c r="AN328" s="534">
        <v>0</v>
      </c>
      <c r="AO328" s="534">
        <v>0</v>
      </c>
      <c r="AP328" s="537">
        <v>0</v>
      </c>
      <c r="AQ328" s="535">
        <v>0</v>
      </c>
      <c r="AR328" s="534">
        <v>0</v>
      </c>
      <c r="AS328" s="534">
        <v>0</v>
      </c>
      <c r="AT328" s="534">
        <v>0</v>
      </c>
      <c r="AU328" s="536">
        <v>0</v>
      </c>
      <c r="AV328" s="533"/>
      <c r="AW328" s="538">
        <v>0</v>
      </c>
      <c r="AX328" s="538">
        <v>19053824.60002128</v>
      </c>
      <c r="AY328" s="533"/>
      <c r="AZ328" s="534">
        <f t="shared" si="142"/>
        <v>0</v>
      </c>
      <c r="BA328" s="534">
        <v>0</v>
      </c>
      <c r="BD328" s="392">
        <f t="shared" si="134"/>
        <v>0</v>
      </c>
      <c r="BE328" s="425">
        <f t="shared" si="135"/>
        <v>0</v>
      </c>
      <c r="BF328" s="425">
        <f t="shared" si="143"/>
        <v>0</v>
      </c>
      <c r="BG328" s="425">
        <f t="shared" si="143"/>
        <v>0</v>
      </c>
      <c r="BH328" s="425">
        <f t="shared" si="143"/>
        <v>0</v>
      </c>
      <c r="BI328" s="425">
        <f t="shared" si="143"/>
        <v>0</v>
      </c>
      <c r="BJ328" s="425">
        <f t="shared" si="143"/>
        <v>0</v>
      </c>
      <c r="BK328" s="425">
        <f t="shared" si="143"/>
        <v>0</v>
      </c>
      <c r="BL328" s="425">
        <f t="shared" si="143"/>
        <v>0</v>
      </c>
      <c r="BM328" s="425">
        <f t="shared" si="144"/>
        <v>0</v>
      </c>
      <c r="BN328" s="425">
        <f t="shared" si="144"/>
        <v>0</v>
      </c>
      <c r="BO328" s="425">
        <f t="shared" si="144"/>
        <v>0</v>
      </c>
      <c r="BP328" s="425">
        <f t="shared" si="145"/>
        <v>0</v>
      </c>
      <c r="BQ328" s="425">
        <f t="shared" si="145"/>
        <v>0</v>
      </c>
      <c r="BR328" s="425">
        <f t="shared" si="145"/>
        <v>0</v>
      </c>
      <c r="BS328" s="425">
        <f t="shared" si="146"/>
        <v>0</v>
      </c>
      <c r="BT328" s="426">
        <f t="shared" si="146"/>
        <v>0</v>
      </c>
    </row>
    <row r="329" spans="2:72" x14ac:dyDescent="0.25">
      <c r="B329" s="145"/>
      <c r="C329" s="539">
        <v>48274</v>
      </c>
      <c r="D329" s="533"/>
      <c r="E329" s="534">
        <v>0</v>
      </c>
      <c r="F329" s="534">
        <v>0</v>
      </c>
      <c r="G329" s="534">
        <v>0</v>
      </c>
      <c r="H329" s="540">
        <v>0</v>
      </c>
      <c r="I329" s="536">
        <v>0</v>
      </c>
      <c r="J329" s="533"/>
      <c r="K329" s="534">
        <v>0</v>
      </c>
      <c r="L329" s="534">
        <v>0</v>
      </c>
      <c r="M329" s="534">
        <v>0</v>
      </c>
      <c r="N329" s="534">
        <v>0</v>
      </c>
      <c r="O329" s="534">
        <v>0</v>
      </c>
      <c r="P329" s="534">
        <v>0</v>
      </c>
      <c r="Q329" s="534">
        <v>0</v>
      </c>
      <c r="R329" s="534">
        <v>0</v>
      </c>
      <c r="S329" s="536">
        <v>0</v>
      </c>
      <c r="T329" s="533"/>
      <c r="U329" s="534">
        <v>0</v>
      </c>
      <c r="V329" s="534">
        <v>0</v>
      </c>
      <c r="W329" s="534">
        <v>0</v>
      </c>
      <c r="X329" s="534">
        <v>0</v>
      </c>
      <c r="Y329" s="534">
        <v>0</v>
      </c>
      <c r="Z329" s="534">
        <v>0</v>
      </c>
      <c r="AA329" s="534">
        <v>0</v>
      </c>
      <c r="AB329" s="534">
        <v>0</v>
      </c>
      <c r="AC329" s="534">
        <v>0</v>
      </c>
      <c r="AD329" s="534">
        <v>0</v>
      </c>
      <c r="AE329" s="536">
        <v>0</v>
      </c>
      <c r="AF329" s="533"/>
      <c r="AG329" s="534">
        <v>0</v>
      </c>
      <c r="AH329" s="534">
        <v>0</v>
      </c>
      <c r="AI329" s="534">
        <v>0</v>
      </c>
      <c r="AJ329" s="534">
        <v>0</v>
      </c>
      <c r="AK329" s="536">
        <v>0</v>
      </c>
      <c r="AL329" s="533"/>
      <c r="AM329" s="534">
        <v>0</v>
      </c>
      <c r="AN329" s="534">
        <v>0</v>
      </c>
      <c r="AO329" s="534">
        <v>0</v>
      </c>
      <c r="AP329" s="537">
        <v>0</v>
      </c>
      <c r="AQ329" s="535">
        <v>0</v>
      </c>
      <c r="AR329" s="534">
        <v>0</v>
      </c>
      <c r="AS329" s="534">
        <v>0</v>
      </c>
      <c r="AT329" s="534">
        <v>0</v>
      </c>
      <c r="AU329" s="536">
        <v>0</v>
      </c>
      <c r="AV329" s="533"/>
      <c r="AW329" s="538">
        <v>0</v>
      </c>
      <c r="AX329" s="538">
        <v>19053824.60002128</v>
      </c>
      <c r="AY329" s="533"/>
      <c r="AZ329" s="534">
        <f t="shared" si="142"/>
        <v>0</v>
      </c>
      <c r="BA329" s="534">
        <v>0</v>
      </c>
      <c r="BD329" s="392">
        <f t="shared" si="134"/>
        <v>0</v>
      </c>
      <c r="BE329" s="425">
        <f t="shared" si="135"/>
        <v>0</v>
      </c>
      <c r="BF329" s="425">
        <f t="shared" si="143"/>
        <v>0</v>
      </c>
      <c r="BG329" s="425">
        <f t="shared" si="143"/>
        <v>0</v>
      </c>
      <c r="BH329" s="425">
        <f t="shared" si="143"/>
        <v>0</v>
      </c>
      <c r="BI329" s="425">
        <f t="shared" si="143"/>
        <v>0</v>
      </c>
      <c r="BJ329" s="425">
        <f t="shared" si="143"/>
        <v>0</v>
      </c>
      <c r="BK329" s="425">
        <f t="shared" si="143"/>
        <v>0</v>
      </c>
      <c r="BL329" s="425">
        <f t="shared" si="143"/>
        <v>0</v>
      </c>
      <c r="BM329" s="425">
        <f t="shared" si="144"/>
        <v>0</v>
      </c>
      <c r="BN329" s="425">
        <f t="shared" si="144"/>
        <v>0</v>
      </c>
      <c r="BO329" s="425">
        <f t="shared" si="144"/>
        <v>0</v>
      </c>
      <c r="BP329" s="425">
        <f t="shared" si="145"/>
        <v>0</v>
      </c>
      <c r="BQ329" s="425">
        <f t="shared" si="145"/>
        <v>0</v>
      </c>
      <c r="BR329" s="425">
        <f t="shared" si="145"/>
        <v>0</v>
      </c>
      <c r="BS329" s="425">
        <f t="shared" si="146"/>
        <v>0</v>
      </c>
      <c r="BT329" s="426">
        <f t="shared" si="146"/>
        <v>0</v>
      </c>
    </row>
    <row r="330" spans="2:72" x14ac:dyDescent="0.25">
      <c r="B330" s="145"/>
      <c r="C330" s="539">
        <v>48305</v>
      </c>
      <c r="D330" s="533"/>
      <c r="E330" s="534">
        <v>0</v>
      </c>
      <c r="F330" s="534">
        <v>0</v>
      </c>
      <c r="G330" s="534">
        <v>0</v>
      </c>
      <c r="H330" s="540">
        <v>0</v>
      </c>
      <c r="I330" s="536">
        <v>0</v>
      </c>
      <c r="J330" s="533"/>
      <c r="K330" s="534">
        <v>0</v>
      </c>
      <c r="L330" s="534">
        <v>0</v>
      </c>
      <c r="M330" s="534">
        <v>0</v>
      </c>
      <c r="N330" s="534">
        <v>0</v>
      </c>
      <c r="O330" s="534">
        <v>0</v>
      </c>
      <c r="P330" s="534">
        <v>0</v>
      </c>
      <c r="Q330" s="534">
        <v>0</v>
      </c>
      <c r="R330" s="534">
        <v>0</v>
      </c>
      <c r="S330" s="536">
        <v>0</v>
      </c>
      <c r="T330" s="533"/>
      <c r="U330" s="534">
        <v>0</v>
      </c>
      <c r="V330" s="534">
        <v>0</v>
      </c>
      <c r="W330" s="534">
        <v>0</v>
      </c>
      <c r="X330" s="534">
        <v>0</v>
      </c>
      <c r="Y330" s="534">
        <v>0</v>
      </c>
      <c r="Z330" s="534">
        <v>0</v>
      </c>
      <c r="AA330" s="534">
        <v>0</v>
      </c>
      <c r="AB330" s="534">
        <v>0</v>
      </c>
      <c r="AC330" s="534">
        <v>0</v>
      </c>
      <c r="AD330" s="534">
        <v>0</v>
      </c>
      <c r="AE330" s="536">
        <v>0</v>
      </c>
      <c r="AF330" s="533"/>
      <c r="AG330" s="534">
        <v>0</v>
      </c>
      <c r="AH330" s="534">
        <v>0</v>
      </c>
      <c r="AI330" s="534">
        <v>0</v>
      </c>
      <c r="AJ330" s="534">
        <v>0</v>
      </c>
      <c r="AK330" s="536">
        <v>0</v>
      </c>
      <c r="AL330" s="533"/>
      <c r="AM330" s="534">
        <v>0</v>
      </c>
      <c r="AN330" s="534">
        <v>0</v>
      </c>
      <c r="AO330" s="534">
        <v>0</v>
      </c>
      <c r="AP330" s="537">
        <v>0</v>
      </c>
      <c r="AQ330" s="535">
        <v>0</v>
      </c>
      <c r="AR330" s="534">
        <v>0</v>
      </c>
      <c r="AS330" s="534">
        <v>0</v>
      </c>
      <c r="AT330" s="534">
        <v>0</v>
      </c>
      <c r="AU330" s="536">
        <v>0</v>
      </c>
      <c r="AV330" s="533"/>
      <c r="AW330" s="538">
        <v>0</v>
      </c>
      <c r="AX330" s="538">
        <v>19053824.60002128</v>
      </c>
      <c r="AY330" s="533"/>
      <c r="AZ330" s="534">
        <f t="shared" si="142"/>
        <v>0</v>
      </c>
      <c r="BA330" s="534">
        <v>0</v>
      </c>
      <c r="BD330" s="392">
        <f t="shared" si="134"/>
        <v>0</v>
      </c>
      <c r="BE330" s="425">
        <f t="shared" si="135"/>
        <v>0</v>
      </c>
      <c r="BF330" s="425">
        <f t="shared" si="143"/>
        <v>0</v>
      </c>
      <c r="BG330" s="425">
        <f t="shared" si="143"/>
        <v>0</v>
      </c>
      <c r="BH330" s="425">
        <f t="shared" si="143"/>
        <v>0</v>
      </c>
      <c r="BI330" s="425">
        <f t="shared" si="143"/>
        <v>0</v>
      </c>
      <c r="BJ330" s="425">
        <f t="shared" si="143"/>
        <v>0</v>
      </c>
      <c r="BK330" s="425">
        <f t="shared" si="143"/>
        <v>0</v>
      </c>
      <c r="BL330" s="425">
        <f t="shared" si="143"/>
        <v>0</v>
      </c>
      <c r="BM330" s="425">
        <f t="shared" si="144"/>
        <v>0</v>
      </c>
      <c r="BN330" s="425">
        <f t="shared" si="144"/>
        <v>0</v>
      </c>
      <c r="BO330" s="425">
        <f t="shared" si="144"/>
        <v>0</v>
      </c>
      <c r="BP330" s="425">
        <f t="shared" si="145"/>
        <v>0</v>
      </c>
      <c r="BQ330" s="425">
        <f t="shared" si="145"/>
        <v>0</v>
      </c>
      <c r="BR330" s="425">
        <f t="shared" si="145"/>
        <v>0</v>
      </c>
      <c r="BS330" s="425">
        <f t="shared" si="146"/>
        <v>0</v>
      </c>
      <c r="BT330" s="426">
        <f t="shared" si="146"/>
        <v>0</v>
      </c>
    </row>
    <row r="331" spans="2:72" x14ac:dyDescent="0.25">
      <c r="B331" s="145"/>
      <c r="C331" s="539">
        <v>48335</v>
      </c>
      <c r="D331" s="533"/>
      <c r="E331" s="534">
        <v>0</v>
      </c>
      <c r="F331" s="534">
        <v>0</v>
      </c>
      <c r="G331" s="534">
        <v>0</v>
      </c>
      <c r="H331" s="540">
        <v>0</v>
      </c>
      <c r="I331" s="536">
        <v>0</v>
      </c>
      <c r="J331" s="533"/>
      <c r="K331" s="534">
        <v>0</v>
      </c>
      <c r="L331" s="534">
        <v>0</v>
      </c>
      <c r="M331" s="534">
        <v>0</v>
      </c>
      <c r="N331" s="534">
        <v>0</v>
      </c>
      <c r="O331" s="534">
        <v>0</v>
      </c>
      <c r="P331" s="534">
        <v>0</v>
      </c>
      <c r="Q331" s="534">
        <v>0</v>
      </c>
      <c r="R331" s="534">
        <v>0</v>
      </c>
      <c r="S331" s="536">
        <v>0</v>
      </c>
      <c r="T331" s="533"/>
      <c r="U331" s="534">
        <v>0</v>
      </c>
      <c r="V331" s="534">
        <v>0</v>
      </c>
      <c r="W331" s="534">
        <v>0</v>
      </c>
      <c r="X331" s="534">
        <v>0</v>
      </c>
      <c r="Y331" s="534">
        <v>0</v>
      </c>
      <c r="Z331" s="534">
        <v>0</v>
      </c>
      <c r="AA331" s="534">
        <v>0</v>
      </c>
      <c r="AB331" s="534">
        <v>0</v>
      </c>
      <c r="AC331" s="534">
        <v>0</v>
      </c>
      <c r="AD331" s="534">
        <v>0</v>
      </c>
      <c r="AE331" s="536">
        <v>0</v>
      </c>
      <c r="AF331" s="533"/>
      <c r="AG331" s="534">
        <v>0</v>
      </c>
      <c r="AH331" s="534">
        <v>0</v>
      </c>
      <c r="AI331" s="534">
        <v>0</v>
      </c>
      <c r="AJ331" s="534">
        <v>0</v>
      </c>
      <c r="AK331" s="536">
        <v>0</v>
      </c>
      <c r="AL331" s="533"/>
      <c r="AM331" s="534">
        <v>0</v>
      </c>
      <c r="AN331" s="534">
        <v>0</v>
      </c>
      <c r="AO331" s="534">
        <v>0</v>
      </c>
      <c r="AP331" s="537">
        <v>0</v>
      </c>
      <c r="AQ331" s="535">
        <v>0</v>
      </c>
      <c r="AR331" s="534">
        <v>0</v>
      </c>
      <c r="AS331" s="534">
        <v>0</v>
      </c>
      <c r="AT331" s="534">
        <v>0</v>
      </c>
      <c r="AU331" s="536">
        <v>0</v>
      </c>
      <c r="AV331" s="533"/>
      <c r="AW331" s="538">
        <v>0</v>
      </c>
      <c r="AX331" s="538">
        <v>19053824.60002128</v>
      </c>
      <c r="AY331" s="533"/>
      <c r="AZ331" s="534">
        <f t="shared" si="142"/>
        <v>0</v>
      </c>
      <c r="BA331" s="534">
        <v>0</v>
      </c>
      <c r="BD331" s="392">
        <f t="shared" si="134"/>
        <v>0</v>
      </c>
      <c r="BE331" s="425">
        <f t="shared" si="135"/>
        <v>0</v>
      </c>
      <c r="BF331" s="425">
        <f t="shared" ref="BF331:BL340" si="147">-SUMIF($E$6:$BA$6, BF$6, $E331:$BA331)</f>
        <v>0</v>
      </c>
      <c r="BG331" s="425">
        <f t="shared" si="147"/>
        <v>0</v>
      </c>
      <c r="BH331" s="425">
        <f t="shared" si="147"/>
        <v>0</v>
      </c>
      <c r="BI331" s="425">
        <f t="shared" si="147"/>
        <v>0</v>
      </c>
      <c r="BJ331" s="425">
        <f t="shared" si="147"/>
        <v>0</v>
      </c>
      <c r="BK331" s="425">
        <f t="shared" si="147"/>
        <v>0</v>
      </c>
      <c r="BL331" s="425">
        <f t="shared" si="147"/>
        <v>0</v>
      </c>
      <c r="BM331" s="425">
        <f t="shared" si="144"/>
        <v>0</v>
      </c>
      <c r="BN331" s="425">
        <f t="shared" si="144"/>
        <v>0</v>
      </c>
      <c r="BO331" s="425">
        <f t="shared" si="144"/>
        <v>0</v>
      </c>
      <c r="BP331" s="425">
        <f t="shared" si="145"/>
        <v>0</v>
      </c>
      <c r="BQ331" s="425">
        <f t="shared" si="145"/>
        <v>0</v>
      </c>
      <c r="BR331" s="425">
        <f t="shared" si="145"/>
        <v>0</v>
      </c>
      <c r="BS331" s="425">
        <f t="shared" si="146"/>
        <v>0</v>
      </c>
      <c r="BT331" s="426">
        <f t="shared" si="146"/>
        <v>0</v>
      </c>
    </row>
    <row r="332" spans="2:72" x14ac:dyDescent="0.25">
      <c r="B332" s="145"/>
      <c r="C332" s="539">
        <v>48366</v>
      </c>
      <c r="D332" s="533"/>
      <c r="E332" s="534">
        <v>0</v>
      </c>
      <c r="F332" s="534">
        <v>0</v>
      </c>
      <c r="G332" s="534">
        <v>0</v>
      </c>
      <c r="H332" s="540">
        <v>0</v>
      </c>
      <c r="I332" s="536">
        <v>0</v>
      </c>
      <c r="J332" s="533"/>
      <c r="K332" s="534">
        <v>0</v>
      </c>
      <c r="L332" s="534">
        <v>0</v>
      </c>
      <c r="M332" s="534">
        <v>0</v>
      </c>
      <c r="N332" s="534">
        <v>0</v>
      </c>
      <c r="O332" s="534">
        <v>0</v>
      </c>
      <c r="P332" s="534">
        <v>0</v>
      </c>
      <c r="Q332" s="534">
        <v>0</v>
      </c>
      <c r="R332" s="534">
        <v>0</v>
      </c>
      <c r="S332" s="536">
        <v>0</v>
      </c>
      <c r="T332" s="533"/>
      <c r="U332" s="534">
        <v>0</v>
      </c>
      <c r="V332" s="534">
        <v>0</v>
      </c>
      <c r="W332" s="534">
        <v>0</v>
      </c>
      <c r="X332" s="534">
        <v>0</v>
      </c>
      <c r="Y332" s="534">
        <v>0</v>
      </c>
      <c r="Z332" s="534">
        <v>0</v>
      </c>
      <c r="AA332" s="534">
        <v>0</v>
      </c>
      <c r="AB332" s="534">
        <v>0</v>
      </c>
      <c r="AC332" s="534">
        <v>0</v>
      </c>
      <c r="AD332" s="534">
        <v>0</v>
      </c>
      <c r="AE332" s="536">
        <v>0</v>
      </c>
      <c r="AF332" s="533"/>
      <c r="AG332" s="534">
        <v>0</v>
      </c>
      <c r="AH332" s="534">
        <v>0</v>
      </c>
      <c r="AI332" s="534">
        <v>0</v>
      </c>
      <c r="AJ332" s="534">
        <v>0</v>
      </c>
      <c r="AK332" s="536">
        <v>0</v>
      </c>
      <c r="AL332" s="533"/>
      <c r="AM332" s="534">
        <v>0</v>
      </c>
      <c r="AN332" s="534">
        <v>0</v>
      </c>
      <c r="AO332" s="534">
        <v>0</v>
      </c>
      <c r="AP332" s="537">
        <v>0</v>
      </c>
      <c r="AQ332" s="535">
        <v>0</v>
      </c>
      <c r="AR332" s="534">
        <v>0</v>
      </c>
      <c r="AS332" s="534">
        <v>0</v>
      </c>
      <c r="AT332" s="534">
        <v>0</v>
      </c>
      <c r="AU332" s="536">
        <v>0</v>
      </c>
      <c r="AV332" s="533"/>
      <c r="AW332" s="538">
        <v>0</v>
      </c>
      <c r="AX332" s="538">
        <v>19053824.60002128</v>
      </c>
      <c r="AY332" s="533"/>
      <c r="AZ332" s="534">
        <f t="shared" si="142"/>
        <v>0</v>
      </c>
      <c r="BA332" s="534">
        <v>0</v>
      </c>
      <c r="BD332" s="392">
        <f t="shared" si="134"/>
        <v>0</v>
      </c>
      <c r="BE332" s="425">
        <f t="shared" si="135"/>
        <v>0</v>
      </c>
      <c r="BF332" s="425">
        <f t="shared" si="147"/>
        <v>0</v>
      </c>
      <c r="BG332" s="425">
        <f t="shared" si="147"/>
        <v>0</v>
      </c>
      <c r="BH332" s="425">
        <f t="shared" si="147"/>
        <v>0</v>
      </c>
      <c r="BI332" s="425">
        <f t="shared" si="147"/>
        <v>0</v>
      </c>
      <c r="BJ332" s="425">
        <f t="shared" si="147"/>
        <v>0</v>
      </c>
      <c r="BK332" s="425">
        <f t="shared" si="147"/>
        <v>0</v>
      </c>
      <c r="BL332" s="425">
        <f t="shared" si="147"/>
        <v>0</v>
      </c>
      <c r="BM332" s="425">
        <f t="shared" si="144"/>
        <v>0</v>
      </c>
      <c r="BN332" s="425">
        <f t="shared" si="144"/>
        <v>0</v>
      </c>
      <c r="BO332" s="425">
        <f t="shared" si="144"/>
        <v>0</v>
      </c>
      <c r="BP332" s="425">
        <f t="shared" si="145"/>
        <v>0</v>
      </c>
      <c r="BQ332" s="425">
        <f t="shared" si="145"/>
        <v>0</v>
      </c>
      <c r="BR332" s="425">
        <f t="shared" si="145"/>
        <v>0</v>
      </c>
      <c r="BS332" s="425">
        <f t="shared" si="146"/>
        <v>0</v>
      </c>
      <c r="BT332" s="426">
        <f t="shared" si="146"/>
        <v>0</v>
      </c>
    </row>
    <row r="333" spans="2:72" x14ac:dyDescent="0.25">
      <c r="B333" s="145"/>
      <c r="C333" s="539">
        <v>48396</v>
      </c>
      <c r="D333" s="533"/>
      <c r="E333" s="534">
        <v>0</v>
      </c>
      <c r="F333" s="534">
        <v>0</v>
      </c>
      <c r="G333" s="534">
        <v>0</v>
      </c>
      <c r="H333" s="540">
        <v>0</v>
      </c>
      <c r="I333" s="536">
        <v>0</v>
      </c>
      <c r="J333" s="533"/>
      <c r="K333" s="534">
        <v>0</v>
      </c>
      <c r="L333" s="534">
        <v>0</v>
      </c>
      <c r="M333" s="534">
        <v>0</v>
      </c>
      <c r="N333" s="534">
        <v>0</v>
      </c>
      <c r="O333" s="534">
        <v>0</v>
      </c>
      <c r="P333" s="534">
        <v>0</v>
      </c>
      <c r="Q333" s="534">
        <v>0</v>
      </c>
      <c r="R333" s="534">
        <v>0</v>
      </c>
      <c r="S333" s="536">
        <v>0</v>
      </c>
      <c r="T333" s="533"/>
      <c r="U333" s="534">
        <v>0</v>
      </c>
      <c r="V333" s="534">
        <v>0</v>
      </c>
      <c r="W333" s="534">
        <v>0</v>
      </c>
      <c r="X333" s="534">
        <v>0</v>
      </c>
      <c r="Y333" s="534">
        <v>0</v>
      </c>
      <c r="Z333" s="534">
        <v>0</v>
      </c>
      <c r="AA333" s="534">
        <v>0</v>
      </c>
      <c r="AB333" s="534">
        <v>0</v>
      </c>
      <c r="AC333" s="534">
        <v>0</v>
      </c>
      <c r="AD333" s="534">
        <v>0</v>
      </c>
      <c r="AE333" s="536">
        <v>0</v>
      </c>
      <c r="AF333" s="533"/>
      <c r="AG333" s="534">
        <v>0</v>
      </c>
      <c r="AH333" s="534">
        <v>0</v>
      </c>
      <c r="AI333" s="534">
        <v>0</v>
      </c>
      <c r="AJ333" s="534">
        <v>0</v>
      </c>
      <c r="AK333" s="536">
        <v>0</v>
      </c>
      <c r="AL333" s="533"/>
      <c r="AM333" s="534">
        <v>0</v>
      </c>
      <c r="AN333" s="534">
        <v>0</v>
      </c>
      <c r="AO333" s="534">
        <v>0</v>
      </c>
      <c r="AP333" s="537">
        <v>0</v>
      </c>
      <c r="AQ333" s="535">
        <v>0</v>
      </c>
      <c r="AR333" s="534">
        <v>0</v>
      </c>
      <c r="AS333" s="534">
        <v>0</v>
      </c>
      <c r="AT333" s="534">
        <v>0</v>
      </c>
      <c r="AU333" s="536">
        <v>0</v>
      </c>
      <c r="AV333" s="533"/>
      <c r="AW333" s="538">
        <v>0</v>
      </c>
      <c r="AX333" s="538">
        <v>19053824.60002128</v>
      </c>
      <c r="AY333" s="533"/>
      <c r="AZ333" s="534">
        <f t="shared" si="142"/>
        <v>0</v>
      </c>
      <c r="BA333" s="534">
        <v>0</v>
      </c>
      <c r="BD333" s="392">
        <f t="shared" si="134"/>
        <v>0</v>
      </c>
      <c r="BE333" s="425">
        <f t="shared" si="135"/>
        <v>0</v>
      </c>
      <c r="BF333" s="425">
        <f t="shared" si="147"/>
        <v>0</v>
      </c>
      <c r="BG333" s="425">
        <f t="shared" si="147"/>
        <v>0</v>
      </c>
      <c r="BH333" s="425">
        <f t="shared" si="147"/>
        <v>0</v>
      </c>
      <c r="BI333" s="425">
        <f t="shared" si="147"/>
        <v>0</v>
      </c>
      <c r="BJ333" s="425">
        <f t="shared" si="147"/>
        <v>0</v>
      </c>
      <c r="BK333" s="425">
        <f t="shared" si="147"/>
        <v>0</v>
      </c>
      <c r="BL333" s="425">
        <f t="shared" si="147"/>
        <v>0</v>
      </c>
      <c r="BM333" s="425">
        <f t="shared" si="144"/>
        <v>0</v>
      </c>
      <c r="BN333" s="425">
        <f t="shared" si="144"/>
        <v>0</v>
      </c>
      <c r="BO333" s="425">
        <f t="shared" si="144"/>
        <v>0</v>
      </c>
      <c r="BP333" s="425">
        <f t="shared" si="145"/>
        <v>0</v>
      </c>
      <c r="BQ333" s="425">
        <f t="shared" si="145"/>
        <v>0</v>
      </c>
      <c r="BR333" s="425">
        <f t="shared" si="145"/>
        <v>0</v>
      </c>
      <c r="BS333" s="425">
        <f t="shared" si="146"/>
        <v>0</v>
      </c>
      <c r="BT333" s="426">
        <f t="shared" si="146"/>
        <v>0</v>
      </c>
    </row>
    <row r="334" spans="2:72" x14ac:dyDescent="0.25">
      <c r="B334" s="145"/>
      <c r="C334" s="539">
        <v>48427</v>
      </c>
      <c r="D334" s="533"/>
      <c r="E334" s="534">
        <v>0</v>
      </c>
      <c r="F334" s="534">
        <v>0</v>
      </c>
      <c r="G334" s="534">
        <v>0</v>
      </c>
      <c r="H334" s="540">
        <v>0</v>
      </c>
      <c r="I334" s="536">
        <v>0</v>
      </c>
      <c r="J334" s="533"/>
      <c r="K334" s="534">
        <v>0</v>
      </c>
      <c r="L334" s="534">
        <v>0</v>
      </c>
      <c r="M334" s="534">
        <v>0</v>
      </c>
      <c r="N334" s="534">
        <v>0</v>
      </c>
      <c r="O334" s="534">
        <v>0</v>
      </c>
      <c r="P334" s="534">
        <v>0</v>
      </c>
      <c r="Q334" s="534">
        <v>0</v>
      </c>
      <c r="R334" s="534">
        <v>0</v>
      </c>
      <c r="S334" s="536">
        <v>0</v>
      </c>
      <c r="T334" s="533"/>
      <c r="U334" s="534">
        <v>0</v>
      </c>
      <c r="V334" s="534">
        <v>0</v>
      </c>
      <c r="W334" s="534">
        <v>0</v>
      </c>
      <c r="X334" s="534">
        <v>0</v>
      </c>
      <c r="Y334" s="534">
        <v>0</v>
      </c>
      <c r="Z334" s="534">
        <v>0</v>
      </c>
      <c r="AA334" s="534">
        <v>0</v>
      </c>
      <c r="AB334" s="534">
        <v>0</v>
      </c>
      <c r="AC334" s="534">
        <v>0</v>
      </c>
      <c r="AD334" s="534">
        <v>0</v>
      </c>
      <c r="AE334" s="536">
        <v>0</v>
      </c>
      <c r="AF334" s="533"/>
      <c r="AG334" s="534">
        <v>0</v>
      </c>
      <c r="AH334" s="534">
        <v>0</v>
      </c>
      <c r="AI334" s="534">
        <v>0</v>
      </c>
      <c r="AJ334" s="534">
        <v>0</v>
      </c>
      <c r="AK334" s="536">
        <v>0</v>
      </c>
      <c r="AL334" s="533"/>
      <c r="AM334" s="534">
        <v>0</v>
      </c>
      <c r="AN334" s="534">
        <v>0</v>
      </c>
      <c r="AO334" s="534">
        <v>0</v>
      </c>
      <c r="AP334" s="537">
        <v>0</v>
      </c>
      <c r="AQ334" s="535">
        <v>0</v>
      </c>
      <c r="AR334" s="534">
        <v>0</v>
      </c>
      <c r="AS334" s="534">
        <v>0</v>
      </c>
      <c r="AT334" s="534">
        <v>0</v>
      </c>
      <c r="AU334" s="536">
        <v>0</v>
      </c>
      <c r="AV334" s="533"/>
      <c r="AW334" s="538">
        <v>0</v>
      </c>
      <c r="AX334" s="538">
        <v>19053824.60002128</v>
      </c>
      <c r="AY334" s="533"/>
      <c r="AZ334" s="534">
        <f t="shared" si="142"/>
        <v>0</v>
      </c>
      <c r="BA334" s="534">
        <v>0</v>
      </c>
      <c r="BD334" s="392">
        <f t="shared" si="134"/>
        <v>0</v>
      </c>
      <c r="BE334" s="425">
        <f t="shared" si="135"/>
        <v>0</v>
      </c>
      <c r="BF334" s="425">
        <f t="shared" si="147"/>
        <v>0</v>
      </c>
      <c r="BG334" s="425">
        <f t="shared" si="147"/>
        <v>0</v>
      </c>
      <c r="BH334" s="425">
        <f t="shared" si="147"/>
        <v>0</v>
      </c>
      <c r="BI334" s="425">
        <f t="shared" si="147"/>
        <v>0</v>
      </c>
      <c r="BJ334" s="425">
        <f t="shared" si="147"/>
        <v>0</v>
      </c>
      <c r="BK334" s="425">
        <f t="shared" si="147"/>
        <v>0</v>
      </c>
      <c r="BL334" s="425">
        <f t="shared" si="147"/>
        <v>0</v>
      </c>
      <c r="BM334" s="425">
        <f t="shared" si="144"/>
        <v>0</v>
      </c>
      <c r="BN334" s="425">
        <f t="shared" si="144"/>
        <v>0</v>
      </c>
      <c r="BO334" s="425">
        <f t="shared" si="144"/>
        <v>0</v>
      </c>
      <c r="BP334" s="425">
        <f t="shared" si="145"/>
        <v>0</v>
      </c>
      <c r="BQ334" s="425">
        <f t="shared" si="145"/>
        <v>0</v>
      </c>
      <c r="BR334" s="425">
        <f t="shared" si="145"/>
        <v>0</v>
      </c>
      <c r="BS334" s="425">
        <f t="shared" si="146"/>
        <v>0</v>
      </c>
      <c r="BT334" s="426">
        <f t="shared" si="146"/>
        <v>0</v>
      </c>
    </row>
    <row r="335" spans="2:72" x14ac:dyDescent="0.25">
      <c r="B335" s="145"/>
      <c r="C335" s="539">
        <v>48458</v>
      </c>
      <c r="D335" s="533"/>
      <c r="E335" s="534">
        <v>0</v>
      </c>
      <c r="F335" s="534">
        <v>0</v>
      </c>
      <c r="G335" s="534">
        <v>0</v>
      </c>
      <c r="H335" s="540">
        <v>0</v>
      </c>
      <c r="I335" s="536">
        <v>0</v>
      </c>
      <c r="J335" s="533"/>
      <c r="K335" s="534">
        <v>0</v>
      </c>
      <c r="L335" s="534">
        <v>0</v>
      </c>
      <c r="M335" s="534">
        <v>0</v>
      </c>
      <c r="N335" s="534">
        <v>0</v>
      </c>
      <c r="O335" s="534">
        <v>0</v>
      </c>
      <c r="P335" s="534">
        <v>0</v>
      </c>
      <c r="Q335" s="534">
        <v>0</v>
      </c>
      <c r="R335" s="534">
        <v>0</v>
      </c>
      <c r="S335" s="536">
        <v>0</v>
      </c>
      <c r="T335" s="533"/>
      <c r="U335" s="534">
        <v>0</v>
      </c>
      <c r="V335" s="534">
        <v>0</v>
      </c>
      <c r="W335" s="534">
        <v>0</v>
      </c>
      <c r="X335" s="534">
        <v>0</v>
      </c>
      <c r="Y335" s="534">
        <v>0</v>
      </c>
      <c r="Z335" s="534">
        <v>0</v>
      </c>
      <c r="AA335" s="534">
        <v>0</v>
      </c>
      <c r="AB335" s="534">
        <v>0</v>
      </c>
      <c r="AC335" s="534">
        <v>0</v>
      </c>
      <c r="AD335" s="534">
        <v>0</v>
      </c>
      <c r="AE335" s="536">
        <v>0</v>
      </c>
      <c r="AF335" s="533"/>
      <c r="AG335" s="534">
        <v>0</v>
      </c>
      <c r="AH335" s="534">
        <v>0</v>
      </c>
      <c r="AI335" s="534">
        <v>0</v>
      </c>
      <c r="AJ335" s="534">
        <v>0</v>
      </c>
      <c r="AK335" s="536">
        <v>0</v>
      </c>
      <c r="AL335" s="533"/>
      <c r="AM335" s="534">
        <v>0</v>
      </c>
      <c r="AN335" s="534">
        <v>0</v>
      </c>
      <c r="AO335" s="534">
        <v>0</v>
      </c>
      <c r="AP335" s="537">
        <v>0</v>
      </c>
      <c r="AQ335" s="535">
        <v>0</v>
      </c>
      <c r="AR335" s="534">
        <v>0</v>
      </c>
      <c r="AS335" s="534">
        <v>0</v>
      </c>
      <c r="AT335" s="534">
        <v>0</v>
      </c>
      <c r="AU335" s="536">
        <v>0</v>
      </c>
      <c r="AV335" s="533"/>
      <c r="AW335" s="538">
        <v>0</v>
      </c>
      <c r="AX335" s="538">
        <v>19053824.60002128</v>
      </c>
      <c r="AY335" s="533"/>
      <c r="AZ335" s="534">
        <f t="shared" si="142"/>
        <v>0</v>
      </c>
      <c r="BA335" s="534">
        <v>0</v>
      </c>
      <c r="BD335" s="392">
        <f t="shared" si="134"/>
        <v>0</v>
      </c>
      <c r="BE335" s="425">
        <f t="shared" si="135"/>
        <v>0</v>
      </c>
      <c r="BF335" s="425">
        <f t="shared" si="147"/>
        <v>0</v>
      </c>
      <c r="BG335" s="425">
        <f t="shared" si="147"/>
        <v>0</v>
      </c>
      <c r="BH335" s="425">
        <f t="shared" si="147"/>
        <v>0</v>
      </c>
      <c r="BI335" s="425">
        <f t="shared" si="147"/>
        <v>0</v>
      </c>
      <c r="BJ335" s="425">
        <f t="shared" si="147"/>
        <v>0</v>
      </c>
      <c r="BK335" s="425">
        <f t="shared" si="147"/>
        <v>0</v>
      </c>
      <c r="BL335" s="425">
        <f t="shared" si="147"/>
        <v>0</v>
      </c>
      <c r="BM335" s="425">
        <f t="shared" si="144"/>
        <v>0</v>
      </c>
      <c r="BN335" s="425">
        <f t="shared" si="144"/>
        <v>0</v>
      </c>
      <c r="BO335" s="425">
        <f t="shared" si="144"/>
        <v>0</v>
      </c>
      <c r="BP335" s="425">
        <f t="shared" si="145"/>
        <v>0</v>
      </c>
      <c r="BQ335" s="425">
        <f t="shared" si="145"/>
        <v>0</v>
      </c>
      <c r="BR335" s="425">
        <f t="shared" si="145"/>
        <v>0</v>
      </c>
      <c r="BS335" s="425">
        <f t="shared" si="146"/>
        <v>0</v>
      </c>
      <c r="BT335" s="426">
        <f t="shared" si="146"/>
        <v>0</v>
      </c>
    </row>
    <row r="336" spans="2:72" x14ac:dyDescent="0.25">
      <c r="B336" s="145"/>
      <c r="C336" s="539">
        <v>48488</v>
      </c>
      <c r="D336" s="533"/>
      <c r="E336" s="534">
        <v>0</v>
      </c>
      <c r="F336" s="534">
        <v>0</v>
      </c>
      <c r="G336" s="534">
        <v>0</v>
      </c>
      <c r="H336" s="540">
        <v>0</v>
      </c>
      <c r="I336" s="536">
        <v>0</v>
      </c>
      <c r="J336" s="533"/>
      <c r="K336" s="534">
        <v>0</v>
      </c>
      <c r="L336" s="534">
        <v>0</v>
      </c>
      <c r="M336" s="534">
        <v>0</v>
      </c>
      <c r="N336" s="534">
        <v>0</v>
      </c>
      <c r="O336" s="534">
        <v>0</v>
      </c>
      <c r="P336" s="534">
        <v>0</v>
      </c>
      <c r="Q336" s="534">
        <v>0</v>
      </c>
      <c r="R336" s="534">
        <v>0</v>
      </c>
      <c r="S336" s="536">
        <v>0</v>
      </c>
      <c r="T336" s="533"/>
      <c r="U336" s="534">
        <v>0</v>
      </c>
      <c r="V336" s="534">
        <v>0</v>
      </c>
      <c r="W336" s="534">
        <v>0</v>
      </c>
      <c r="X336" s="534">
        <v>0</v>
      </c>
      <c r="Y336" s="534">
        <v>0</v>
      </c>
      <c r="Z336" s="534">
        <v>0</v>
      </c>
      <c r="AA336" s="534">
        <v>0</v>
      </c>
      <c r="AB336" s="534">
        <v>0</v>
      </c>
      <c r="AC336" s="534">
        <v>0</v>
      </c>
      <c r="AD336" s="534">
        <v>0</v>
      </c>
      <c r="AE336" s="536">
        <v>0</v>
      </c>
      <c r="AF336" s="533"/>
      <c r="AG336" s="534">
        <v>0</v>
      </c>
      <c r="AH336" s="534">
        <v>0</v>
      </c>
      <c r="AI336" s="534">
        <v>0</v>
      </c>
      <c r="AJ336" s="534">
        <v>0</v>
      </c>
      <c r="AK336" s="536">
        <v>0</v>
      </c>
      <c r="AL336" s="533"/>
      <c r="AM336" s="534">
        <v>0</v>
      </c>
      <c r="AN336" s="534">
        <v>0</v>
      </c>
      <c r="AO336" s="534">
        <v>0</v>
      </c>
      <c r="AP336" s="537">
        <v>0</v>
      </c>
      <c r="AQ336" s="535">
        <v>0</v>
      </c>
      <c r="AR336" s="534">
        <v>0</v>
      </c>
      <c r="AS336" s="534">
        <v>0</v>
      </c>
      <c r="AT336" s="534">
        <v>0</v>
      </c>
      <c r="AU336" s="536">
        <v>0</v>
      </c>
      <c r="AV336" s="533"/>
      <c r="AW336" s="538">
        <v>0</v>
      </c>
      <c r="AX336" s="538">
        <v>19053824.60002128</v>
      </c>
      <c r="AY336" s="533"/>
      <c r="AZ336" s="534">
        <f t="shared" si="142"/>
        <v>0</v>
      </c>
      <c r="BA336" s="534">
        <v>0</v>
      </c>
      <c r="BD336" s="392">
        <f t="shared" si="134"/>
        <v>0</v>
      </c>
      <c r="BE336" s="425">
        <f t="shared" si="135"/>
        <v>0</v>
      </c>
      <c r="BF336" s="425">
        <f t="shared" si="147"/>
        <v>0</v>
      </c>
      <c r="BG336" s="425">
        <f t="shared" si="147"/>
        <v>0</v>
      </c>
      <c r="BH336" s="425">
        <f t="shared" si="147"/>
        <v>0</v>
      </c>
      <c r="BI336" s="425">
        <f t="shared" si="147"/>
        <v>0</v>
      </c>
      <c r="BJ336" s="425">
        <f t="shared" si="147"/>
        <v>0</v>
      </c>
      <c r="BK336" s="425">
        <f t="shared" si="147"/>
        <v>0</v>
      </c>
      <c r="BL336" s="425">
        <f t="shared" si="147"/>
        <v>0</v>
      </c>
      <c r="BM336" s="425">
        <f t="shared" si="144"/>
        <v>0</v>
      </c>
      <c r="BN336" s="425">
        <f t="shared" si="144"/>
        <v>0</v>
      </c>
      <c r="BO336" s="425">
        <f t="shared" si="144"/>
        <v>0</v>
      </c>
      <c r="BP336" s="425">
        <f t="shared" si="145"/>
        <v>0</v>
      </c>
      <c r="BQ336" s="425">
        <f t="shared" si="145"/>
        <v>0</v>
      </c>
      <c r="BR336" s="425">
        <f t="shared" si="145"/>
        <v>0</v>
      </c>
      <c r="BS336" s="425">
        <f t="shared" si="146"/>
        <v>0</v>
      </c>
      <c r="BT336" s="426">
        <f t="shared" si="146"/>
        <v>0</v>
      </c>
    </row>
    <row r="337" spans="2:72" x14ac:dyDescent="0.25">
      <c r="B337" s="145"/>
      <c r="C337" s="539">
        <v>48519</v>
      </c>
      <c r="D337" s="533"/>
      <c r="E337" s="534">
        <v>0</v>
      </c>
      <c r="F337" s="534">
        <v>0</v>
      </c>
      <c r="G337" s="534">
        <v>0</v>
      </c>
      <c r="H337" s="540">
        <v>0</v>
      </c>
      <c r="I337" s="536">
        <v>0</v>
      </c>
      <c r="J337" s="533"/>
      <c r="K337" s="534">
        <v>0</v>
      </c>
      <c r="L337" s="534">
        <v>0</v>
      </c>
      <c r="M337" s="534">
        <v>0</v>
      </c>
      <c r="N337" s="534">
        <v>0</v>
      </c>
      <c r="O337" s="534">
        <v>0</v>
      </c>
      <c r="P337" s="534">
        <v>0</v>
      </c>
      <c r="Q337" s="534">
        <v>0</v>
      </c>
      <c r="R337" s="534">
        <v>0</v>
      </c>
      <c r="S337" s="536">
        <v>0</v>
      </c>
      <c r="T337" s="533"/>
      <c r="U337" s="534">
        <v>0</v>
      </c>
      <c r="V337" s="534">
        <v>0</v>
      </c>
      <c r="W337" s="534">
        <v>0</v>
      </c>
      <c r="X337" s="534">
        <v>0</v>
      </c>
      <c r="Y337" s="534">
        <v>0</v>
      </c>
      <c r="Z337" s="534">
        <v>0</v>
      </c>
      <c r="AA337" s="534">
        <v>0</v>
      </c>
      <c r="AB337" s="534">
        <v>0</v>
      </c>
      <c r="AC337" s="534">
        <v>0</v>
      </c>
      <c r="AD337" s="534">
        <v>0</v>
      </c>
      <c r="AE337" s="536">
        <v>0</v>
      </c>
      <c r="AF337" s="533"/>
      <c r="AG337" s="534">
        <v>0</v>
      </c>
      <c r="AH337" s="534">
        <v>0</v>
      </c>
      <c r="AI337" s="534">
        <v>0</v>
      </c>
      <c r="AJ337" s="534">
        <v>0</v>
      </c>
      <c r="AK337" s="536">
        <v>0</v>
      </c>
      <c r="AL337" s="533"/>
      <c r="AM337" s="534">
        <v>0</v>
      </c>
      <c r="AN337" s="534">
        <v>0</v>
      </c>
      <c r="AO337" s="534">
        <v>0</v>
      </c>
      <c r="AP337" s="537">
        <v>0</v>
      </c>
      <c r="AQ337" s="535">
        <v>0</v>
      </c>
      <c r="AR337" s="534">
        <v>0</v>
      </c>
      <c r="AS337" s="534">
        <v>0</v>
      </c>
      <c r="AT337" s="534">
        <v>0</v>
      </c>
      <c r="AU337" s="536">
        <v>0</v>
      </c>
      <c r="AV337" s="533"/>
      <c r="AW337" s="538">
        <v>0</v>
      </c>
      <c r="AX337" s="538">
        <v>19053824.60002128</v>
      </c>
      <c r="AY337" s="533"/>
      <c r="AZ337" s="534">
        <f t="shared" si="142"/>
        <v>0</v>
      </c>
      <c r="BA337" s="534">
        <v>0</v>
      </c>
      <c r="BD337" s="392">
        <f t="shared" si="134"/>
        <v>0</v>
      </c>
      <c r="BE337" s="425">
        <f t="shared" si="135"/>
        <v>0</v>
      </c>
      <c r="BF337" s="425">
        <f t="shared" si="147"/>
        <v>0</v>
      </c>
      <c r="BG337" s="425">
        <f t="shared" si="147"/>
        <v>0</v>
      </c>
      <c r="BH337" s="425">
        <f t="shared" si="147"/>
        <v>0</v>
      </c>
      <c r="BI337" s="425">
        <f t="shared" si="147"/>
        <v>0</v>
      </c>
      <c r="BJ337" s="425">
        <f t="shared" si="147"/>
        <v>0</v>
      </c>
      <c r="BK337" s="425">
        <f t="shared" si="147"/>
        <v>0</v>
      </c>
      <c r="BL337" s="425">
        <f t="shared" si="147"/>
        <v>0</v>
      </c>
      <c r="BM337" s="425">
        <f t="shared" si="144"/>
        <v>0</v>
      </c>
      <c r="BN337" s="425">
        <f t="shared" si="144"/>
        <v>0</v>
      </c>
      <c r="BO337" s="425">
        <f t="shared" si="144"/>
        <v>0</v>
      </c>
      <c r="BP337" s="425">
        <f t="shared" si="145"/>
        <v>0</v>
      </c>
      <c r="BQ337" s="425">
        <f t="shared" si="145"/>
        <v>0</v>
      </c>
      <c r="BR337" s="425">
        <f t="shared" si="145"/>
        <v>0</v>
      </c>
      <c r="BS337" s="425">
        <f t="shared" si="146"/>
        <v>0</v>
      </c>
      <c r="BT337" s="426">
        <f t="shared" si="146"/>
        <v>0</v>
      </c>
    </row>
    <row r="338" spans="2:72" x14ac:dyDescent="0.25">
      <c r="B338" s="145"/>
      <c r="C338" s="539">
        <v>48549</v>
      </c>
      <c r="D338" s="533"/>
      <c r="E338" s="534">
        <v>0</v>
      </c>
      <c r="F338" s="534">
        <v>0</v>
      </c>
      <c r="G338" s="534">
        <v>0</v>
      </c>
      <c r="H338" s="540">
        <v>0</v>
      </c>
      <c r="I338" s="536">
        <v>0</v>
      </c>
      <c r="J338" s="533"/>
      <c r="K338" s="534">
        <v>0</v>
      </c>
      <c r="L338" s="534">
        <v>0</v>
      </c>
      <c r="M338" s="534">
        <v>0</v>
      </c>
      <c r="N338" s="534">
        <v>0</v>
      </c>
      <c r="O338" s="534">
        <v>0</v>
      </c>
      <c r="P338" s="534">
        <v>0</v>
      </c>
      <c r="Q338" s="534">
        <v>0</v>
      </c>
      <c r="R338" s="534">
        <v>0</v>
      </c>
      <c r="S338" s="536">
        <v>0</v>
      </c>
      <c r="T338" s="533"/>
      <c r="U338" s="534">
        <v>0</v>
      </c>
      <c r="V338" s="534">
        <v>0</v>
      </c>
      <c r="W338" s="534">
        <v>0</v>
      </c>
      <c r="X338" s="534">
        <v>0</v>
      </c>
      <c r="Y338" s="534">
        <v>0</v>
      </c>
      <c r="Z338" s="534">
        <v>0</v>
      </c>
      <c r="AA338" s="534">
        <v>0</v>
      </c>
      <c r="AB338" s="534">
        <v>0</v>
      </c>
      <c r="AC338" s="534">
        <v>0</v>
      </c>
      <c r="AD338" s="534">
        <v>0</v>
      </c>
      <c r="AE338" s="536">
        <v>0</v>
      </c>
      <c r="AF338" s="533"/>
      <c r="AG338" s="534">
        <v>0</v>
      </c>
      <c r="AH338" s="534">
        <v>0</v>
      </c>
      <c r="AI338" s="534">
        <v>0</v>
      </c>
      <c r="AJ338" s="534">
        <v>0</v>
      </c>
      <c r="AK338" s="536">
        <v>0</v>
      </c>
      <c r="AL338" s="533"/>
      <c r="AM338" s="534">
        <v>0</v>
      </c>
      <c r="AN338" s="534">
        <v>0</v>
      </c>
      <c r="AO338" s="534">
        <v>0</v>
      </c>
      <c r="AP338" s="537">
        <v>0</v>
      </c>
      <c r="AQ338" s="535">
        <v>0</v>
      </c>
      <c r="AR338" s="534">
        <v>0</v>
      </c>
      <c r="AS338" s="534">
        <v>0</v>
      </c>
      <c r="AT338" s="534">
        <v>0</v>
      </c>
      <c r="AU338" s="536">
        <v>0</v>
      </c>
      <c r="AV338" s="533"/>
      <c r="AW338" s="538">
        <v>0</v>
      </c>
      <c r="AX338" s="538">
        <v>19053824.60002128</v>
      </c>
      <c r="AY338" s="533"/>
      <c r="AZ338" s="534">
        <f t="shared" si="142"/>
        <v>0</v>
      </c>
      <c r="BA338" s="534">
        <v>0</v>
      </c>
      <c r="BD338" s="392">
        <f t="shared" si="134"/>
        <v>0</v>
      </c>
      <c r="BE338" s="425">
        <f t="shared" si="135"/>
        <v>0</v>
      </c>
      <c r="BF338" s="425">
        <f t="shared" si="147"/>
        <v>0</v>
      </c>
      <c r="BG338" s="425">
        <f t="shared" si="147"/>
        <v>0</v>
      </c>
      <c r="BH338" s="425">
        <f t="shared" si="147"/>
        <v>0</v>
      </c>
      <c r="BI338" s="425">
        <f t="shared" si="147"/>
        <v>0</v>
      </c>
      <c r="BJ338" s="425">
        <f t="shared" si="147"/>
        <v>0</v>
      </c>
      <c r="BK338" s="425">
        <f t="shared" si="147"/>
        <v>0</v>
      </c>
      <c r="BL338" s="425">
        <f t="shared" si="147"/>
        <v>0</v>
      </c>
      <c r="BM338" s="425">
        <f t="shared" si="144"/>
        <v>0</v>
      </c>
      <c r="BN338" s="425">
        <f t="shared" si="144"/>
        <v>0</v>
      </c>
      <c r="BO338" s="425">
        <f t="shared" si="144"/>
        <v>0</v>
      </c>
      <c r="BP338" s="425">
        <f t="shared" si="145"/>
        <v>0</v>
      </c>
      <c r="BQ338" s="425">
        <f t="shared" si="145"/>
        <v>0</v>
      </c>
      <c r="BR338" s="425">
        <f t="shared" si="145"/>
        <v>0</v>
      </c>
      <c r="BS338" s="425">
        <f t="shared" si="146"/>
        <v>0</v>
      </c>
      <c r="BT338" s="426">
        <f t="shared" si="146"/>
        <v>0</v>
      </c>
    </row>
    <row r="339" spans="2:72" x14ac:dyDescent="0.25">
      <c r="B339" s="145"/>
      <c r="C339" s="539">
        <v>48580</v>
      </c>
      <c r="D339" s="533"/>
      <c r="E339" s="534">
        <v>0</v>
      </c>
      <c r="F339" s="534">
        <v>0</v>
      </c>
      <c r="G339" s="534">
        <v>0</v>
      </c>
      <c r="H339" s="540">
        <v>0</v>
      </c>
      <c r="I339" s="536">
        <v>0</v>
      </c>
      <c r="J339" s="533"/>
      <c r="K339" s="534">
        <v>0</v>
      </c>
      <c r="L339" s="534">
        <v>0</v>
      </c>
      <c r="M339" s="534">
        <v>0</v>
      </c>
      <c r="N339" s="534">
        <v>0</v>
      </c>
      <c r="O339" s="534">
        <v>0</v>
      </c>
      <c r="P339" s="534">
        <v>0</v>
      </c>
      <c r="Q339" s="534">
        <v>0</v>
      </c>
      <c r="R339" s="534">
        <v>0</v>
      </c>
      <c r="S339" s="536">
        <v>0</v>
      </c>
      <c r="T339" s="533"/>
      <c r="U339" s="534">
        <v>0</v>
      </c>
      <c r="V339" s="534">
        <v>0</v>
      </c>
      <c r="W339" s="534">
        <v>0</v>
      </c>
      <c r="X339" s="534">
        <v>0</v>
      </c>
      <c r="Y339" s="534">
        <v>0</v>
      </c>
      <c r="Z339" s="534">
        <v>0</v>
      </c>
      <c r="AA339" s="534">
        <v>0</v>
      </c>
      <c r="AB339" s="534">
        <v>0</v>
      </c>
      <c r="AC339" s="534">
        <v>0</v>
      </c>
      <c r="AD339" s="534">
        <v>0</v>
      </c>
      <c r="AE339" s="536">
        <v>0</v>
      </c>
      <c r="AF339" s="533"/>
      <c r="AG339" s="534">
        <v>0</v>
      </c>
      <c r="AH339" s="534">
        <v>0</v>
      </c>
      <c r="AI339" s="534">
        <v>0</v>
      </c>
      <c r="AJ339" s="534">
        <v>0</v>
      </c>
      <c r="AK339" s="536">
        <v>0</v>
      </c>
      <c r="AL339" s="533"/>
      <c r="AM339" s="534">
        <v>0</v>
      </c>
      <c r="AN339" s="534">
        <v>0</v>
      </c>
      <c r="AO339" s="534">
        <v>0</v>
      </c>
      <c r="AP339" s="537">
        <v>0</v>
      </c>
      <c r="AQ339" s="535">
        <v>0</v>
      </c>
      <c r="AR339" s="534">
        <v>0</v>
      </c>
      <c r="AS339" s="534">
        <v>0</v>
      </c>
      <c r="AT339" s="534">
        <v>0</v>
      </c>
      <c r="AU339" s="536">
        <v>0</v>
      </c>
      <c r="AV339" s="533"/>
      <c r="AW339" s="538">
        <v>0</v>
      </c>
      <c r="AX339" s="538">
        <v>19053824.60002128</v>
      </c>
      <c r="AY339" s="533"/>
      <c r="AZ339" s="534">
        <f t="shared" si="142"/>
        <v>0</v>
      </c>
      <c r="BA339" s="534">
        <v>0</v>
      </c>
      <c r="BD339" s="392">
        <f t="shared" si="134"/>
        <v>0</v>
      </c>
      <c r="BE339" s="425">
        <f t="shared" si="135"/>
        <v>0</v>
      </c>
      <c r="BF339" s="425">
        <f t="shared" si="147"/>
        <v>0</v>
      </c>
      <c r="BG339" s="425">
        <f t="shared" si="147"/>
        <v>0</v>
      </c>
      <c r="BH339" s="425">
        <f t="shared" si="147"/>
        <v>0</v>
      </c>
      <c r="BI339" s="425">
        <f t="shared" si="147"/>
        <v>0</v>
      </c>
      <c r="BJ339" s="425">
        <f t="shared" si="147"/>
        <v>0</v>
      </c>
      <c r="BK339" s="425">
        <f t="shared" si="147"/>
        <v>0</v>
      </c>
      <c r="BL339" s="425">
        <f t="shared" si="147"/>
        <v>0</v>
      </c>
      <c r="BM339" s="425">
        <f t="shared" si="144"/>
        <v>0</v>
      </c>
      <c r="BN339" s="425">
        <f t="shared" si="144"/>
        <v>0</v>
      </c>
      <c r="BO339" s="425">
        <f t="shared" si="144"/>
        <v>0</v>
      </c>
      <c r="BP339" s="425">
        <f t="shared" si="145"/>
        <v>0</v>
      </c>
      <c r="BQ339" s="425">
        <f t="shared" si="145"/>
        <v>0</v>
      </c>
      <c r="BR339" s="425">
        <f t="shared" si="145"/>
        <v>0</v>
      </c>
      <c r="BS339" s="425">
        <f t="shared" si="146"/>
        <v>0</v>
      </c>
      <c r="BT339" s="426">
        <f t="shared" si="146"/>
        <v>0</v>
      </c>
    </row>
    <row r="340" spans="2:72" x14ac:dyDescent="0.25">
      <c r="B340" s="145"/>
      <c r="C340" s="539">
        <v>48611</v>
      </c>
      <c r="D340" s="533"/>
      <c r="E340" s="534">
        <v>0</v>
      </c>
      <c r="F340" s="534">
        <v>0</v>
      </c>
      <c r="G340" s="534">
        <v>0</v>
      </c>
      <c r="H340" s="540">
        <v>0</v>
      </c>
      <c r="I340" s="536">
        <v>0</v>
      </c>
      <c r="J340" s="533"/>
      <c r="K340" s="534">
        <v>0</v>
      </c>
      <c r="L340" s="534">
        <v>0</v>
      </c>
      <c r="M340" s="534">
        <v>0</v>
      </c>
      <c r="N340" s="534">
        <v>0</v>
      </c>
      <c r="O340" s="534">
        <v>0</v>
      </c>
      <c r="P340" s="534">
        <v>0</v>
      </c>
      <c r="Q340" s="534">
        <v>0</v>
      </c>
      <c r="R340" s="534">
        <v>0</v>
      </c>
      <c r="S340" s="536">
        <v>0</v>
      </c>
      <c r="T340" s="533"/>
      <c r="U340" s="534">
        <v>0</v>
      </c>
      <c r="V340" s="534">
        <v>0</v>
      </c>
      <c r="W340" s="534">
        <v>0</v>
      </c>
      <c r="X340" s="534">
        <v>0</v>
      </c>
      <c r="Y340" s="534">
        <v>0</v>
      </c>
      <c r="Z340" s="534">
        <v>0</v>
      </c>
      <c r="AA340" s="534">
        <v>0</v>
      </c>
      <c r="AB340" s="534">
        <v>0</v>
      </c>
      <c r="AC340" s="534">
        <v>0</v>
      </c>
      <c r="AD340" s="534">
        <v>0</v>
      </c>
      <c r="AE340" s="536">
        <v>0</v>
      </c>
      <c r="AF340" s="533"/>
      <c r="AG340" s="534">
        <v>0</v>
      </c>
      <c r="AH340" s="534">
        <v>0</v>
      </c>
      <c r="AI340" s="534">
        <v>0</v>
      </c>
      <c r="AJ340" s="534">
        <v>0</v>
      </c>
      <c r="AK340" s="536">
        <v>0</v>
      </c>
      <c r="AL340" s="533"/>
      <c r="AM340" s="534">
        <v>0</v>
      </c>
      <c r="AN340" s="534">
        <v>0</v>
      </c>
      <c r="AO340" s="534">
        <v>0</v>
      </c>
      <c r="AP340" s="537">
        <v>0</v>
      </c>
      <c r="AQ340" s="535">
        <v>0</v>
      </c>
      <c r="AR340" s="534">
        <v>0</v>
      </c>
      <c r="AS340" s="534">
        <v>0</v>
      </c>
      <c r="AT340" s="534">
        <v>0</v>
      </c>
      <c r="AU340" s="536">
        <v>0</v>
      </c>
      <c r="AV340" s="533"/>
      <c r="AW340" s="538">
        <v>0</v>
      </c>
      <c r="AX340" s="538">
        <v>19053824.60002128</v>
      </c>
      <c r="AY340" s="533"/>
      <c r="AZ340" s="534">
        <f t="shared" si="142"/>
        <v>0</v>
      </c>
      <c r="BA340" s="534">
        <v>0</v>
      </c>
      <c r="BD340" s="392">
        <f t="shared" si="134"/>
        <v>0</v>
      </c>
      <c r="BE340" s="425">
        <f t="shared" si="135"/>
        <v>0</v>
      </c>
      <c r="BF340" s="425">
        <f t="shared" si="147"/>
        <v>0</v>
      </c>
      <c r="BG340" s="425">
        <f t="shared" si="147"/>
        <v>0</v>
      </c>
      <c r="BH340" s="425">
        <f t="shared" si="147"/>
        <v>0</v>
      </c>
      <c r="BI340" s="425">
        <f t="shared" si="147"/>
        <v>0</v>
      </c>
      <c r="BJ340" s="425">
        <f t="shared" si="147"/>
        <v>0</v>
      </c>
      <c r="BK340" s="425">
        <f t="shared" si="147"/>
        <v>0</v>
      </c>
      <c r="BL340" s="425">
        <f t="shared" si="147"/>
        <v>0</v>
      </c>
      <c r="BM340" s="425">
        <f t="shared" si="144"/>
        <v>0</v>
      </c>
      <c r="BN340" s="425">
        <f t="shared" si="144"/>
        <v>0</v>
      </c>
      <c r="BO340" s="425">
        <f t="shared" si="144"/>
        <v>0</v>
      </c>
      <c r="BP340" s="425">
        <f t="shared" si="145"/>
        <v>0</v>
      </c>
      <c r="BQ340" s="425">
        <f t="shared" si="145"/>
        <v>0</v>
      </c>
      <c r="BR340" s="425">
        <f t="shared" si="145"/>
        <v>0</v>
      </c>
      <c r="BS340" s="425">
        <f t="shared" si="146"/>
        <v>0</v>
      </c>
      <c r="BT340" s="426">
        <f t="shared" si="146"/>
        <v>0</v>
      </c>
    </row>
    <row r="341" spans="2:72" x14ac:dyDescent="0.25">
      <c r="B341" s="145"/>
      <c r="C341" s="539">
        <v>48639</v>
      </c>
      <c r="D341" s="533"/>
      <c r="E341" s="534">
        <v>0</v>
      </c>
      <c r="F341" s="534">
        <v>0</v>
      </c>
      <c r="G341" s="534">
        <v>0</v>
      </c>
      <c r="H341" s="540">
        <v>0</v>
      </c>
      <c r="I341" s="536">
        <v>0</v>
      </c>
      <c r="J341" s="533"/>
      <c r="K341" s="534">
        <v>0</v>
      </c>
      <c r="L341" s="534">
        <v>0</v>
      </c>
      <c r="M341" s="534">
        <v>0</v>
      </c>
      <c r="N341" s="534">
        <v>0</v>
      </c>
      <c r="O341" s="534">
        <v>0</v>
      </c>
      <c r="P341" s="534">
        <v>0</v>
      </c>
      <c r="Q341" s="534">
        <v>0</v>
      </c>
      <c r="R341" s="534">
        <v>0</v>
      </c>
      <c r="S341" s="536">
        <v>0</v>
      </c>
      <c r="T341" s="533"/>
      <c r="U341" s="534">
        <v>0</v>
      </c>
      <c r="V341" s="534">
        <v>0</v>
      </c>
      <c r="W341" s="534">
        <v>0</v>
      </c>
      <c r="X341" s="534">
        <v>0</v>
      </c>
      <c r="Y341" s="534">
        <v>0</v>
      </c>
      <c r="Z341" s="534">
        <v>0</v>
      </c>
      <c r="AA341" s="534">
        <v>0</v>
      </c>
      <c r="AB341" s="534">
        <v>0</v>
      </c>
      <c r="AC341" s="534">
        <v>0</v>
      </c>
      <c r="AD341" s="534">
        <v>0</v>
      </c>
      <c r="AE341" s="536">
        <v>0</v>
      </c>
      <c r="AF341" s="533"/>
      <c r="AG341" s="534">
        <v>0</v>
      </c>
      <c r="AH341" s="534">
        <v>0</v>
      </c>
      <c r="AI341" s="534">
        <v>0</v>
      </c>
      <c r="AJ341" s="534">
        <v>0</v>
      </c>
      <c r="AK341" s="536">
        <v>0</v>
      </c>
      <c r="AL341" s="533"/>
      <c r="AM341" s="534">
        <v>0</v>
      </c>
      <c r="AN341" s="534">
        <v>0</v>
      </c>
      <c r="AO341" s="534">
        <v>0</v>
      </c>
      <c r="AP341" s="537">
        <v>0</v>
      </c>
      <c r="AQ341" s="535">
        <v>0</v>
      </c>
      <c r="AR341" s="534">
        <v>0</v>
      </c>
      <c r="AS341" s="534">
        <v>0</v>
      </c>
      <c r="AT341" s="534">
        <v>0</v>
      </c>
      <c r="AU341" s="536">
        <v>0</v>
      </c>
      <c r="AV341" s="533"/>
      <c r="AW341" s="538">
        <v>0</v>
      </c>
      <c r="AX341" s="538">
        <v>19053824.60002128</v>
      </c>
      <c r="AY341" s="533"/>
      <c r="AZ341" s="534">
        <f t="shared" si="142"/>
        <v>0</v>
      </c>
      <c r="BA341" s="534">
        <v>0</v>
      </c>
      <c r="BD341" s="392">
        <f t="shared" si="134"/>
        <v>0</v>
      </c>
      <c r="BE341" s="425">
        <f t="shared" si="135"/>
        <v>0</v>
      </c>
      <c r="BF341" s="425">
        <f t="shared" ref="BF341:BL350" si="148">-SUMIF($E$6:$BA$6, BF$6, $E341:$BA341)</f>
        <v>0</v>
      </c>
      <c r="BG341" s="425">
        <f t="shared" si="148"/>
        <v>0</v>
      </c>
      <c r="BH341" s="425">
        <f t="shared" si="148"/>
        <v>0</v>
      </c>
      <c r="BI341" s="425">
        <f t="shared" si="148"/>
        <v>0</v>
      </c>
      <c r="BJ341" s="425">
        <f t="shared" si="148"/>
        <v>0</v>
      </c>
      <c r="BK341" s="425">
        <f t="shared" si="148"/>
        <v>0</v>
      </c>
      <c r="BL341" s="425">
        <f t="shared" si="148"/>
        <v>0</v>
      </c>
      <c r="BM341" s="425">
        <f t="shared" ref="BM341:BO360" si="149">SUMIF($E$6:$BA$6, BM$6, $E341:$BA341)</f>
        <v>0</v>
      </c>
      <c r="BN341" s="425">
        <f t="shared" si="149"/>
        <v>0</v>
      </c>
      <c r="BO341" s="425">
        <f t="shared" si="149"/>
        <v>0</v>
      </c>
      <c r="BP341" s="425">
        <f t="shared" ref="BP341:BR360" si="150">-SUMIF($E$6:$BA$6, BP$6, $E341:$BA341)</f>
        <v>0</v>
      </c>
      <c r="BQ341" s="425">
        <f t="shared" si="150"/>
        <v>0</v>
      </c>
      <c r="BR341" s="425">
        <f t="shared" si="150"/>
        <v>0</v>
      </c>
      <c r="BS341" s="425">
        <f t="shared" ref="BS341:BT360" si="151">SUMIF($E$6:$BA$6, BS$6, $E341:$BA341)</f>
        <v>0</v>
      </c>
      <c r="BT341" s="426">
        <f t="shared" si="151"/>
        <v>0</v>
      </c>
    </row>
    <row r="342" spans="2:72" x14ac:dyDescent="0.25">
      <c r="B342" s="145"/>
      <c r="C342" s="539">
        <v>48670</v>
      </c>
      <c r="D342" s="533"/>
      <c r="E342" s="534">
        <v>0</v>
      </c>
      <c r="F342" s="534">
        <v>0</v>
      </c>
      <c r="G342" s="534">
        <v>0</v>
      </c>
      <c r="H342" s="540">
        <v>0</v>
      </c>
      <c r="I342" s="536">
        <v>0</v>
      </c>
      <c r="J342" s="533"/>
      <c r="K342" s="534">
        <v>0</v>
      </c>
      <c r="L342" s="534">
        <v>0</v>
      </c>
      <c r="M342" s="534">
        <v>0</v>
      </c>
      <c r="N342" s="534">
        <v>0</v>
      </c>
      <c r="O342" s="534">
        <v>0</v>
      </c>
      <c r="P342" s="534">
        <v>0</v>
      </c>
      <c r="Q342" s="534">
        <v>0</v>
      </c>
      <c r="R342" s="534">
        <v>0</v>
      </c>
      <c r="S342" s="536">
        <v>0</v>
      </c>
      <c r="T342" s="533"/>
      <c r="U342" s="534">
        <v>0</v>
      </c>
      <c r="V342" s="534">
        <v>0</v>
      </c>
      <c r="W342" s="534">
        <v>0</v>
      </c>
      <c r="X342" s="534">
        <v>0</v>
      </c>
      <c r="Y342" s="534">
        <v>0</v>
      </c>
      <c r="Z342" s="534">
        <v>0</v>
      </c>
      <c r="AA342" s="534">
        <v>0</v>
      </c>
      <c r="AB342" s="534">
        <v>0</v>
      </c>
      <c r="AC342" s="534">
        <v>0</v>
      </c>
      <c r="AD342" s="534">
        <v>0</v>
      </c>
      <c r="AE342" s="536">
        <v>0</v>
      </c>
      <c r="AF342" s="533"/>
      <c r="AG342" s="534">
        <v>0</v>
      </c>
      <c r="AH342" s="534">
        <v>0</v>
      </c>
      <c r="AI342" s="534">
        <v>0</v>
      </c>
      <c r="AJ342" s="534">
        <v>0</v>
      </c>
      <c r="AK342" s="536">
        <v>0</v>
      </c>
      <c r="AL342" s="533"/>
      <c r="AM342" s="534">
        <v>0</v>
      </c>
      <c r="AN342" s="534">
        <v>0</v>
      </c>
      <c r="AO342" s="534">
        <v>0</v>
      </c>
      <c r="AP342" s="537">
        <v>0</v>
      </c>
      <c r="AQ342" s="535">
        <v>0</v>
      </c>
      <c r="AR342" s="534">
        <v>0</v>
      </c>
      <c r="AS342" s="534">
        <v>0</v>
      </c>
      <c r="AT342" s="534">
        <v>0</v>
      </c>
      <c r="AU342" s="536">
        <v>0</v>
      </c>
      <c r="AV342" s="533"/>
      <c r="AW342" s="538">
        <v>0</v>
      </c>
      <c r="AX342" s="538">
        <v>19053824.60002128</v>
      </c>
      <c r="AY342" s="533"/>
      <c r="AZ342" s="534">
        <f t="shared" si="142"/>
        <v>0</v>
      </c>
      <c r="BA342" s="534">
        <v>0</v>
      </c>
      <c r="BD342" s="392">
        <f t="shared" si="134"/>
        <v>0</v>
      </c>
      <c r="BE342" s="425">
        <f t="shared" si="135"/>
        <v>0</v>
      </c>
      <c r="BF342" s="425">
        <f t="shared" si="148"/>
        <v>0</v>
      </c>
      <c r="BG342" s="425">
        <f t="shared" si="148"/>
        <v>0</v>
      </c>
      <c r="BH342" s="425">
        <f t="shared" si="148"/>
        <v>0</v>
      </c>
      <c r="BI342" s="425">
        <f t="shared" si="148"/>
        <v>0</v>
      </c>
      <c r="BJ342" s="425">
        <f t="shared" si="148"/>
        <v>0</v>
      </c>
      <c r="BK342" s="425">
        <f t="shared" si="148"/>
        <v>0</v>
      </c>
      <c r="BL342" s="425">
        <f t="shared" si="148"/>
        <v>0</v>
      </c>
      <c r="BM342" s="425">
        <f t="shared" si="149"/>
        <v>0</v>
      </c>
      <c r="BN342" s="425">
        <f t="shared" si="149"/>
        <v>0</v>
      </c>
      <c r="BO342" s="425">
        <f t="shared" si="149"/>
        <v>0</v>
      </c>
      <c r="BP342" s="425">
        <f t="shared" si="150"/>
        <v>0</v>
      </c>
      <c r="BQ342" s="425">
        <f t="shared" si="150"/>
        <v>0</v>
      </c>
      <c r="BR342" s="425">
        <f t="shared" si="150"/>
        <v>0</v>
      </c>
      <c r="BS342" s="425">
        <f t="shared" si="151"/>
        <v>0</v>
      </c>
      <c r="BT342" s="426">
        <f t="shared" si="151"/>
        <v>0</v>
      </c>
    </row>
    <row r="343" spans="2:72" x14ac:dyDescent="0.25">
      <c r="B343" s="145"/>
      <c r="C343" s="539">
        <v>48700</v>
      </c>
      <c r="D343" s="533"/>
      <c r="E343" s="534">
        <v>0</v>
      </c>
      <c r="F343" s="534">
        <v>0</v>
      </c>
      <c r="G343" s="534">
        <v>0</v>
      </c>
      <c r="H343" s="540">
        <v>0</v>
      </c>
      <c r="I343" s="536">
        <v>0</v>
      </c>
      <c r="J343" s="533"/>
      <c r="K343" s="534">
        <v>0</v>
      </c>
      <c r="L343" s="534">
        <v>0</v>
      </c>
      <c r="M343" s="534">
        <v>0</v>
      </c>
      <c r="N343" s="534">
        <v>0</v>
      </c>
      <c r="O343" s="534">
        <v>0</v>
      </c>
      <c r="P343" s="534">
        <v>0</v>
      </c>
      <c r="Q343" s="534">
        <v>0</v>
      </c>
      <c r="R343" s="534">
        <v>0</v>
      </c>
      <c r="S343" s="536">
        <v>0</v>
      </c>
      <c r="T343" s="533"/>
      <c r="U343" s="534">
        <v>0</v>
      </c>
      <c r="V343" s="534">
        <v>0</v>
      </c>
      <c r="W343" s="534">
        <v>0</v>
      </c>
      <c r="X343" s="534">
        <v>0</v>
      </c>
      <c r="Y343" s="534">
        <v>0</v>
      </c>
      <c r="Z343" s="534">
        <v>0</v>
      </c>
      <c r="AA343" s="534">
        <v>0</v>
      </c>
      <c r="AB343" s="534">
        <v>0</v>
      </c>
      <c r="AC343" s="534">
        <v>0</v>
      </c>
      <c r="AD343" s="534">
        <v>0</v>
      </c>
      <c r="AE343" s="536">
        <v>0</v>
      </c>
      <c r="AF343" s="533"/>
      <c r="AG343" s="534">
        <v>0</v>
      </c>
      <c r="AH343" s="534">
        <v>0</v>
      </c>
      <c r="AI343" s="534">
        <v>0</v>
      </c>
      <c r="AJ343" s="534">
        <v>0</v>
      </c>
      <c r="AK343" s="536">
        <v>0</v>
      </c>
      <c r="AL343" s="533"/>
      <c r="AM343" s="534">
        <v>0</v>
      </c>
      <c r="AN343" s="534">
        <v>0</v>
      </c>
      <c r="AO343" s="534">
        <v>0</v>
      </c>
      <c r="AP343" s="537">
        <v>0</v>
      </c>
      <c r="AQ343" s="535">
        <v>0</v>
      </c>
      <c r="AR343" s="534">
        <v>0</v>
      </c>
      <c r="AS343" s="534">
        <v>0</v>
      </c>
      <c r="AT343" s="534">
        <v>0</v>
      </c>
      <c r="AU343" s="536">
        <v>0</v>
      </c>
      <c r="AV343" s="533"/>
      <c r="AW343" s="538">
        <v>0</v>
      </c>
      <c r="AX343" s="538">
        <v>19053824.60002128</v>
      </c>
      <c r="AY343" s="533"/>
      <c r="AZ343" s="534">
        <f t="shared" si="142"/>
        <v>0</v>
      </c>
      <c r="BA343" s="534">
        <v>0</v>
      </c>
      <c r="BD343" s="392">
        <f t="shared" si="134"/>
        <v>0</v>
      </c>
      <c r="BE343" s="425">
        <f t="shared" si="135"/>
        <v>0</v>
      </c>
      <c r="BF343" s="425">
        <f t="shared" si="148"/>
        <v>0</v>
      </c>
      <c r="BG343" s="425">
        <f t="shared" si="148"/>
        <v>0</v>
      </c>
      <c r="BH343" s="425">
        <f t="shared" si="148"/>
        <v>0</v>
      </c>
      <c r="BI343" s="425">
        <f t="shared" si="148"/>
        <v>0</v>
      </c>
      <c r="BJ343" s="425">
        <f t="shared" si="148"/>
        <v>0</v>
      </c>
      <c r="BK343" s="425">
        <f t="shared" si="148"/>
        <v>0</v>
      </c>
      <c r="BL343" s="425">
        <f t="shared" si="148"/>
        <v>0</v>
      </c>
      <c r="BM343" s="425">
        <f t="shared" si="149"/>
        <v>0</v>
      </c>
      <c r="BN343" s="425">
        <f t="shared" si="149"/>
        <v>0</v>
      </c>
      <c r="BO343" s="425">
        <f t="shared" si="149"/>
        <v>0</v>
      </c>
      <c r="BP343" s="425">
        <f t="shared" si="150"/>
        <v>0</v>
      </c>
      <c r="BQ343" s="425">
        <f t="shared" si="150"/>
        <v>0</v>
      </c>
      <c r="BR343" s="425">
        <f t="shared" si="150"/>
        <v>0</v>
      </c>
      <c r="BS343" s="425">
        <f t="shared" si="151"/>
        <v>0</v>
      </c>
      <c r="BT343" s="426">
        <f t="shared" si="151"/>
        <v>0</v>
      </c>
    </row>
    <row r="344" spans="2:72" x14ac:dyDescent="0.25">
      <c r="B344" s="145"/>
      <c r="C344" s="539">
        <v>48731</v>
      </c>
      <c r="D344" s="533"/>
      <c r="E344" s="534">
        <v>0</v>
      </c>
      <c r="F344" s="534">
        <v>0</v>
      </c>
      <c r="G344" s="534">
        <v>0</v>
      </c>
      <c r="H344" s="540">
        <v>0</v>
      </c>
      <c r="I344" s="536">
        <v>0</v>
      </c>
      <c r="J344" s="533"/>
      <c r="K344" s="534">
        <v>0</v>
      </c>
      <c r="L344" s="534">
        <v>0</v>
      </c>
      <c r="M344" s="534">
        <v>0</v>
      </c>
      <c r="N344" s="534">
        <v>0</v>
      </c>
      <c r="O344" s="534">
        <v>0</v>
      </c>
      <c r="P344" s="534">
        <v>0</v>
      </c>
      <c r="Q344" s="534">
        <v>0</v>
      </c>
      <c r="R344" s="534">
        <v>0</v>
      </c>
      <c r="S344" s="536">
        <v>0</v>
      </c>
      <c r="T344" s="533"/>
      <c r="U344" s="534">
        <v>0</v>
      </c>
      <c r="V344" s="534">
        <v>0</v>
      </c>
      <c r="W344" s="534">
        <v>0</v>
      </c>
      <c r="X344" s="534">
        <v>0</v>
      </c>
      <c r="Y344" s="534">
        <v>0</v>
      </c>
      <c r="Z344" s="534">
        <v>0</v>
      </c>
      <c r="AA344" s="534">
        <v>0</v>
      </c>
      <c r="AB344" s="534">
        <v>0</v>
      </c>
      <c r="AC344" s="534">
        <v>0</v>
      </c>
      <c r="AD344" s="534">
        <v>0</v>
      </c>
      <c r="AE344" s="536">
        <v>0</v>
      </c>
      <c r="AF344" s="533"/>
      <c r="AG344" s="534">
        <v>0</v>
      </c>
      <c r="AH344" s="534">
        <v>0</v>
      </c>
      <c r="AI344" s="534">
        <v>0</v>
      </c>
      <c r="AJ344" s="534">
        <v>0</v>
      </c>
      <c r="AK344" s="536">
        <v>0</v>
      </c>
      <c r="AL344" s="533"/>
      <c r="AM344" s="534">
        <v>0</v>
      </c>
      <c r="AN344" s="534">
        <v>0</v>
      </c>
      <c r="AO344" s="534">
        <v>0</v>
      </c>
      <c r="AP344" s="537">
        <v>0</v>
      </c>
      <c r="AQ344" s="535">
        <v>0</v>
      </c>
      <c r="AR344" s="534">
        <v>0</v>
      </c>
      <c r="AS344" s="534">
        <v>0</v>
      </c>
      <c r="AT344" s="534">
        <v>0</v>
      </c>
      <c r="AU344" s="536">
        <v>0</v>
      </c>
      <c r="AV344" s="533"/>
      <c r="AW344" s="538">
        <v>0</v>
      </c>
      <c r="AX344" s="538">
        <v>19053824.60002128</v>
      </c>
      <c r="AY344" s="533"/>
      <c r="AZ344" s="534">
        <f t="shared" si="142"/>
        <v>0</v>
      </c>
      <c r="BA344" s="534">
        <v>0</v>
      </c>
      <c r="BD344" s="392">
        <f t="shared" si="134"/>
        <v>0</v>
      </c>
      <c r="BE344" s="425">
        <f t="shared" si="135"/>
        <v>0</v>
      </c>
      <c r="BF344" s="425">
        <f t="shared" si="148"/>
        <v>0</v>
      </c>
      <c r="BG344" s="425">
        <f t="shared" si="148"/>
        <v>0</v>
      </c>
      <c r="BH344" s="425">
        <f t="shared" si="148"/>
        <v>0</v>
      </c>
      <c r="BI344" s="425">
        <f t="shared" si="148"/>
        <v>0</v>
      </c>
      <c r="BJ344" s="425">
        <f t="shared" si="148"/>
        <v>0</v>
      </c>
      <c r="BK344" s="425">
        <f t="shared" si="148"/>
        <v>0</v>
      </c>
      <c r="BL344" s="425">
        <f t="shared" si="148"/>
        <v>0</v>
      </c>
      <c r="BM344" s="425">
        <f t="shared" si="149"/>
        <v>0</v>
      </c>
      <c r="BN344" s="425">
        <f t="shared" si="149"/>
        <v>0</v>
      </c>
      <c r="BO344" s="425">
        <f t="shared" si="149"/>
        <v>0</v>
      </c>
      <c r="BP344" s="425">
        <f t="shared" si="150"/>
        <v>0</v>
      </c>
      <c r="BQ344" s="425">
        <f t="shared" si="150"/>
        <v>0</v>
      </c>
      <c r="BR344" s="425">
        <f t="shared" si="150"/>
        <v>0</v>
      </c>
      <c r="BS344" s="425">
        <f t="shared" si="151"/>
        <v>0</v>
      </c>
      <c r="BT344" s="426">
        <f t="shared" si="151"/>
        <v>0</v>
      </c>
    </row>
    <row r="345" spans="2:72" x14ac:dyDescent="0.25">
      <c r="B345" s="145"/>
      <c r="C345" s="539">
        <v>48761</v>
      </c>
      <c r="D345" s="533"/>
      <c r="E345" s="534">
        <v>0</v>
      </c>
      <c r="F345" s="534">
        <v>0</v>
      </c>
      <c r="G345" s="534">
        <v>0</v>
      </c>
      <c r="H345" s="540">
        <v>0</v>
      </c>
      <c r="I345" s="536">
        <v>0</v>
      </c>
      <c r="J345" s="533"/>
      <c r="K345" s="534">
        <v>0</v>
      </c>
      <c r="L345" s="534">
        <v>0</v>
      </c>
      <c r="M345" s="534">
        <v>0</v>
      </c>
      <c r="N345" s="534">
        <v>0</v>
      </c>
      <c r="O345" s="534">
        <v>0</v>
      </c>
      <c r="P345" s="534">
        <v>0</v>
      </c>
      <c r="Q345" s="534">
        <v>0</v>
      </c>
      <c r="R345" s="534">
        <v>0</v>
      </c>
      <c r="S345" s="536">
        <v>0</v>
      </c>
      <c r="T345" s="533"/>
      <c r="U345" s="534">
        <v>0</v>
      </c>
      <c r="V345" s="534">
        <v>0</v>
      </c>
      <c r="W345" s="534">
        <v>0</v>
      </c>
      <c r="X345" s="534">
        <v>0</v>
      </c>
      <c r="Y345" s="534">
        <v>0</v>
      </c>
      <c r="Z345" s="534">
        <v>0</v>
      </c>
      <c r="AA345" s="534">
        <v>0</v>
      </c>
      <c r="AB345" s="534">
        <v>0</v>
      </c>
      <c r="AC345" s="534">
        <v>0</v>
      </c>
      <c r="AD345" s="534">
        <v>0</v>
      </c>
      <c r="AE345" s="536">
        <v>0</v>
      </c>
      <c r="AF345" s="533"/>
      <c r="AG345" s="534">
        <v>0</v>
      </c>
      <c r="AH345" s="534">
        <v>0</v>
      </c>
      <c r="AI345" s="534">
        <v>0</v>
      </c>
      <c r="AJ345" s="534">
        <v>0</v>
      </c>
      <c r="AK345" s="536">
        <v>0</v>
      </c>
      <c r="AL345" s="533"/>
      <c r="AM345" s="534">
        <v>0</v>
      </c>
      <c r="AN345" s="534">
        <v>0</v>
      </c>
      <c r="AO345" s="534">
        <v>0</v>
      </c>
      <c r="AP345" s="537">
        <v>0</v>
      </c>
      <c r="AQ345" s="535">
        <v>0</v>
      </c>
      <c r="AR345" s="534">
        <v>0</v>
      </c>
      <c r="AS345" s="534">
        <v>0</v>
      </c>
      <c r="AT345" s="534">
        <v>0</v>
      </c>
      <c r="AU345" s="536">
        <v>0</v>
      </c>
      <c r="AV345" s="533"/>
      <c r="AW345" s="538">
        <v>0</v>
      </c>
      <c r="AX345" s="538">
        <v>19053824.60002128</v>
      </c>
      <c r="AY345" s="533"/>
      <c r="AZ345" s="534">
        <f t="shared" si="142"/>
        <v>0</v>
      </c>
      <c r="BA345" s="534">
        <v>0</v>
      </c>
      <c r="BD345" s="392">
        <f t="shared" si="134"/>
        <v>0</v>
      </c>
      <c r="BE345" s="425">
        <f t="shared" si="135"/>
        <v>0</v>
      </c>
      <c r="BF345" s="425">
        <f t="shared" si="148"/>
        <v>0</v>
      </c>
      <c r="BG345" s="425">
        <f t="shared" si="148"/>
        <v>0</v>
      </c>
      <c r="BH345" s="425">
        <f t="shared" si="148"/>
        <v>0</v>
      </c>
      <c r="BI345" s="425">
        <f t="shared" si="148"/>
        <v>0</v>
      </c>
      <c r="BJ345" s="425">
        <f t="shared" si="148"/>
        <v>0</v>
      </c>
      <c r="BK345" s="425">
        <f t="shared" si="148"/>
        <v>0</v>
      </c>
      <c r="BL345" s="425">
        <f t="shared" si="148"/>
        <v>0</v>
      </c>
      <c r="BM345" s="425">
        <f t="shared" si="149"/>
        <v>0</v>
      </c>
      <c r="BN345" s="425">
        <f t="shared" si="149"/>
        <v>0</v>
      </c>
      <c r="BO345" s="425">
        <f t="shared" si="149"/>
        <v>0</v>
      </c>
      <c r="BP345" s="425">
        <f t="shared" si="150"/>
        <v>0</v>
      </c>
      <c r="BQ345" s="425">
        <f t="shared" si="150"/>
        <v>0</v>
      </c>
      <c r="BR345" s="425">
        <f t="shared" si="150"/>
        <v>0</v>
      </c>
      <c r="BS345" s="425">
        <f t="shared" si="151"/>
        <v>0</v>
      </c>
      <c r="BT345" s="426">
        <f t="shared" si="151"/>
        <v>0</v>
      </c>
    </row>
    <row r="346" spans="2:72" x14ac:dyDescent="0.25">
      <c r="B346" s="145"/>
      <c r="C346" s="539">
        <v>48792</v>
      </c>
      <c r="D346" s="533"/>
      <c r="E346" s="534">
        <v>0</v>
      </c>
      <c r="F346" s="534">
        <v>0</v>
      </c>
      <c r="G346" s="534">
        <v>0</v>
      </c>
      <c r="H346" s="540">
        <v>0</v>
      </c>
      <c r="I346" s="536">
        <v>0</v>
      </c>
      <c r="J346" s="533"/>
      <c r="K346" s="534">
        <v>0</v>
      </c>
      <c r="L346" s="534">
        <v>0</v>
      </c>
      <c r="M346" s="534">
        <v>0</v>
      </c>
      <c r="N346" s="534">
        <v>0</v>
      </c>
      <c r="O346" s="534">
        <v>0</v>
      </c>
      <c r="P346" s="534">
        <v>0</v>
      </c>
      <c r="Q346" s="534">
        <v>0</v>
      </c>
      <c r="R346" s="534">
        <v>0</v>
      </c>
      <c r="S346" s="536">
        <v>0</v>
      </c>
      <c r="T346" s="533"/>
      <c r="U346" s="534">
        <v>0</v>
      </c>
      <c r="V346" s="534">
        <v>0</v>
      </c>
      <c r="W346" s="534">
        <v>0</v>
      </c>
      <c r="X346" s="534">
        <v>0</v>
      </c>
      <c r="Y346" s="534">
        <v>0</v>
      </c>
      <c r="Z346" s="534">
        <v>0</v>
      </c>
      <c r="AA346" s="534">
        <v>0</v>
      </c>
      <c r="AB346" s="534">
        <v>0</v>
      </c>
      <c r="AC346" s="534">
        <v>0</v>
      </c>
      <c r="AD346" s="534">
        <v>0</v>
      </c>
      <c r="AE346" s="536">
        <v>0</v>
      </c>
      <c r="AF346" s="533"/>
      <c r="AG346" s="534">
        <v>0</v>
      </c>
      <c r="AH346" s="534">
        <v>0</v>
      </c>
      <c r="AI346" s="534">
        <v>0</v>
      </c>
      <c r="AJ346" s="534">
        <v>0</v>
      </c>
      <c r="AK346" s="536">
        <v>0</v>
      </c>
      <c r="AL346" s="533"/>
      <c r="AM346" s="534">
        <v>0</v>
      </c>
      <c r="AN346" s="534">
        <v>0</v>
      </c>
      <c r="AO346" s="534">
        <v>0</v>
      </c>
      <c r="AP346" s="537">
        <v>0</v>
      </c>
      <c r="AQ346" s="535">
        <v>0</v>
      </c>
      <c r="AR346" s="534">
        <v>0</v>
      </c>
      <c r="AS346" s="534">
        <v>0</v>
      </c>
      <c r="AT346" s="534">
        <v>0</v>
      </c>
      <c r="AU346" s="536">
        <v>0</v>
      </c>
      <c r="AV346" s="533"/>
      <c r="AW346" s="538">
        <v>0</v>
      </c>
      <c r="AX346" s="538">
        <v>19053824.60002128</v>
      </c>
      <c r="AY346" s="533"/>
      <c r="AZ346" s="534">
        <f t="shared" si="142"/>
        <v>0</v>
      </c>
      <c r="BA346" s="534">
        <v>0</v>
      </c>
      <c r="BD346" s="392">
        <f t="shared" si="134"/>
        <v>0</v>
      </c>
      <c r="BE346" s="425">
        <f t="shared" si="135"/>
        <v>0</v>
      </c>
      <c r="BF346" s="425">
        <f t="shared" si="148"/>
        <v>0</v>
      </c>
      <c r="BG346" s="425">
        <f t="shared" si="148"/>
        <v>0</v>
      </c>
      <c r="BH346" s="425">
        <f t="shared" si="148"/>
        <v>0</v>
      </c>
      <c r="BI346" s="425">
        <f t="shared" si="148"/>
        <v>0</v>
      </c>
      <c r="BJ346" s="425">
        <f t="shared" si="148"/>
        <v>0</v>
      </c>
      <c r="BK346" s="425">
        <f t="shared" si="148"/>
        <v>0</v>
      </c>
      <c r="BL346" s="425">
        <f t="shared" si="148"/>
        <v>0</v>
      </c>
      <c r="BM346" s="425">
        <f t="shared" si="149"/>
        <v>0</v>
      </c>
      <c r="BN346" s="425">
        <f t="shared" si="149"/>
        <v>0</v>
      </c>
      <c r="BO346" s="425">
        <f t="shared" si="149"/>
        <v>0</v>
      </c>
      <c r="BP346" s="425">
        <f t="shared" si="150"/>
        <v>0</v>
      </c>
      <c r="BQ346" s="425">
        <f t="shared" si="150"/>
        <v>0</v>
      </c>
      <c r="BR346" s="425">
        <f t="shared" si="150"/>
        <v>0</v>
      </c>
      <c r="BS346" s="425">
        <f t="shared" si="151"/>
        <v>0</v>
      </c>
      <c r="BT346" s="426">
        <f t="shared" si="151"/>
        <v>0</v>
      </c>
    </row>
    <row r="347" spans="2:72" x14ac:dyDescent="0.25">
      <c r="B347" s="145"/>
      <c r="C347" s="539">
        <v>48823</v>
      </c>
      <c r="D347" s="533"/>
      <c r="E347" s="534">
        <v>0</v>
      </c>
      <c r="F347" s="534">
        <v>0</v>
      </c>
      <c r="G347" s="534">
        <v>0</v>
      </c>
      <c r="H347" s="540">
        <v>0</v>
      </c>
      <c r="I347" s="536">
        <v>0</v>
      </c>
      <c r="J347" s="533"/>
      <c r="K347" s="534">
        <v>0</v>
      </c>
      <c r="L347" s="534">
        <v>0</v>
      </c>
      <c r="M347" s="534">
        <v>0</v>
      </c>
      <c r="N347" s="534">
        <v>0</v>
      </c>
      <c r="O347" s="534">
        <v>0</v>
      </c>
      <c r="P347" s="534">
        <v>0</v>
      </c>
      <c r="Q347" s="534">
        <v>0</v>
      </c>
      <c r="R347" s="534">
        <v>0</v>
      </c>
      <c r="S347" s="536">
        <v>0</v>
      </c>
      <c r="T347" s="533"/>
      <c r="U347" s="534">
        <v>0</v>
      </c>
      <c r="V347" s="534">
        <v>0</v>
      </c>
      <c r="W347" s="534">
        <v>0</v>
      </c>
      <c r="X347" s="534">
        <v>0</v>
      </c>
      <c r="Y347" s="534">
        <v>0</v>
      </c>
      <c r="Z347" s="534">
        <v>0</v>
      </c>
      <c r="AA347" s="534">
        <v>0</v>
      </c>
      <c r="AB347" s="534">
        <v>0</v>
      </c>
      <c r="AC347" s="534">
        <v>0</v>
      </c>
      <c r="AD347" s="534">
        <v>0</v>
      </c>
      <c r="AE347" s="536">
        <v>0</v>
      </c>
      <c r="AF347" s="533"/>
      <c r="AG347" s="534">
        <v>0</v>
      </c>
      <c r="AH347" s="534">
        <v>0</v>
      </c>
      <c r="AI347" s="534">
        <v>0</v>
      </c>
      <c r="AJ347" s="534">
        <v>0</v>
      </c>
      <c r="AK347" s="536">
        <v>0</v>
      </c>
      <c r="AL347" s="533"/>
      <c r="AM347" s="534">
        <v>0</v>
      </c>
      <c r="AN347" s="534">
        <v>0</v>
      </c>
      <c r="AO347" s="534">
        <v>0</v>
      </c>
      <c r="AP347" s="537">
        <v>0</v>
      </c>
      <c r="AQ347" s="535">
        <v>0</v>
      </c>
      <c r="AR347" s="534">
        <v>0</v>
      </c>
      <c r="AS347" s="534">
        <v>0</v>
      </c>
      <c r="AT347" s="534">
        <v>0</v>
      </c>
      <c r="AU347" s="536">
        <v>0</v>
      </c>
      <c r="AV347" s="533"/>
      <c r="AW347" s="538">
        <v>0</v>
      </c>
      <c r="AX347" s="538">
        <v>19053824.60002128</v>
      </c>
      <c r="AY347" s="533"/>
      <c r="AZ347" s="534">
        <f t="shared" si="142"/>
        <v>0</v>
      </c>
      <c r="BA347" s="534">
        <v>0</v>
      </c>
      <c r="BD347" s="392">
        <f t="shared" si="134"/>
        <v>0</v>
      </c>
      <c r="BE347" s="425">
        <f t="shared" si="135"/>
        <v>0</v>
      </c>
      <c r="BF347" s="425">
        <f t="shared" si="148"/>
        <v>0</v>
      </c>
      <c r="BG347" s="425">
        <f t="shared" si="148"/>
        <v>0</v>
      </c>
      <c r="BH347" s="425">
        <f t="shared" si="148"/>
        <v>0</v>
      </c>
      <c r="BI347" s="425">
        <f t="shared" si="148"/>
        <v>0</v>
      </c>
      <c r="BJ347" s="425">
        <f t="shared" si="148"/>
        <v>0</v>
      </c>
      <c r="BK347" s="425">
        <f t="shared" si="148"/>
        <v>0</v>
      </c>
      <c r="BL347" s="425">
        <f t="shared" si="148"/>
        <v>0</v>
      </c>
      <c r="BM347" s="425">
        <f t="shared" si="149"/>
        <v>0</v>
      </c>
      <c r="BN347" s="425">
        <f t="shared" si="149"/>
        <v>0</v>
      </c>
      <c r="BO347" s="425">
        <f t="shared" si="149"/>
        <v>0</v>
      </c>
      <c r="BP347" s="425">
        <f t="shared" si="150"/>
        <v>0</v>
      </c>
      <c r="BQ347" s="425">
        <f t="shared" si="150"/>
        <v>0</v>
      </c>
      <c r="BR347" s="425">
        <f t="shared" si="150"/>
        <v>0</v>
      </c>
      <c r="BS347" s="425">
        <f t="shared" si="151"/>
        <v>0</v>
      </c>
      <c r="BT347" s="426">
        <f t="shared" si="151"/>
        <v>0</v>
      </c>
    </row>
    <row r="348" spans="2:72" x14ac:dyDescent="0.25">
      <c r="B348" s="145"/>
      <c r="C348" s="539">
        <v>48853</v>
      </c>
      <c r="D348" s="533"/>
      <c r="E348" s="534">
        <v>0</v>
      </c>
      <c r="F348" s="534">
        <v>0</v>
      </c>
      <c r="G348" s="534">
        <v>0</v>
      </c>
      <c r="H348" s="540">
        <v>0</v>
      </c>
      <c r="I348" s="536">
        <v>0</v>
      </c>
      <c r="J348" s="533"/>
      <c r="K348" s="534">
        <v>0</v>
      </c>
      <c r="L348" s="534">
        <v>0</v>
      </c>
      <c r="M348" s="534">
        <v>0</v>
      </c>
      <c r="N348" s="534">
        <v>0</v>
      </c>
      <c r="O348" s="534">
        <v>0</v>
      </c>
      <c r="P348" s="534">
        <v>0</v>
      </c>
      <c r="Q348" s="534">
        <v>0</v>
      </c>
      <c r="R348" s="534">
        <v>0</v>
      </c>
      <c r="S348" s="536">
        <v>0</v>
      </c>
      <c r="T348" s="533"/>
      <c r="U348" s="534">
        <v>0</v>
      </c>
      <c r="V348" s="534">
        <v>0</v>
      </c>
      <c r="W348" s="534">
        <v>0</v>
      </c>
      <c r="X348" s="534">
        <v>0</v>
      </c>
      <c r="Y348" s="534">
        <v>0</v>
      </c>
      <c r="Z348" s="534">
        <v>0</v>
      </c>
      <c r="AA348" s="534">
        <v>0</v>
      </c>
      <c r="AB348" s="534">
        <v>0</v>
      </c>
      <c r="AC348" s="534">
        <v>0</v>
      </c>
      <c r="AD348" s="534">
        <v>0</v>
      </c>
      <c r="AE348" s="536">
        <v>0</v>
      </c>
      <c r="AF348" s="533"/>
      <c r="AG348" s="534">
        <v>0</v>
      </c>
      <c r="AH348" s="534">
        <v>0</v>
      </c>
      <c r="AI348" s="534">
        <v>0</v>
      </c>
      <c r="AJ348" s="534">
        <v>0</v>
      </c>
      <c r="AK348" s="536">
        <v>0</v>
      </c>
      <c r="AL348" s="533"/>
      <c r="AM348" s="534">
        <v>0</v>
      </c>
      <c r="AN348" s="534">
        <v>0</v>
      </c>
      <c r="AO348" s="534">
        <v>0</v>
      </c>
      <c r="AP348" s="537">
        <v>0</v>
      </c>
      <c r="AQ348" s="535">
        <v>0</v>
      </c>
      <c r="AR348" s="534">
        <v>0</v>
      </c>
      <c r="AS348" s="534">
        <v>0</v>
      </c>
      <c r="AT348" s="534">
        <v>0</v>
      </c>
      <c r="AU348" s="536">
        <v>0</v>
      </c>
      <c r="AV348" s="533"/>
      <c r="AW348" s="538">
        <v>0</v>
      </c>
      <c r="AX348" s="538">
        <v>19053824.60002128</v>
      </c>
      <c r="AY348" s="533"/>
      <c r="AZ348" s="534">
        <f t="shared" si="142"/>
        <v>0</v>
      </c>
      <c r="BA348" s="534">
        <v>0</v>
      </c>
      <c r="BD348" s="392">
        <f t="shared" si="134"/>
        <v>0</v>
      </c>
      <c r="BE348" s="425">
        <f t="shared" si="135"/>
        <v>0</v>
      </c>
      <c r="BF348" s="425">
        <f t="shared" si="148"/>
        <v>0</v>
      </c>
      <c r="BG348" s="425">
        <f t="shared" si="148"/>
        <v>0</v>
      </c>
      <c r="BH348" s="425">
        <f t="shared" si="148"/>
        <v>0</v>
      </c>
      <c r="BI348" s="425">
        <f t="shared" si="148"/>
        <v>0</v>
      </c>
      <c r="BJ348" s="425">
        <f t="shared" si="148"/>
        <v>0</v>
      </c>
      <c r="BK348" s="425">
        <f t="shared" si="148"/>
        <v>0</v>
      </c>
      <c r="BL348" s="425">
        <f t="shared" si="148"/>
        <v>0</v>
      </c>
      <c r="BM348" s="425">
        <f t="shared" si="149"/>
        <v>0</v>
      </c>
      <c r="BN348" s="425">
        <f t="shared" si="149"/>
        <v>0</v>
      </c>
      <c r="BO348" s="425">
        <f t="shared" si="149"/>
        <v>0</v>
      </c>
      <c r="BP348" s="425">
        <f t="shared" si="150"/>
        <v>0</v>
      </c>
      <c r="BQ348" s="425">
        <f t="shared" si="150"/>
        <v>0</v>
      </c>
      <c r="BR348" s="425">
        <f t="shared" si="150"/>
        <v>0</v>
      </c>
      <c r="BS348" s="425">
        <f t="shared" si="151"/>
        <v>0</v>
      </c>
      <c r="BT348" s="426">
        <f t="shared" si="151"/>
        <v>0</v>
      </c>
    </row>
    <row r="349" spans="2:72" x14ac:dyDescent="0.25">
      <c r="B349" s="145"/>
      <c r="C349" s="539">
        <v>48884</v>
      </c>
      <c r="D349" s="533"/>
      <c r="E349" s="534">
        <v>0</v>
      </c>
      <c r="F349" s="534">
        <v>0</v>
      </c>
      <c r="G349" s="534">
        <v>0</v>
      </c>
      <c r="H349" s="540">
        <v>0</v>
      </c>
      <c r="I349" s="536">
        <v>0</v>
      </c>
      <c r="J349" s="533"/>
      <c r="K349" s="534">
        <v>0</v>
      </c>
      <c r="L349" s="534">
        <v>0</v>
      </c>
      <c r="M349" s="534">
        <v>0</v>
      </c>
      <c r="N349" s="534">
        <v>0</v>
      </c>
      <c r="O349" s="534">
        <v>0</v>
      </c>
      <c r="P349" s="534">
        <v>0</v>
      </c>
      <c r="Q349" s="534">
        <v>0</v>
      </c>
      <c r="R349" s="534">
        <v>0</v>
      </c>
      <c r="S349" s="536">
        <v>0</v>
      </c>
      <c r="T349" s="533"/>
      <c r="U349" s="534">
        <v>0</v>
      </c>
      <c r="V349" s="534">
        <v>0</v>
      </c>
      <c r="W349" s="534">
        <v>0</v>
      </c>
      <c r="X349" s="534">
        <v>0</v>
      </c>
      <c r="Y349" s="534">
        <v>0</v>
      </c>
      <c r="Z349" s="534">
        <v>0</v>
      </c>
      <c r="AA349" s="534">
        <v>0</v>
      </c>
      <c r="AB349" s="534">
        <v>0</v>
      </c>
      <c r="AC349" s="534">
        <v>0</v>
      </c>
      <c r="AD349" s="534">
        <v>0</v>
      </c>
      <c r="AE349" s="536">
        <v>0</v>
      </c>
      <c r="AF349" s="533"/>
      <c r="AG349" s="534">
        <v>0</v>
      </c>
      <c r="AH349" s="534">
        <v>0</v>
      </c>
      <c r="AI349" s="534">
        <v>0</v>
      </c>
      <c r="AJ349" s="534">
        <v>0</v>
      </c>
      <c r="AK349" s="536">
        <v>0</v>
      </c>
      <c r="AL349" s="533"/>
      <c r="AM349" s="534">
        <v>0</v>
      </c>
      <c r="AN349" s="534">
        <v>0</v>
      </c>
      <c r="AO349" s="534">
        <v>0</v>
      </c>
      <c r="AP349" s="537">
        <v>0</v>
      </c>
      <c r="AQ349" s="535">
        <v>0</v>
      </c>
      <c r="AR349" s="534">
        <v>0</v>
      </c>
      <c r="AS349" s="534">
        <v>0</v>
      </c>
      <c r="AT349" s="534">
        <v>0</v>
      </c>
      <c r="AU349" s="536">
        <v>0</v>
      </c>
      <c r="AV349" s="533"/>
      <c r="AW349" s="538">
        <v>0</v>
      </c>
      <c r="AX349" s="538">
        <v>19053824.60002128</v>
      </c>
      <c r="AY349" s="533"/>
      <c r="AZ349" s="534">
        <f t="shared" si="142"/>
        <v>0</v>
      </c>
      <c r="BA349" s="534">
        <v>0</v>
      </c>
      <c r="BD349" s="392">
        <f t="shared" si="134"/>
        <v>0</v>
      </c>
      <c r="BE349" s="425">
        <f t="shared" si="135"/>
        <v>0</v>
      </c>
      <c r="BF349" s="425">
        <f t="shared" si="148"/>
        <v>0</v>
      </c>
      <c r="BG349" s="425">
        <f t="shared" si="148"/>
        <v>0</v>
      </c>
      <c r="BH349" s="425">
        <f t="shared" si="148"/>
        <v>0</v>
      </c>
      <c r="BI349" s="425">
        <f t="shared" si="148"/>
        <v>0</v>
      </c>
      <c r="BJ349" s="425">
        <f t="shared" si="148"/>
        <v>0</v>
      </c>
      <c r="BK349" s="425">
        <f t="shared" si="148"/>
        <v>0</v>
      </c>
      <c r="BL349" s="425">
        <f t="shared" si="148"/>
        <v>0</v>
      </c>
      <c r="BM349" s="425">
        <f t="shared" si="149"/>
        <v>0</v>
      </c>
      <c r="BN349" s="425">
        <f t="shared" si="149"/>
        <v>0</v>
      </c>
      <c r="BO349" s="425">
        <f t="shared" si="149"/>
        <v>0</v>
      </c>
      <c r="BP349" s="425">
        <f t="shared" si="150"/>
        <v>0</v>
      </c>
      <c r="BQ349" s="425">
        <f t="shared" si="150"/>
        <v>0</v>
      </c>
      <c r="BR349" s="425">
        <f t="shared" si="150"/>
        <v>0</v>
      </c>
      <c r="BS349" s="425">
        <f t="shared" si="151"/>
        <v>0</v>
      </c>
      <c r="BT349" s="426">
        <f t="shared" si="151"/>
        <v>0</v>
      </c>
    </row>
    <row r="350" spans="2:72" x14ac:dyDescent="0.25">
      <c r="B350" s="145"/>
      <c r="C350" s="539">
        <v>48914</v>
      </c>
      <c r="D350" s="533"/>
      <c r="E350" s="534">
        <v>0</v>
      </c>
      <c r="F350" s="534">
        <v>0</v>
      </c>
      <c r="G350" s="534">
        <v>0</v>
      </c>
      <c r="H350" s="540">
        <v>0</v>
      </c>
      <c r="I350" s="536">
        <v>0</v>
      </c>
      <c r="J350" s="533"/>
      <c r="K350" s="534">
        <v>0</v>
      </c>
      <c r="L350" s="534">
        <v>0</v>
      </c>
      <c r="M350" s="534">
        <v>0</v>
      </c>
      <c r="N350" s="534">
        <v>0</v>
      </c>
      <c r="O350" s="534">
        <v>0</v>
      </c>
      <c r="P350" s="534">
        <v>0</v>
      </c>
      <c r="Q350" s="534">
        <v>0</v>
      </c>
      <c r="R350" s="534">
        <v>0</v>
      </c>
      <c r="S350" s="536">
        <v>0</v>
      </c>
      <c r="T350" s="533"/>
      <c r="U350" s="534">
        <v>0</v>
      </c>
      <c r="V350" s="534">
        <v>0</v>
      </c>
      <c r="W350" s="534">
        <v>0</v>
      </c>
      <c r="X350" s="534">
        <v>0</v>
      </c>
      <c r="Y350" s="534">
        <v>0</v>
      </c>
      <c r="Z350" s="534">
        <v>0</v>
      </c>
      <c r="AA350" s="534">
        <v>0</v>
      </c>
      <c r="AB350" s="534">
        <v>0</v>
      </c>
      <c r="AC350" s="534">
        <v>0</v>
      </c>
      <c r="AD350" s="534">
        <v>0</v>
      </c>
      <c r="AE350" s="536">
        <v>0</v>
      </c>
      <c r="AF350" s="533"/>
      <c r="AG350" s="534">
        <v>0</v>
      </c>
      <c r="AH350" s="534">
        <v>0</v>
      </c>
      <c r="AI350" s="534">
        <v>0</v>
      </c>
      <c r="AJ350" s="534">
        <v>0</v>
      </c>
      <c r="AK350" s="536">
        <v>0</v>
      </c>
      <c r="AL350" s="533"/>
      <c r="AM350" s="534">
        <v>0</v>
      </c>
      <c r="AN350" s="534">
        <v>0</v>
      </c>
      <c r="AO350" s="534">
        <v>0</v>
      </c>
      <c r="AP350" s="537">
        <v>0</v>
      </c>
      <c r="AQ350" s="535">
        <v>0</v>
      </c>
      <c r="AR350" s="534">
        <v>0</v>
      </c>
      <c r="AS350" s="534">
        <v>0</v>
      </c>
      <c r="AT350" s="534">
        <v>0</v>
      </c>
      <c r="AU350" s="536">
        <v>0</v>
      </c>
      <c r="AV350" s="533"/>
      <c r="AW350" s="538">
        <v>0</v>
      </c>
      <c r="AX350" s="538">
        <v>19053824.60002128</v>
      </c>
      <c r="AY350" s="533"/>
      <c r="AZ350" s="534">
        <f t="shared" si="142"/>
        <v>0</v>
      </c>
      <c r="BA350" s="534">
        <v>0</v>
      </c>
      <c r="BD350" s="392">
        <f t="shared" si="134"/>
        <v>0</v>
      </c>
      <c r="BE350" s="425">
        <f t="shared" si="135"/>
        <v>0</v>
      </c>
      <c r="BF350" s="425">
        <f t="shared" si="148"/>
        <v>0</v>
      </c>
      <c r="BG350" s="425">
        <f t="shared" si="148"/>
        <v>0</v>
      </c>
      <c r="BH350" s="425">
        <f t="shared" si="148"/>
        <v>0</v>
      </c>
      <c r="BI350" s="425">
        <f t="shared" si="148"/>
        <v>0</v>
      </c>
      <c r="BJ350" s="425">
        <f t="shared" si="148"/>
        <v>0</v>
      </c>
      <c r="BK350" s="425">
        <f t="shared" si="148"/>
        <v>0</v>
      </c>
      <c r="BL350" s="425">
        <f t="shared" si="148"/>
        <v>0</v>
      </c>
      <c r="BM350" s="425">
        <f t="shared" si="149"/>
        <v>0</v>
      </c>
      <c r="BN350" s="425">
        <f t="shared" si="149"/>
        <v>0</v>
      </c>
      <c r="BO350" s="425">
        <f t="shared" si="149"/>
        <v>0</v>
      </c>
      <c r="BP350" s="425">
        <f t="shared" si="150"/>
        <v>0</v>
      </c>
      <c r="BQ350" s="425">
        <f t="shared" si="150"/>
        <v>0</v>
      </c>
      <c r="BR350" s="425">
        <f t="shared" si="150"/>
        <v>0</v>
      </c>
      <c r="BS350" s="425">
        <f t="shared" si="151"/>
        <v>0</v>
      </c>
      <c r="BT350" s="426">
        <f t="shared" si="151"/>
        <v>0</v>
      </c>
    </row>
    <row r="351" spans="2:72" x14ac:dyDescent="0.25">
      <c r="B351" s="145"/>
      <c r="C351" s="539">
        <v>48945</v>
      </c>
      <c r="D351" s="533"/>
      <c r="E351" s="534">
        <v>0</v>
      </c>
      <c r="F351" s="534">
        <v>0</v>
      </c>
      <c r="G351" s="534">
        <v>0</v>
      </c>
      <c r="H351" s="540">
        <v>0</v>
      </c>
      <c r="I351" s="536">
        <v>0</v>
      </c>
      <c r="J351" s="533"/>
      <c r="K351" s="534">
        <v>0</v>
      </c>
      <c r="L351" s="534">
        <v>0</v>
      </c>
      <c r="M351" s="534">
        <v>0</v>
      </c>
      <c r="N351" s="534">
        <v>0</v>
      </c>
      <c r="O351" s="534">
        <v>0</v>
      </c>
      <c r="P351" s="534">
        <v>0</v>
      </c>
      <c r="Q351" s="534">
        <v>0</v>
      </c>
      <c r="R351" s="534">
        <v>0</v>
      </c>
      <c r="S351" s="536">
        <v>0</v>
      </c>
      <c r="T351" s="533"/>
      <c r="U351" s="534">
        <v>0</v>
      </c>
      <c r="V351" s="534">
        <v>0</v>
      </c>
      <c r="W351" s="534">
        <v>0</v>
      </c>
      <c r="X351" s="534">
        <v>0</v>
      </c>
      <c r="Y351" s="534">
        <v>0</v>
      </c>
      <c r="Z351" s="534">
        <v>0</v>
      </c>
      <c r="AA351" s="534">
        <v>0</v>
      </c>
      <c r="AB351" s="534">
        <v>0</v>
      </c>
      <c r="AC351" s="534">
        <v>0</v>
      </c>
      <c r="AD351" s="534">
        <v>0</v>
      </c>
      <c r="AE351" s="536">
        <v>0</v>
      </c>
      <c r="AF351" s="533"/>
      <c r="AG351" s="534">
        <v>0</v>
      </c>
      <c r="AH351" s="534">
        <v>0</v>
      </c>
      <c r="AI351" s="534">
        <v>0</v>
      </c>
      <c r="AJ351" s="534">
        <v>0</v>
      </c>
      <c r="AK351" s="536">
        <v>0</v>
      </c>
      <c r="AL351" s="533"/>
      <c r="AM351" s="534">
        <v>0</v>
      </c>
      <c r="AN351" s="534">
        <v>0</v>
      </c>
      <c r="AO351" s="534">
        <v>0</v>
      </c>
      <c r="AP351" s="537">
        <v>0</v>
      </c>
      <c r="AQ351" s="535">
        <v>0</v>
      </c>
      <c r="AR351" s="534">
        <v>0</v>
      </c>
      <c r="AS351" s="534">
        <v>0</v>
      </c>
      <c r="AT351" s="534">
        <v>0</v>
      </c>
      <c r="AU351" s="536">
        <v>0</v>
      </c>
      <c r="AV351" s="533"/>
      <c r="AW351" s="538">
        <v>0</v>
      </c>
      <c r="AX351" s="538">
        <v>19053824.60002128</v>
      </c>
      <c r="AY351" s="533"/>
      <c r="AZ351" s="534">
        <f t="shared" ref="AZ351:AZ382" si="152">0 - BA351</f>
        <v>0</v>
      </c>
      <c r="BA351" s="534">
        <v>0</v>
      </c>
      <c r="BD351" s="392">
        <f t="shared" si="134"/>
        <v>0</v>
      </c>
      <c r="BE351" s="425">
        <f t="shared" si="135"/>
        <v>0</v>
      </c>
      <c r="BF351" s="425">
        <f t="shared" ref="BF351:BL360" si="153">-SUMIF($E$6:$BA$6, BF$6, $E351:$BA351)</f>
        <v>0</v>
      </c>
      <c r="BG351" s="425">
        <f t="shared" si="153"/>
        <v>0</v>
      </c>
      <c r="BH351" s="425">
        <f t="shared" si="153"/>
        <v>0</v>
      </c>
      <c r="BI351" s="425">
        <f t="shared" si="153"/>
        <v>0</v>
      </c>
      <c r="BJ351" s="425">
        <f t="shared" si="153"/>
        <v>0</v>
      </c>
      <c r="BK351" s="425">
        <f t="shared" si="153"/>
        <v>0</v>
      </c>
      <c r="BL351" s="425">
        <f t="shared" si="153"/>
        <v>0</v>
      </c>
      <c r="BM351" s="425">
        <f t="shared" si="149"/>
        <v>0</v>
      </c>
      <c r="BN351" s="425">
        <f t="shared" si="149"/>
        <v>0</v>
      </c>
      <c r="BO351" s="425">
        <f t="shared" si="149"/>
        <v>0</v>
      </c>
      <c r="BP351" s="425">
        <f t="shared" si="150"/>
        <v>0</v>
      </c>
      <c r="BQ351" s="425">
        <f t="shared" si="150"/>
        <v>0</v>
      </c>
      <c r="BR351" s="425">
        <f t="shared" si="150"/>
        <v>0</v>
      </c>
      <c r="BS351" s="425">
        <f t="shared" si="151"/>
        <v>0</v>
      </c>
      <c r="BT351" s="426">
        <f t="shared" si="151"/>
        <v>0</v>
      </c>
    </row>
    <row r="352" spans="2:72" x14ac:dyDescent="0.25">
      <c r="B352" s="145"/>
      <c r="C352" s="539">
        <v>48976</v>
      </c>
      <c r="D352" s="533"/>
      <c r="E352" s="534">
        <v>0</v>
      </c>
      <c r="F352" s="534">
        <v>0</v>
      </c>
      <c r="G352" s="534">
        <v>0</v>
      </c>
      <c r="H352" s="540">
        <v>0</v>
      </c>
      <c r="I352" s="536">
        <v>0</v>
      </c>
      <c r="J352" s="533"/>
      <c r="K352" s="534">
        <v>0</v>
      </c>
      <c r="L352" s="534">
        <v>0</v>
      </c>
      <c r="M352" s="534">
        <v>0</v>
      </c>
      <c r="N352" s="534">
        <v>0</v>
      </c>
      <c r="O352" s="534">
        <v>0</v>
      </c>
      <c r="P352" s="534">
        <v>0</v>
      </c>
      <c r="Q352" s="534">
        <v>0</v>
      </c>
      <c r="R352" s="534">
        <v>0</v>
      </c>
      <c r="S352" s="536">
        <v>0</v>
      </c>
      <c r="T352" s="533"/>
      <c r="U352" s="534">
        <v>0</v>
      </c>
      <c r="V352" s="534">
        <v>0</v>
      </c>
      <c r="W352" s="534">
        <v>0</v>
      </c>
      <c r="X352" s="534">
        <v>0</v>
      </c>
      <c r="Y352" s="534">
        <v>0</v>
      </c>
      <c r="Z352" s="534">
        <v>0</v>
      </c>
      <c r="AA352" s="534">
        <v>0</v>
      </c>
      <c r="AB352" s="534">
        <v>0</v>
      </c>
      <c r="AC352" s="534">
        <v>0</v>
      </c>
      <c r="AD352" s="534">
        <v>0</v>
      </c>
      <c r="AE352" s="536">
        <v>0</v>
      </c>
      <c r="AF352" s="533"/>
      <c r="AG352" s="534">
        <v>0</v>
      </c>
      <c r="AH352" s="534">
        <v>0</v>
      </c>
      <c r="AI352" s="534">
        <v>0</v>
      </c>
      <c r="AJ352" s="534">
        <v>0</v>
      </c>
      <c r="AK352" s="536">
        <v>0</v>
      </c>
      <c r="AL352" s="533"/>
      <c r="AM352" s="534">
        <v>0</v>
      </c>
      <c r="AN352" s="534">
        <v>0</v>
      </c>
      <c r="AO352" s="534">
        <v>0</v>
      </c>
      <c r="AP352" s="537">
        <v>0</v>
      </c>
      <c r="AQ352" s="535">
        <v>0</v>
      </c>
      <c r="AR352" s="534">
        <v>0</v>
      </c>
      <c r="AS352" s="534">
        <v>0</v>
      </c>
      <c r="AT352" s="534">
        <v>0</v>
      </c>
      <c r="AU352" s="536">
        <v>0</v>
      </c>
      <c r="AV352" s="533"/>
      <c r="AW352" s="538">
        <v>0</v>
      </c>
      <c r="AX352" s="538">
        <v>19053824.60002128</v>
      </c>
      <c r="AY352" s="533"/>
      <c r="AZ352" s="534">
        <f t="shared" si="152"/>
        <v>0</v>
      </c>
      <c r="BA352" s="534">
        <v>0</v>
      </c>
      <c r="BD352" s="392">
        <f t="shared" si="134"/>
        <v>0</v>
      </c>
      <c r="BE352" s="425">
        <f t="shared" si="135"/>
        <v>0</v>
      </c>
      <c r="BF352" s="425">
        <f t="shared" si="153"/>
        <v>0</v>
      </c>
      <c r="BG352" s="425">
        <f t="shared" si="153"/>
        <v>0</v>
      </c>
      <c r="BH352" s="425">
        <f t="shared" si="153"/>
        <v>0</v>
      </c>
      <c r="BI352" s="425">
        <f t="shared" si="153"/>
        <v>0</v>
      </c>
      <c r="BJ352" s="425">
        <f t="shared" si="153"/>
        <v>0</v>
      </c>
      <c r="BK352" s="425">
        <f t="shared" si="153"/>
        <v>0</v>
      </c>
      <c r="BL352" s="425">
        <f t="shared" si="153"/>
        <v>0</v>
      </c>
      <c r="BM352" s="425">
        <f t="shared" si="149"/>
        <v>0</v>
      </c>
      <c r="BN352" s="425">
        <f t="shared" si="149"/>
        <v>0</v>
      </c>
      <c r="BO352" s="425">
        <f t="shared" si="149"/>
        <v>0</v>
      </c>
      <c r="BP352" s="425">
        <f t="shared" si="150"/>
        <v>0</v>
      </c>
      <c r="BQ352" s="425">
        <f t="shared" si="150"/>
        <v>0</v>
      </c>
      <c r="BR352" s="425">
        <f t="shared" si="150"/>
        <v>0</v>
      </c>
      <c r="BS352" s="425">
        <f t="shared" si="151"/>
        <v>0</v>
      </c>
      <c r="BT352" s="426">
        <f t="shared" si="151"/>
        <v>0</v>
      </c>
    </row>
    <row r="353" spans="2:72" x14ac:dyDescent="0.25">
      <c r="B353" s="145"/>
      <c r="C353" s="539">
        <v>49004</v>
      </c>
      <c r="D353" s="533"/>
      <c r="E353" s="534">
        <v>0</v>
      </c>
      <c r="F353" s="534">
        <v>0</v>
      </c>
      <c r="G353" s="534">
        <v>0</v>
      </c>
      <c r="H353" s="540">
        <v>0</v>
      </c>
      <c r="I353" s="536">
        <v>0</v>
      </c>
      <c r="J353" s="533"/>
      <c r="K353" s="534">
        <v>0</v>
      </c>
      <c r="L353" s="534">
        <v>0</v>
      </c>
      <c r="M353" s="534">
        <v>0</v>
      </c>
      <c r="N353" s="534">
        <v>0</v>
      </c>
      <c r="O353" s="534">
        <v>0</v>
      </c>
      <c r="P353" s="534">
        <v>0</v>
      </c>
      <c r="Q353" s="534">
        <v>0</v>
      </c>
      <c r="R353" s="534">
        <v>0</v>
      </c>
      <c r="S353" s="536">
        <v>0</v>
      </c>
      <c r="T353" s="533"/>
      <c r="U353" s="534">
        <v>0</v>
      </c>
      <c r="V353" s="534">
        <v>0</v>
      </c>
      <c r="W353" s="534">
        <v>0</v>
      </c>
      <c r="X353" s="534">
        <v>0</v>
      </c>
      <c r="Y353" s="534">
        <v>0</v>
      </c>
      <c r="Z353" s="534">
        <v>0</v>
      </c>
      <c r="AA353" s="534">
        <v>0</v>
      </c>
      <c r="AB353" s="534">
        <v>0</v>
      </c>
      <c r="AC353" s="534">
        <v>0</v>
      </c>
      <c r="AD353" s="534">
        <v>0</v>
      </c>
      <c r="AE353" s="536">
        <v>0</v>
      </c>
      <c r="AF353" s="533"/>
      <c r="AG353" s="534">
        <v>0</v>
      </c>
      <c r="AH353" s="534">
        <v>0</v>
      </c>
      <c r="AI353" s="534">
        <v>0</v>
      </c>
      <c r="AJ353" s="534">
        <v>0</v>
      </c>
      <c r="AK353" s="536">
        <v>0</v>
      </c>
      <c r="AL353" s="533"/>
      <c r="AM353" s="534">
        <v>0</v>
      </c>
      <c r="AN353" s="534">
        <v>0</v>
      </c>
      <c r="AO353" s="534">
        <v>0</v>
      </c>
      <c r="AP353" s="537">
        <v>0</v>
      </c>
      <c r="AQ353" s="535">
        <v>0</v>
      </c>
      <c r="AR353" s="534">
        <v>0</v>
      </c>
      <c r="AS353" s="534">
        <v>0</v>
      </c>
      <c r="AT353" s="534">
        <v>0</v>
      </c>
      <c r="AU353" s="536">
        <v>0</v>
      </c>
      <c r="AV353" s="533"/>
      <c r="AW353" s="538">
        <v>0</v>
      </c>
      <c r="AX353" s="538">
        <v>19053824.60002128</v>
      </c>
      <c r="AY353" s="533"/>
      <c r="AZ353" s="534">
        <f t="shared" si="152"/>
        <v>0</v>
      </c>
      <c r="BA353" s="534">
        <v>0</v>
      </c>
      <c r="BD353" s="392">
        <f t="shared" ref="BD353:BD374" si="154">SUMIF($E$6:$BA$6, BD$6, $E353:$BA353)</f>
        <v>0</v>
      </c>
      <c r="BE353" s="425">
        <f t="shared" ref="BE353:BE374" si="155">-SUMIF($E$6:$BA$6, BE$6, $E353:$BA353)+2*H353</f>
        <v>0</v>
      </c>
      <c r="BF353" s="425">
        <f t="shared" si="153"/>
        <v>0</v>
      </c>
      <c r="BG353" s="425">
        <f t="shared" si="153"/>
        <v>0</v>
      </c>
      <c r="BH353" s="425">
        <f t="shared" si="153"/>
        <v>0</v>
      </c>
      <c r="BI353" s="425">
        <f t="shared" si="153"/>
        <v>0</v>
      </c>
      <c r="BJ353" s="425">
        <f t="shared" si="153"/>
        <v>0</v>
      </c>
      <c r="BK353" s="425">
        <f t="shared" si="153"/>
        <v>0</v>
      </c>
      <c r="BL353" s="425">
        <f t="shared" si="153"/>
        <v>0</v>
      </c>
      <c r="BM353" s="425">
        <f t="shared" si="149"/>
        <v>0</v>
      </c>
      <c r="BN353" s="425">
        <f t="shared" si="149"/>
        <v>0</v>
      </c>
      <c r="BO353" s="425">
        <f t="shared" si="149"/>
        <v>0</v>
      </c>
      <c r="BP353" s="425">
        <f t="shared" si="150"/>
        <v>0</v>
      </c>
      <c r="BQ353" s="425">
        <f t="shared" si="150"/>
        <v>0</v>
      </c>
      <c r="BR353" s="425">
        <f t="shared" si="150"/>
        <v>0</v>
      </c>
      <c r="BS353" s="425">
        <f t="shared" si="151"/>
        <v>0</v>
      </c>
      <c r="BT353" s="426">
        <f t="shared" si="151"/>
        <v>0</v>
      </c>
    </row>
    <row r="354" spans="2:72" x14ac:dyDescent="0.25">
      <c r="B354" s="145"/>
      <c r="C354" s="539">
        <v>49035</v>
      </c>
      <c r="D354" s="533"/>
      <c r="E354" s="534">
        <v>0</v>
      </c>
      <c r="F354" s="534">
        <v>0</v>
      </c>
      <c r="G354" s="534">
        <v>0</v>
      </c>
      <c r="H354" s="540">
        <v>0</v>
      </c>
      <c r="I354" s="536">
        <v>0</v>
      </c>
      <c r="J354" s="533"/>
      <c r="K354" s="534">
        <v>0</v>
      </c>
      <c r="L354" s="534">
        <v>0</v>
      </c>
      <c r="M354" s="534">
        <v>0</v>
      </c>
      <c r="N354" s="534">
        <v>0</v>
      </c>
      <c r="O354" s="534">
        <v>0</v>
      </c>
      <c r="P354" s="534">
        <v>0</v>
      </c>
      <c r="Q354" s="534">
        <v>0</v>
      </c>
      <c r="R354" s="534">
        <v>0</v>
      </c>
      <c r="S354" s="536">
        <v>0</v>
      </c>
      <c r="T354" s="533"/>
      <c r="U354" s="534">
        <v>0</v>
      </c>
      <c r="V354" s="534">
        <v>0</v>
      </c>
      <c r="W354" s="534">
        <v>0</v>
      </c>
      <c r="X354" s="534">
        <v>0</v>
      </c>
      <c r="Y354" s="534">
        <v>0</v>
      </c>
      <c r="Z354" s="534">
        <v>0</v>
      </c>
      <c r="AA354" s="534">
        <v>0</v>
      </c>
      <c r="AB354" s="534">
        <v>0</v>
      </c>
      <c r="AC354" s="534">
        <v>0</v>
      </c>
      <c r="AD354" s="534">
        <v>0</v>
      </c>
      <c r="AE354" s="536">
        <v>0</v>
      </c>
      <c r="AF354" s="533"/>
      <c r="AG354" s="534">
        <v>0</v>
      </c>
      <c r="AH354" s="534">
        <v>0</v>
      </c>
      <c r="AI354" s="534">
        <v>0</v>
      </c>
      <c r="AJ354" s="534">
        <v>0</v>
      </c>
      <c r="AK354" s="536">
        <v>0</v>
      </c>
      <c r="AL354" s="533"/>
      <c r="AM354" s="534">
        <v>0</v>
      </c>
      <c r="AN354" s="534">
        <v>0</v>
      </c>
      <c r="AO354" s="534">
        <v>0</v>
      </c>
      <c r="AP354" s="537">
        <v>0</v>
      </c>
      <c r="AQ354" s="535">
        <v>0</v>
      </c>
      <c r="AR354" s="534">
        <v>0</v>
      </c>
      <c r="AS354" s="534">
        <v>0</v>
      </c>
      <c r="AT354" s="534">
        <v>0</v>
      </c>
      <c r="AU354" s="536">
        <v>0</v>
      </c>
      <c r="AV354" s="533"/>
      <c r="AW354" s="538">
        <v>0</v>
      </c>
      <c r="AX354" s="538">
        <v>19053824.60002128</v>
      </c>
      <c r="AY354" s="533"/>
      <c r="AZ354" s="534">
        <f t="shared" si="152"/>
        <v>0</v>
      </c>
      <c r="BA354" s="534">
        <v>0</v>
      </c>
      <c r="BD354" s="392">
        <f t="shared" si="154"/>
        <v>0</v>
      </c>
      <c r="BE354" s="425">
        <f t="shared" si="155"/>
        <v>0</v>
      </c>
      <c r="BF354" s="425">
        <f t="shared" si="153"/>
        <v>0</v>
      </c>
      <c r="BG354" s="425">
        <f t="shared" si="153"/>
        <v>0</v>
      </c>
      <c r="BH354" s="425">
        <f t="shared" si="153"/>
        <v>0</v>
      </c>
      <c r="BI354" s="425">
        <f t="shared" si="153"/>
        <v>0</v>
      </c>
      <c r="BJ354" s="425">
        <f t="shared" si="153"/>
        <v>0</v>
      </c>
      <c r="BK354" s="425">
        <f t="shared" si="153"/>
        <v>0</v>
      </c>
      <c r="BL354" s="425">
        <f t="shared" si="153"/>
        <v>0</v>
      </c>
      <c r="BM354" s="425">
        <f t="shared" si="149"/>
        <v>0</v>
      </c>
      <c r="BN354" s="425">
        <f t="shared" si="149"/>
        <v>0</v>
      </c>
      <c r="BO354" s="425">
        <f t="shared" si="149"/>
        <v>0</v>
      </c>
      <c r="BP354" s="425">
        <f t="shared" si="150"/>
        <v>0</v>
      </c>
      <c r="BQ354" s="425">
        <f t="shared" si="150"/>
        <v>0</v>
      </c>
      <c r="BR354" s="425">
        <f t="shared" si="150"/>
        <v>0</v>
      </c>
      <c r="BS354" s="425">
        <f t="shared" si="151"/>
        <v>0</v>
      </c>
      <c r="BT354" s="426">
        <f t="shared" si="151"/>
        <v>0</v>
      </c>
    </row>
    <row r="355" spans="2:72" x14ac:dyDescent="0.25">
      <c r="B355" s="145"/>
      <c r="C355" s="539">
        <v>49065</v>
      </c>
      <c r="D355" s="533"/>
      <c r="E355" s="534">
        <v>0</v>
      </c>
      <c r="F355" s="534">
        <v>0</v>
      </c>
      <c r="G355" s="534">
        <v>0</v>
      </c>
      <c r="H355" s="540">
        <v>0</v>
      </c>
      <c r="I355" s="536">
        <v>0</v>
      </c>
      <c r="J355" s="533"/>
      <c r="K355" s="534">
        <v>0</v>
      </c>
      <c r="L355" s="534">
        <v>0</v>
      </c>
      <c r="M355" s="534">
        <v>0</v>
      </c>
      <c r="N355" s="534">
        <v>0</v>
      </c>
      <c r="O355" s="534">
        <v>0</v>
      </c>
      <c r="P355" s="534">
        <v>0</v>
      </c>
      <c r="Q355" s="534">
        <v>0</v>
      </c>
      <c r="R355" s="534">
        <v>0</v>
      </c>
      <c r="S355" s="536">
        <v>0</v>
      </c>
      <c r="T355" s="533"/>
      <c r="U355" s="534">
        <v>0</v>
      </c>
      <c r="V355" s="534">
        <v>0</v>
      </c>
      <c r="W355" s="534">
        <v>0</v>
      </c>
      <c r="X355" s="534">
        <v>0</v>
      </c>
      <c r="Y355" s="534">
        <v>0</v>
      </c>
      <c r="Z355" s="534">
        <v>0</v>
      </c>
      <c r="AA355" s="534">
        <v>0</v>
      </c>
      <c r="AB355" s="534">
        <v>0</v>
      </c>
      <c r="AC355" s="534">
        <v>0</v>
      </c>
      <c r="AD355" s="534">
        <v>0</v>
      </c>
      <c r="AE355" s="536">
        <v>0</v>
      </c>
      <c r="AF355" s="533"/>
      <c r="AG355" s="534">
        <v>0</v>
      </c>
      <c r="AH355" s="534">
        <v>0</v>
      </c>
      <c r="AI355" s="534">
        <v>0</v>
      </c>
      <c r="AJ355" s="534">
        <v>0</v>
      </c>
      <c r="AK355" s="536">
        <v>0</v>
      </c>
      <c r="AL355" s="533"/>
      <c r="AM355" s="534">
        <v>0</v>
      </c>
      <c r="AN355" s="534">
        <v>0</v>
      </c>
      <c r="AO355" s="534">
        <v>0</v>
      </c>
      <c r="AP355" s="537">
        <v>0</v>
      </c>
      <c r="AQ355" s="535">
        <v>0</v>
      </c>
      <c r="AR355" s="534">
        <v>0</v>
      </c>
      <c r="AS355" s="534">
        <v>0</v>
      </c>
      <c r="AT355" s="534">
        <v>0</v>
      </c>
      <c r="AU355" s="536">
        <v>0</v>
      </c>
      <c r="AV355" s="533"/>
      <c r="AW355" s="538">
        <v>0</v>
      </c>
      <c r="AX355" s="538">
        <v>19053824.60002128</v>
      </c>
      <c r="AY355" s="533"/>
      <c r="AZ355" s="534">
        <f t="shared" si="152"/>
        <v>0</v>
      </c>
      <c r="BA355" s="534">
        <v>0</v>
      </c>
      <c r="BD355" s="392">
        <f t="shared" si="154"/>
        <v>0</v>
      </c>
      <c r="BE355" s="425">
        <f t="shared" si="155"/>
        <v>0</v>
      </c>
      <c r="BF355" s="425">
        <f t="shared" si="153"/>
        <v>0</v>
      </c>
      <c r="BG355" s="425">
        <f t="shared" si="153"/>
        <v>0</v>
      </c>
      <c r="BH355" s="425">
        <f t="shared" si="153"/>
        <v>0</v>
      </c>
      <c r="BI355" s="425">
        <f t="shared" si="153"/>
        <v>0</v>
      </c>
      <c r="BJ355" s="425">
        <f t="shared" si="153"/>
        <v>0</v>
      </c>
      <c r="BK355" s="425">
        <f t="shared" si="153"/>
        <v>0</v>
      </c>
      <c r="BL355" s="425">
        <f t="shared" si="153"/>
        <v>0</v>
      </c>
      <c r="BM355" s="425">
        <f t="shared" si="149"/>
        <v>0</v>
      </c>
      <c r="BN355" s="425">
        <f t="shared" si="149"/>
        <v>0</v>
      </c>
      <c r="BO355" s="425">
        <f t="shared" si="149"/>
        <v>0</v>
      </c>
      <c r="BP355" s="425">
        <f t="shared" si="150"/>
        <v>0</v>
      </c>
      <c r="BQ355" s="425">
        <f t="shared" si="150"/>
        <v>0</v>
      </c>
      <c r="BR355" s="425">
        <f t="shared" si="150"/>
        <v>0</v>
      </c>
      <c r="BS355" s="425">
        <f t="shared" si="151"/>
        <v>0</v>
      </c>
      <c r="BT355" s="426">
        <f t="shared" si="151"/>
        <v>0</v>
      </c>
    </row>
    <row r="356" spans="2:72" x14ac:dyDescent="0.25">
      <c r="B356" s="145"/>
      <c r="C356" s="539">
        <v>49096</v>
      </c>
      <c r="D356" s="533"/>
      <c r="E356" s="534">
        <v>0</v>
      </c>
      <c r="F356" s="534">
        <v>0</v>
      </c>
      <c r="G356" s="534">
        <v>0</v>
      </c>
      <c r="H356" s="540">
        <v>0</v>
      </c>
      <c r="I356" s="536">
        <v>0</v>
      </c>
      <c r="J356" s="533"/>
      <c r="K356" s="534">
        <v>0</v>
      </c>
      <c r="L356" s="534">
        <v>0</v>
      </c>
      <c r="M356" s="534">
        <v>0</v>
      </c>
      <c r="N356" s="534">
        <v>0</v>
      </c>
      <c r="O356" s="534">
        <v>0</v>
      </c>
      <c r="P356" s="534">
        <v>0</v>
      </c>
      <c r="Q356" s="534">
        <v>0</v>
      </c>
      <c r="R356" s="534">
        <v>0</v>
      </c>
      <c r="S356" s="536">
        <v>0</v>
      </c>
      <c r="T356" s="533"/>
      <c r="U356" s="534">
        <v>0</v>
      </c>
      <c r="V356" s="534">
        <v>0</v>
      </c>
      <c r="W356" s="534">
        <v>0</v>
      </c>
      <c r="X356" s="534">
        <v>0</v>
      </c>
      <c r="Y356" s="534">
        <v>0</v>
      </c>
      <c r="Z356" s="534">
        <v>0</v>
      </c>
      <c r="AA356" s="534">
        <v>0</v>
      </c>
      <c r="AB356" s="534">
        <v>0</v>
      </c>
      <c r="AC356" s="534">
        <v>0</v>
      </c>
      <c r="AD356" s="534">
        <v>0</v>
      </c>
      <c r="AE356" s="536">
        <v>0</v>
      </c>
      <c r="AF356" s="533"/>
      <c r="AG356" s="534">
        <v>0</v>
      </c>
      <c r="AH356" s="534">
        <v>0</v>
      </c>
      <c r="AI356" s="534">
        <v>0</v>
      </c>
      <c r="AJ356" s="534">
        <v>0</v>
      </c>
      <c r="AK356" s="536">
        <v>0</v>
      </c>
      <c r="AL356" s="533"/>
      <c r="AM356" s="534">
        <v>0</v>
      </c>
      <c r="AN356" s="534">
        <v>0</v>
      </c>
      <c r="AO356" s="534">
        <v>0</v>
      </c>
      <c r="AP356" s="537">
        <v>0</v>
      </c>
      <c r="AQ356" s="535">
        <v>0</v>
      </c>
      <c r="AR356" s="534">
        <v>0</v>
      </c>
      <c r="AS356" s="534">
        <v>0</v>
      </c>
      <c r="AT356" s="534">
        <v>0</v>
      </c>
      <c r="AU356" s="536">
        <v>0</v>
      </c>
      <c r="AV356" s="533"/>
      <c r="AW356" s="538">
        <v>0</v>
      </c>
      <c r="AX356" s="538">
        <v>19053824.60002128</v>
      </c>
      <c r="AY356" s="533"/>
      <c r="AZ356" s="534">
        <f t="shared" si="152"/>
        <v>0</v>
      </c>
      <c r="BA356" s="534">
        <v>0</v>
      </c>
      <c r="BD356" s="392">
        <f t="shared" si="154"/>
        <v>0</v>
      </c>
      <c r="BE356" s="425">
        <f t="shared" si="155"/>
        <v>0</v>
      </c>
      <c r="BF356" s="425">
        <f t="shared" si="153"/>
        <v>0</v>
      </c>
      <c r="BG356" s="425">
        <f t="shared" si="153"/>
        <v>0</v>
      </c>
      <c r="BH356" s="425">
        <f t="shared" si="153"/>
        <v>0</v>
      </c>
      <c r="BI356" s="425">
        <f t="shared" si="153"/>
        <v>0</v>
      </c>
      <c r="BJ356" s="425">
        <f t="shared" si="153"/>
        <v>0</v>
      </c>
      <c r="BK356" s="425">
        <f t="shared" si="153"/>
        <v>0</v>
      </c>
      <c r="BL356" s="425">
        <f t="shared" si="153"/>
        <v>0</v>
      </c>
      <c r="BM356" s="425">
        <f t="shared" si="149"/>
        <v>0</v>
      </c>
      <c r="BN356" s="425">
        <f t="shared" si="149"/>
        <v>0</v>
      </c>
      <c r="BO356" s="425">
        <f t="shared" si="149"/>
        <v>0</v>
      </c>
      <c r="BP356" s="425">
        <f t="shared" si="150"/>
        <v>0</v>
      </c>
      <c r="BQ356" s="425">
        <f t="shared" si="150"/>
        <v>0</v>
      </c>
      <c r="BR356" s="425">
        <f t="shared" si="150"/>
        <v>0</v>
      </c>
      <c r="BS356" s="425">
        <f t="shared" si="151"/>
        <v>0</v>
      </c>
      <c r="BT356" s="426">
        <f t="shared" si="151"/>
        <v>0</v>
      </c>
    </row>
    <row r="357" spans="2:72" x14ac:dyDescent="0.25">
      <c r="B357" s="145"/>
      <c r="C357" s="539">
        <v>49126</v>
      </c>
      <c r="D357" s="533"/>
      <c r="E357" s="534">
        <v>0</v>
      </c>
      <c r="F357" s="534">
        <v>0</v>
      </c>
      <c r="G357" s="534">
        <v>0</v>
      </c>
      <c r="H357" s="540">
        <v>0</v>
      </c>
      <c r="I357" s="536">
        <v>0</v>
      </c>
      <c r="J357" s="533"/>
      <c r="K357" s="534">
        <v>0</v>
      </c>
      <c r="L357" s="534">
        <v>0</v>
      </c>
      <c r="M357" s="534">
        <v>0</v>
      </c>
      <c r="N357" s="534">
        <v>0</v>
      </c>
      <c r="O357" s="534">
        <v>0</v>
      </c>
      <c r="P357" s="534">
        <v>0</v>
      </c>
      <c r="Q357" s="534">
        <v>0</v>
      </c>
      <c r="R357" s="534">
        <v>0</v>
      </c>
      <c r="S357" s="536">
        <v>0</v>
      </c>
      <c r="T357" s="533"/>
      <c r="U357" s="534">
        <v>0</v>
      </c>
      <c r="V357" s="534">
        <v>0</v>
      </c>
      <c r="W357" s="534">
        <v>0</v>
      </c>
      <c r="X357" s="534">
        <v>0</v>
      </c>
      <c r="Y357" s="534">
        <v>0</v>
      </c>
      <c r="Z357" s="534">
        <v>0</v>
      </c>
      <c r="AA357" s="534">
        <v>0</v>
      </c>
      <c r="AB357" s="534">
        <v>0</v>
      </c>
      <c r="AC357" s="534">
        <v>0</v>
      </c>
      <c r="AD357" s="534">
        <v>0</v>
      </c>
      <c r="AE357" s="536">
        <v>0</v>
      </c>
      <c r="AF357" s="533"/>
      <c r="AG357" s="534">
        <v>0</v>
      </c>
      <c r="AH357" s="534">
        <v>0</v>
      </c>
      <c r="AI357" s="534">
        <v>0</v>
      </c>
      <c r="AJ357" s="534">
        <v>0</v>
      </c>
      <c r="AK357" s="536">
        <v>0</v>
      </c>
      <c r="AL357" s="533"/>
      <c r="AM357" s="534">
        <v>0</v>
      </c>
      <c r="AN357" s="534">
        <v>0</v>
      </c>
      <c r="AO357" s="534">
        <v>0</v>
      </c>
      <c r="AP357" s="537">
        <v>0</v>
      </c>
      <c r="AQ357" s="535">
        <v>0</v>
      </c>
      <c r="AR357" s="534">
        <v>0</v>
      </c>
      <c r="AS357" s="534">
        <v>0</v>
      </c>
      <c r="AT357" s="534">
        <v>0</v>
      </c>
      <c r="AU357" s="536">
        <v>0</v>
      </c>
      <c r="AV357" s="533"/>
      <c r="AW357" s="538">
        <v>0</v>
      </c>
      <c r="AX357" s="538">
        <v>19053824.60002128</v>
      </c>
      <c r="AY357" s="533"/>
      <c r="AZ357" s="534">
        <f t="shared" si="152"/>
        <v>0</v>
      </c>
      <c r="BA357" s="534">
        <v>0</v>
      </c>
      <c r="BD357" s="392">
        <f t="shared" si="154"/>
        <v>0</v>
      </c>
      <c r="BE357" s="425">
        <f t="shared" si="155"/>
        <v>0</v>
      </c>
      <c r="BF357" s="425">
        <f t="shared" si="153"/>
        <v>0</v>
      </c>
      <c r="BG357" s="425">
        <f t="shared" si="153"/>
        <v>0</v>
      </c>
      <c r="BH357" s="425">
        <f t="shared" si="153"/>
        <v>0</v>
      </c>
      <c r="BI357" s="425">
        <f t="shared" si="153"/>
        <v>0</v>
      </c>
      <c r="BJ357" s="425">
        <f t="shared" si="153"/>
        <v>0</v>
      </c>
      <c r="BK357" s="425">
        <f t="shared" si="153"/>
        <v>0</v>
      </c>
      <c r="BL357" s="425">
        <f t="shared" si="153"/>
        <v>0</v>
      </c>
      <c r="BM357" s="425">
        <f t="shared" si="149"/>
        <v>0</v>
      </c>
      <c r="BN357" s="425">
        <f t="shared" si="149"/>
        <v>0</v>
      </c>
      <c r="BO357" s="425">
        <f t="shared" si="149"/>
        <v>0</v>
      </c>
      <c r="BP357" s="425">
        <f t="shared" si="150"/>
        <v>0</v>
      </c>
      <c r="BQ357" s="425">
        <f t="shared" si="150"/>
        <v>0</v>
      </c>
      <c r="BR357" s="425">
        <f t="shared" si="150"/>
        <v>0</v>
      </c>
      <c r="BS357" s="425">
        <f t="shared" si="151"/>
        <v>0</v>
      </c>
      <c r="BT357" s="426">
        <f t="shared" si="151"/>
        <v>0</v>
      </c>
    </row>
    <row r="358" spans="2:72" x14ac:dyDescent="0.25">
      <c r="B358" s="145"/>
      <c r="C358" s="539">
        <v>49157</v>
      </c>
      <c r="D358" s="533"/>
      <c r="E358" s="534">
        <v>0</v>
      </c>
      <c r="F358" s="534">
        <v>0</v>
      </c>
      <c r="G358" s="534">
        <v>0</v>
      </c>
      <c r="H358" s="540">
        <v>0</v>
      </c>
      <c r="I358" s="536">
        <v>0</v>
      </c>
      <c r="J358" s="533"/>
      <c r="K358" s="534">
        <v>0</v>
      </c>
      <c r="L358" s="534">
        <v>0</v>
      </c>
      <c r="M358" s="534">
        <v>0</v>
      </c>
      <c r="N358" s="534">
        <v>0</v>
      </c>
      <c r="O358" s="534">
        <v>0</v>
      </c>
      <c r="P358" s="534">
        <v>0</v>
      </c>
      <c r="Q358" s="534">
        <v>0</v>
      </c>
      <c r="R358" s="534">
        <v>0</v>
      </c>
      <c r="S358" s="536">
        <v>0</v>
      </c>
      <c r="T358" s="533"/>
      <c r="U358" s="534">
        <v>0</v>
      </c>
      <c r="V358" s="534">
        <v>0</v>
      </c>
      <c r="W358" s="534">
        <v>0</v>
      </c>
      <c r="X358" s="534">
        <v>0</v>
      </c>
      <c r="Y358" s="534">
        <v>0</v>
      </c>
      <c r="Z358" s="534">
        <v>0</v>
      </c>
      <c r="AA358" s="534">
        <v>0</v>
      </c>
      <c r="AB358" s="534">
        <v>0</v>
      </c>
      <c r="AC358" s="534">
        <v>0</v>
      </c>
      <c r="AD358" s="534">
        <v>0</v>
      </c>
      <c r="AE358" s="536">
        <v>0</v>
      </c>
      <c r="AF358" s="533"/>
      <c r="AG358" s="534">
        <v>0</v>
      </c>
      <c r="AH358" s="534">
        <v>0</v>
      </c>
      <c r="AI358" s="534">
        <v>0</v>
      </c>
      <c r="AJ358" s="534">
        <v>0</v>
      </c>
      <c r="AK358" s="536">
        <v>0</v>
      </c>
      <c r="AL358" s="533"/>
      <c r="AM358" s="534">
        <v>0</v>
      </c>
      <c r="AN358" s="534">
        <v>0</v>
      </c>
      <c r="AO358" s="534">
        <v>0</v>
      </c>
      <c r="AP358" s="537">
        <v>0</v>
      </c>
      <c r="AQ358" s="535">
        <v>0</v>
      </c>
      <c r="AR358" s="534">
        <v>0</v>
      </c>
      <c r="AS358" s="534">
        <v>0</v>
      </c>
      <c r="AT358" s="534">
        <v>0</v>
      </c>
      <c r="AU358" s="536">
        <v>0</v>
      </c>
      <c r="AV358" s="533"/>
      <c r="AW358" s="538">
        <v>0</v>
      </c>
      <c r="AX358" s="538">
        <v>19053824.60002128</v>
      </c>
      <c r="AY358" s="533"/>
      <c r="AZ358" s="534">
        <f t="shared" si="152"/>
        <v>0</v>
      </c>
      <c r="BA358" s="534">
        <v>0</v>
      </c>
      <c r="BD358" s="392">
        <f t="shared" si="154"/>
        <v>0</v>
      </c>
      <c r="BE358" s="425">
        <f t="shared" si="155"/>
        <v>0</v>
      </c>
      <c r="BF358" s="425">
        <f t="shared" si="153"/>
        <v>0</v>
      </c>
      <c r="BG358" s="425">
        <f t="shared" si="153"/>
        <v>0</v>
      </c>
      <c r="BH358" s="425">
        <f t="shared" si="153"/>
        <v>0</v>
      </c>
      <c r="BI358" s="425">
        <f t="shared" si="153"/>
        <v>0</v>
      </c>
      <c r="BJ358" s="425">
        <f t="shared" si="153"/>
        <v>0</v>
      </c>
      <c r="BK358" s="425">
        <f t="shared" si="153"/>
        <v>0</v>
      </c>
      <c r="BL358" s="425">
        <f t="shared" si="153"/>
        <v>0</v>
      </c>
      <c r="BM358" s="425">
        <f t="shared" si="149"/>
        <v>0</v>
      </c>
      <c r="BN358" s="425">
        <f t="shared" si="149"/>
        <v>0</v>
      </c>
      <c r="BO358" s="425">
        <f t="shared" si="149"/>
        <v>0</v>
      </c>
      <c r="BP358" s="425">
        <f t="shared" si="150"/>
        <v>0</v>
      </c>
      <c r="BQ358" s="425">
        <f t="shared" si="150"/>
        <v>0</v>
      </c>
      <c r="BR358" s="425">
        <f t="shared" si="150"/>
        <v>0</v>
      </c>
      <c r="BS358" s="425">
        <f t="shared" si="151"/>
        <v>0</v>
      </c>
      <c r="BT358" s="426">
        <f t="shared" si="151"/>
        <v>0</v>
      </c>
    </row>
    <row r="359" spans="2:72" x14ac:dyDescent="0.25">
      <c r="B359" s="145"/>
      <c r="C359" s="539">
        <v>49188</v>
      </c>
      <c r="D359" s="533"/>
      <c r="E359" s="534">
        <v>0</v>
      </c>
      <c r="F359" s="534">
        <v>0</v>
      </c>
      <c r="G359" s="534">
        <v>0</v>
      </c>
      <c r="H359" s="540">
        <v>0</v>
      </c>
      <c r="I359" s="536">
        <v>0</v>
      </c>
      <c r="J359" s="533"/>
      <c r="K359" s="534">
        <v>0</v>
      </c>
      <c r="L359" s="534">
        <v>0</v>
      </c>
      <c r="M359" s="534">
        <v>0</v>
      </c>
      <c r="N359" s="534">
        <v>0</v>
      </c>
      <c r="O359" s="534">
        <v>0</v>
      </c>
      <c r="P359" s="534">
        <v>0</v>
      </c>
      <c r="Q359" s="534">
        <v>0</v>
      </c>
      <c r="R359" s="534">
        <v>0</v>
      </c>
      <c r="S359" s="536">
        <v>0</v>
      </c>
      <c r="T359" s="533"/>
      <c r="U359" s="534">
        <v>0</v>
      </c>
      <c r="V359" s="534">
        <v>0</v>
      </c>
      <c r="W359" s="534">
        <v>0</v>
      </c>
      <c r="X359" s="534">
        <v>0</v>
      </c>
      <c r="Y359" s="534">
        <v>0</v>
      </c>
      <c r="Z359" s="534">
        <v>0</v>
      </c>
      <c r="AA359" s="534">
        <v>0</v>
      </c>
      <c r="AB359" s="534">
        <v>0</v>
      </c>
      <c r="AC359" s="534">
        <v>0</v>
      </c>
      <c r="AD359" s="534">
        <v>0</v>
      </c>
      <c r="AE359" s="536">
        <v>0</v>
      </c>
      <c r="AF359" s="533"/>
      <c r="AG359" s="534">
        <v>0</v>
      </c>
      <c r="AH359" s="534">
        <v>0</v>
      </c>
      <c r="AI359" s="534">
        <v>0</v>
      </c>
      <c r="AJ359" s="534">
        <v>0</v>
      </c>
      <c r="AK359" s="536">
        <v>0</v>
      </c>
      <c r="AL359" s="533"/>
      <c r="AM359" s="534">
        <v>0</v>
      </c>
      <c r="AN359" s="534">
        <v>0</v>
      </c>
      <c r="AO359" s="534">
        <v>0</v>
      </c>
      <c r="AP359" s="537">
        <v>0</v>
      </c>
      <c r="AQ359" s="535">
        <v>0</v>
      </c>
      <c r="AR359" s="534">
        <v>0</v>
      </c>
      <c r="AS359" s="534">
        <v>0</v>
      </c>
      <c r="AT359" s="534">
        <v>0</v>
      </c>
      <c r="AU359" s="536">
        <v>0</v>
      </c>
      <c r="AV359" s="533"/>
      <c r="AW359" s="538">
        <v>0</v>
      </c>
      <c r="AX359" s="538">
        <v>19053824.60002128</v>
      </c>
      <c r="AY359" s="533"/>
      <c r="AZ359" s="534">
        <f t="shared" si="152"/>
        <v>0</v>
      </c>
      <c r="BA359" s="534">
        <v>0</v>
      </c>
      <c r="BD359" s="392">
        <f t="shared" si="154"/>
        <v>0</v>
      </c>
      <c r="BE359" s="425">
        <f t="shared" si="155"/>
        <v>0</v>
      </c>
      <c r="BF359" s="425">
        <f t="shared" si="153"/>
        <v>0</v>
      </c>
      <c r="BG359" s="425">
        <f t="shared" si="153"/>
        <v>0</v>
      </c>
      <c r="BH359" s="425">
        <f t="shared" si="153"/>
        <v>0</v>
      </c>
      <c r="BI359" s="425">
        <f t="shared" si="153"/>
        <v>0</v>
      </c>
      <c r="BJ359" s="425">
        <f t="shared" si="153"/>
        <v>0</v>
      </c>
      <c r="BK359" s="425">
        <f t="shared" si="153"/>
        <v>0</v>
      </c>
      <c r="BL359" s="425">
        <f t="shared" si="153"/>
        <v>0</v>
      </c>
      <c r="BM359" s="425">
        <f t="shared" si="149"/>
        <v>0</v>
      </c>
      <c r="BN359" s="425">
        <f t="shared" si="149"/>
        <v>0</v>
      </c>
      <c r="BO359" s="425">
        <f t="shared" si="149"/>
        <v>0</v>
      </c>
      <c r="BP359" s="425">
        <f t="shared" si="150"/>
        <v>0</v>
      </c>
      <c r="BQ359" s="425">
        <f t="shared" si="150"/>
        <v>0</v>
      </c>
      <c r="BR359" s="425">
        <f t="shared" si="150"/>
        <v>0</v>
      </c>
      <c r="BS359" s="425">
        <f t="shared" si="151"/>
        <v>0</v>
      </c>
      <c r="BT359" s="426">
        <f t="shared" si="151"/>
        <v>0</v>
      </c>
    </row>
    <row r="360" spans="2:72" x14ac:dyDescent="0.25">
      <c r="B360" s="145"/>
      <c r="C360" s="539">
        <v>49218</v>
      </c>
      <c r="D360" s="533"/>
      <c r="E360" s="534">
        <v>0</v>
      </c>
      <c r="F360" s="534">
        <v>0</v>
      </c>
      <c r="G360" s="534">
        <v>0</v>
      </c>
      <c r="H360" s="540">
        <v>0</v>
      </c>
      <c r="I360" s="536">
        <v>0</v>
      </c>
      <c r="J360" s="533"/>
      <c r="K360" s="534">
        <v>0</v>
      </c>
      <c r="L360" s="534">
        <v>0</v>
      </c>
      <c r="M360" s="534">
        <v>0</v>
      </c>
      <c r="N360" s="534">
        <v>0</v>
      </c>
      <c r="O360" s="534">
        <v>0</v>
      </c>
      <c r="P360" s="534">
        <v>0</v>
      </c>
      <c r="Q360" s="534">
        <v>0</v>
      </c>
      <c r="R360" s="534">
        <v>0</v>
      </c>
      <c r="S360" s="536">
        <v>0</v>
      </c>
      <c r="T360" s="533"/>
      <c r="U360" s="534">
        <v>0</v>
      </c>
      <c r="V360" s="534">
        <v>0</v>
      </c>
      <c r="W360" s="534">
        <v>0</v>
      </c>
      <c r="X360" s="534">
        <v>0</v>
      </c>
      <c r="Y360" s="534">
        <v>0</v>
      </c>
      <c r="Z360" s="534">
        <v>0</v>
      </c>
      <c r="AA360" s="534">
        <v>0</v>
      </c>
      <c r="AB360" s="534">
        <v>0</v>
      </c>
      <c r="AC360" s="534">
        <v>0</v>
      </c>
      <c r="AD360" s="534">
        <v>0</v>
      </c>
      <c r="AE360" s="536">
        <v>0</v>
      </c>
      <c r="AF360" s="533"/>
      <c r="AG360" s="534">
        <v>0</v>
      </c>
      <c r="AH360" s="534">
        <v>0</v>
      </c>
      <c r="AI360" s="534">
        <v>0</v>
      </c>
      <c r="AJ360" s="534">
        <v>0</v>
      </c>
      <c r="AK360" s="536">
        <v>0</v>
      </c>
      <c r="AL360" s="533"/>
      <c r="AM360" s="534">
        <v>0</v>
      </c>
      <c r="AN360" s="534">
        <v>0</v>
      </c>
      <c r="AO360" s="534">
        <v>0</v>
      </c>
      <c r="AP360" s="537">
        <v>0</v>
      </c>
      <c r="AQ360" s="535">
        <v>0</v>
      </c>
      <c r="AR360" s="534">
        <v>0</v>
      </c>
      <c r="AS360" s="534">
        <v>0</v>
      </c>
      <c r="AT360" s="534">
        <v>0</v>
      </c>
      <c r="AU360" s="536">
        <v>0</v>
      </c>
      <c r="AV360" s="533"/>
      <c r="AW360" s="538">
        <v>0</v>
      </c>
      <c r="AX360" s="538">
        <v>19053824.60002128</v>
      </c>
      <c r="AY360" s="533"/>
      <c r="AZ360" s="534">
        <f t="shared" si="152"/>
        <v>0</v>
      </c>
      <c r="BA360" s="534">
        <v>0</v>
      </c>
      <c r="BD360" s="392">
        <f t="shared" si="154"/>
        <v>0</v>
      </c>
      <c r="BE360" s="425">
        <f t="shared" si="155"/>
        <v>0</v>
      </c>
      <c r="BF360" s="425">
        <f t="shared" si="153"/>
        <v>0</v>
      </c>
      <c r="BG360" s="425">
        <f t="shared" si="153"/>
        <v>0</v>
      </c>
      <c r="BH360" s="425">
        <f t="shared" si="153"/>
        <v>0</v>
      </c>
      <c r="BI360" s="425">
        <f t="shared" si="153"/>
        <v>0</v>
      </c>
      <c r="BJ360" s="425">
        <f t="shared" si="153"/>
        <v>0</v>
      </c>
      <c r="BK360" s="425">
        <f t="shared" si="153"/>
        <v>0</v>
      </c>
      <c r="BL360" s="425">
        <f t="shared" si="153"/>
        <v>0</v>
      </c>
      <c r="BM360" s="425">
        <f t="shared" si="149"/>
        <v>0</v>
      </c>
      <c r="BN360" s="425">
        <f t="shared" si="149"/>
        <v>0</v>
      </c>
      <c r="BO360" s="425">
        <f t="shared" si="149"/>
        <v>0</v>
      </c>
      <c r="BP360" s="425">
        <f t="shared" si="150"/>
        <v>0</v>
      </c>
      <c r="BQ360" s="425">
        <f t="shared" si="150"/>
        <v>0</v>
      </c>
      <c r="BR360" s="425">
        <f t="shared" si="150"/>
        <v>0</v>
      </c>
      <c r="BS360" s="425">
        <f t="shared" si="151"/>
        <v>0</v>
      </c>
      <c r="BT360" s="426">
        <f t="shared" si="151"/>
        <v>0</v>
      </c>
    </row>
    <row r="361" spans="2:72" x14ac:dyDescent="0.25">
      <c r="B361" s="145"/>
      <c r="C361" s="539">
        <v>49249</v>
      </c>
      <c r="D361" s="533"/>
      <c r="E361" s="534">
        <v>0</v>
      </c>
      <c r="F361" s="534">
        <v>0</v>
      </c>
      <c r="G361" s="534">
        <v>0</v>
      </c>
      <c r="H361" s="540">
        <v>0</v>
      </c>
      <c r="I361" s="536">
        <v>0</v>
      </c>
      <c r="J361" s="533"/>
      <c r="K361" s="534">
        <v>0</v>
      </c>
      <c r="L361" s="534">
        <v>0</v>
      </c>
      <c r="M361" s="534">
        <v>0</v>
      </c>
      <c r="N361" s="534">
        <v>0</v>
      </c>
      <c r="O361" s="534">
        <v>0</v>
      </c>
      <c r="P361" s="534">
        <v>0</v>
      </c>
      <c r="Q361" s="534">
        <v>0</v>
      </c>
      <c r="R361" s="534">
        <v>0</v>
      </c>
      <c r="S361" s="536">
        <v>0</v>
      </c>
      <c r="T361" s="533"/>
      <c r="U361" s="534">
        <v>0</v>
      </c>
      <c r="V361" s="534">
        <v>0</v>
      </c>
      <c r="W361" s="534">
        <v>0</v>
      </c>
      <c r="X361" s="534">
        <v>0</v>
      </c>
      <c r="Y361" s="534">
        <v>0</v>
      </c>
      <c r="Z361" s="534">
        <v>0</v>
      </c>
      <c r="AA361" s="534">
        <v>0</v>
      </c>
      <c r="AB361" s="534">
        <v>0</v>
      </c>
      <c r="AC361" s="534">
        <v>0</v>
      </c>
      <c r="AD361" s="534">
        <v>0</v>
      </c>
      <c r="AE361" s="536">
        <v>0</v>
      </c>
      <c r="AF361" s="533"/>
      <c r="AG361" s="534">
        <v>0</v>
      </c>
      <c r="AH361" s="534">
        <v>0</v>
      </c>
      <c r="AI361" s="534">
        <v>0</v>
      </c>
      <c r="AJ361" s="534">
        <v>0</v>
      </c>
      <c r="AK361" s="536">
        <v>0</v>
      </c>
      <c r="AL361" s="533"/>
      <c r="AM361" s="534">
        <v>0</v>
      </c>
      <c r="AN361" s="534">
        <v>0</v>
      </c>
      <c r="AO361" s="534">
        <v>0</v>
      </c>
      <c r="AP361" s="537">
        <v>0</v>
      </c>
      <c r="AQ361" s="535">
        <v>0</v>
      </c>
      <c r="AR361" s="534">
        <v>0</v>
      </c>
      <c r="AS361" s="534">
        <v>0</v>
      </c>
      <c r="AT361" s="534">
        <v>0</v>
      </c>
      <c r="AU361" s="536">
        <v>0</v>
      </c>
      <c r="AV361" s="533"/>
      <c r="AW361" s="538">
        <v>0</v>
      </c>
      <c r="AX361" s="538">
        <v>19053824.60002128</v>
      </c>
      <c r="AY361" s="533"/>
      <c r="AZ361" s="534">
        <f t="shared" si="152"/>
        <v>0</v>
      </c>
      <c r="BA361" s="534">
        <v>0</v>
      </c>
      <c r="BD361" s="392">
        <f t="shared" si="154"/>
        <v>0</v>
      </c>
      <c r="BE361" s="425">
        <f t="shared" si="155"/>
        <v>0</v>
      </c>
      <c r="BF361" s="425">
        <f t="shared" ref="BF361:BL374" si="156">-SUMIF($E$6:$BA$6, BF$6, $E361:$BA361)</f>
        <v>0</v>
      </c>
      <c r="BG361" s="425">
        <f t="shared" si="156"/>
        <v>0</v>
      </c>
      <c r="BH361" s="425">
        <f t="shared" si="156"/>
        <v>0</v>
      </c>
      <c r="BI361" s="425">
        <f t="shared" si="156"/>
        <v>0</v>
      </c>
      <c r="BJ361" s="425">
        <f t="shared" si="156"/>
        <v>0</v>
      </c>
      <c r="BK361" s="425">
        <f t="shared" si="156"/>
        <v>0</v>
      </c>
      <c r="BL361" s="425">
        <f t="shared" si="156"/>
        <v>0</v>
      </c>
      <c r="BM361" s="425">
        <f t="shared" ref="BM361:BO374" si="157">SUMIF($E$6:$BA$6, BM$6, $E361:$BA361)</f>
        <v>0</v>
      </c>
      <c r="BN361" s="425">
        <f t="shared" si="157"/>
        <v>0</v>
      </c>
      <c r="BO361" s="425">
        <f t="shared" si="157"/>
        <v>0</v>
      </c>
      <c r="BP361" s="425">
        <f t="shared" ref="BP361:BR374" si="158">-SUMIF($E$6:$BA$6, BP$6, $E361:$BA361)</f>
        <v>0</v>
      </c>
      <c r="BQ361" s="425">
        <f t="shared" si="158"/>
        <v>0</v>
      </c>
      <c r="BR361" s="425">
        <f t="shared" si="158"/>
        <v>0</v>
      </c>
      <c r="BS361" s="425">
        <f t="shared" ref="BS361:BT374" si="159">SUMIF($E$6:$BA$6, BS$6, $E361:$BA361)</f>
        <v>0</v>
      </c>
      <c r="BT361" s="426">
        <f t="shared" si="159"/>
        <v>0</v>
      </c>
    </row>
    <row r="362" spans="2:72" x14ac:dyDescent="0.25">
      <c r="B362" s="145"/>
      <c r="C362" s="539">
        <v>49279</v>
      </c>
      <c r="D362" s="533"/>
      <c r="E362" s="534">
        <v>0</v>
      </c>
      <c r="F362" s="534">
        <v>0</v>
      </c>
      <c r="G362" s="534">
        <v>0</v>
      </c>
      <c r="H362" s="540">
        <v>0</v>
      </c>
      <c r="I362" s="536">
        <v>0</v>
      </c>
      <c r="J362" s="533"/>
      <c r="K362" s="534">
        <v>0</v>
      </c>
      <c r="L362" s="534">
        <v>0</v>
      </c>
      <c r="M362" s="534">
        <v>0</v>
      </c>
      <c r="N362" s="534">
        <v>0</v>
      </c>
      <c r="O362" s="534">
        <v>0</v>
      </c>
      <c r="P362" s="534">
        <v>0</v>
      </c>
      <c r="Q362" s="534">
        <v>0</v>
      </c>
      <c r="R362" s="534">
        <v>0</v>
      </c>
      <c r="S362" s="536">
        <v>0</v>
      </c>
      <c r="T362" s="533"/>
      <c r="U362" s="534">
        <v>0</v>
      </c>
      <c r="V362" s="534">
        <v>0</v>
      </c>
      <c r="W362" s="534">
        <v>0</v>
      </c>
      <c r="X362" s="534">
        <v>0</v>
      </c>
      <c r="Y362" s="534">
        <v>0</v>
      </c>
      <c r="Z362" s="534">
        <v>0</v>
      </c>
      <c r="AA362" s="534">
        <v>0</v>
      </c>
      <c r="AB362" s="534">
        <v>0</v>
      </c>
      <c r="AC362" s="534">
        <v>0</v>
      </c>
      <c r="AD362" s="534">
        <v>0</v>
      </c>
      <c r="AE362" s="536">
        <v>0</v>
      </c>
      <c r="AF362" s="533"/>
      <c r="AG362" s="534">
        <v>0</v>
      </c>
      <c r="AH362" s="534">
        <v>0</v>
      </c>
      <c r="AI362" s="534">
        <v>0</v>
      </c>
      <c r="AJ362" s="534">
        <v>0</v>
      </c>
      <c r="AK362" s="536">
        <v>0</v>
      </c>
      <c r="AL362" s="533"/>
      <c r="AM362" s="534">
        <v>0</v>
      </c>
      <c r="AN362" s="534">
        <v>0</v>
      </c>
      <c r="AO362" s="534">
        <v>0</v>
      </c>
      <c r="AP362" s="537">
        <v>0</v>
      </c>
      <c r="AQ362" s="535">
        <v>0</v>
      </c>
      <c r="AR362" s="534">
        <v>0</v>
      </c>
      <c r="AS362" s="534">
        <v>0</v>
      </c>
      <c r="AT362" s="534">
        <v>0</v>
      </c>
      <c r="AU362" s="536">
        <v>0</v>
      </c>
      <c r="AV362" s="533"/>
      <c r="AW362" s="538">
        <v>0</v>
      </c>
      <c r="AX362" s="538">
        <v>19053824.60002128</v>
      </c>
      <c r="AY362" s="533"/>
      <c r="AZ362" s="534">
        <f t="shared" si="152"/>
        <v>0</v>
      </c>
      <c r="BA362" s="534">
        <v>0</v>
      </c>
      <c r="BD362" s="392">
        <f t="shared" si="154"/>
        <v>0</v>
      </c>
      <c r="BE362" s="425">
        <f t="shared" si="155"/>
        <v>0</v>
      </c>
      <c r="BF362" s="425">
        <f t="shared" si="156"/>
        <v>0</v>
      </c>
      <c r="BG362" s="425">
        <f t="shared" si="156"/>
        <v>0</v>
      </c>
      <c r="BH362" s="425">
        <f t="shared" si="156"/>
        <v>0</v>
      </c>
      <c r="BI362" s="425">
        <f t="shared" si="156"/>
        <v>0</v>
      </c>
      <c r="BJ362" s="425">
        <f t="shared" si="156"/>
        <v>0</v>
      </c>
      <c r="BK362" s="425">
        <f t="shared" si="156"/>
        <v>0</v>
      </c>
      <c r="BL362" s="425">
        <f t="shared" si="156"/>
        <v>0</v>
      </c>
      <c r="BM362" s="425">
        <f t="shared" si="157"/>
        <v>0</v>
      </c>
      <c r="BN362" s="425">
        <f t="shared" si="157"/>
        <v>0</v>
      </c>
      <c r="BO362" s="425">
        <f t="shared" si="157"/>
        <v>0</v>
      </c>
      <c r="BP362" s="425">
        <f t="shared" si="158"/>
        <v>0</v>
      </c>
      <c r="BQ362" s="425">
        <f t="shared" si="158"/>
        <v>0</v>
      </c>
      <c r="BR362" s="425">
        <f t="shared" si="158"/>
        <v>0</v>
      </c>
      <c r="BS362" s="425">
        <f t="shared" si="159"/>
        <v>0</v>
      </c>
      <c r="BT362" s="426">
        <f t="shared" si="159"/>
        <v>0</v>
      </c>
    </row>
    <row r="363" spans="2:72" x14ac:dyDescent="0.25">
      <c r="B363" s="145"/>
      <c r="C363" s="539">
        <v>49310</v>
      </c>
      <c r="D363" s="533"/>
      <c r="E363" s="534">
        <v>0</v>
      </c>
      <c r="F363" s="534">
        <v>0</v>
      </c>
      <c r="G363" s="534">
        <v>0</v>
      </c>
      <c r="H363" s="540">
        <v>0</v>
      </c>
      <c r="I363" s="536">
        <v>0</v>
      </c>
      <c r="J363" s="533"/>
      <c r="K363" s="534">
        <v>0</v>
      </c>
      <c r="L363" s="534">
        <v>0</v>
      </c>
      <c r="M363" s="534">
        <v>0</v>
      </c>
      <c r="N363" s="534">
        <v>0</v>
      </c>
      <c r="O363" s="534">
        <v>0</v>
      </c>
      <c r="P363" s="534">
        <v>0</v>
      </c>
      <c r="Q363" s="534">
        <v>0</v>
      </c>
      <c r="R363" s="534">
        <v>0</v>
      </c>
      <c r="S363" s="536">
        <v>0</v>
      </c>
      <c r="T363" s="533"/>
      <c r="U363" s="534">
        <v>0</v>
      </c>
      <c r="V363" s="534">
        <v>0</v>
      </c>
      <c r="W363" s="534">
        <v>0</v>
      </c>
      <c r="X363" s="534">
        <v>0</v>
      </c>
      <c r="Y363" s="534">
        <v>0</v>
      </c>
      <c r="Z363" s="534">
        <v>0</v>
      </c>
      <c r="AA363" s="534">
        <v>0</v>
      </c>
      <c r="AB363" s="534">
        <v>0</v>
      </c>
      <c r="AC363" s="534">
        <v>0</v>
      </c>
      <c r="AD363" s="534">
        <v>0</v>
      </c>
      <c r="AE363" s="536">
        <v>0</v>
      </c>
      <c r="AF363" s="533"/>
      <c r="AG363" s="534">
        <v>0</v>
      </c>
      <c r="AH363" s="534">
        <v>0</v>
      </c>
      <c r="AI363" s="534">
        <v>0</v>
      </c>
      <c r="AJ363" s="534">
        <v>0</v>
      </c>
      <c r="AK363" s="536">
        <v>0</v>
      </c>
      <c r="AL363" s="533"/>
      <c r="AM363" s="534">
        <v>0</v>
      </c>
      <c r="AN363" s="534">
        <v>0</v>
      </c>
      <c r="AO363" s="534">
        <v>0</v>
      </c>
      <c r="AP363" s="537">
        <v>0</v>
      </c>
      <c r="AQ363" s="535">
        <v>0</v>
      </c>
      <c r="AR363" s="534">
        <v>0</v>
      </c>
      <c r="AS363" s="534">
        <v>0</v>
      </c>
      <c r="AT363" s="534">
        <v>0</v>
      </c>
      <c r="AU363" s="536">
        <v>0</v>
      </c>
      <c r="AV363" s="533"/>
      <c r="AW363" s="538">
        <v>0</v>
      </c>
      <c r="AX363" s="538">
        <v>19053824.60002128</v>
      </c>
      <c r="AY363" s="533"/>
      <c r="AZ363" s="534">
        <f t="shared" si="152"/>
        <v>0</v>
      </c>
      <c r="BA363" s="534">
        <v>0</v>
      </c>
      <c r="BD363" s="392">
        <f t="shared" si="154"/>
        <v>0</v>
      </c>
      <c r="BE363" s="425">
        <f t="shared" si="155"/>
        <v>0</v>
      </c>
      <c r="BF363" s="425">
        <f t="shared" si="156"/>
        <v>0</v>
      </c>
      <c r="BG363" s="425">
        <f t="shared" si="156"/>
        <v>0</v>
      </c>
      <c r="BH363" s="425">
        <f t="shared" si="156"/>
        <v>0</v>
      </c>
      <c r="BI363" s="425">
        <f t="shared" si="156"/>
        <v>0</v>
      </c>
      <c r="BJ363" s="425">
        <f t="shared" si="156"/>
        <v>0</v>
      </c>
      <c r="BK363" s="425">
        <f t="shared" si="156"/>
        <v>0</v>
      </c>
      <c r="BL363" s="425">
        <f t="shared" si="156"/>
        <v>0</v>
      </c>
      <c r="BM363" s="425">
        <f t="shared" si="157"/>
        <v>0</v>
      </c>
      <c r="BN363" s="425">
        <f t="shared" si="157"/>
        <v>0</v>
      </c>
      <c r="BO363" s="425">
        <f t="shared" si="157"/>
        <v>0</v>
      </c>
      <c r="BP363" s="425">
        <f t="shared" si="158"/>
        <v>0</v>
      </c>
      <c r="BQ363" s="425">
        <f t="shared" si="158"/>
        <v>0</v>
      </c>
      <c r="BR363" s="425">
        <f t="shared" si="158"/>
        <v>0</v>
      </c>
      <c r="BS363" s="425">
        <f t="shared" si="159"/>
        <v>0</v>
      </c>
      <c r="BT363" s="426">
        <f t="shared" si="159"/>
        <v>0</v>
      </c>
    </row>
    <row r="364" spans="2:72" x14ac:dyDescent="0.25">
      <c r="B364" s="145"/>
      <c r="C364" s="539">
        <v>49341</v>
      </c>
      <c r="D364" s="533"/>
      <c r="E364" s="534">
        <v>0</v>
      </c>
      <c r="F364" s="534">
        <v>0</v>
      </c>
      <c r="G364" s="534">
        <v>0</v>
      </c>
      <c r="H364" s="540">
        <v>0</v>
      </c>
      <c r="I364" s="536">
        <v>0</v>
      </c>
      <c r="J364" s="533"/>
      <c r="K364" s="534">
        <v>0</v>
      </c>
      <c r="L364" s="534">
        <v>0</v>
      </c>
      <c r="M364" s="534">
        <v>0</v>
      </c>
      <c r="N364" s="534">
        <v>0</v>
      </c>
      <c r="O364" s="534">
        <v>0</v>
      </c>
      <c r="P364" s="534">
        <v>0</v>
      </c>
      <c r="Q364" s="534">
        <v>0</v>
      </c>
      <c r="R364" s="534">
        <v>0</v>
      </c>
      <c r="S364" s="536">
        <v>0</v>
      </c>
      <c r="T364" s="533"/>
      <c r="U364" s="534">
        <v>0</v>
      </c>
      <c r="V364" s="534">
        <v>0</v>
      </c>
      <c r="W364" s="534">
        <v>0</v>
      </c>
      <c r="X364" s="534">
        <v>0</v>
      </c>
      <c r="Y364" s="534">
        <v>0</v>
      </c>
      <c r="Z364" s="534">
        <v>0</v>
      </c>
      <c r="AA364" s="534">
        <v>0</v>
      </c>
      <c r="AB364" s="534">
        <v>0</v>
      </c>
      <c r="AC364" s="534">
        <v>0</v>
      </c>
      <c r="AD364" s="534">
        <v>0</v>
      </c>
      <c r="AE364" s="536">
        <v>0</v>
      </c>
      <c r="AF364" s="533"/>
      <c r="AG364" s="534">
        <v>0</v>
      </c>
      <c r="AH364" s="534">
        <v>0</v>
      </c>
      <c r="AI364" s="534">
        <v>0</v>
      </c>
      <c r="AJ364" s="534">
        <v>0</v>
      </c>
      <c r="AK364" s="536">
        <v>0</v>
      </c>
      <c r="AL364" s="533"/>
      <c r="AM364" s="534">
        <v>0</v>
      </c>
      <c r="AN364" s="534">
        <v>0</v>
      </c>
      <c r="AO364" s="534">
        <v>0</v>
      </c>
      <c r="AP364" s="537">
        <v>0</v>
      </c>
      <c r="AQ364" s="535">
        <v>0</v>
      </c>
      <c r="AR364" s="534">
        <v>0</v>
      </c>
      <c r="AS364" s="534">
        <v>0</v>
      </c>
      <c r="AT364" s="534">
        <v>0</v>
      </c>
      <c r="AU364" s="536">
        <v>0</v>
      </c>
      <c r="AV364" s="533"/>
      <c r="AW364" s="538">
        <v>0</v>
      </c>
      <c r="AX364" s="538">
        <v>19053824.60002128</v>
      </c>
      <c r="AY364" s="533"/>
      <c r="AZ364" s="534">
        <f t="shared" si="152"/>
        <v>0</v>
      </c>
      <c r="BA364" s="534">
        <v>0</v>
      </c>
      <c r="BD364" s="392">
        <f t="shared" si="154"/>
        <v>0</v>
      </c>
      <c r="BE364" s="425">
        <f t="shared" si="155"/>
        <v>0</v>
      </c>
      <c r="BF364" s="425">
        <f t="shared" si="156"/>
        <v>0</v>
      </c>
      <c r="BG364" s="425">
        <f t="shared" si="156"/>
        <v>0</v>
      </c>
      <c r="BH364" s="425">
        <f t="shared" si="156"/>
        <v>0</v>
      </c>
      <c r="BI364" s="425">
        <f t="shared" si="156"/>
        <v>0</v>
      </c>
      <c r="BJ364" s="425">
        <f t="shared" si="156"/>
        <v>0</v>
      </c>
      <c r="BK364" s="425">
        <f t="shared" si="156"/>
        <v>0</v>
      </c>
      <c r="BL364" s="425">
        <f t="shared" si="156"/>
        <v>0</v>
      </c>
      <c r="BM364" s="425">
        <f t="shared" si="157"/>
        <v>0</v>
      </c>
      <c r="BN364" s="425">
        <f t="shared" si="157"/>
        <v>0</v>
      </c>
      <c r="BO364" s="425">
        <f t="shared" si="157"/>
        <v>0</v>
      </c>
      <c r="BP364" s="425">
        <f t="shared" si="158"/>
        <v>0</v>
      </c>
      <c r="BQ364" s="425">
        <f t="shared" si="158"/>
        <v>0</v>
      </c>
      <c r="BR364" s="425">
        <f t="shared" si="158"/>
        <v>0</v>
      </c>
      <c r="BS364" s="425">
        <f t="shared" si="159"/>
        <v>0</v>
      </c>
      <c r="BT364" s="426">
        <f t="shared" si="159"/>
        <v>0</v>
      </c>
    </row>
    <row r="365" spans="2:72" x14ac:dyDescent="0.25">
      <c r="B365" s="145"/>
      <c r="C365" s="539">
        <v>49369</v>
      </c>
      <c r="D365" s="533"/>
      <c r="E365" s="534">
        <v>0</v>
      </c>
      <c r="F365" s="534">
        <v>0</v>
      </c>
      <c r="G365" s="534">
        <v>0</v>
      </c>
      <c r="H365" s="540">
        <v>0</v>
      </c>
      <c r="I365" s="536">
        <v>0</v>
      </c>
      <c r="J365" s="533"/>
      <c r="K365" s="534">
        <v>0</v>
      </c>
      <c r="L365" s="534">
        <v>0</v>
      </c>
      <c r="M365" s="534">
        <v>0</v>
      </c>
      <c r="N365" s="534">
        <v>0</v>
      </c>
      <c r="O365" s="534">
        <v>0</v>
      </c>
      <c r="P365" s="534">
        <v>0</v>
      </c>
      <c r="Q365" s="534">
        <v>0</v>
      </c>
      <c r="R365" s="534">
        <v>0</v>
      </c>
      <c r="S365" s="536">
        <v>0</v>
      </c>
      <c r="T365" s="533"/>
      <c r="U365" s="534">
        <v>0</v>
      </c>
      <c r="V365" s="534">
        <v>0</v>
      </c>
      <c r="W365" s="534">
        <v>0</v>
      </c>
      <c r="X365" s="534">
        <v>0</v>
      </c>
      <c r="Y365" s="534">
        <v>0</v>
      </c>
      <c r="Z365" s="534">
        <v>0</v>
      </c>
      <c r="AA365" s="534">
        <v>0</v>
      </c>
      <c r="AB365" s="534">
        <v>0</v>
      </c>
      <c r="AC365" s="534">
        <v>0</v>
      </c>
      <c r="AD365" s="534">
        <v>0</v>
      </c>
      <c r="AE365" s="536">
        <v>0</v>
      </c>
      <c r="AF365" s="533"/>
      <c r="AG365" s="534">
        <v>0</v>
      </c>
      <c r="AH365" s="534">
        <v>0</v>
      </c>
      <c r="AI365" s="534">
        <v>0</v>
      </c>
      <c r="AJ365" s="534">
        <v>0</v>
      </c>
      <c r="AK365" s="536">
        <v>0</v>
      </c>
      <c r="AL365" s="533"/>
      <c r="AM365" s="534">
        <v>0</v>
      </c>
      <c r="AN365" s="534">
        <v>0</v>
      </c>
      <c r="AO365" s="534">
        <v>0</v>
      </c>
      <c r="AP365" s="537">
        <v>0</v>
      </c>
      <c r="AQ365" s="535">
        <v>0</v>
      </c>
      <c r="AR365" s="534">
        <v>0</v>
      </c>
      <c r="AS365" s="534">
        <v>0</v>
      </c>
      <c r="AT365" s="534">
        <v>0</v>
      </c>
      <c r="AU365" s="536">
        <v>0</v>
      </c>
      <c r="AV365" s="533"/>
      <c r="AW365" s="538">
        <v>0</v>
      </c>
      <c r="AX365" s="538">
        <v>19053824.60002128</v>
      </c>
      <c r="AY365" s="533"/>
      <c r="AZ365" s="534">
        <f t="shared" si="152"/>
        <v>0</v>
      </c>
      <c r="BA365" s="534">
        <v>0</v>
      </c>
      <c r="BD365" s="392">
        <f t="shared" si="154"/>
        <v>0</v>
      </c>
      <c r="BE365" s="425">
        <f t="shared" si="155"/>
        <v>0</v>
      </c>
      <c r="BF365" s="425">
        <f t="shared" si="156"/>
        <v>0</v>
      </c>
      <c r="BG365" s="425">
        <f t="shared" si="156"/>
        <v>0</v>
      </c>
      <c r="BH365" s="425">
        <f t="shared" si="156"/>
        <v>0</v>
      </c>
      <c r="BI365" s="425">
        <f t="shared" si="156"/>
        <v>0</v>
      </c>
      <c r="BJ365" s="425">
        <f t="shared" si="156"/>
        <v>0</v>
      </c>
      <c r="BK365" s="425">
        <f t="shared" si="156"/>
        <v>0</v>
      </c>
      <c r="BL365" s="425">
        <f t="shared" si="156"/>
        <v>0</v>
      </c>
      <c r="BM365" s="425">
        <f t="shared" si="157"/>
        <v>0</v>
      </c>
      <c r="BN365" s="425">
        <f t="shared" si="157"/>
        <v>0</v>
      </c>
      <c r="BO365" s="425">
        <f t="shared" si="157"/>
        <v>0</v>
      </c>
      <c r="BP365" s="425">
        <f t="shared" si="158"/>
        <v>0</v>
      </c>
      <c r="BQ365" s="425">
        <f t="shared" si="158"/>
        <v>0</v>
      </c>
      <c r="BR365" s="425">
        <f t="shared" si="158"/>
        <v>0</v>
      </c>
      <c r="BS365" s="425">
        <f t="shared" si="159"/>
        <v>0</v>
      </c>
      <c r="BT365" s="426">
        <f t="shared" si="159"/>
        <v>0</v>
      </c>
    </row>
    <row r="366" spans="2:72" x14ac:dyDescent="0.25">
      <c r="B366" s="145"/>
      <c r="C366" s="539">
        <v>49400</v>
      </c>
      <c r="D366" s="533"/>
      <c r="E366" s="534">
        <v>0</v>
      </c>
      <c r="F366" s="534">
        <v>0</v>
      </c>
      <c r="G366" s="534">
        <v>0</v>
      </c>
      <c r="H366" s="540">
        <v>0</v>
      </c>
      <c r="I366" s="536">
        <v>0</v>
      </c>
      <c r="J366" s="533"/>
      <c r="K366" s="534">
        <v>0</v>
      </c>
      <c r="L366" s="534">
        <v>0</v>
      </c>
      <c r="M366" s="534">
        <v>0</v>
      </c>
      <c r="N366" s="534">
        <v>0</v>
      </c>
      <c r="O366" s="534">
        <v>0</v>
      </c>
      <c r="P366" s="534">
        <v>0</v>
      </c>
      <c r="Q366" s="534">
        <v>0</v>
      </c>
      <c r="R366" s="534">
        <v>0</v>
      </c>
      <c r="S366" s="536">
        <v>0</v>
      </c>
      <c r="T366" s="533"/>
      <c r="U366" s="534">
        <v>0</v>
      </c>
      <c r="V366" s="534">
        <v>0</v>
      </c>
      <c r="W366" s="534">
        <v>0</v>
      </c>
      <c r="X366" s="534">
        <v>0</v>
      </c>
      <c r="Y366" s="534">
        <v>0</v>
      </c>
      <c r="Z366" s="534">
        <v>0</v>
      </c>
      <c r="AA366" s="534">
        <v>0</v>
      </c>
      <c r="AB366" s="534">
        <v>0</v>
      </c>
      <c r="AC366" s="534">
        <v>0</v>
      </c>
      <c r="AD366" s="534">
        <v>0</v>
      </c>
      <c r="AE366" s="536">
        <v>0</v>
      </c>
      <c r="AF366" s="533"/>
      <c r="AG366" s="534">
        <v>0</v>
      </c>
      <c r="AH366" s="534">
        <v>0</v>
      </c>
      <c r="AI366" s="534">
        <v>0</v>
      </c>
      <c r="AJ366" s="534">
        <v>0</v>
      </c>
      <c r="AK366" s="536">
        <v>0</v>
      </c>
      <c r="AL366" s="533"/>
      <c r="AM366" s="534">
        <v>0</v>
      </c>
      <c r="AN366" s="534">
        <v>0</v>
      </c>
      <c r="AO366" s="534">
        <v>0</v>
      </c>
      <c r="AP366" s="537">
        <v>0</v>
      </c>
      <c r="AQ366" s="535">
        <v>0</v>
      </c>
      <c r="AR366" s="534">
        <v>0</v>
      </c>
      <c r="AS366" s="534">
        <v>0</v>
      </c>
      <c r="AT366" s="534">
        <v>0</v>
      </c>
      <c r="AU366" s="536">
        <v>0</v>
      </c>
      <c r="AV366" s="533"/>
      <c r="AW366" s="538">
        <v>0</v>
      </c>
      <c r="AX366" s="538">
        <v>19053824.60002128</v>
      </c>
      <c r="AY366" s="533"/>
      <c r="AZ366" s="534">
        <f t="shared" si="152"/>
        <v>0</v>
      </c>
      <c r="BA366" s="534">
        <v>0</v>
      </c>
      <c r="BD366" s="392">
        <f t="shared" si="154"/>
        <v>0</v>
      </c>
      <c r="BE366" s="425">
        <f t="shared" si="155"/>
        <v>0</v>
      </c>
      <c r="BF366" s="425">
        <f t="shared" si="156"/>
        <v>0</v>
      </c>
      <c r="BG366" s="425">
        <f t="shared" si="156"/>
        <v>0</v>
      </c>
      <c r="BH366" s="425">
        <f t="shared" si="156"/>
        <v>0</v>
      </c>
      <c r="BI366" s="425">
        <f t="shared" si="156"/>
        <v>0</v>
      </c>
      <c r="BJ366" s="425">
        <f t="shared" si="156"/>
        <v>0</v>
      </c>
      <c r="BK366" s="425">
        <f t="shared" si="156"/>
        <v>0</v>
      </c>
      <c r="BL366" s="425">
        <f t="shared" si="156"/>
        <v>0</v>
      </c>
      <c r="BM366" s="425">
        <f t="shared" si="157"/>
        <v>0</v>
      </c>
      <c r="BN366" s="425">
        <f t="shared" si="157"/>
        <v>0</v>
      </c>
      <c r="BO366" s="425">
        <f t="shared" si="157"/>
        <v>0</v>
      </c>
      <c r="BP366" s="425">
        <f t="shared" si="158"/>
        <v>0</v>
      </c>
      <c r="BQ366" s="425">
        <f t="shared" si="158"/>
        <v>0</v>
      </c>
      <c r="BR366" s="425">
        <f t="shared" si="158"/>
        <v>0</v>
      </c>
      <c r="BS366" s="425">
        <f t="shared" si="159"/>
        <v>0</v>
      </c>
      <c r="BT366" s="426">
        <f t="shared" si="159"/>
        <v>0</v>
      </c>
    </row>
    <row r="367" spans="2:72" x14ac:dyDescent="0.25">
      <c r="B367" s="145"/>
      <c r="C367" s="539">
        <v>49430</v>
      </c>
      <c r="D367" s="533"/>
      <c r="E367" s="534">
        <v>0</v>
      </c>
      <c r="F367" s="534">
        <v>0</v>
      </c>
      <c r="G367" s="534">
        <v>0</v>
      </c>
      <c r="H367" s="540">
        <v>0</v>
      </c>
      <c r="I367" s="536">
        <v>0</v>
      </c>
      <c r="J367" s="533"/>
      <c r="K367" s="534">
        <v>0</v>
      </c>
      <c r="L367" s="534">
        <v>0</v>
      </c>
      <c r="M367" s="534">
        <v>0</v>
      </c>
      <c r="N367" s="534">
        <v>0</v>
      </c>
      <c r="O367" s="534">
        <v>0</v>
      </c>
      <c r="P367" s="534">
        <v>0</v>
      </c>
      <c r="Q367" s="534">
        <v>0</v>
      </c>
      <c r="R367" s="534">
        <v>0</v>
      </c>
      <c r="S367" s="536">
        <v>0</v>
      </c>
      <c r="T367" s="533"/>
      <c r="U367" s="534">
        <v>0</v>
      </c>
      <c r="V367" s="534">
        <v>0</v>
      </c>
      <c r="W367" s="534">
        <v>0</v>
      </c>
      <c r="X367" s="534">
        <v>0</v>
      </c>
      <c r="Y367" s="534">
        <v>0</v>
      </c>
      <c r="Z367" s="534">
        <v>0</v>
      </c>
      <c r="AA367" s="534">
        <v>0</v>
      </c>
      <c r="AB367" s="534">
        <v>0</v>
      </c>
      <c r="AC367" s="534">
        <v>0</v>
      </c>
      <c r="AD367" s="534">
        <v>0</v>
      </c>
      <c r="AE367" s="536">
        <v>0</v>
      </c>
      <c r="AF367" s="533"/>
      <c r="AG367" s="534">
        <v>0</v>
      </c>
      <c r="AH367" s="534">
        <v>0</v>
      </c>
      <c r="AI367" s="534">
        <v>0</v>
      </c>
      <c r="AJ367" s="534">
        <v>0</v>
      </c>
      <c r="AK367" s="536">
        <v>0</v>
      </c>
      <c r="AL367" s="533"/>
      <c r="AM367" s="534">
        <v>0</v>
      </c>
      <c r="AN367" s="534">
        <v>0</v>
      </c>
      <c r="AO367" s="534">
        <v>0</v>
      </c>
      <c r="AP367" s="537">
        <v>0</v>
      </c>
      <c r="AQ367" s="535">
        <v>0</v>
      </c>
      <c r="AR367" s="534">
        <v>0</v>
      </c>
      <c r="AS367" s="534">
        <v>0</v>
      </c>
      <c r="AT367" s="534">
        <v>0</v>
      </c>
      <c r="AU367" s="536">
        <v>0</v>
      </c>
      <c r="AV367" s="533"/>
      <c r="AW367" s="538">
        <v>0</v>
      </c>
      <c r="AX367" s="538">
        <v>19053824.60002128</v>
      </c>
      <c r="AY367" s="533"/>
      <c r="AZ367" s="534">
        <f t="shared" si="152"/>
        <v>0</v>
      </c>
      <c r="BA367" s="534">
        <v>0</v>
      </c>
      <c r="BD367" s="392">
        <f t="shared" si="154"/>
        <v>0</v>
      </c>
      <c r="BE367" s="425">
        <f t="shared" si="155"/>
        <v>0</v>
      </c>
      <c r="BF367" s="425">
        <f t="shared" si="156"/>
        <v>0</v>
      </c>
      <c r="BG367" s="425">
        <f t="shared" si="156"/>
        <v>0</v>
      </c>
      <c r="BH367" s="425">
        <f t="shared" si="156"/>
        <v>0</v>
      </c>
      <c r="BI367" s="425">
        <f t="shared" si="156"/>
        <v>0</v>
      </c>
      <c r="BJ367" s="425">
        <f t="shared" si="156"/>
        <v>0</v>
      </c>
      <c r="BK367" s="425">
        <f t="shared" si="156"/>
        <v>0</v>
      </c>
      <c r="BL367" s="425">
        <f t="shared" si="156"/>
        <v>0</v>
      </c>
      <c r="BM367" s="425">
        <f t="shared" si="157"/>
        <v>0</v>
      </c>
      <c r="BN367" s="425">
        <f t="shared" si="157"/>
        <v>0</v>
      </c>
      <c r="BO367" s="425">
        <f t="shared" si="157"/>
        <v>0</v>
      </c>
      <c r="BP367" s="425">
        <f t="shared" si="158"/>
        <v>0</v>
      </c>
      <c r="BQ367" s="425">
        <f t="shared" si="158"/>
        <v>0</v>
      </c>
      <c r="BR367" s="425">
        <f t="shared" si="158"/>
        <v>0</v>
      </c>
      <c r="BS367" s="425">
        <f t="shared" si="159"/>
        <v>0</v>
      </c>
      <c r="BT367" s="426">
        <f t="shared" si="159"/>
        <v>0</v>
      </c>
    </row>
    <row r="368" spans="2:72" x14ac:dyDescent="0.25">
      <c r="B368" s="145"/>
      <c r="C368" s="539">
        <v>49461</v>
      </c>
      <c r="D368" s="533"/>
      <c r="E368" s="534">
        <v>0</v>
      </c>
      <c r="F368" s="534">
        <v>0</v>
      </c>
      <c r="G368" s="534">
        <v>0</v>
      </c>
      <c r="H368" s="540">
        <v>0</v>
      </c>
      <c r="I368" s="536">
        <v>0</v>
      </c>
      <c r="J368" s="533"/>
      <c r="K368" s="534">
        <v>0</v>
      </c>
      <c r="L368" s="534">
        <v>0</v>
      </c>
      <c r="M368" s="534">
        <v>0</v>
      </c>
      <c r="N368" s="534">
        <v>0</v>
      </c>
      <c r="O368" s="534">
        <v>0</v>
      </c>
      <c r="P368" s="534">
        <v>0</v>
      </c>
      <c r="Q368" s="534">
        <v>0</v>
      </c>
      <c r="R368" s="534">
        <v>0</v>
      </c>
      <c r="S368" s="536">
        <v>0</v>
      </c>
      <c r="T368" s="533"/>
      <c r="U368" s="534">
        <v>0</v>
      </c>
      <c r="V368" s="534">
        <v>0</v>
      </c>
      <c r="W368" s="534">
        <v>0</v>
      </c>
      <c r="X368" s="534">
        <v>0</v>
      </c>
      <c r="Y368" s="534">
        <v>0</v>
      </c>
      <c r="Z368" s="534">
        <v>0</v>
      </c>
      <c r="AA368" s="534">
        <v>0</v>
      </c>
      <c r="AB368" s="534">
        <v>0</v>
      </c>
      <c r="AC368" s="534">
        <v>0</v>
      </c>
      <c r="AD368" s="534">
        <v>0</v>
      </c>
      <c r="AE368" s="536">
        <v>0</v>
      </c>
      <c r="AF368" s="533"/>
      <c r="AG368" s="534">
        <v>0</v>
      </c>
      <c r="AH368" s="534">
        <v>0</v>
      </c>
      <c r="AI368" s="534">
        <v>0</v>
      </c>
      <c r="AJ368" s="534">
        <v>0</v>
      </c>
      <c r="AK368" s="536">
        <v>0</v>
      </c>
      <c r="AL368" s="533"/>
      <c r="AM368" s="534">
        <v>0</v>
      </c>
      <c r="AN368" s="534">
        <v>0</v>
      </c>
      <c r="AO368" s="534">
        <v>0</v>
      </c>
      <c r="AP368" s="537">
        <v>0</v>
      </c>
      <c r="AQ368" s="535">
        <v>0</v>
      </c>
      <c r="AR368" s="534">
        <v>0</v>
      </c>
      <c r="AS368" s="534">
        <v>0</v>
      </c>
      <c r="AT368" s="534">
        <v>0</v>
      </c>
      <c r="AU368" s="536">
        <v>0</v>
      </c>
      <c r="AV368" s="533"/>
      <c r="AW368" s="538">
        <v>0</v>
      </c>
      <c r="AX368" s="538">
        <v>19053824.60002128</v>
      </c>
      <c r="AY368" s="533"/>
      <c r="AZ368" s="534">
        <f t="shared" si="152"/>
        <v>0</v>
      </c>
      <c r="BA368" s="534">
        <v>0</v>
      </c>
      <c r="BD368" s="392">
        <f t="shared" si="154"/>
        <v>0</v>
      </c>
      <c r="BE368" s="425">
        <f t="shared" si="155"/>
        <v>0</v>
      </c>
      <c r="BF368" s="425">
        <f t="shared" si="156"/>
        <v>0</v>
      </c>
      <c r="BG368" s="425">
        <f t="shared" si="156"/>
        <v>0</v>
      </c>
      <c r="BH368" s="425">
        <f t="shared" si="156"/>
        <v>0</v>
      </c>
      <c r="BI368" s="425">
        <f t="shared" si="156"/>
        <v>0</v>
      </c>
      <c r="BJ368" s="425">
        <f t="shared" si="156"/>
        <v>0</v>
      </c>
      <c r="BK368" s="425">
        <f t="shared" si="156"/>
        <v>0</v>
      </c>
      <c r="BL368" s="425">
        <f t="shared" si="156"/>
        <v>0</v>
      </c>
      <c r="BM368" s="425">
        <f t="shared" si="157"/>
        <v>0</v>
      </c>
      <c r="BN368" s="425">
        <f t="shared" si="157"/>
        <v>0</v>
      </c>
      <c r="BO368" s="425">
        <f t="shared" si="157"/>
        <v>0</v>
      </c>
      <c r="BP368" s="425">
        <f t="shared" si="158"/>
        <v>0</v>
      </c>
      <c r="BQ368" s="425">
        <f t="shared" si="158"/>
        <v>0</v>
      </c>
      <c r="BR368" s="425">
        <f t="shared" si="158"/>
        <v>0</v>
      </c>
      <c r="BS368" s="425">
        <f t="shared" si="159"/>
        <v>0</v>
      </c>
      <c r="BT368" s="426">
        <f t="shared" si="159"/>
        <v>0</v>
      </c>
    </row>
    <row r="369" spans="2:72" x14ac:dyDescent="0.25">
      <c r="B369" s="145"/>
      <c r="C369" s="539">
        <v>49491</v>
      </c>
      <c r="D369" s="533"/>
      <c r="E369" s="534">
        <v>0</v>
      </c>
      <c r="F369" s="534">
        <v>0</v>
      </c>
      <c r="G369" s="534">
        <v>0</v>
      </c>
      <c r="H369" s="540">
        <v>0</v>
      </c>
      <c r="I369" s="536">
        <v>0</v>
      </c>
      <c r="J369" s="533"/>
      <c r="K369" s="534">
        <v>0</v>
      </c>
      <c r="L369" s="534">
        <v>0</v>
      </c>
      <c r="M369" s="534">
        <v>0</v>
      </c>
      <c r="N369" s="534">
        <v>0</v>
      </c>
      <c r="O369" s="534">
        <v>0</v>
      </c>
      <c r="P369" s="534">
        <v>0</v>
      </c>
      <c r="Q369" s="534">
        <v>0</v>
      </c>
      <c r="R369" s="534">
        <v>0</v>
      </c>
      <c r="S369" s="536">
        <v>0</v>
      </c>
      <c r="T369" s="533"/>
      <c r="U369" s="534">
        <v>0</v>
      </c>
      <c r="V369" s="534">
        <v>0</v>
      </c>
      <c r="W369" s="534">
        <v>0</v>
      </c>
      <c r="X369" s="534">
        <v>0</v>
      </c>
      <c r="Y369" s="534">
        <v>0</v>
      </c>
      <c r="Z369" s="534">
        <v>0</v>
      </c>
      <c r="AA369" s="534">
        <v>0</v>
      </c>
      <c r="AB369" s="534">
        <v>0</v>
      </c>
      <c r="AC369" s="534">
        <v>0</v>
      </c>
      <c r="AD369" s="534">
        <v>0</v>
      </c>
      <c r="AE369" s="536">
        <v>0</v>
      </c>
      <c r="AF369" s="533"/>
      <c r="AG369" s="534">
        <v>0</v>
      </c>
      <c r="AH369" s="534">
        <v>0</v>
      </c>
      <c r="AI369" s="534">
        <v>0</v>
      </c>
      <c r="AJ369" s="534">
        <v>0</v>
      </c>
      <c r="AK369" s="536">
        <v>0</v>
      </c>
      <c r="AL369" s="533"/>
      <c r="AM369" s="534">
        <v>0</v>
      </c>
      <c r="AN369" s="534">
        <v>0</v>
      </c>
      <c r="AO369" s="534">
        <v>0</v>
      </c>
      <c r="AP369" s="537">
        <v>0</v>
      </c>
      <c r="AQ369" s="535">
        <v>0</v>
      </c>
      <c r="AR369" s="534">
        <v>0</v>
      </c>
      <c r="AS369" s="534">
        <v>0</v>
      </c>
      <c r="AT369" s="534">
        <v>0</v>
      </c>
      <c r="AU369" s="536">
        <v>0</v>
      </c>
      <c r="AV369" s="533"/>
      <c r="AW369" s="538">
        <v>0</v>
      </c>
      <c r="AX369" s="538">
        <v>19053824.60002128</v>
      </c>
      <c r="AY369" s="533"/>
      <c r="AZ369" s="534">
        <f t="shared" si="152"/>
        <v>0</v>
      </c>
      <c r="BA369" s="534">
        <v>0</v>
      </c>
      <c r="BD369" s="392">
        <f t="shared" si="154"/>
        <v>0</v>
      </c>
      <c r="BE369" s="425">
        <f t="shared" si="155"/>
        <v>0</v>
      </c>
      <c r="BF369" s="425">
        <f t="shared" si="156"/>
        <v>0</v>
      </c>
      <c r="BG369" s="425">
        <f t="shared" si="156"/>
        <v>0</v>
      </c>
      <c r="BH369" s="425">
        <f t="shared" si="156"/>
        <v>0</v>
      </c>
      <c r="BI369" s="425">
        <f t="shared" si="156"/>
        <v>0</v>
      </c>
      <c r="BJ369" s="425">
        <f t="shared" si="156"/>
        <v>0</v>
      </c>
      <c r="BK369" s="425">
        <f t="shared" si="156"/>
        <v>0</v>
      </c>
      <c r="BL369" s="425">
        <f t="shared" si="156"/>
        <v>0</v>
      </c>
      <c r="BM369" s="425">
        <f t="shared" si="157"/>
        <v>0</v>
      </c>
      <c r="BN369" s="425">
        <f t="shared" si="157"/>
        <v>0</v>
      </c>
      <c r="BO369" s="425">
        <f t="shared" si="157"/>
        <v>0</v>
      </c>
      <c r="BP369" s="425">
        <f t="shared" si="158"/>
        <v>0</v>
      </c>
      <c r="BQ369" s="425">
        <f t="shared" si="158"/>
        <v>0</v>
      </c>
      <c r="BR369" s="425">
        <f t="shared" si="158"/>
        <v>0</v>
      </c>
      <c r="BS369" s="425">
        <f t="shared" si="159"/>
        <v>0</v>
      </c>
      <c r="BT369" s="426">
        <f t="shared" si="159"/>
        <v>0</v>
      </c>
    </row>
    <row r="370" spans="2:72" x14ac:dyDescent="0.25">
      <c r="B370" s="145"/>
      <c r="C370" s="539">
        <v>49522</v>
      </c>
      <c r="D370" s="533"/>
      <c r="E370" s="534">
        <v>0</v>
      </c>
      <c r="F370" s="534">
        <v>0</v>
      </c>
      <c r="G370" s="534">
        <v>0</v>
      </c>
      <c r="H370" s="540">
        <v>0</v>
      </c>
      <c r="I370" s="536">
        <v>0</v>
      </c>
      <c r="J370" s="533"/>
      <c r="K370" s="534">
        <v>0</v>
      </c>
      <c r="L370" s="534">
        <v>0</v>
      </c>
      <c r="M370" s="534">
        <v>0</v>
      </c>
      <c r="N370" s="534">
        <v>0</v>
      </c>
      <c r="O370" s="534">
        <v>0</v>
      </c>
      <c r="P370" s="534">
        <v>0</v>
      </c>
      <c r="Q370" s="534">
        <v>0</v>
      </c>
      <c r="R370" s="534">
        <v>0</v>
      </c>
      <c r="S370" s="536">
        <v>0</v>
      </c>
      <c r="T370" s="533"/>
      <c r="U370" s="534">
        <v>0</v>
      </c>
      <c r="V370" s="534">
        <v>0</v>
      </c>
      <c r="W370" s="534">
        <v>0</v>
      </c>
      <c r="X370" s="534">
        <v>0</v>
      </c>
      <c r="Y370" s="534">
        <v>0</v>
      </c>
      <c r="Z370" s="534">
        <v>0</v>
      </c>
      <c r="AA370" s="534">
        <v>0</v>
      </c>
      <c r="AB370" s="534">
        <v>0</v>
      </c>
      <c r="AC370" s="534">
        <v>0</v>
      </c>
      <c r="AD370" s="534">
        <v>0</v>
      </c>
      <c r="AE370" s="536">
        <v>0</v>
      </c>
      <c r="AF370" s="533"/>
      <c r="AG370" s="534">
        <v>0</v>
      </c>
      <c r="AH370" s="534">
        <v>0</v>
      </c>
      <c r="AI370" s="534">
        <v>0</v>
      </c>
      <c r="AJ370" s="534">
        <v>0</v>
      </c>
      <c r="AK370" s="536">
        <v>0</v>
      </c>
      <c r="AL370" s="533"/>
      <c r="AM370" s="534">
        <v>0</v>
      </c>
      <c r="AN370" s="534">
        <v>0</v>
      </c>
      <c r="AO370" s="534">
        <v>0</v>
      </c>
      <c r="AP370" s="537">
        <v>0</v>
      </c>
      <c r="AQ370" s="535">
        <v>0</v>
      </c>
      <c r="AR370" s="534">
        <v>0</v>
      </c>
      <c r="AS370" s="534">
        <v>0</v>
      </c>
      <c r="AT370" s="534">
        <v>0</v>
      </c>
      <c r="AU370" s="536">
        <v>0</v>
      </c>
      <c r="AV370" s="533"/>
      <c r="AW370" s="538">
        <v>0</v>
      </c>
      <c r="AX370" s="538">
        <v>19053824.60002128</v>
      </c>
      <c r="AY370" s="533"/>
      <c r="AZ370" s="534">
        <f t="shared" si="152"/>
        <v>0</v>
      </c>
      <c r="BA370" s="534">
        <v>0</v>
      </c>
      <c r="BD370" s="392">
        <f t="shared" si="154"/>
        <v>0</v>
      </c>
      <c r="BE370" s="425">
        <f t="shared" si="155"/>
        <v>0</v>
      </c>
      <c r="BF370" s="425">
        <f t="shared" si="156"/>
        <v>0</v>
      </c>
      <c r="BG370" s="425">
        <f t="shared" si="156"/>
        <v>0</v>
      </c>
      <c r="BH370" s="425">
        <f t="shared" si="156"/>
        <v>0</v>
      </c>
      <c r="BI370" s="425">
        <f t="shared" si="156"/>
        <v>0</v>
      </c>
      <c r="BJ370" s="425">
        <f t="shared" si="156"/>
        <v>0</v>
      </c>
      <c r="BK370" s="425">
        <f t="shared" si="156"/>
        <v>0</v>
      </c>
      <c r="BL370" s="425">
        <f t="shared" si="156"/>
        <v>0</v>
      </c>
      <c r="BM370" s="425">
        <f t="shared" si="157"/>
        <v>0</v>
      </c>
      <c r="BN370" s="425">
        <f t="shared" si="157"/>
        <v>0</v>
      </c>
      <c r="BO370" s="425">
        <f t="shared" si="157"/>
        <v>0</v>
      </c>
      <c r="BP370" s="425">
        <f t="shared" si="158"/>
        <v>0</v>
      </c>
      <c r="BQ370" s="425">
        <f t="shared" si="158"/>
        <v>0</v>
      </c>
      <c r="BR370" s="425">
        <f t="shared" si="158"/>
        <v>0</v>
      </c>
      <c r="BS370" s="425">
        <f t="shared" si="159"/>
        <v>0</v>
      </c>
      <c r="BT370" s="426">
        <f t="shared" si="159"/>
        <v>0</v>
      </c>
    </row>
    <row r="371" spans="2:72" x14ac:dyDescent="0.25">
      <c r="B371" s="145"/>
      <c r="C371" s="539">
        <v>49553</v>
      </c>
      <c r="D371" s="533"/>
      <c r="E371" s="534">
        <v>0</v>
      </c>
      <c r="F371" s="534">
        <v>0</v>
      </c>
      <c r="G371" s="534">
        <v>0</v>
      </c>
      <c r="H371" s="540">
        <v>0</v>
      </c>
      <c r="I371" s="536">
        <v>0</v>
      </c>
      <c r="J371" s="533"/>
      <c r="K371" s="534">
        <v>0</v>
      </c>
      <c r="L371" s="534">
        <v>0</v>
      </c>
      <c r="M371" s="534">
        <v>0</v>
      </c>
      <c r="N371" s="534">
        <v>0</v>
      </c>
      <c r="O371" s="534">
        <v>0</v>
      </c>
      <c r="P371" s="534">
        <v>0</v>
      </c>
      <c r="Q371" s="534">
        <v>0</v>
      </c>
      <c r="R371" s="534">
        <v>0</v>
      </c>
      <c r="S371" s="536">
        <v>0</v>
      </c>
      <c r="T371" s="533"/>
      <c r="U371" s="534">
        <v>0</v>
      </c>
      <c r="V371" s="534">
        <v>0</v>
      </c>
      <c r="W371" s="534">
        <v>0</v>
      </c>
      <c r="X371" s="534">
        <v>0</v>
      </c>
      <c r="Y371" s="534">
        <v>0</v>
      </c>
      <c r="Z371" s="534">
        <v>0</v>
      </c>
      <c r="AA371" s="534">
        <v>0</v>
      </c>
      <c r="AB371" s="534">
        <v>0</v>
      </c>
      <c r="AC371" s="534">
        <v>0</v>
      </c>
      <c r="AD371" s="534">
        <v>0</v>
      </c>
      <c r="AE371" s="536">
        <v>0</v>
      </c>
      <c r="AF371" s="533"/>
      <c r="AG371" s="534">
        <v>0</v>
      </c>
      <c r="AH371" s="534">
        <v>0</v>
      </c>
      <c r="AI371" s="534">
        <v>0</v>
      </c>
      <c r="AJ371" s="534">
        <v>0</v>
      </c>
      <c r="AK371" s="536">
        <v>0</v>
      </c>
      <c r="AL371" s="533"/>
      <c r="AM371" s="534">
        <v>0</v>
      </c>
      <c r="AN371" s="534">
        <v>0</v>
      </c>
      <c r="AO371" s="534">
        <v>0</v>
      </c>
      <c r="AP371" s="537">
        <v>0</v>
      </c>
      <c r="AQ371" s="535">
        <v>0</v>
      </c>
      <c r="AR371" s="534">
        <v>0</v>
      </c>
      <c r="AS371" s="534">
        <v>0</v>
      </c>
      <c r="AT371" s="534">
        <v>0</v>
      </c>
      <c r="AU371" s="536">
        <v>0</v>
      </c>
      <c r="AV371" s="533"/>
      <c r="AW371" s="538">
        <v>0</v>
      </c>
      <c r="AX371" s="538">
        <v>19053824.60002128</v>
      </c>
      <c r="AY371" s="533"/>
      <c r="AZ371" s="534">
        <f t="shared" si="152"/>
        <v>0</v>
      </c>
      <c r="BA371" s="534">
        <v>0</v>
      </c>
      <c r="BD371" s="392">
        <f t="shared" si="154"/>
        <v>0</v>
      </c>
      <c r="BE371" s="425">
        <f t="shared" si="155"/>
        <v>0</v>
      </c>
      <c r="BF371" s="425">
        <f t="shared" si="156"/>
        <v>0</v>
      </c>
      <c r="BG371" s="425">
        <f t="shared" si="156"/>
        <v>0</v>
      </c>
      <c r="BH371" s="425">
        <f t="shared" si="156"/>
        <v>0</v>
      </c>
      <c r="BI371" s="425">
        <f t="shared" si="156"/>
        <v>0</v>
      </c>
      <c r="BJ371" s="425">
        <f t="shared" si="156"/>
        <v>0</v>
      </c>
      <c r="BK371" s="425">
        <f t="shared" si="156"/>
        <v>0</v>
      </c>
      <c r="BL371" s="425">
        <f t="shared" si="156"/>
        <v>0</v>
      </c>
      <c r="BM371" s="425">
        <f t="shared" si="157"/>
        <v>0</v>
      </c>
      <c r="BN371" s="425">
        <f t="shared" si="157"/>
        <v>0</v>
      </c>
      <c r="BO371" s="425">
        <f t="shared" si="157"/>
        <v>0</v>
      </c>
      <c r="BP371" s="425">
        <f t="shared" si="158"/>
        <v>0</v>
      </c>
      <c r="BQ371" s="425">
        <f t="shared" si="158"/>
        <v>0</v>
      </c>
      <c r="BR371" s="425">
        <f t="shared" si="158"/>
        <v>0</v>
      </c>
      <c r="BS371" s="425">
        <f t="shared" si="159"/>
        <v>0</v>
      </c>
      <c r="BT371" s="426">
        <f t="shared" si="159"/>
        <v>0</v>
      </c>
    </row>
    <row r="372" spans="2:72" x14ac:dyDescent="0.25">
      <c r="B372" s="145"/>
      <c r="C372" s="539">
        <v>49583</v>
      </c>
      <c r="D372" s="533"/>
      <c r="E372" s="534">
        <v>0</v>
      </c>
      <c r="F372" s="534">
        <v>0</v>
      </c>
      <c r="G372" s="534">
        <v>0</v>
      </c>
      <c r="H372" s="540">
        <v>0</v>
      </c>
      <c r="I372" s="536">
        <v>0</v>
      </c>
      <c r="J372" s="533"/>
      <c r="K372" s="534">
        <v>0</v>
      </c>
      <c r="L372" s="534">
        <v>0</v>
      </c>
      <c r="M372" s="534">
        <v>0</v>
      </c>
      <c r="N372" s="534">
        <v>0</v>
      </c>
      <c r="O372" s="534">
        <v>0</v>
      </c>
      <c r="P372" s="534">
        <v>0</v>
      </c>
      <c r="Q372" s="534">
        <v>0</v>
      </c>
      <c r="R372" s="534">
        <v>0</v>
      </c>
      <c r="S372" s="536">
        <v>0</v>
      </c>
      <c r="T372" s="533"/>
      <c r="U372" s="534">
        <v>0</v>
      </c>
      <c r="V372" s="534">
        <v>0</v>
      </c>
      <c r="W372" s="534">
        <v>0</v>
      </c>
      <c r="X372" s="534">
        <v>0</v>
      </c>
      <c r="Y372" s="534">
        <v>0</v>
      </c>
      <c r="Z372" s="534">
        <v>0</v>
      </c>
      <c r="AA372" s="534">
        <v>0</v>
      </c>
      <c r="AB372" s="534">
        <v>0</v>
      </c>
      <c r="AC372" s="534">
        <v>0</v>
      </c>
      <c r="AD372" s="534">
        <v>0</v>
      </c>
      <c r="AE372" s="536">
        <v>0</v>
      </c>
      <c r="AF372" s="533"/>
      <c r="AG372" s="534">
        <v>0</v>
      </c>
      <c r="AH372" s="534">
        <v>0</v>
      </c>
      <c r="AI372" s="534">
        <v>0</v>
      </c>
      <c r="AJ372" s="534">
        <v>0</v>
      </c>
      <c r="AK372" s="536">
        <v>0</v>
      </c>
      <c r="AL372" s="533"/>
      <c r="AM372" s="534">
        <v>0</v>
      </c>
      <c r="AN372" s="534">
        <v>0</v>
      </c>
      <c r="AO372" s="534">
        <v>0</v>
      </c>
      <c r="AP372" s="537">
        <v>0</v>
      </c>
      <c r="AQ372" s="535">
        <v>0</v>
      </c>
      <c r="AR372" s="534">
        <v>0</v>
      </c>
      <c r="AS372" s="534">
        <v>0</v>
      </c>
      <c r="AT372" s="534">
        <v>0</v>
      </c>
      <c r="AU372" s="536">
        <v>0</v>
      </c>
      <c r="AV372" s="533"/>
      <c r="AW372" s="538">
        <v>0</v>
      </c>
      <c r="AX372" s="538">
        <v>19053824.60002128</v>
      </c>
      <c r="AY372" s="533"/>
      <c r="AZ372" s="534">
        <f t="shared" si="152"/>
        <v>0</v>
      </c>
      <c r="BA372" s="534">
        <v>0</v>
      </c>
      <c r="BD372" s="392">
        <f t="shared" si="154"/>
        <v>0</v>
      </c>
      <c r="BE372" s="425">
        <f t="shared" si="155"/>
        <v>0</v>
      </c>
      <c r="BF372" s="425">
        <f t="shared" si="156"/>
        <v>0</v>
      </c>
      <c r="BG372" s="425">
        <f t="shared" si="156"/>
        <v>0</v>
      </c>
      <c r="BH372" s="425">
        <f t="shared" si="156"/>
        <v>0</v>
      </c>
      <c r="BI372" s="425">
        <f t="shared" si="156"/>
        <v>0</v>
      </c>
      <c r="BJ372" s="425">
        <f t="shared" si="156"/>
        <v>0</v>
      </c>
      <c r="BK372" s="425">
        <f t="shared" si="156"/>
        <v>0</v>
      </c>
      <c r="BL372" s="425">
        <f t="shared" si="156"/>
        <v>0</v>
      </c>
      <c r="BM372" s="425">
        <f t="shared" si="157"/>
        <v>0</v>
      </c>
      <c r="BN372" s="425">
        <f t="shared" si="157"/>
        <v>0</v>
      </c>
      <c r="BO372" s="425">
        <f t="shared" si="157"/>
        <v>0</v>
      </c>
      <c r="BP372" s="425">
        <f t="shared" si="158"/>
        <v>0</v>
      </c>
      <c r="BQ372" s="425">
        <f t="shared" si="158"/>
        <v>0</v>
      </c>
      <c r="BR372" s="425">
        <f t="shared" si="158"/>
        <v>0</v>
      </c>
      <c r="BS372" s="425">
        <f t="shared" si="159"/>
        <v>0</v>
      </c>
      <c r="BT372" s="426">
        <f t="shared" si="159"/>
        <v>0</v>
      </c>
    </row>
    <row r="373" spans="2:72" x14ac:dyDescent="0.25">
      <c r="B373" s="145"/>
      <c r="C373" s="539">
        <v>49614</v>
      </c>
      <c r="D373" s="533"/>
      <c r="E373" s="534">
        <v>0</v>
      </c>
      <c r="F373" s="534">
        <v>0</v>
      </c>
      <c r="G373" s="534">
        <v>0</v>
      </c>
      <c r="H373" s="540">
        <v>0</v>
      </c>
      <c r="I373" s="536">
        <v>0</v>
      </c>
      <c r="J373" s="533"/>
      <c r="K373" s="534">
        <v>0</v>
      </c>
      <c r="L373" s="534">
        <v>0</v>
      </c>
      <c r="M373" s="534">
        <v>0</v>
      </c>
      <c r="N373" s="534">
        <v>0</v>
      </c>
      <c r="O373" s="534">
        <v>0</v>
      </c>
      <c r="P373" s="534">
        <v>0</v>
      </c>
      <c r="Q373" s="534">
        <v>0</v>
      </c>
      <c r="R373" s="534">
        <v>0</v>
      </c>
      <c r="S373" s="536">
        <v>0</v>
      </c>
      <c r="T373" s="533"/>
      <c r="U373" s="534">
        <v>0</v>
      </c>
      <c r="V373" s="534">
        <v>0</v>
      </c>
      <c r="W373" s="534">
        <v>0</v>
      </c>
      <c r="X373" s="534">
        <v>0</v>
      </c>
      <c r="Y373" s="534">
        <v>0</v>
      </c>
      <c r="Z373" s="534">
        <v>0</v>
      </c>
      <c r="AA373" s="534">
        <v>0</v>
      </c>
      <c r="AB373" s="534">
        <v>0</v>
      </c>
      <c r="AC373" s="534">
        <v>0</v>
      </c>
      <c r="AD373" s="534">
        <v>0</v>
      </c>
      <c r="AE373" s="536">
        <v>0</v>
      </c>
      <c r="AF373" s="533"/>
      <c r="AG373" s="534">
        <v>0</v>
      </c>
      <c r="AH373" s="534">
        <v>0</v>
      </c>
      <c r="AI373" s="534">
        <v>0</v>
      </c>
      <c r="AJ373" s="534">
        <v>0</v>
      </c>
      <c r="AK373" s="536">
        <v>0</v>
      </c>
      <c r="AL373" s="533"/>
      <c r="AM373" s="534">
        <v>0</v>
      </c>
      <c r="AN373" s="534">
        <v>0</v>
      </c>
      <c r="AO373" s="534">
        <v>0</v>
      </c>
      <c r="AP373" s="537">
        <v>0</v>
      </c>
      <c r="AQ373" s="535">
        <v>0</v>
      </c>
      <c r="AR373" s="534">
        <v>0</v>
      </c>
      <c r="AS373" s="534">
        <v>0</v>
      </c>
      <c r="AT373" s="534">
        <v>0</v>
      </c>
      <c r="AU373" s="536">
        <v>0</v>
      </c>
      <c r="AV373" s="533"/>
      <c r="AW373" s="538">
        <v>0</v>
      </c>
      <c r="AX373" s="538">
        <v>19053824.60002128</v>
      </c>
      <c r="AY373" s="533"/>
      <c r="AZ373" s="534">
        <f t="shared" si="152"/>
        <v>0</v>
      </c>
      <c r="BA373" s="534">
        <v>0</v>
      </c>
      <c r="BD373" s="392">
        <f t="shared" si="154"/>
        <v>0</v>
      </c>
      <c r="BE373" s="425">
        <f t="shared" si="155"/>
        <v>0</v>
      </c>
      <c r="BF373" s="425">
        <f t="shared" si="156"/>
        <v>0</v>
      </c>
      <c r="BG373" s="425">
        <f t="shared" si="156"/>
        <v>0</v>
      </c>
      <c r="BH373" s="425">
        <f t="shared" si="156"/>
        <v>0</v>
      </c>
      <c r="BI373" s="425">
        <f t="shared" si="156"/>
        <v>0</v>
      </c>
      <c r="BJ373" s="425">
        <f t="shared" si="156"/>
        <v>0</v>
      </c>
      <c r="BK373" s="425">
        <f t="shared" si="156"/>
        <v>0</v>
      </c>
      <c r="BL373" s="425">
        <f t="shared" si="156"/>
        <v>0</v>
      </c>
      <c r="BM373" s="425">
        <f t="shared" si="157"/>
        <v>0</v>
      </c>
      <c r="BN373" s="425">
        <f t="shared" si="157"/>
        <v>0</v>
      </c>
      <c r="BO373" s="425">
        <f t="shared" si="157"/>
        <v>0</v>
      </c>
      <c r="BP373" s="425">
        <f t="shared" si="158"/>
        <v>0</v>
      </c>
      <c r="BQ373" s="425">
        <f t="shared" si="158"/>
        <v>0</v>
      </c>
      <c r="BR373" s="425">
        <f t="shared" si="158"/>
        <v>0</v>
      </c>
      <c r="BS373" s="425">
        <f t="shared" si="159"/>
        <v>0</v>
      </c>
      <c r="BT373" s="426">
        <f t="shared" si="159"/>
        <v>0</v>
      </c>
    </row>
    <row r="374" spans="2:72" ht="15.75" customHeight="1" thickBot="1" x14ac:dyDescent="0.3">
      <c r="B374" s="145"/>
      <c r="C374" s="539">
        <v>49644</v>
      </c>
      <c r="D374" s="542"/>
      <c r="E374" s="534">
        <v>0</v>
      </c>
      <c r="F374" s="534">
        <v>0</v>
      </c>
      <c r="G374" s="534">
        <v>0</v>
      </c>
      <c r="H374" s="540">
        <v>0</v>
      </c>
      <c r="I374" s="571">
        <v>0</v>
      </c>
      <c r="J374" s="542"/>
      <c r="K374" s="534">
        <v>0</v>
      </c>
      <c r="L374" s="534">
        <v>0</v>
      </c>
      <c r="M374" s="540">
        <v>0</v>
      </c>
      <c r="N374" s="534">
        <v>0</v>
      </c>
      <c r="O374" s="534">
        <v>0</v>
      </c>
      <c r="P374" s="534">
        <v>0</v>
      </c>
      <c r="Q374" s="534">
        <v>0</v>
      </c>
      <c r="R374" s="534">
        <v>0</v>
      </c>
      <c r="S374" s="536">
        <v>0</v>
      </c>
      <c r="T374" s="542"/>
      <c r="U374" s="534">
        <v>0</v>
      </c>
      <c r="V374" s="534">
        <v>0</v>
      </c>
      <c r="W374" s="534">
        <v>0</v>
      </c>
      <c r="X374" s="534">
        <v>0</v>
      </c>
      <c r="Y374" s="534">
        <v>0</v>
      </c>
      <c r="Z374" s="534">
        <v>0</v>
      </c>
      <c r="AA374" s="534">
        <v>0</v>
      </c>
      <c r="AB374" s="534">
        <v>0</v>
      </c>
      <c r="AC374" s="534">
        <v>0</v>
      </c>
      <c r="AD374" s="534">
        <v>0</v>
      </c>
      <c r="AE374" s="571">
        <v>0</v>
      </c>
      <c r="AF374" s="542"/>
      <c r="AG374" s="534">
        <v>0</v>
      </c>
      <c r="AH374" s="534">
        <v>0</v>
      </c>
      <c r="AI374" s="534">
        <v>0</v>
      </c>
      <c r="AJ374" s="535">
        <v>0</v>
      </c>
      <c r="AK374" s="571">
        <v>0</v>
      </c>
      <c r="AL374" s="542"/>
      <c r="AM374" s="534">
        <v>0</v>
      </c>
      <c r="AN374" s="534">
        <v>0</v>
      </c>
      <c r="AO374" s="534">
        <v>0</v>
      </c>
      <c r="AP374" s="537">
        <v>0</v>
      </c>
      <c r="AQ374" s="535">
        <v>0</v>
      </c>
      <c r="AR374" s="534">
        <v>0</v>
      </c>
      <c r="AS374" s="534">
        <v>0</v>
      </c>
      <c r="AT374" s="534">
        <v>0</v>
      </c>
      <c r="AU374" s="571">
        <v>0</v>
      </c>
      <c r="AV374" s="542"/>
      <c r="AW374" s="572">
        <v>0</v>
      </c>
      <c r="AX374" s="573">
        <v>19053824.60002128</v>
      </c>
      <c r="AY374" s="542"/>
      <c r="AZ374" s="534">
        <f t="shared" si="152"/>
        <v>0</v>
      </c>
      <c r="BA374" s="534">
        <v>0</v>
      </c>
      <c r="BD374" s="574">
        <f t="shared" si="154"/>
        <v>0</v>
      </c>
      <c r="BE374" s="575">
        <f t="shared" si="155"/>
        <v>0</v>
      </c>
      <c r="BF374" s="575">
        <f t="shared" si="156"/>
        <v>0</v>
      </c>
      <c r="BG374" s="575">
        <f t="shared" si="156"/>
        <v>0</v>
      </c>
      <c r="BH374" s="575">
        <f t="shared" si="156"/>
        <v>0</v>
      </c>
      <c r="BI374" s="575">
        <f t="shared" si="156"/>
        <v>0</v>
      </c>
      <c r="BJ374" s="575">
        <f t="shared" si="156"/>
        <v>0</v>
      </c>
      <c r="BK374" s="575">
        <f t="shared" si="156"/>
        <v>0</v>
      </c>
      <c r="BL374" s="575">
        <f t="shared" si="156"/>
        <v>0</v>
      </c>
      <c r="BM374" s="575">
        <f t="shared" si="157"/>
        <v>0</v>
      </c>
      <c r="BN374" s="575">
        <f t="shared" si="157"/>
        <v>0</v>
      </c>
      <c r="BO374" s="575">
        <f t="shared" si="157"/>
        <v>0</v>
      </c>
      <c r="BP374" s="575">
        <f t="shared" si="158"/>
        <v>0</v>
      </c>
      <c r="BQ374" s="575">
        <f t="shared" si="158"/>
        <v>0</v>
      </c>
      <c r="BR374" s="575">
        <f t="shared" si="158"/>
        <v>0</v>
      </c>
      <c r="BS374" s="575">
        <f t="shared" si="159"/>
        <v>0</v>
      </c>
      <c r="BT374" s="576">
        <f t="shared" si="159"/>
        <v>0</v>
      </c>
    </row>
    <row r="375" spans="2:72" ht="15.75" customHeight="1" thickBot="1" x14ac:dyDescent="0.3">
      <c r="B375" s="149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  <c r="AA375" s="183"/>
      <c r="AB375" s="183"/>
      <c r="AC375" s="183"/>
      <c r="AD375" s="183"/>
      <c r="AE375" s="183"/>
      <c r="AF375" s="183"/>
      <c r="AG375" s="183"/>
      <c r="AH375" s="183"/>
      <c r="AI375" s="183"/>
      <c r="AJ375" s="183"/>
      <c r="AK375" s="183"/>
      <c r="AL375" s="183"/>
      <c r="AM375" s="183"/>
      <c r="AN375" s="183"/>
      <c r="AO375" s="183"/>
      <c r="AP375" s="183"/>
      <c r="AQ375" s="183"/>
      <c r="AR375" s="183"/>
      <c r="AS375" s="183"/>
      <c r="AT375" s="183"/>
      <c r="AU375" s="183"/>
      <c r="AV375" s="183"/>
      <c r="AW375" s="183"/>
      <c r="AX375" s="183"/>
      <c r="AY375" s="183"/>
    </row>
  </sheetData>
  <mergeCells count="45">
    <mergeCell ref="I11:I14"/>
    <mergeCell ref="C2:G4"/>
    <mergeCell ref="E11:E14"/>
    <mergeCell ref="F11:F14"/>
    <mergeCell ref="G11:G14"/>
    <mergeCell ref="H11:H13"/>
    <mergeCell ref="K11:K14"/>
    <mergeCell ref="N11:N14"/>
    <mergeCell ref="O11:O14"/>
    <mergeCell ref="P11:P14"/>
    <mergeCell ref="Q11:Q14"/>
    <mergeCell ref="L12:L14"/>
    <mergeCell ref="M12:M13"/>
    <mergeCell ref="AC11:AC13"/>
    <mergeCell ref="AN12:AN14"/>
    <mergeCell ref="AO12:AO14"/>
    <mergeCell ref="AD11:AD14"/>
    <mergeCell ref="AE11:AE14"/>
    <mergeCell ref="AG11:AG14"/>
    <mergeCell ref="AM12:AM14"/>
    <mergeCell ref="AH11:AH14"/>
    <mergeCell ref="S11:S14"/>
    <mergeCell ref="U11:U14"/>
    <mergeCell ref="Y11:Y14"/>
    <mergeCell ref="AB11:AB14"/>
    <mergeCell ref="V11:W11"/>
    <mergeCell ref="V12:V14"/>
    <mergeCell ref="W12:W14"/>
    <mergeCell ref="X11:X14"/>
    <mergeCell ref="R11:R14"/>
    <mergeCell ref="AT12:AT14"/>
    <mergeCell ref="AZ12:AZ14"/>
    <mergeCell ref="BA12:BA14"/>
    <mergeCell ref="AW11:AW14"/>
    <mergeCell ref="AX11:AX14"/>
    <mergeCell ref="AZ11:BA11"/>
    <mergeCell ref="AU11:AU14"/>
    <mergeCell ref="AK11:AK14"/>
    <mergeCell ref="AQ12:AQ14"/>
    <mergeCell ref="AR12:AR14"/>
    <mergeCell ref="AS12:AS14"/>
    <mergeCell ref="AI11:AI14"/>
    <mergeCell ref="Z12:Z13"/>
    <mergeCell ref="AA12:AA14"/>
    <mergeCell ref="AP12:AP14"/>
  </mergeCells>
  <conditionalFormatting sqref="E18:H25 U18:AD19 AG18:AJ19 K18:R179 E372:H374 AM18:AT179 AM181:AT183 K181:R183 K194:R374 AM194:AT374">
    <cfRule type="expression" dxfId="1373" priority="776" stopIfTrue="1">
      <formula>$C$10=$C18</formula>
    </cfRule>
    <cfRule type="expression" dxfId="1372" priority="777" stopIfTrue="1">
      <formula>$C$11=$C18</formula>
    </cfRule>
  </conditionalFormatting>
  <conditionalFormatting sqref="I18:I25 I372:I374 AE18:AE179 AK18:AK179 AU18:AU179 AW18:AX179 S18:S179 S181:S183 AW181:AX183 AU181:AU183 AK181:AK183 AE181:AE183 AE194:AE374 AK194:AK374 AU194:AU374 AW194:AX374 S194:S374">
    <cfRule type="expression" dxfId="1371" priority="778" stopIfTrue="1">
      <formula>$C$10=$C18</formula>
    </cfRule>
    <cfRule type="expression" dxfId="1370" priority="779" stopIfTrue="1">
      <formula>$C$11=$C18</formula>
    </cfRule>
  </conditionalFormatting>
  <conditionalFormatting sqref="C19:C25 C372:C374">
    <cfRule type="expression" dxfId="1369" priority="780" stopIfTrue="1">
      <formula>$C$10=$C19</formula>
    </cfRule>
    <cfRule type="expression" dxfId="1368" priority="781" stopIfTrue="1">
      <formula>$C$11=$C19</formula>
    </cfRule>
  </conditionalFormatting>
  <conditionalFormatting sqref="E19:H25">
    <cfRule type="expression" dxfId="1367" priority="774" stopIfTrue="1">
      <formula>$C$10=$C19</formula>
    </cfRule>
    <cfRule type="expression" dxfId="1366" priority="775" stopIfTrue="1">
      <formula>$C$11=$C19</formula>
    </cfRule>
  </conditionalFormatting>
  <conditionalFormatting sqref="O372:O374">
    <cfRule type="expression" dxfId="1365" priority="772" stopIfTrue="1">
      <formula>$C$10=$C372</formula>
    </cfRule>
    <cfRule type="expression" dxfId="1364" priority="773" stopIfTrue="1">
      <formula>$C$11=$C372</formula>
    </cfRule>
  </conditionalFormatting>
  <conditionalFormatting sqref="U19:AD19">
    <cfRule type="expression" dxfId="1363" priority="770" stopIfTrue="1">
      <formula>$C$10=$C19</formula>
    </cfRule>
    <cfRule type="expression" dxfId="1362" priority="771" stopIfTrue="1">
      <formula>$C$11=$C19</formula>
    </cfRule>
  </conditionalFormatting>
  <conditionalFormatting sqref="AM19:AP25">
    <cfRule type="expression" dxfId="1361" priority="768" stopIfTrue="1">
      <formula>$C$10=$C19</formula>
    </cfRule>
    <cfRule type="expression" dxfId="1360" priority="769" stopIfTrue="1">
      <formula>$C$11=$C19</formula>
    </cfRule>
  </conditionalFormatting>
  <conditionalFormatting sqref="G374">
    <cfRule type="expression" dxfId="1359" priority="766" stopIfTrue="1">
      <formula>$C$10=$C374</formula>
    </cfRule>
    <cfRule type="expression" dxfId="1358" priority="767" stopIfTrue="1">
      <formula>$C$11=$C374</formula>
    </cfRule>
    <cfRule type="expression" dxfId="1357" priority="764" stopIfTrue="1">
      <formula>$C$10=$C374</formula>
    </cfRule>
    <cfRule type="expression" dxfId="1356" priority="765" stopIfTrue="1">
      <formula>$C$11=$C374</formula>
    </cfRule>
  </conditionalFormatting>
  <conditionalFormatting sqref="G19:G25">
    <cfRule type="expression" dxfId="1355" priority="762" stopIfTrue="1">
      <formula>$C$10=$C19</formula>
    </cfRule>
    <cfRule type="expression" dxfId="1354" priority="763" stopIfTrue="1">
      <formula>$C$11=$C19</formula>
    </cfRule>
    <cfRule type="expression" dxfId="1353" priority="760" stopIfTrue="1">
      <formula>$C$10=$C19</formula>
    </cfRule>
    <cfRule type="expression" dxfId="1352" priority="761" stopIfTrue="1">
      <formula>$C$11=$C19</formula>
    </cfRule>
  </conditionalFormatting>
  <conditionalFormatting sqref="E26:H179 E181:H183 E194:H371">
    <cfRule type="expression" dxfId="1351" priority="754" stopIfTrue="1">
      <formula>$C$10=$C26</formula>
    </cfRule>
    <cfRule type="expression" dxfId="1350" priority="755" stopIfTrue="1">
      <formula>$C$11=$C26</formula>
    </cfRule>
    <cfRule type="expression" dxfId="1349" priority="752" stopIfTrue="1">
      <formula>$C$10=$C26</formula>
    </cfRule>
    <cfRule type="expression" dxfId="1348" priority="753" stopIfTrue="1">
      <formula>$C$11=$C26</formula>
    </cfRule>
  </conditionalFormatting>
  <conditionalFormatting sqref="I26:I179 I181:I183 I194:I371">
    <cfRule type="expression" dxfId="1347" priority="756" stopIfTrue="1">
      <formula>$C$10=$C26</formula>
    </cfRule>
    <cfRule type="expression" dxfId="1346" priority="757" stopIfTrue="1">
      <formula>$C$11=$C26</formula>
    </cfRule>
  </conditionalFormatting>
  <conditionalFormatting sqref="C26:C179 C181:C183 C194:C371">
    <cfRule type="expression" dxfId="1345" priority="758" stopIfTrue="1">
      <formula>$C$10=$C26</formula>
    </cfRule>
    <cfRule type="expression" dxfId="1344" priority="759" stopIfTrue="1">
      <formula>$C$11=$C26</formula>
    </cfRule>
  </conditionalFormatting>
  <conditionalFormatting sqref="AM26:AP179 AM181:AP183 AM194:AP371">
    <cfRule type="expression" dxfId="1343" priority="750" stopIfTrue="1">
      <formula>$C$10=$C26</formula>
    </cfRule>
    <cfRule type="expression" dxfId="1342" priority="751" stopIfTrue="1">
      <formula>$C$11=$C26</formula>
    </cfRule>
  </conditionalFormatting>
  <conditionalFormatting sqref="G26:G179 G181:G183 G194:G371">
    <cfRule type="expression" dxfId="1341" priority="748" stopIfTrue="1">
      <formula>$C$10=$C26</formula>
    </cfRule>
    <cfRule type="expression" dxfId="1340" priority="749" stopIfTrue="1">
      <formula>$C$11=$C26</formula>
    </cfRule>
    <cfRule type="expression" dxfId="1339" priority="746" stopIfTrue="1">
      <formula>$C$10=$C26</formula>
    </cfRule>
    <cfRule type="expression" dxfId="1338" priority="747" stopIfTrue="1">
      <formula>$C$11=$C26</formula>
    </cfRule>
  </conditionalFormatting>
  <conditionalFormatting sqref="U20:AD179 U181:AD183 U194:AD374">
    <cfRule type="expression" dxfId="1337" priority="744" stopIfTrue="1">
      <formula>$C$10=$C20</formula>
    </cfRule>
    <cfRule type="expression" dxfId="1336" priority="745" stopIfTrue="1">
      <formula>$C$11=$C20</formula>
    </cfRule>
    <cfRule type="expression" dxfId="1335" priority="742" stopIfTrue="1">
      <formula>$C$10=$C20</formula>
    </cfRule>
    <cfRule type="expression" dxfId="1334" priority="743" stopIfTrue="1">
      <formula>$C$11=$C20</formula>
    </cfRule>
  </conditionalFormatting>
  <conditionalFormatting sqref="AG19:AH19">
    <cfRule type="expression" dxfId="1333" priority="740" stopIfTrue="1">
      <formula>$C$10=$C19</formula>
    </cfRule>
    <cfRule type="expression" dxfId="1332" priority="741" stopIfTrue="1">
      <formula>$C$11=$C19</formula>
    </cfRule>
  </conditionalFormatting>
  <conditionalFormatting sqref="AI19:AJ19">
    <cfRule type="expression" dxfId="1331" priority="738" stopIfTrue="1">
      <formula>$C$10=$C19</formula>
    </cfRule>
    <cfRule type="expression" dxfId="1330" priority="739" stopIfTrue="1">
      <formula>$C$11=$C19</formula>
    </cfRule>
  </conditionalFormatting>
  <conditionalFormatting sqref="AG20:AJ179 AG181:AJ183 AG194:AJ374">
    <cfRule type="expression" dxfId="1329" priority="736" stopIfTrue="1">
      <formula>$C$10=$C20</formula>
    </cfRule>
    <cfRule type="expression" dxfId="1328" priority="737" stopIfTrue="1">
      <formula>$C$11=$C20</formula>
    </cfRule>
  </conditionalFormatting>
  <conditionalFormatting sqref="AG20:AH179 AG181:AH183 AG194:AH374">
    <cfRule type="expression" dxfId="1327" priority="734" stopIfTrue="1">
      <formula>$C$10=$C20</formula>
    </cfRule>
    <cfRule type="expression" dxfId="1326" priority="735" stopIfTrue="1">
      <formula>$C$11=$C20</formula>
    </cfRule>
  </conditionalFormatting>
  <conditionalFormatting sqref="AI20:AJ179 AI181:AJ183 AI194:AJ374">
    <cfRule type="expression" dxfId="1325" priority="732" stopIfTrue="1">
      <formula>$C$10=$C20</formula>
    </cfRule>
    <cfRule type="expression" dxfId="1324" priority="733" stopIfTrue="1">
      <formula>$C$11=$C20</formula>
    </cfRule>
  </conditionalFormatting>
  <conditionalFormatting sqref="AM19">
    <cfRule type="expression" dxfId="1323" priority="730" stopIfTrue="1">
      <formula>$C$10=$C19</formula>
    </cfRule>
    <cfRule type="expression" dxfId="1322" priority="731" stopIfTrue="1">
      <formula>$C$11=$C19</formula>
    </cfRule>
  </conditionalFormatting>
  <conditionalFormatting sqref="AZ18:BA179 AZ181:BA183 AZ194:BA374">
    <cfRule type="expression" dxfId="1321" priority="728" stopIfTrue="1">
      <formula>$C$10=$C18</formula>
    </cfRule>
    <cfRule type="expression" dxfId="1320" priority="729" stopIfTrue="1">
      <formula>$C$11=$C18</formula>
    </cfRule>
  </conditionalFormatting>
  <conditionalFormatting sqref="K180:R180 AM180:AT180">
    <cfRule type="expression" dxfId="1319" priority="724" stopIfTrue="1">
      <formula>$C$10=$C180</formula>
    </cfRule>
    <cfRule type="expression" dxfId="1318" priority="725" stopIfTrue="1">
      <formula>$C$11=$C180</formula>
    </cfRule>
  </conditionalFormatting>
  <conditionalFormatting sqref="AE180 AK180 AU180 AW180:AX180 S180">
    <cfRule type="expression" dxfId="1317" priority="726" stopIfTrue="1">
      <formula>$C$10=$C180</formula>
    </cfRule>
    <cfRule type="expression" dxfId="1316" priority="727" stopIfTrue="1">
      <formula>$C$11=$C180</formula>
    </cfRule>
  </conditionalFormatting>
  <conditionalFormatting sqref="E180:H180">
    <cfRule type="expression" dxfId="1315" priority="718" stopIfTrue="1">
      <formula>$C$10=$C180</formula>
    </cfRule>
    <cfRule type="expression" dxfId="1314" priority="719" stopIfTrue="1">
      <formula>$C$11=$C180</formula>
    </cfRule>
    <cfRule type="expression" dxfId="1313" priority="716" stopIfTrue="1">
      <formula>$C$10=$C180</formula>
    </cfRule>
    <cfRule type="expression" dxfId="1312" priority="717" stopIfTrue="1">
      <formula>$C$11=$C180</formula>
    </cfRule>
  </conditionalFormatting>
  <conditionalFormatting sqref="I180">
    <cfRule type="expression" dxfId="1311" priority="720" stopIfTrue="1">
      <formula>$C$10=$C180</formula>
    </cfRule>
    <cfRule type="expression" dxfId="1310" priority="721" stopIfTrue="1">
      <formula>$C$11=$C180</formula>
    </cfRule>
  </conditionalFormatting>
  <conditionalFormatting sqref="C180">
    <cfRule type="expression" dxfId="1309" priority="722" stopIfTrue="1">
      <formula>$C$10=$C180</formula>
    </cfRule>
    <cfRule type="expression" dxfId="1308" priority="723" stopIfTrue="1">
      <formula>$C$11=$C180</formula>
    </cfRule>
  </conditionalFormatting>
  <conditionalFormatting sqref="AM180:AP180">
    <cfRule type="expression" dxfId="1307" priority="714" stopIfTrue="1">
      <formula>$C$10=$C180</formula>
    </cfRule>
    <cfRule type="expression" dxfId="1306" priority="715" stopIfTrue="1">
      <formula>$C$11=$C180</formula>
    </cfRule>
  </conditionalFormatting>
  <conditionalFormatting sqref="G180">
    <cfRule type="expression" dxfId="1305" priority="712" stopIfTrue="1">
      <formula>$C$10=$C180</formula>
    </cfRule>
    <cfRule type="expression" dxfId="1304" priority="713" stopIfTrue="1">
      <formula>$C$11=$C180</formula>
    </cfRule>
    <cfRule type="expression" dxfId="1303" priority="710" stopIfTrue="1">
      <formula>$C$10=$C180</formula>
    </cfRule>
    <cfRule type="expression" dxfId="1302" priority="711" stopIfTrue="1">
      <formula>$C$11=$C180</formula>
    </cfRule>
  </conditionalFormatting>
  <conditionalFormatting sqref="U180:AD180">
    <cfRule type="expression" dxfId="1301" priority="708" stopIfTrue="1">
      <formula>$C$10=$C180</formula>
    </cfRule>
    <cfRule type="expression" dxfId="1300" priority="709" stopIfTrue="1">
      <formula>$C$11=$C180</formula>
    </cfRule>
    <cfRule type="expression" dxfId="1299" priority="706" stopIfTrue="1">
      <formula>$C$10=$C180</formula>
    </cfRule>
    <cfRule type="expression" dxfId="1298" priority="707" stopIfTrue="1">
      <formula>$C$11=$C180</formula>
    </cfRule>
  </conditionalFormatting>
  <conditionalFormatting sqref="AG180:AJ180">
    <cfRule type="expression" dxfId="1297" priority="704" stopIfTrue="1">
      <formula>$C$10=$C180</formula>
    </cfRule>
    <cfRule type="expression" dxfId="1296" priority="705" stopIfTrue="1">
      <formula>$C$11=$C180</formula>
    </cfRule>
  </conditionalFormatting>
  <conditionalFormatting sqref="AG180:AH180">
    <cfRule type="expression" dxfId="1295" priority="702" stopIfTrue="1">
      <formula>$C$10=$C180</formula>
    </cfRule>
    <cfRule type="expression" dxfId="1294" priority="703" stopIfTrue="1">
      <formula>$C$11=$C180</formula>
    </cfRule>
  </conditionalFormatting>
  <conditionalFormatting sqref="AI180:AJ180">
    <cfRule type="expression" dxfId="1293" priority="700" stopIfTrue="1">
      <formula>$C$10=$C180</formula>
    </cfRule>
    <cfRule type="expression" dxfId="1292" priority="701" stopIfTrue="1">
      <formula>$C$11=$C180</formula>
    </cfRule>
  </conditionalFormatting>
  <conditionalFormatting sqref="AZ180:BA180">
    <cfRule type="expression" dxfId="1291" priority="698" stopIfTrue="1">
      <formula>$C$10=$C180</formula>
    </cfRule>
    <cfRule type="expression" dxfId="1290" priority="699" stopIfTrue="1">
      <formula>$C$11=$C180</formula>
    </cfRule>
  </conditionalFormatting>
  <conditionalFormatting sqref="AM184:AT184 K184:R184">
    <cfRule type="expression" dxfId="1289" priority="664" stopIfTrue="1">
      <formula>$C$10=$C184</formula>
    </cfRule>
    <cfRule type="expression" dxfId="1288" priority="665" stopIfTrue="1">
      <formula>$C$11=$C184</formula>
    </cfRule>
  </conditionalFormatting>
  <conditionalFormatting sqref="S184 AW184:AX184 AU184 AK184 AE184">
    <cfRule type="expression" dxfId="1287" priority="666" stopIfTrue="1">
      <formula>$C$10=$C184</formula>
    </cfRule>
    <cfRule type="expression" dxfId="1286" priority="667" stopIfTrue="1">
      <formula>$C$11=$C184</formula>
    </cfRule>
  </conditionalFormatting>
  <conditionalFormatting sqref="E184:H184">
    <cfRule type="expression" dxfId="1285" priority="658" stopIfTrue="1">
      <formula>$C$10=$C184</formula>
    </cfRule>
    <cfRule type="expression" dxfId="1284" priority="659" stopIfTrue="1">
      <formula>$C$11=$C184</formula>
    </cfRule>
    <cfRule type="expression" dxfId="1283" priority="656" stopIfTrue="1">
      <formula>$C$10=$C184</formula>
    </cfRule>
    <cfRule type="expression" dxfId="1282" priority="657" stopIfTrue="1">
      <formula>$C$11=$C184</formula>
    </cfRule>
  </conditionalFormatting>
  <conditionalFormatting sqref="I184">
    <cfRule type="expression" dxfId="1281" priority="660" stopIfTrue="1">
      <formula>$C$10=$C184</formula>
    </cfRule>
    <cfRule type="expression" dxfId="1280" priority="661" stopIfTrue="1">
      <formula>$C$11=$C184</formula>
    </cfRule>
  </conditionalFormatting>
  <conditionalFormatting sqref="C184">
    <cfRule type="expression" dxfId="1279" priority="662" stopIfTrue="1">
      <formula>$C$10=$C184</formula>
    </cfRule>
    <cfRule type="expression" dxfId="1278" priority="663" stopIfTrue="1">
      <formula>$C$11=$C184</formula>
    </cfRule>
  </conditionalFormatting>
  <conditionalFormatting sqref="AM184:AP184">
    <cfRule type="expression" dxfId="1277" priority="654" stopIfTrue="1">
      <formula>$C$10=$C184</formula>
    </cfRule>
    <cfRule type="expression" dxfId="1276" priority="655" stopIfTrue="1">
      <formula>$C$11=$C184</formula>
    </cfRule>
  </conditionalFormatting>
  <conditionalFormatting sqref="G184">
    <cfRule type="expression" dxfId="1275" priority="652" stopIfTrue="1">
      <formula>$C$10=$C184</formula>
    </cfRule>
    <cfRule type="expression" dxfId="1274" priority="653" stopIfTrue="1">
      <formula>$C$11=$C184</formula>
    </cfRule>
    <cfRule type="expression" dxfId="1273" priority="650" stopIfTrue="1">
      <formula>$C$10=$C184</formula>
    </cfRule>
    <cfRule type="expression" dxfId="1272" priority="651" stopIfTrue="1">
      <formula>$C$11=$C184</formula>
    </cfRule>
  </conditionalFormatting>
  <conditionalFormatting sqref="U184:AD184">
    <cfRule type="expression" dxfId="1271" priority="648" stopIfTrue="1">
      <formula>$C$10=$C184</formula>
    </cfRule>
    <cfRule type="expression" dxfId="1270" priority="649" stopIfTrue="1">
      <formula>$C$11=$C184</formula>
    </cfRule>
    <cfRule type="expression" dxfId="1269" priority="646" stopIfTrue="1">
      <formula>$C$10=$C184</formula>
    </cfRule>
    <cfRule type="expression" dxfId="1268" priority="647" stopIfTrue="1">
      <formula>$C$11=$C184</formula>
    </cfRule>
  </conditionalFormatting>
  <conditionalFormatting sqref="AG184:AJ184">
    <cfRule type="expression" dxfId="1267" priority="644" stopIfTrue="1">
      <formula>$C$10=$C184</formula>
    </cfRule>
    <cfRule type="expression" dxfId="1266" priority="645" stopIfTrue="1">
      <formula>$C$11=$C184</formula>
    </cfRule>
  </conditionalFormatting>
  <conditionalFormatting sqref="AG184:AH184">
    <cfRule type="expression" dxfId="1265" priority="642" stopIfTrue="1">
      <formula>$C$10=$C184</formula>
    </cfRule>
    <cfRule type="expression" dxfId="1264" priority="643" stopIfTrue="1">
      <formula>$C$11=$C184</formula>
    </cfRule>
  </conditionalFormatting>
  <conditionalFormatting sqref="AI184:AJ184">
    <cfRule type="expression" dxfId="1263" priority="640" stopIfTrue="1">
      <formula>$C$10=$C184</formula>
    </cfRule>
    <cfRule type="expression" dxfId="1262" priority="641" stopIfTrue="1">
      <formula>$C$11=$C184</formula>
    </cfRule>
  </conditionalFormatting>
  <conditionalFormatting sqref="AZ184:BA184">
    <cfRule type="expression" dxfId="1261" priority="638" stopIfTrue="1">
      <formula>$C$10=$C184</formula>
    </cfRule>
    <cfRule type="expression" dxfId="1260" priority="639" stopIfTrue="1">
      <formula>$C$11=$C184</formula>
    </cfRule>
  </conditionalFormatting>
  <conditionalFormatting sqref="BD18:BT184 BD194:BT374">
    <cfRule type="expression" dxfId="1259" priority="635">
      <formula>#REF!="TO"</formula>
    </cfRule>
    <cfRule type="expression" dxfId="1258" priority="636">
      <formula>#REF!="IO"</formula>
    </cfRule>
    <cfRule type="expression" dxfId="1257" priority="637">
      <formula>#REF!="L"</formula>
    </cfRule>
  </conditionalFormatting>
  <conditionalFormatting sqref="I185">
    <cfRule type="expression" dxfId="1256" priority="528" stopIfTrue="1">
      <formula>$C$10=$C185</formula>
    </cfRule>
    <cfRule type="expression" dxfId="1255" priority="529" stopIfTrue="1">
      <formula>$C$11=$C185</formula>
    </cfRule>
  </conditionalFormatting>
  <conditionalFormatting sqref="E185:H185">
    <cfRule type="expression" dxfId="1254" priority="524" stopIfTrue="1">
      <formula>$C$10=$C185</formula>
    </cfRule>
    <cfRule type="expression" dxfId="1253" priority="525" stopIfTrue="1">
      <formula>$C$11=$C185</formula>
    </cfRule>
    <cfRule type="expression" dxfId="1252" priority="530" stopIfTrue="1">
      <formula>$C$10=$C185</formula>
    </cfRule>
    <cfRule type="expression" dxfId="1251" priority="530" stopIfTrue="1">
      <formula>$C$11=$C185</formula>
    </cfRule>
  </conditionalFormatting>
  <conditionalFormatting sqref="AM185:AP185">
    <cfRule type="expression" dxfId="1250" priority="522" stopIfTrue="1">
      <formula>$C$10=$C185</formula>
    </cfRule>
    <cfRule type="expression" dxfId="1249" priority="523" stopIfTrue="1">
      <formula>$C$11=$C185</formula>
    </cfRule>
  </conditionalFormatting>
  <conditionalFormatting sqref="G185">
    <cfRule type="expression" dxfId="1248" priority="520" stopIfTrue="1">
      <formula>$C$10=$C185</formula>
    </cfRule>
    <cfRule type="expression" dxfId="1247" priority="521" stopIfTrue="1">
      <formula>$C$11=$C185</formula>
    </cfRule>
    <cfRule type="expression" dxfId="1246" priority="518" stopIfTrue="1">
      <formula>$C$10=$C185</formula>
    </cfRule>
    <cfRule type="expression" dxfId="1245" priority="519" stopIfTrue="1">
      <formula>$C$11=$C185</formula>
    </cfRule>
  </conditionalFormatting>
  <conditionalFormatting sqref="U185:AD185">
    <cfRule type="expression" dxfId="1244" priority="516" stopIfTrue="1">
      <formula>$C$10=$C185</formula>
    </cfRule>
    <cfRule type="expression" dxfId="1243" priority="517" stopIfTrue="1">
      <formula>$C$11=$C185</formula>
    </cfRule>
    <cfRule type="expression" dxfId="1242" priority="514" stopIfTrue="1">
      <formula>$C$10=$C185</formula>
    </cfRule>
    <cfRule type="expression" dxfId="1241" priority="515" stopIfTrue="1">
      <formula>$C$11=$C185</formula>
    </cfRule>
  </conditionalFormatting>
  <conditionalFormatting sqref="AG185:AJ185">
    <cfRule type="expression" dxfId="1240" priority="512" stopIfTrue="1">
      <formula>$C$10=$C185</formula>
    </cfRule>
    <cfRule type="expression" dxfId="1239" priority="513" stopIfTrue="1">
      <formula>$C$11=$C185</formula>
    </cfRule>
  </conditionalFormatting>
  <conditionalFormatting sqref="AG185:AH185">
    <cfRule type="expression" dxfId="1238" priority="510" stopIfTrue="1">
      <formula>$C$10=$C185</formula>
    </cfRule>
    <cfRule type="expression" dxfId="1237" priority="511" stopIfTrue="1">
      <formula>$C$11=$C185</formula>
    </cfRule>
  </conditionalFormatting>
  <conditionalFormatting sqref="AI185:AJ185">
    <cfRule type="expression" dxfId="1236" priority="508" stopIfTrue="1">
      <formula>$C$10=$C185</formula>
    </cfRule>
    <cfRule type="expression" dxfId="1235" priority="509" stopIfTrue="1">
      <formula>$C$11=$C185</formula>
    </cfRule>
  </conditionalFormatting>
  <conditionalFormatting sqref="AZ185:BA185">
    <cfRule type="expression" dxfId="1234" priority="506" stopIfTrue="1">
      <formula>$C$10=$C185</formula>
    </cfRule>
    <cfRule type="expression" dxfId="1233" priority="507" stopIfTrue="1">
      <formula>$C$11=$C185</formula>
    </cfRule>
  </conditionalFormatting>
  <conditionalFormatting sqref="BD185:BT185">
    <cfRule type="expression" dxfId="1232" priority="503">
      <formula>#REF!="TO"</formula>
    </cfRule>
    <cfRule type="expression" dxfId="1231" priority="504">
      <formula>#REF!="IO"</formula>
    </cfRule>
    <cfRule type="expression" dxfId="1230" priority="505">
      <formula>#REF!="L"</formula>
    </cfRule>
  </conditionalFormatting>
  <conditionalFormatting sqref="AM185:AT185 K185:R185">
    <cfRule type="expression" dxfId="1229" priority="534" stopIfTrue="1">
      <formula>$C$10=$C185</formula>
    </cfRule>
    <cfRule type="expression" dxfId="1228" priority="534" stopIfTrue="1">
      <formula>$C$11=$C185</formula>
    </cfRule>
  </conditionalFormatting>
  <conditionalFormatting sqref="S185 AW185:AX185 AU185 AK185 AE185">
    <cfRule type="expression" dxfId="1227" priority="535" stopIfTrue="1">
      <formula>$C$11=$C185</formula>
    </cfRule>
    <cfRule type="expression" dxfId="1226" priority="786" stopIfTrue="1">
      <formula>$C$10=$C185</formula>
    </cfRule>
  </conditionalFormatting>
  <conditionalFormatting sqref="C185">
    <cfRule type="expression" dxfId="1225" priority="531" stopIfTrue="1">
      <formula>$C$11=$C185</formula>
    </cfRule>
    <cfRule type="expression" dxfId="1224" priority="787" stopIfTrue="1">
      <formula>$C$10=$C185</formula>
    </cfRule>
  </conditionalFormatting>
  <conditionalFormatting sqref="BD186:BT186">
    <cfRule type="expression" dxfId="1223" priority="404">
      <formula>#REF!="TO"</formula>
    </cfRule>
    <cfRule type="expression" dxfId="1222" priority="405">
      <formula>#REF!="IO"</formula>
    </cfRule>
    <cfRule type="expression" dxfId="1221" priority="406">
      <formula>#REF!="L"</formula>
    </cfRule>
  </conditionalFormatting>
  <conditionalFormatting sqref="E186:H186">
    <cfRule type="expression" dxfId="1220" priority="425" stopIfTrue="1">
      <formula>$C$10=$C186</formula>
    </cfRule>
    <cfRule type="expression" dxfId="1219" priority="426" stopIfTrue="1">
      <formula>$C$11=$C186</formula>
    </cfRule>
    <cfRule type="expression" dxfId="1218" priority="429" stopIfTrue="1">
      <formula>$C$10=$C186</formula>
    </cfRule>
  </conditionalFormatting>
  <conditionalFormatting sqref="AM186:AP186">
    <cfRule type="expression" dxfId="1217" priority="423" stopIfTrue="1">
      <formula>$C$10=$C186</formula>
    </cfRule>
    <cfRule type="expression" dxfId="1216" priority="424" stopIfTrue="1">
      <formula>$C$11=$C186</formula>
    </cfRule>
  </conditionalFormatting>
  <conditionalFormatting sqref="G186">
    <cfRule type="expression" dxfId="1215" priority="421" stopIfTrue="1">
      <formula>$C$10=$C186</formula>
    </cfRule>
    <cfRule type="expression" dxfId="1214" priority="422" stopIfTrue="1">
      <formula>$C$11=$C186</formula>
    </cfRule>
    <cfRule type="expression" dxfId="1213" priority="419" stopIfTrue="1">
      <formula>$C$10=$C186</formula>
    </cfRule>
    <cfRule type="expression" dxfId="1212" priority="420" stopIfTrue="1">
      <formula>$C$11=$C186</formula>
    </cfRule>
  </conditionalFormatting>
  <conditionalFormatting sqref="U186:AD186">
    <cfRule type="expression" dxfId="1211" priority="417" stopIfTrue="1">
      <formula>$C$10=$C186</formula>
    </cfRule>
    <cfRule type="expression" dxfId="1210" priority="418" stopIfTrue="1">
      <formula>$C$11=$C186</formula>
    </cfRule>
    <cfRule type="expression" dxfId="1209" priority="415" stopIfTrue="1">
      <formula>$C$10=$C186</formula>
    </cfRule>
    <cfRule type="expression" dxfId="1208" priority="416" stopIfTrue="1">
      <formula>$C$11=$C186</formula>
    </cfRule>
  </conditionalFormatting>
  <conditionalFormatting sqref="AG186:AJ186">
    <cfRule type="expression" dxfId="1207" priority="413" stopIfTrue="1">
      <formula>$C$10=$C186</formula>
    </cfRule>
    <cfRule type="expression" dxfId="1206" priority="414" stopIfTrue="1">
      <formula>$C$11=$C186</formula>
    </cfRule>
  </conditionalFormatting>
  <conditionalFormatting sqref="AG186:AH186">
    <cfRule type="expression" dxfId="1205" priority="411" stopIfTrue="1">
      <formula>$C$10=$C186</formula>
    </cfRule>
    <cfRule type="expression" dxfId="1204" priority="412" stopIfTrue="1">
      <formula>$C$11=$C186</formula>
    </cfRule>
  </conditionalFormatting>
  <conditionalFormatting sqref="AI186:AJ186">
    <cfRule type="expression" dxfId="1203" priority="409" stopIfTrue="1">
      <formula>$C$10=$C186</formula>
    </cfRule>
    <cfRule type="expression" dxfId="1202" priority="410" stopIfTrue="1">
      <formula>$C$11=$C186</formula>
    </cfRule>
  </conditionalFormatting>
  <conditionalFormatting sqref="AM186:AT186 K186:R186">
    <cfRule type="expression" dxfId="1201" priority="431" stopIfTrue="1">
      <formula>$C$10=$C186</formula>
    </cfRule>
  </conditionalFormatting>
  <conditionalFormatting sqref="S186 AW186:AX186 AU186 AK186 AE186">
    <cfRule type="expression" dxfId="1200" priority="432" stopIfTrue="1">
      <formula>$C$11=$C186</formula>
    </cfRule>
    <cfRule type="expression" dxfId="1199" priority="433" stopIfTrue="1">
      <formula>$C$10=$C186</formula>
    </cfRule>
  </conditionalFormatting>
  <conditionalFormatting sqref="I186">
    <cfRule type="expression" dxfId="1198" priority="427" stopIfTrue="1">
      <formula>$C$10=$C186</formula>
    </cfRule>
    <cfRule type="expression" dxfId="1197" priority="428" stopIfTrue="1">
      <formula>$C$11=$C186</formula>
    </cfRule>
  </conditionalFormatting>
  <conditionalFormatting sqref="C186">
    <cfRule type="expression" dxfId="1196" priority="430" stopIfTrue="1">
      <formula>$C$11=$C186</formula>
    </cfRule>
    <cfRule type="expression" dxfId="1195" priority="434" stopIfTrue="1">
      <formula>$C$10=$C186</formula>
    </cfRule>
  </conditionalFormatting>
  <conditionalFormatting sqref="AZ186:BA186">
    <cfRule type="expression" dxfId="1194" priority="407" stopIfTrue="1">
      <formula>$C$10=$C186</formula>
    </cfRule>
    <cfRule type="expression" dxfId="1193" priority="408" stopIfTrue="1">
      <formula>$C$11=$C186</formula>
    </cfRule>
  </conditionalFormatting>
  <conditionalFormatting sqref="AM187:AT187 K187:R187">
    <cfRule type="expression" dxfId="1192" priority="338" stopIfTrue="1">
      <formula>$C$10=$C187</formula>
    </cfRule>
  </conditionalFormatting>
  <conditionalFormatting sqref="S187 AW187:AX187 AU187 AK187 AE187">
    <cfRule type="expression" dxfId="1191" priority="339" stopIfTrue="1">
      <formula>$C$11=$C187</formula>
    </cfRule>
    <cfRule type="expression" dxfId="1190" priority="340" stopIfTrue="1">
      <formula>$C$10=$C187</formula>
    </cfRule>
  </conditionalFormatting>
  <conditionalFormatting sqref="E187:H187">
    <cfRule type="expression" dxfId="1189" priority="336" stopIfTrue="1">
      <formula>$C$10=$C187</formula>
    </cfRule>
    <cfRule type="expression" dxfId="1188" priority="332" stopIfTrue="1">
      <formula>$C$10=$C187</formula>
    </cfRule>
    <cfRule type="expression" dxfId="1187" priority="333" stopIfTrue="1">
      <formula>$C$11=$C187</formula>
    </cfRule>
  </conditionalFormatting>
  <conditionalFormatting sqref="I187">
    <cfRule type="expression" dxfId="1186" priority="334" stopIfTrue="1">
      <formula>$C$10=$C187</formula>
    </cfRule>
    <cfRule type="expression" dxfId="1185" priority="335" stopIfTrue="1">
      <formula>$C$11=$C187</formula>
    </cfRule>
  </conditionalFormatting>
  <conditionalFormatting sqref="C187">
    <cfRule type="expression" dxfId="1184" priority="337" stopIfTrue="1">
      <formula>$C$11=$C187</formula>
    </cfRule>
    <cfRule type="expression" dxfId="1183" priority="341" stopIfTrue="1">
      <formula>$C$10=$C187</formula>
    </cfRule>
  </conditionalFormatting>
  <conditionalFormatting sqref="AM187:AP187">
    <cfRule type="expression" dxfId="1182" priority="330" stopIfTrue="1">
      <formula>$C$10=$C187</formula>
    </cfRule>
    <cfRule type="expression" dxfId="1181" priority="331" stopIfTrue="1">
      <formula>$C$11=$C187</formula>
    </cfRule>
  </conditionalFormatting>
  <conditionalFormatting sqref="G187">
    <cfRule type="expression" dxfId="1180" priority="328" stopIfTrue="1">
      <formula>$C$10=$C187</formula>
    </cfRule>
    <cfRule type="expression" dxfId="1179" priority="329" stopIfTrue="1">
      <formula>$C$11=$C187</formula>
    </cfRule>
    <cfRule type="expression" dxfId="1178" priority="326" stopIfTrue="1">
      <formula>$C$10=$C187</formula>
    </cfRule>
    <cfRule type="expression" dxfId="1177" priority="327" stopIfTrue="1">
      <formula>$C$11=$C187</formula>
    </cfRule>
  </conditionalFormatting>
  <conditionalFormatting sqref="U187:AD187">
    <cfRule type="expression" dxfId="1176" priority="324" stopIfTrue="1">
      <formula>$C$10=$C187</formula>
    </cfRule>
    <cfRule type="expression" dxfId="1175" priority="325" stopIfTrue="1">
      <formula>$C$11=$C187</formula>
    </cfRule>
    <cfRule type="expression" dxfId="1174" priority="322" stopIfTrue="1">
      <formula>$C$10=$C187</formula>
    </cfRule>
    <cfRule type="expression" dxfId="1173" priority="323" stopIfTrue="1">
      <formula>$C$11=$C187</formula>
    </cfRule>
  </conditionalFormatting>
  <conditionalFormatting sqref="AG187:AJ187">
    <cfRule type="expression" dxfId="1172" priority="320" stopIfTrue="1">
      <formula>$C$10=$C187</formula>
    </cfRule>
    <cfRule type="expression" dxfId="1171" priority="321" stopIfTrue="1">
      <formula>$C$11=$C187</formula>
    </cfRule>
  </conditionalFormatting>
  <conditionalFormatting sqref="AG187:AH187">
    <cfRule type="expression" dxfId="1170" priority="318" stopIfTrue="1">
      <formula>$C$10=$C187</formula>
    </cfRule>
    <cfRule type="expression" dxfId="1169" priority="319" stopIfTrue="1">
      <formula>$C$11=$C187</formula>
    </cfRule>
  </conditionalFormatting>
  <conditionalFormatting sqref="AI187:AJ187">
    <cfRule type="expression" dxfId="1168" priority="316" stopIfTrue="1">
      <formula>$C$10=$C187</formula>
    </cfRule>
    <cfRule type="expression" dxfId="1167" priority="317" stopIfTrue="1">
      <formula>$C$11=$C187</formula>
    </cfRule>
  </conditionalFormatting>
  <conditionalFormatting sqref="AZ187:BA187">
    <cfRule type="expression" dxfId="1166" priority="314" stopIfTrue="1">
      <formula>$C$10=$C187</formula>
    </cfRule>
    <cfRule type="expression" dxfId="1165" priority="315" stopIfTrue="1">
      <formula>$C$11=$C187</formula>
    </cfRule>
  </conditionalFormatting>
  <conditionalFormatting sqref="BD187:BT187">
    <cfRule type="expression" dxfId="1164" priority="311">
      <formula>#REF!="TO"</formula>
    </cfRule>
    <cfRule type="expression" dxfId="1163" priority="312">
      <formula>#REF!="IO"</formula>
    </cfRule>
    <cfRule type="expression" dxfId="1162" priority="313">
      <formula>#REF!="L"</formula>
    </cfRule>
  </conditionalFormatting>
  <conditionalFormatting sqref="AM188:AT188 K188:R188">
    <cfRule type="expression" dxfId="1161" priority="245" stopIfTrue="1">
      <formula>$C$10=$C188</formula>
    </cfRule>
  </conditionalFormatting>
  <conditionalFormatting sqref="S188 AW188:AX188 AU188 AK188 AE188">
    <cfRule type="expression" dxfId="1160" priority="246" stopIfTrue="1">
      <formula>$C$11=$C188</formula>
    </cfRule>
    <cfRule type="expression" dxfId="1159" priority="247" stopIfTrue="1">
      <formula>$C$10=$C188</formula>
    </cfRule>
  </conditionalFormatting>
  <conditionalFormatting sqref="E188:H188">
    <cfRule type="expression" dxfId="1158" priority="243" stopIfTrue="1">
      <formula>$C$10=$C188</formula>
    </cfRule>
    <cfRule type="expression" dxfId="1157" priority="239" stopIfTrue="1">
      <formula>$C$10=$C188</formula>
    </cfRule>
    <cfRule type="expression" dxfId="1156" priority="240" stopIfTrue="1">
      <formula>$C$11=$C188</formula>
    </cfRule>
  </conditionalFormatting>
  <conditionalFormatting sqref="I188">
    <cfRule type="expression" dxfId="1155" priority="241" stopIfTrue="1">
      <formula>$C$10=$C188</formula>
    </cfRule>
    <cfRule type="expression" dxfId="1154" priority="242" stopIfTrue="1">
      <formula>$C$11=$C188</formula>
    </cfRule>
  </conditionalFormatting>
  <conditionalFormatting sqref="C188">
    <cfRule type="expression" dxfId="1153" priority="244" stopIfTrue="1">
      <formula>$C$11=$C188</formula>
    </cfRule>
    <cfRule type="expression" dxfId="1152" priority="248" stopIfTrue="1">
      <formula>$C$10=$C188</formula>
    </cfRule>
  </conditionalFormatting>
  <conditionalFormatting sqref="AM188:AP188">
    <cfRule type="expression" dxfId="1151" priority="237" stopIfTrue="1">
      <formula>$C$10=$C188</formula>
    </cfRule>
    <cfRule type="expression" dxfId="1150" priority="238" stopIfTrue="1">
      <formula>$C$11=$C188</formula>
    </cfRule>
  </conditionalFormatting>
  <conditionalFormatting sqref="G188">
    <cfRule type="expression" dxfId="1149" priority="235" stopIfTrue="1">
      <formula>$C$10=$C188</formula>
    </cfRule>
    <cfRule type="expression" dxfId="1148" priority="236" stopIfTrue="1">
      <formula>$C$11=$C188</formula>
    </cfRule>
    <cfRule type="expression" dxfId="1147" priority="233" stopIfTrue="1">
      <formula>$C$10=$C188</formula>
    </cfRule>
    <cfRule type="expression" dxfId="1146" priority="234" stopIfTrue="1">
      <formula>$C$11=$C188</formula>
    </cfRule>
  </conditionalFormatting>
  <conditionalFormatting sqref="U188:AD188">
    <cfRule type="expression" dxfId="1145" priority="231" stopIfTrue="1">
      <formula>$C$10=$C188</formula>
    </cfRule>
    <cfRule type="expression" dxfId="1144" priority="232" stopIfTrue="1">
      <formula>$C$11=$C188</formula>
    </cfRule>
    <cfRule type="expression" dxfId="1143" priority="229" stopIfTrue="1">
      <formula>$C$10=$C188</formula>
    </cfRule>
    <cfRule type="expression" dxfId="1142" priority="230" stopIfTrue="1">
      <formula>$C$11=$C188</formula>
    </cfRule>
  </conditionalFormatting>
  <conditionalFormatting sqref="AG188:AJ188">
    <cfRule type="expression" dxfId="1141" priority="227" stopIfTrue="1">
      <formula>$C$10=$C188</formula>
    </cfRule>
    <cfRule type="expression" dxfId="1140" priority="228" stopIfTrue="1">
      <formula>$C$11=$C188</formula>
    </cfRule>
  </conditionalFormatting>
  <conditionalFormatting sqref="AG188:AH188">
    <cfRule type="expression" dxfId="1139" priority="225" stopIfTrue="1">
      <formula>$C$10=$C188</formula>
    </cfRule>
    <cfRule type="expression" dxfId="1138" priority="226" stopIfTrue="1">
      <formula>$C$11=$C188</formula>
    </cfRule>
  </conditionalFormatting>
  <conditionalFormatting sqref="AI188:AJ188">
    <cfRule type="expression" dxfId="1137" priority="223" stopIfTrue="1">
      <formula>$C$10=$C188</formula>
    </cfRule>
    <cfRule type="expression" dxfId="1136" priority="224" stopIfTrue="1">
      <formula>$C$11=$C188</formula>
    </cfRule>
  </conditionalFormatting>
  <conditionalFormatting sqref="AZ188:BA188">
    <cfRule type="expression" dxfId="1135" priority="221" stopIfTrue="1">
      <formula>$C$10=$C188</formula>
    </cfRule>
    <cfRule type="expression" dxfId="1134" priority="222" stopIfTrue="1">
      <formula>$C$11=$C188</formula>
    </cfRule>
  </conditionalFormatting>
  <conditionalFormatting sqref="AE189 AK189 AU189 AW189:AX189 S189">
    <cfRule type="expression" dxfId="1133" priority="276" stopIfTrue="1">
      <formula>$C$10=$C189</formula>
    </cfRule>
    <cfRule type="expression" dxfId="1132" priority="277" stopIfTrue="1">
      <formula>$C$11=$C189</formula>
    </cfRule>
  </conditionalFormatting>
  <conditionalFormatting sqref="I189">
    <cfRule type="expression" dxfId="1131" priority="272" stopIfTrue="1">
      <formula>$C$10=$C189</formula>
    </cfRule>
    <cfRule type="expression" dxfId="1130" priority="273" stopIfTrue="1">
      <formula>$C$11=$C189</formula>
    </cfRule>
  </conditionalFormatting>
  <conditionalFormatting sqref="C189">
    <cfRule type="expression" dxfId="1129" priority="274" stopIfTrue="1">
      <formula>$C$10=$C189</formula>
    </cfRule>
    <cfRule type="expression" dxfId="1128" priority="275" stopIfTrue="1">
      <formula>$C$11=$C189</formula>
    </cfRule>
  </conditionalFormatting>
  <conditionalFormatting sqref="E189:H189">
    <cfRule type="expression" dxfId="1127" priority="270" stopIfTrue="1">
      <formula>$C$10=$C189</formula>
    </cfRule>
    <cfRule type="expression" dxfId="1126" priority="271" stopIfTrue="1">
      <formula>$C$11=$C189</formula>
    </cfRule>
    <cfRule type="expression" dxfId="1125" priority="279" stopIfTrue="1">
      <formula>$C$10=$C189</formula>
    </cfRule>
  </conditionalFormatting>
  <conditionalFormatting sqref="AM189:AP189">
    <cfRule type="expression" dxfId="1124" priority="268" stopIfTrue="1">
      <formula>$C$10=$C189</formula>
    </cfRule>
    <cfRule type="expression" dxfId="1123" priority="269" stopIfTrue="1">
      <formula>$C$11=$C189</formula>
    </cfRule>
  </conditionalFormatting>
  <conditionalFormatting sqref="G189">
    <cfRule type="expression" dxfId="1122" priority="266" stopIfTrue="1">
      <formula>$C$10=$C189</formula>
    </cfRule>
    <cfRule type="expression" dxfId="1121" priority="267" stopIfTrue="1">
      <formula>$C$11=$C189</formula>
    </cfRule>
    <cfRule type="expression" dxfId="1120" priority="264" stopIfTrue="1">
      <formula>$C$10=$C189</formula>
    </cfRule>
    <cfRule type="expression" dxfId="1119" priority="265" stopIfTrue="1">
      <formula>$C$11=$C189</formula>
    </cfRule>
  </conditionalFormatting>
  <conditionalFormatting sqref="U189:AD189">
    <cfRule type="expression" dxfId="1118" priority="262" stopIfTrue="1">
      <formula>$C$10=$C189</formula>
    </cfRule>
    <cfRule type="expression" dxfId="1117" priority="263" stopIfTrue="1">
      <formula>$C$11=$C189</formula>
    </cfRule>
    <cfRule type="expression" dxfId="1116" priority="260" stopIfTrue="1">
      <formula>$C$10=$C189</formula>
    </cfRule>
    <cfRule type="expression" dxfId="1115" priority="261" stopIfTrue="1">
      <formula>$C$11=$C189</formula>
    </cfRule>
  </conditionalFormatting>
  <conditionalFormatting sqref="AG189:AJ189">
    <cfRule type="expression" dxfId="1114" priority="258" stopIfTrue="1">
      <formula>$C$10=$C189</formula>
    </cfRule>
    <cfRule type="expression" dxfId="1113" priority="259" stopIfTrue="1">
      <formula>$C$11=$C189</formula>
    </cfRule>
  </conditionalFormatting>
  <conditionalFormatting sqref="AG189:AH189">
    <cfRule type="expression" dxfId="1112" priority="256" stopIfTrue="1">
      <formula>$C$10=$C189</formula>
    </cfRule>
    <cfRule type="expression" dxfId="1111" priority="257" stopIfTrue="1">
      <formula>$C$11=$C189</formula>
    </cfRule>
  </conditionalFormatting>
  <conditionalFormatting sqref="AI189:AJ189">
    <cfRule type="expression" dxfId="1110" priority="254" stopIfTrue="1">
      <formula>$C$10=$C189</formula>
    </cfRule>
    <cfRule type="expression" dxfId="1109" priority="255" stopIfTrue="1">
      <formula>$C$11=$C189</formula>
    </cfRule>
  </conditionalFormatting>
  <conditionalFormatting sqref="AZ189:BA189">
    <cfRule type="expression" dxfId="1108" priority="252" stopIfTrue="1">
      <formula>$C$10=$C189</formula>
    </cfRule>
    <cfRule type="expression" dxfId="1107" priority="253" stopIfTrue="1">
      <formula>$C$11=$C189</formula>
    </cfRule>
  </conditionalFormatting>
  <conditionalFormatting sqref="BD189:BT189">
    <cfRule type="expression" dxfId="1106" priority="249">
      <formula>#REF!="TO"</formula>
    </cfRule>
    <cfRule type="expression" dxfId="1105" priority="250">
      <formula>#REF!="IO"</formula>
    </cfRule>
    <cfRule type="expression" dxfId="1104" priority="251">
      <formula>#REF!="L"</formula>
    </cfRule>
  </conditionalFormatting>
  <conditionalFormatting sqref="K189:R189 AM189:AT189">
    <cfRule type="expression" dxfId="1103" priority="278" stopIfTrue="1">
      <formula>$C$10=$C189</formula>
    </cfRule>
  </conditionalFormatting>
  <conditionalFormatting sqref="BD188:BT188">
    <cfRule type="expression" dxfId="1102" priority="218">
      <formula>#REF!="TO"</formula>
    </cfRule>
    <cfRule type="expression" dxfId="1101" priority="219">
      <formula>#REF!="IO"</formula>
    </cfRule>
    <cfRule type="expression" dxfId="1100" priority="220">
      <formula>#REF!="L"</formula>
    </cfRule>
  </conditionalFormatting>
  <conditionalFormatting sqref="I190">
    <cfRule type="expression" dxfId="1099" priority="148" stopIfTrue="1">
      <formula>$C$10=$C190</formula>
    </cfRule>
    <cfRule type="expression" dxfId="1098" priority="149" stopIfTrue="1">
      <formula>$C$11=$C190</formula>
    </cfRule>
  </conditionalFormatting>
  <conditionalFormatting sqref="E190:H190">
    <cfRule type="expression" dxfId="1097" priority="146" stopIfTrue="1">
      <formula>$C$10=$C190</formula>
    </cfRule>
    <cfRule type="expression" dxfId="1096" priority="147" stopIfTrue="1">
      <formula>$C$11=$C190</formula>
    </cfRule>
    <cfRule type="expression" dxfId="1095" priority="150" stopIfTrue="1">
      <formula>$C$10=$C190</formula>
    </cfRule>
  </conditionalFormatting>
  <conditionalFormatting sqref="AM190:AP190">
    <cfRule type="expression" dxfId="1094" priority="144" stopIfTrue="1">
      <formula>$C$10=$C190</formula>
    </cfRule>
    <cfRule type="expression" dxfId="1093" priority="145" stopIfTrue="1">
      <formula>$C$11=$C190</formula>
    </cfRule>
  </conditionalFormatting>
  <conditionalFormatting sqref="G190">
    <cfRule type="expression" dxfId="1092" priority="142" stopIfTrue="1">
      <formula>$C$10=$C190</formula>
    </cfRule>
    <cfRule type="expression" dxfId="1091" priority="143" stopIfTrue="1">
      <formula>$C$11=$C190</formula>
    </cfRule>
    <cfRule type="expression" dxfId="1090" priority="140" stopIfTrue="1">
      <formula>$C$10=$C190</formula>
    </cfRule>
    <cfRule type="expression" dxfId="1089" priority="141" stopIfTrue="1">
      <formula>$C$11=$C190</formula>
    </cfRule>
  </conditionalFormatting>
  <conditionalFormatting sqref="U190:AD190">
    <cfRule type="expression" dxfId="1088" priority="138" stopIfTrue="1">
      <formula>$C$10=$C190</formula>
    </cfRule>
    <cfRule type="expression" dxfId="1087" priority="139" stopIfTrue="1">
      <formula>$C$11=$C190</formula>
    </cfRule>
    <cfRule type="expression" dxfId="1086" priority="136" stopIfTrue="1">
      <formula>$C$10=$C190</formula>
    </cfRule>
    <cfRule type="expression" dxfId="1085" priority="137" stopIfTrue="1">
      <formula>$C$11=$C190</formula>
    </cfRule>
  </conditionalFormatting>
  <conditionalFormatting sqref="AG190:AJ190">
    <cfRule type="expression" dxfId="1084" priority="134" stopIfTrue="1">
      <formula>$C$10=$C190</formula>
    </cfRule>
    <cfRule type="expression" dxfId="1083" priority="135" stopIfTrue="1">
      <formula>$C$11=$C190</formula>
    </cfRule>
  </conditionalFormatting>
  <conditionalFormatting sqref="AG190:AH190">
    <cfRule type="expression" dxfId="1082" priority="132" stopIfTrue="1">
      <formula>$C$10=$C190</formula>
    </cfRule>
    <cfRule type="expression" dxfId="1081" priority="133" stopIfTrue="1">
      <formula>$C$11=$C190</formula>
    </cfRule>
  </conditionalFormatting>
  <conditionalFormatting sqref="AI190:AJ190">
    <cfRule type="expression" dxfId="1080" priority="130" stopIfTrue="1">
      <formula>$C$10=$C190</formula>
    </cfRule>
    <cfRule type="expression" dxfId="1079" priority="131" stopIfTrue="1">
      <formula>$C$11=$C190</formula>
    </cfRule>
  </conditionalFormatting>
  <conditionalFormatting sqref="AZ190:BA190">
    <cfRule type="expression" dxfId="1078" priority="128" stopIfTrue="1">
      <formula>$C$10=$C190</formula>
    </cfRule>
    <cfRule type="expression" dxfId="1077" priority="129" stopIfTrue="1">
      <formula>$C$11=$C190</formula>
    </cfRule>
  </conditionalFormatting>
  <conditionalFormatting sqref="BD190:BT190">
    <cfRule type="expression" dxfId="1076" priority="125">
      <formula>#REF!="TO"</formula>
    </cfRule>
    <cfRule type="expression" dxfId="1075" priority="126">
      <formula>#REF!="IO"</formula>
    </cfRule>
    <cfRule type="expression" dxfId="1074" priority="127">
      <formula>#REF!="L"</formula>
    </cfRule>
  </conditionalFormatting>
  <conditionalFormatting sqref="AM190:AT190 K190:R190">
    <cfRule type="expression" dxfId="1073" priority="152" stopIfTrue="1">
      <formula>$C$10=$C190</formula>
    </cfRule>
  </conditionalFormatting>
  <conditionalFormatting sqref="S190 AW190:AX190 AU190 AK190 AE190">
    <cfRule type="expression" dxfId="1072" priority="153" stopIfTrue="1">
      <formula>$C$11=$C190</formula>
    </cfRule>
    <cfRule type="expression" dxfId="1071" priority="154" stopIfTrue="1">
      <formula>$C$10=$C190</formula>
    </cfRule>
  </conditionalFormatting>
  <conditionalFormatting sqref="C190">
    <cfRule type="expression" dxfId="1070" priority="151" stopIfTrue="1">
      <formula>$C$11=$C190</formula>
    </cfRule>
    <cfRule type="expression" dxfId="1069" priority="155" stopIfTrue="1">
      <formula>$C$10=$C190</formula>
    </cfRule>
  </conditionalFormatting>
  <conditionalFormatting sqref="AM191:AT191 K191:R191">
    <cfRule type="expression" dxfId="1068" priority="90" stopIfTrue="1">
      <formula>$C$10=$C191</formula>
    </cfRule>
  </conditionalFormatting>
  <conditionalFormatting sqref="S191 AW191:AX191 AU191 AK191 AE191">
    <cfRule type="expression" dxfId="1067" priority="91" stopIfTrue="1">
      <formula>$C$11=$C191</formula>
    </cfRule>
    <cfRule type="expression" dxfId="1066" priority="92" stopIfTrue="1">
      <formula>$C$10=$C191</formula>
    </cfRule>
  </conditionalFormatting>
  <conditionalFormatting sqref="E191:H191">
    <cfRule type="expression" dxfId="1065" priority="88" stopIfTrue="1">
      <formula>$C$10=$C191</formula>
    </cfRule>
    <cfRule type="expression" dxfId="1064" priority="84" stopIfTrue="1">
      <formula>$C$10=$C191</formula>
    </cfRule>
    <cfRule type="expression" dxfId="1063" priority="85" stopIfTrue="1">
      <formula>$C$11=$C191</formula>
    </cfRule>
  </conditionalFormatting>
  <conditionalFormatting sqref="I191">
    <cfRule type="expression" dxfId="1062" priority="86" stopIfTrue="1">
      <formula>$C$10=$C191</formula>
    </cfRule>
    <cfRule type="expression" dxfId="1061" priority="87" stopIfTrue="1">
      <formula>$C$11=$C191</formula>
    </cfRule>
  </conditionalFormatting>
  <conditionalFormatting sqref="C191">
    <cfRule type="expression" dxfId="1060" priority="89" stopIfTrue="1">
      <formula>$C$11=$C191</formula>
    </cfRule>
    <cfRule type="expression" dxfId="1059" priority="93" stopIfTrue="1">
      <formula>$C$10=$C191</formula>
    </cfRule>
  </conditionalFormatting>
  <conditionalFormatting sqref="AM191:AP191">
    <cfRule type="expression" dxfId="1058" priority="82" stopIfTrue="1">
      <formula>$C$10=$C191</formula>
    </cfRule>
    <cfRule type="expression" dxfId="1057" priority="83" stopIfTrue="1">
      <formula>$C$11=$C191</formula>
    </cfRule>
  </conditionalFormatting>
  <conditionalFormatting sqref="G191">
    <cfRule type="expression" dxfId="1056" priority="80" stopIfTrue="1">
      <formula>$C$10=$C191</formula>
    </cfRule>
    <cfRule type="expression" dxfId="1055" priority="81" stopIfTrue="1">
      <formula>$C$11=$C191</formula>
    </cfRule>
    <cfRule type="expression" dxfId="1054" priority="78" stopIfTrue="1">
      <formula>$C$10=$C191</formula>
    </cfRule>
    <cfRule type="expression" dxfId="1053" priority="79" stopIfTrue="1">
      <formula>$C$11=$C191</formula>
    </cfRule>
  </conditionalFormatting>
  <conditionalFormatting sqref="U191:AD191">
    <cfRule type="expression" dxfId="1052" priority="76" stopIfTrue="1">
      <formula>$C$10=$C191</formula>
    </cfRule>
    <cfRule type="expression" dxfId="1051" priority="77" stopIfTrue="1">
      <formula>$C$11=$C191</formula>
    </cfRule>
    <cfRule type="expression" dxfId="1050" priority="74" stopIfTrue="1">
      <formula>$C$10=$C191</formula>
    </cfRule>
    <cfRule type="expression" dxfId="1049" priority="75" stopIfTrue="1">
      <formula>$C$11=$C191</formula>
    </cfRule>
  </conditionalFormatting>
  <conditionalFormatting sqref="AG191:AJ191">
    <cfRule type="expression" dxfId="1048" priority="72" stopIfTrue="1">
      <formula>$C$10=$C191</formula>
    </cfRule>
    <cfRule type="expression" dxfId="1047" priority="73" stopIfTrue="1">
      <formula>$C$11=$C191</formula>
    </cfRule>
  </conditionalFormatting>
  <conditionalFormatting sqref="AG191:AH191">
    <cfRule type="expression" dxfId="1046" priority="70" stopIfTrue="1">
      <formula>$C$10=$C191</formula>
    </cfRule>
    <cfRule type="expression" dxfId="1045" priority="71" stopIfTrue="1">
      <formula>$C$11=$C191</formula>
    </cfRule>
  </conditionalFormatting>
  <conditionalFormatting sqref="AI191:AJ191">
    <cfRule type="expression" dxfId="1044" priority="68" stopIfTrue="1">
      <formula>$C$10=$C191</formula>
    </cfRule>
    <cfRule type="expression" dxfId="1043" priority="69" stopIfTrue="1">
      <formula>$C$11=$C191</formula>
    </cfRule>
  </conditionalFormatting>
  <conditionalFormatting sqref="AZ191:BA191">
    <cfRule type="expression" dxfId="1042" priority="66" stopIfTrue="1">
      <formula>$C$10=$C191</formula>
    </cfRule>
    <cfRule type="expression" dxfId="1041" priority="67" stopIfTrue="1">
      <formula>$C$11=$C191</formula>
    </cfRule>
  </conditionalFormatting>
  <conditionalFormatting sqref="BD191:BT191">
    <cfRule type="expression" dxfId="1040" priority="63">
      <formula>#REF!="TO"</formula>
    </cfRule>
    <cfRule type="expression" dxfId="1039" priority="64">
      <formula>#REF!="IO"</formula>
    </cfRule>
    <cfRule type="expression" dxfId="1038" priority="65">
      <formula>#REF!="L"</formula>
    </cfRule>
  </conditionalFormatting>
  <conditionalFormatting sqref="AM193:AT193 K193:R193">
    <cfRule type="expression" dxfId="1037" priority="59" stopIfTrue="1">
      <formula>$C$10=$C193</formula>
    </cfRule>
  </conditionalFormatting>
  <conditionalFormatting sqref="S193 AW193:AX193 AU193 AK193 AE193">
    <cfRule type="expression" dxfId="1036" priority="60" stopIfTrue="1">
      <formula>$C$11=$C193</formula>
    </cfRule>
    <cfRule type="expression" dxfId="1035" priority="61" stopIfTrue="1">
      <formula>$C$10=$C193</formula>
    </cfRule>
  </conditionalFormatting>
  <conditionalFormatting sqref="E193:H193">
    <cfRule type="expression" dxfId="1034" priority="57" stopIfTrue="1">
      <formula>$C$10=$C193</formula>
    </cfRule>
    <cfRule type="expression" dxfId="1033" priority="53" stopIfTrue="1">
      <formula>$C$10=$C193</formula>
    </cfRule>
    <cfRule type="expression" dxfId="1032" priority="54" stopIfTrue="1">
      <formula>$C$11=$C193</formula>
    </cfRule>
  </conditionalFormatting>
  <conditionalFormatting sqref="I193">
    <cfRule type="expression" dxfId="1031" priority="55" stopIfTrue="1">
      <formula>$C$10=$C193</formula>
    </cfRule>
    <cfRule type="expression" dxfId="1030" priority="56" stopIfTrue="1">
      <formula>$C$11=$C193</formula>
    </cfRule>
  </conditionalFormatting>
  <conditionalFormatting sqref="C193">
    <cfRule type="expression" dxfId="1029" priority="58" stopIfTrue="1">
      <formula>$C$11=$C193</formula>
    </cfRule>
    <cfRule type="expression" dxfId="1028" priority="62" stopIfTrue="1">
      <formula>$C$10=$C193</formula>
    </cfRule>
  </conditionalFormatting>
  <conditionalFormatting sqref="AM193:AP193">
    <cfRule type="expression" dxfId="1027" priority="51" stopIfTrue="1">
      <formula>$C$10=$C193</formula>
    </cfRule>
    <cfRule type="expression" dxfId="1026" priority="52" stopIfTrue="1">
      <formula>$C$11=$C193</formula>
    </cfRule>
  </conditionalFormatting>
  <conditionalFormatting sqref="G193">
    <cfRule type="expression" dxfId="1025" priority="49" stopIfTrue="1">
      <formula>$C$10=$C193</formula>
    </cfRule>
    <cfRule type="expression" dxfId="1024" priority="50" stopIfTrue="1">
      <formula>$C$11=$C193</formula>
    </cfRule>
    <cfRule type="expression" dxfId="1023" priority="47" stopIfTrue="1">
      <formula>$C$10=$C193</formula>
    </cfRule>
    <cfRule type="expression" dxfId="1022" priority="48" stopIfTrue="1">
      <formula>$C$11=$C193</formula>
    </cfRule>
  </conditionalFormatting>
  <conditionalFormatting sqref="U193:AD193">
    <cfRule type="expression" dxfId="1021" priority="45" stopIfTrue="1">
      <formula>$C$10=$C193</formula>
    </cfRule>
    <cfRule type="expression" dxfId="1020" priority="46" stopIfTrue="1">
      <formula>$C$11=$C193</formula>
    </cfRule>
    <cfRule type="expression" dxfId="1019" priority="43" stopIfTrue="1">
      <formula>$C$10=$C193</formula>
    </cfRule>
    <cfRule type="expression" dxfId="1018" priority="44" stopIfTrue="1">
      <formula>$C$11=$C193</formula>
    </cfRule>
  </conditionalFormatting>
  <conditionalFormatting sqref="AG193:AJ193">
    <cfRule type="expression" dxfId="1017" priority="41" stopIfTrue="1">
      <formula>$C$10=$C193</formula>
    </cfRule>
    <cfRule type="expression" dxfId="1016" priority="42" stopIfTrue="1">
      <formula>$C$11=$C193</formula>
    </cfRule>
  </conditionalFormatting>
  <conditionalFormatting sqref="AG193:AH193">
    <cfRule type="expression" dxfId="1015" priority="39" stopIfTrue="1">
      <formula>$C$10=$C193</formula>
    </cfRule>
    <cfRule type="expression" dxfId="1014" priority="40" stopIfTrue="1">
      <formula>$C$11=$C193</formula>
    </cfRule>
  </conditionalFormatting>
  <conditionalFormatting sqref="AI193:AJ193">
    <cfRule type="expression" dxfId="1013" priority="37" stopIfTrue="1">
      <formula>$C$10=$C193</formula>
    </cfRule>
    <cfRule type="expression" dxfId="1012" priority="38" stopIfTrue="1">
      <formula>$C$11=$C193</formula>
    </cfRule>
  </conditionalFormatting>
  <conditionalFormatting sqref="AZ193:BA193">
    <cfRule type="expression" dxfId="1011" priority="35" stopIfTrue="1">
      <formula>$C$10=$C193</formula>
    </cfRule>
    <cfRule type="expression" dxfId="1010" priority="36" stopIfTrue="1">
      <formula>$C$11=$C193</formula>
    </cfRule>
  </conditionalFormatting>
  <conditionalFormatting sqref="BD193:BT193">
    <cfRule type="expression" dxfId="1009" priority="32">
      <formula>#REF!="TO"</formula>
    </cfRule>
    <cfRule type="expression" dxfId="1008" priority="33">
      <formula>#REF!="IO"</formula>
    </cfRule>
    <cfRule type="expression" dxfId="1007" priority="34">
      <formula>#REF!="L"</formula>
    </cfRule>
  </conditionalFormatting>
  <conditionalFormatting sqref="I192">
    <cfRule type="expression" dxfId="1006" priority="24" stopIfTrue="1">
      <formula>$C$10=$C192</formula>
    </cfRule>
    <cfRule type="expression" dxfId="1005" priority="25" stopIfTrue="1">
      <formula>$C$11=$C192</formula>
    </cfRule>
  </conditionalFormatting>
  <conditionalFormatting sqref="E192:H192">
    <cfRule type="expression" dxfId="1004" priority="22" stopIfTrue="1">
      <formula>$C$10=$C192</formula>
    </cfRule>
    <cfRule type="expression" dxfId="1003" priority="23" stopIfTrue="1">
      <formula>$C$11=$C192</formula>
    </cfRule>
    <cfRule type="expression" dxfId="1002" priority="26" stopIfTrue="1">
      <formula>$C$10=$C192</formula>
    </cfRule>
  </conditionalFormatting>
  <conditionalFormatting sqref="AM192:AP192">
    <cfRule type="expression" dxfId="1001" priority="20" stopIfTrue="1">
      <formula>$C$10=$C192</formula>
    </cfRule>
    <cfRule type="expression" dxfId="1000" priority="21" stopIfTrue="1">
      <formula>$C$11=$C192</formula>
    </cfRule>
  </conditionalFormatting>
  <conditionalFormatting sqref="G192">
    <cfRule type="expression" dxfId="999" priority="18" stopIfTrue="1">
      <formula>$C$10=$C192</formula>
    </cfRule>
    <cfRule type="expression" dxfId="998" priority="19" stopIfTrue="1">
      <formula>$C$11=$C192</formula>
    </cfRule>
    <cfRule type="expression" dxfId="997" priority="16" stopIfTrue="1">
      <formula>$C$10=$C192</formula>
    </cfRule>
    <cfRule type="expression" dxfId="996" priority="17" stopIfTrue="1">
      <formula>$C$11=$C192</formula>
    </cfRule>
  </conditionalFormatting>
  <conditionalFormatting sqref="U192:AD192">
    <cfRule type="expression" dxfId="995" priority="14" stopIfTrue="1">
      <formula>$C$10=$C192</formula>
    </cfRule>
    <cfRule type="expression" dxfId="994" priority="15" stopIfTrue="1">
      <formula>$C$11=$C192</formula>
    </cfRule>
    <cfRule type="expression" dxfId="993" priority="12" stopIfTrue="1">
      <formula>$C$10=$C192</formula>
    </cfRule>
    <cfRule type="expression" dxfId="992" priority="13" stopIfTrue="1">
      <formula>$C$11=$C192</formula>
    </cfRule>
  </conditionalFormatting>
  <conditionalFormatting sqref="AG192:AJ192">
    <cfRule type="expression" dxfId="991" priority="10" stopIfTrue="1">
      <formula>$C$10=$C192</formula>
    </cfRule>
    <cfRule type="expression" dxfId="990" priority="11" stopIfTrue="1">
      <formula>$C$11=$C192</formula>
    </cfRule>
  </conditionalFormatting>
  <conditionalFormatting sqref="AG192:AH192">
    <cfRule type="expression" dxfId="989" priority="8" stopIfTrue="1">
      <formula>$C$10=$C192</formula>
    </cfRule>
    <cfRule type="expression" dxfId="988" priority="9" stopIfTrue="1">
      <formula>$C$11=$C192</formula>
    </cfRule>
  </conditionalFormatting>
  <conditionalFormatting sqref="AI192:AJ192">
    <cfRule type="expression" dxfId="987" priority="6" stopIfTrue="1">
      <formula>$C$10=$C192</formula>
    </cfRule>
    <cfRule type="expression" dxfId="986" priority="7" stopIfTrue="1">
      <formula>$C$11=$C192</formula>
    </cfRule>
  </conditionalFormatting>
  <conditionalFormatting sqref="AZ192:BA192">
    <cfRule type="expression" dxfId="985" priority="4" stopIfTrue="1">
      <formula>$C$10=$C192</formula>
    </cfRule>
    <cfRule type="expression" dxfId="984" priority="5" stopIfTrue="1">
      <formula>$C$11=$C192</formula>
    </cfRule>
  </conditionalFormatting>
  <conditionalFormatting sqref="BD192:BT192">
    <cfRule type="expression" dxfId="983" priority="1">
      <formula>#REF!="TO"</formula>
    </cfRule>
    <cfRule type="expression" dxfId="982" priority="2">
      <formula>#REF!="IO"</formula>
    </cfRule>
    <cfRule type="expression" dxfId="981" priority="3">
      <formula>#REF!="L"</formula>
    </cfRule>
  </conditionalFormatting>
  <conditionalFormatting sqref="AM192:AT192 K192:R192">
    <cfRule type="expression" dxfId="980" priority="28" stopIfTrue="1">
      <formula>$C$10=$C192</formula>
    </cfRule>
  </conditionalFormatting>
  <conditionalFormatting sqref="S192 AW192:AX192 AU192 AK192 AE192">
    <cfRule type="expression" dxfId="979" priority="29" stopIfTrue="1">
      <formula>$C$11=$C192</formula>
    </cfRule>
    <cfRule type="expression" dxfId="978" priority="30" stopIfTrue="1">
      <formula>$C$10=$C192</formula>
    </cfRule>
  </conditionalFormatting>
  <conditionalFormatting sqref="C192">
    <cfRule type="expression" dxfId="977" priority="27" stopIfTrue="1">
      <formula>$C$11=$C192</formula>
    </cfRule>
    <cfRule type="expression" dxfId="976" priority="31" stopIfTrue="1">
      <formula>$C$10=$C192</formula>
    </cfRule>
  </conditionalFormatting>
  <pageMargins left="0.511811024" right="0.511811024" top="0.78740157499999996" bottom="0.78740157499999996" header="0.31496062000000002" footer="0.31496062000000002"/>
  <pageSetup paperSize="9"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2060"/>
  </sheetPr>
  <dimension ref="A2:L16"/>
  <sheetViews>
    <sheetView showGridLines="0" workbookViewId="0">
      <selection activeCell="C16" sqref="C16"/>
    </sheetView>
  </sheetViews>
  <sheetFormatPr defaultRowHeight="15" x14ac:dyDescent="0.25"/>
  <cols>
    <col min="1" max="1" width="5.42578125" style="186" customWidth="1"/>
    <col min="3" max="3" width="42.28515625" style="186" bestFit="1" customWidth="1"/>
    <col min="7" max="7" width="16.85546875" style="186" bestFit="1" customWidth="1"/>
    <col min="8" max="8" width="13.7109375" style="186" bestFit="1" customWidth="1"/>
    <col min="9" max="9" width="14.5703125" style="186" bestFit="1" customWidth="1"/>
    <col min="10" max="10" width="16.140625" style="186" bestFit="1" customWidth="1"/>
    <col min="11" max="11" width="14.5703125" style="186" bestFit="1" customWidth="1"/>
    <col min="12" max="12" width="13.85546875" style="186" bestFit="1" customWidth="1"/>
  </cols>
  <sheetData>
    <row r="2" spans="2:12" ht="15.75" customHeight="1" thickBot="1" x14ac:dyDescent="0.3">
      <c r="B2" s="8" t="s">
        <v>853</v>
      </c>
      <c r="C2" s="8" t="s">
        <v>856</v>
      </c>
      <c r="D2" s="8" t="s">
        <v>240</v>
      </c>
      <c r="E2" s="8" t="s">
        <v>857</v>
      </c>
      <c r="F2" s="8" t="s">
        <v>858</v>
      </c>
      <c r="G2" s="8" t="s">
        <v>859</v>
      </c>
      <c r="H2" s="8" t="s">
        <v>860</v>
      </c>
      <c r="I2" s="8" t="s">
        <v>861</v>
      </c>
      <c r="J2" s="8" t="s">
        <v>862</v>
      </c>
      <c r="K2" s="8" t="s">
        <v>863</v>
      </c>
      <c r="L2" s="8" t="s">
        <v>864</v>
      </c>
    </row>
    <row r="3" spans="2:12" x14ac:dyDescent="0.25">
      <c r="B3" s="217" t="s">
        <v>138</v>
      </c>
      <c r="C3" s="217">
        <v>1</v>
      </c>
      <c r="D3" s="218"/>
      <c r="E3" s="219" t="str">
        <f t="shared" ref="E3:E15" si="0">IF(I3&lt;&gt;0, "Sim", "Não")</f>
        <v>Sim</v>
      </c>
      <c r="F3" s="328" t="str">
        <f t="shared" ref="F3:F15" si="1">IF(D3&lt;&gt;"", "Sim", "Não")</f>
        <v>Não</v>
      </c>
      <c r="G3" s="445">
        <v>5000000</v>
      </c>
      <c r="H3" s="225">
        <f t="shared" ref="H3:H15" si="2">G3/$G$16</f>
        <v>8.9285714285714288E-2</v>
      </c>
      <c r="I3" s="19">
        <f>IFERROR(INDEX(Permutas!$H$21:$H$25, MATCH(Investidores!$B3, Permutas!$B$21:$B$25, 0))*Investidores!$H3, Investidores!$H3)</f>
        <v>8.9285714285714288E-2</v>
      </c>
      <c r="J3" s="19">
        <f t="shared" ref="J3:J15" si="3">H3-I3</f>
        <v>0</v>
      </c>
      <c r="K3" s="19">
        <f t="shared" ref="K3:K15" si="4">I3/SUM($I$3:$I$15)</f>
        <v>0.11000780777409161</v>
      </c>
      <c r="L3" s="19">
        <f t="shared" ref="L3:L15" si="5">J3/SUM($J$3:$J$15)</f>
        <v>0</v>
      </c>
    </row>
    <row r="4" spans="2:12" x14ac:dyDescent="0.25">
      <c r="B4" s="217" t="s">
        <v>142</v>
      </c>
      <c r="C4" s="217">
        <v>2</v>
      </c>
      <c r="D4" s="217"/>
      <c r="E4" s="219" t="str">
        <f t="shared" si="0"/>
        <v>Sim</v>
      </c>
      <c r="F4" s="328" t="str">
        <f t="shared" si="1"/>
        <v>Não</v>
      </c>
      <c r="G4" s="445">
        <v>5000000</v>
      </c>
      <c r="H4" s="225">
        <f t="shared" si="2"/>
        <v>8.9285714285714288E-2</v>
      </c>
      <c r="I4" s="19">
        <f>IFERROR(INDEX(Permutas!$H$21:$H$25, MATCH(Investidores!$B4, Permutas!$B$21:$B$25, 0))*Investidores!$H4, Investidores!$H4)</f>
        <v>8.9285714285714288E-2</v>
      </c>
      <c r="J4" s="19">
        <f t="shared" si="3"/>
        <v>0</v>
      </c>
      <c r="K4" s="19">
        <f t="shared" si="4"/>
        <v>0.11000780777409161</v>
      </c>
      <c r="L4" s="19">
        <f t="shared" si="5"/>
        <v>0</v>
      </c>
    </row>
    <row r="5" spans="2:12" x14ac:dyDescent="0.25">
      <c r="B5" s="217" t="s">
        <v>147</v>
      </c>
      <c r="C5" s="217">
        <v>3</v>
      </c>
      <c r="D5" s="217"/>
      <c r="E5" s="219" t="str">
        <f t="shared" si="0"/>
        <v>Sim</v>
      </c>
      <c r="F5" s="328" t="str">
        <f t="shared" si="1"/>
        <v>Não</v>
      </c>
      <c r="G5" s="445">
        <v>5000000</v>
      </c>
      <c r="H5" s="225">
        <f t="shared" si="2"/>
        <v>8.9285714285714288E-2</v>
      </c>
      <c r="I5" s="19">
        <f>IFERROR(INDEX(Permutas!$H$21:$H$25, MATCH(Investidores!$B5, Permutas!$B$21:$B$25, 0))*Investidores!$H5, Investidores!$H5)</f>
        <v>8.9285714285714288E-2</v>
      </c>
      <c r="J5" s="19">
        <f t="shared" si="3"/>
        <v>0</v>
      </c>
      <c r="K5" s="19">
        <f t="shared" si="4"/>
        <v>0.11000780777409161</v>
      </c>
      <c r="L5" s="19">
        <f t="shared" si="5"/>
        <v>0</v>
      </c>
    </row>
    <row r="6" spans="2:12" x14ac:dyDescent="0.25">
      <c r="B6" s="217" t="s">
        <v>151</v>
      </c>
      <c r="C6" s="217">
        <v>4</v>
      </c>
      <c r="D6" s="217"/>
      <c r="E6" s="219" t="str">
        <f t="shared" si="0"/>
        <v>Sim</v>
      </c>
      <c r="F6" s="328" t="str">
        <f t="shared" si="1"/>
        <v>Não</v>
      </c>
      <c r="G6" s="445">
        <v>5000000</v>
      </c>
      <c r="H6" s="225">
        <f t="shared" si="2"/>
        <v>8.9285714285714288E-2</v>
      </c>
      <c r="I6" s="19">
        <f>IFERROR(INDEX(Permutas!$H$21:$H$25, MATCH(Investidores!$B6, Permutas!$B$21:$B$25, 0))*Investidores!$H6, Investidores!$H6)</f>
        <v>8.9285714285714288E-2</v>
      </c>
      <c r="J6" s="19">
        <f t="shared" si="3"/>
        <v>0</v>
      </c>
      <c r="K6" s="19">
        <f t="shared" si="4"/>
        <v>0.11000780777409161</v>
      </c>
      <c r="L6" s="19">
        <f t="shared" si="5"/>
        <v>0</v>
      </c>
    </row>
    <row r="7" spans="2:12" x14ac:dyDescent="0.25">
      <c r="B7" s="217" t="s">
        <v>156</v>
      </c>
      <c r="C7" s="217">
        <v>5</v>
      </c>
      <c r="D7" s="219">
        <v>182</v>
      </c>
      <c r="E7" s="219" t="str">
        <f t="shared" si="0"/>
        <v>Não</v>
      </c>
      <c r="F7" s="220" t="str">
        <f t="shared" si="1"/>
        <v>Sim</v>
      </c>
      <c r="G7" s="445">
        <v>2000000</v>
      </c>
      <c r="H7" s="225">
        <f t="shared" si="2"/>
        <v>3.5714285714285712E-2</v>
      </c>
      <c r="I7" s="19">
        <f>IFERROR(INDEX(Permutas!$H$21:$H$25, MATCH(Investidores!$B7, Permutas!$B$21:$B$25, 0))*Investidores!$H7, Investidores!$H7)</f>
        <v>0</v>
      </c>
      <c r="J7" s="19">
        <f t="shared" si="3"/>
        <v>3.5714285714285712E-2</v>
      </c>
      <c r="K7" s="19">
        <f t="shared" si="4"/>
        <v>0</v>
      </c>
      <c r="L7" s="19">
        <f t="shared" si="5"/>
        <v>0.18959716979608049</v>
      </c>
    </row>
    <row r="8" spans="2:12" x14ac:dyDescent="0.25">
      <c r="B8" s="217" t="s">
        <v>159</v>
      </c>
      <c r="C8" s="217">
        <v>6</v>
      </c>
      <c r="D8" s="219">
        <v>202</v>
      </c>
      <c r="E8" s="219" t="str">
        <f t="shared" si="0"/>
        <v>Não</v>
      </c>
      <c r="F8" s="220" t="str">
        <f t="shared" si="1"/>
        <v>Sim</v>
      </c>
      <c r="G8" s="445">
        <v>2000000</v>
      </c>
      <c r="H8" s="225">
        <f t="shared" si="2"/>
        <v>3.5714285714285712E-2</v>
      </c>
      <c r="I8" s="19">
        <f>IFERROR(INDEX(Permutas!$H$21:$H$25, MATCH(Investidores!$B8, Permutas!$B$21:$B$25, 0))*Investidores!$H8, Investidores!$H8)</f>
        <v>0</v>
      </c>
      <c r="J8" s="19">
        <f t="shared" si="3"/>
        <v>3.5714285714285712E-2</v>
      </c>
      <c r="K8" s="19">
        <f t="shared" si="4"/>
        <v>0</v>
      </c>
      <c r="L8" s="19">
        <f t="shared" si="5"/>
        <v>0.18959716979608049</v>
      </c>
    </row>
    <row r="9" spans="2:12" x14ac:dyDescent="0.25">
      <c r="B9" s="217" t="s">
        <v>162</v>
      </c>
      <c r="C9" s="217">
        <v>7</v>
      </c>
      <c r="D9" s="219">
        <v>142</v>
      </c>
      <c r="E9" s="219" t="str">
        <f t="shared" si="0"/>
        <v>Sim</v>
      </c>
      <c r="F9" s="220" t="str">
        <f t="shared" si="1"/>
        <v>Sim</v>
      </c>
      <c r="G9" s="445">
        <v>5000000</v>
      </c>
      <c r="H9" s="225">
        <f t="shared" si="2"/>
        <v>8.9285714285714288E-2</v>
      </c>
      <c r="I9" s="19">
        <f>IFERROR(INDEX(Permutas!$H$21:$H$25, MATCH(Investidores!$B9, Permutas!$B$21:$B$25, 0))*Investidores!$H9, Investidores!$H9)</f>
        <v>5.0206113384289507E-2</v>
      </c>
      <c r="J9" s="19">
        <f t="shared" si="3"/>
        <v>3.9079600901424781E-2</v>
      </c>
      <c r="K9" s="19">
        <f t="shared" si="4"/>
        <v>6.1858322066947476E-2</v>
      </c>
      <c r="L9" s="19">
        <f t="shared" si="5"/>
        <v>0.20746268837477386</v>
      </c>
    </row>
    <row r="10" spans="2:12" x14ac:dyDescent="0.25">
      <c r="B10" s="217" t="s">
        <v>165</v>
      </c>
      <c r="C10" s="217">
        <v>8</v>
      </c>
      <c r="D10" s="219">
        <v>102</v>
      </c>
      <c r="E10" s="219" t="str">
        <f t="shared" si="0"/>
        <v>Não</v>
      </c>
      <c r="F10" s="220" t="str">
        <f t="shared" si="1"/>
        <v>Sim</v>
      </c>
      <c r="G10" s="445">
        <v>2000000</v>
      </c>
      <c r="H10" s="225">
        <f t="shared" si="2"/>
        <v>3.5714285714285712E-2</v>
      </c>
      <c r="I10" s="19">
        <f>IFERROR(INDEX(Permutas!$H$21:$H$25, MATCH(Investidores!$B10, Permutas!$B$21:$B$25, 0))*Investidores!$H10, Investidores!$H10)</f>
        <v>0</v>
      </c>
      <c r="J10" s="19">
        <f t="shared" si="3"/>
        <v>3.5714285714285712E-2</v>
      </c>
      <c r="K10" s="19">
        <f t="shared" si="4"/>
        <v>0</v>
      </c>
      <c r="L10" s="19">
        <f t="shared" si="5"/>
        <v>0.18959716979608049</v>
      </c>
    </row>
    <row r="11" spans="2:12" x14ac:dyDescent="0.25">
      <c r="B11" s="217" t="s">
        <v>168</v>
      </c>
      <c r="C11" s="217">
        <v>9</v>
      </c>
      <c r="D11" s="218"/>
      <c r="E11" s="219" t="str">
        <f t="shared" si="0"/>
        <v>Sim</v>
      </c>
      <c r="F11" s="220" t="str">
        <f t="shared" si="1"/>
        <v>Não</v>
      </c>
      <c r="G11" s="445">
        <v>5000000</v>
      </c>
      <c r="H11" s="225">
        <f t="shared" si="2"/>
        <v>8.9285714285714288E-2</v>
      </c>
      <c r="I11" s="19">
        <f>IFERROR(INDEX(Permutas!$H$21:$H$25, MATCH(Investidores!$B11, Permutas!$B$21:$B$25, 0))*Investidores!$H11, Investidores!$H11)</f>
        <v>8.9285714285714288E-2</v>
      </c>
      <c r="J11" s="19">
        <f t="shared" si="3"/>
        <v>0</v>
      </c>
      <c r="K11" s="19">
        <f t="shared" si="4"/>
        <v>0.11000780777409161</v>
      </c>
      <c r="L11" s="19">
        <f t="shared" si="5"/>
        <v>0</v>
      </c>
    </row>
    <row r="12" spans="2:12" x14ac:dyDescent="0.25">
      <c r="B12" s="217" t="s">
        <v>170</v>
      </c>
      <c r="C12" s="217">
        <v>10</v>
      </c>
      <c r="D12" s="218"/>
      <c r="E12" s="219" t="str">
        <f t="shared" si="0"/>
        <v>Sim</v>
      </c>
      <c r="F12" s="220" t="str">
        <f t="shared" si="1"/>
        <v>Não</v>
      </c>
      <c r="G12" s="445">
        <v>5000000</v>
      </c>
      <c r="H12" s="225">
        <f t="shared" si="2"/>
        <v>8.9285714285714288E-2</v>
      </c>
      <c r="I12" s="19">
        <f>IFERROR(INDEX(Permutas!$H$21:$H$25, MATCH(Investidores!$B12, Permutas!$B$21:$B$25, 0))*Investidores!$H12, Investidores!$H12)</f>
        <v>8.9285714285714288E-2</v>
      </c>
      <c r="J12" s="19">
        <f t="shared" si="3"/>
        <v>0</v>
      </c>
      <c r="K12" s="19">
        <f t="shared" si="4"/>
        <v>0.11000780777409161</v>
      </c>
      <c r="L12" s="19">
        <f t="shared" si="5"/>
        <v>0</v>
      </c>
    </row>
    <row r="13" spans="2:12" x14ac:dyDescent="0.25">
      <c r="B13" s="217" t="s">
        <v>171</v>
      </c>
      <c r="C13" s="217">
        <v>11</v>
      </c>
      <c r="D13" s="218"/>
      <c r="E13" s="219" t="str">
        <f t="shared" si="0"/>
        <v>Sim</v>
      </c>
      <c r="F13" s="220" t="str">
        <f t="shared" si="1"/>
        <v>Não</v>
      </c>
      <c r="G13" s="445">
        <v>5000000</v>
      </c>
      <c r="H13" s="225">
        <f t="shared" si="2"/>
        <v>8.9285714285714288E-2</v>
      </c>
      <c r="I13" s="19">
        <f>IFERROR(INDEX(Permutas!$H$21:$H$25, MATCH(Investidores!$B13, Permutas!$B$21:$B$25, 0))*Investidores!$H13, Investidores!$H13)</f>
        <v>8.9285714285714288E-2</v>
      </c>
      <c r="J13" s="19">
        <f t="shared" si="3"/>
        <v>0</v>
      </c>
      <c r="K13" s="19">
        <f t="shared" si="4"/>
        <v>0.11000780777409161</v>
      </c>
      <c r="L13" s="19">
        <f t="shared" si="5"/>
        <v>0</v>
      </c>
    </row>
    <row r="14" spans="2:12" x14ac:dyDescent="0.25">
      <c r="B14" s="217" t="s">
        <v>172</v>
      </c>
      <c r="C14" s="217">
        <v>12</v>
      </c>
      <c r="D14" s="219">
        <v>222</v>
      </c>
      <c r="E14" s="219" t="str">
        <f t="shared" si="0"/>
        <v>Sim</v>
      </c>
      <c r="F14" s="220" t="str">
        <f t="shared" si="1"/>
        <v>Sim</v>
      </c>
      <c r="G14" s="445">
        <v>5000000</v>
      </c>
      <c r="H14" s="225">
        <f t="shared" si="2"/>
        <v>8.9285714285714288E-2</v>
      </c>
      <c r="I14" s="19">
        <f>IFERROR(INDEX(Permutas!$H$21:$H$25, MATCH(Investidores!$B14, Permutas!$B$21:$B$25, 0))*Investidores!$H14, Investidores!$H14)</f>
        <v>4.7138874662220422E-2</v>
      </c>
      <c r="J14" s="19">
        <f t="shared" si="3"/>
        <v>4.2146839623493866E-2</v>
      </c>
      <c r="K14" s="19">
        <f t="shared" si="4"/>
        <v>5.8079215740319663E-2</v>
      </c>
      <c r="L14" s="19">
        <f t="shared" si="5"/>
        <v>0.22374580223698473</v>
      </c>
    </row>
    <row r="15" spans="2:12" x14ac:dyDescent="0.25">
      <c r="B15" s="217" t="s">
        <v>173</v>
      </c>
      <c r="C15" s="217">
        <v>13</v>
      </c>
      <c r="D15" s="218"/>
      <c r="E15" s="219" t="str">
        <f t="shared" si="0"/>
        <v>Sim</v>
      </c>
      <c r="F15" s="220" t="str">
        <f t="shared" si="1"/>
        <v>Não</v>
      </c>
      <c r="G15" s="445">
        <v>5000000</v>
      </c>
      <c r="H15" s="225">
        <f t="shared" si="2"/>
        <v>8.9285714285714288E-2</v>
      </c>
      <c r="I15" s="19">
        <f>IFERROR(INDEX(Permutas!$H$21:$H$25, MATCH(Investidores!$B15, Permutas!$B$21:$B$25, 0))*Investidores!$H15, Investidores!$H15)</f>
        <v>8.9285714285714288E-2</v>
      </c>
      <c r="J15" s="19">
        <f t="shared" si="3"/>
        <v>0</v>
      </c>
      <c r="K15" s="19">
        <f t="shared" si="4"/>
        <v>0.11000780777409161</v>
      </c>
      <c r="L15" s="19">
        <f t="shared" si="5"/>
        <v>0</v>
      </c>
    </row>
    <row r="16" spans="2:12" x14ac:dyDescent="0.25">
      <c r="G16" s="445">
        <f>SUM(G3:G15)</f>
        <v>56000000</v>
      </c>
    </row>
  </sheetData>
  <conditionalFormatting sqref="D3:D15">
    <cfRule type="cellIs" dxfId="975" priority="31" operator="equal">
      <formula>0</formula>
    </cfRule>
  </conditionalFormatting>
  <conditionalFormatting sqref="H3:H15">
    <cfRule type="expression" dxfId="974" priority="25">
      <formula>#REF!="TO"</formula>
    </cfRule>
    <cfRule type="expression" dxfId="973" priority="26">
      <formula>#REF!="IO"</formula>
    </cfRule>
    <cfRule type="expression" dxfId="972" priority="27">
      <formula>#REF!="L"</formula>
    </cfRule>
    <cfRule type="expression" dxfId="971" priority="28">
      <formula>#REF!="TO"</formula>
    </cfRule>
    <cfRule type="expression" dxfId="970" priority="29">
      <formula>#REF!="IO"</formula>
    </cfRule>
    <cfRule type="expression" dxfId="969" priority="30">
      <formula>#REF!="L"</formula>
    </cfRule>
  </conditionalFormatting>
  <conditionalFormatting sqref="I3:I15">
    <cfRule type="expression" dxfId="968" priority="19">
      <formula>#REF!="TO"</formula>
    </cfRule>
    <cfRule type="expression" dxfId="967" priority="20">
      <formula>#REF!="IO"</formula>
    </cfRule>
    <cfRule type="expression" dxfId="966" priority="21">
      <formula>#REF!="L"</formula>
    </cfRule>
    <cfRule type="expression" dxfId="965" priority="22">
      <formula>#REF!="TO"</formula>
    </cfRule>
    <cfRule type="expression" dxfId="964" priority="23">
      <formula>#REF!="IO"</formula>
    </cfRule>
    <cfRule type="expression" dxfId="963" priority="24">
      <formula>#REF!="L"</formula>
    </cfRule>
  </conditionalFormatting>
  <conditionalFormatting sqref="J3:J15">
    <cfRule type="expression" dxfId="962" priority="13">
      <formula>#REF!="TO"</formula>
    </cfRule>
    <cfRule type="expression" dxfId="961" priority="14">
      <formula>#REF!="IO"</formula>
    </cfRule>
    <cfRule type="expression" dxfId="960" priority="15">
      <formula>#REF!="L"</formula>
    </cfRule>
    <cfRule type="expression" dxfId="959" priority="16">
      <formula>#REF!="TO"</formula>
    </cfRule>
    <cfRule type="expression" dxfId="958" priority="17">
      <formula>#REF!="IO"</formula>
    </cfRule>
    <cfRule type="expression" dxfId="957" priority="18">
      <formula>#REF!="L"</formula>
    </cfRule>
  </conditionalFormatting>
  <conditionalFormatting sqref="K3:K15">
    <cfRule type="expression" dxfId="956" priority="7">
      <formula>#REF!="TO"</formula>
    </cfRule>
    <cfRule type="expression" dxfId="955" priority="8">
      <formula>#REF!="IO"</formula>
    </cfRule>
    <cfRule type="expression" dxfId="954" priority="9">
      <formula>#REF!="L"</formula>
    </cfRule>
    <cfRule type="expression" dxfId="953" priority="10">
      <formula>#REF!="TO"</formula>
    </cfRule>
    <cfRule type="expression" dxfId="952" priority="11">
      <formula>#REF!="IO"</formula>
    </cfRule>
    <cfRule type="expression" dxfId="951" priority="12">
      <formula>#REF!="L"</formula>
    </cfRule>
  </conditionalFormatting>
  <conditionalFormatting sqref="L3:L15">
    <cfRule type="expression" dxfId="950" priority="1">
      <formula>#REF!="TO"</formula>
    </cfRule>
    <cfRule type="expression" dxfId="949" priority="2">
      <formula>#REF!="IO"</formula>
    </cfRule>
    <cfRule type="expression" dxfId="948" priority="3">
      <formula>#REF!="L"</formula>
    </cfRule>
    <cfRule type="expression" dxfId="947" priority="4">
      <formula>#REF!="TO"</formula>
    </cfRule>
    <cfRule type="expression" dxfId="946" priority="5">
      <formula>#REF!="IO"</formula>
    </cfRule>
    <cfRule type="expression" dxfId="945" priority="6">
      <formula>#REF!="L"</formula>
    </cfRule>
  </conditionalFormatting>
  <pageMargins left="0.511811024" right="0.511811024" top="0.78740157499999996" bottom="0.78740157499999996" header="0.31496062000000002" footer="0.31496062000000002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9">
    <tabColor rgb="FF002060"/>
  </sheetPr>
  <dimension ref="A1:Q4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2" x14ac:dyDescent="0.2"/>
  <cols>
    <col min="1" max="2" width="9.140625" style="6" customWidth="1"/>
    <col min="3" max="3" width="10.85546875" style="6" bestFit="1" customWidth="1"/>
    <col min="4" max="7" width="9.140625" style="6" customWidth="1"/>
    <col min="8" max="8" width="13.42578125" style="6" bestFit="1" customWidth="1"/>
    <col min="9" max="16" width="9.140625" style="6" customWidth="1"/>
    <col min="17" max="17" width="13.42578125" style="6" bestFit="1" customWidth="1"/>
    <col min="18" max="18" width="9.140625" style="6" customWidth="1"/>
    <col min="19" max="16384" width="9.140625" style="6"/>
  </cols>
  <sheetData>
    <row r="1" spans="1:17" ht="12.75" customHeight="1" thickBot="1" x14ac:dyDescent="0.25">
      <c r="A1" s="8" t="s">
        <v>239</v>
      </c>
      <c r="B1" s="8" t="s">
        <v>240</v>
      </c>
      <c r="C1" s="8" t="s">
        <v>241</v>
      </c>
      <c r="D1" s="8" t="s">
        <v>242</v>
      </c>
      <c r="E1" s="8" t="s">
        <v>54</v>
      </c>
      <c r="F1" s="8" t="s">
        <v>243</v>
      </c>
      <c r="G1" s="8" t="s">
        <v>244</v>
      </c>
      <c r="H1" s="8" t="s">
        <v>109</v>
      </c>
      <c r="J1" s="8" t="s">
        <v>239</v>
      </c>
      <c r="K1" s="8" t="s">
        <v>240</v>
      </c>
      <c r="L1" s="8" t="s">
        <v>241</v>
      </c>
      <c r="M1" s="8" t="s">
        <v>242</v>
      </c>
      <c r="N1" s="8" t="s">
        <v>54</v>
      </c>
      <c r="O1" s="8" t="s">
        <v>243</v>
      </c>
      <c r="P1" s="8" t="s">
        <v>244</v>
      </c>
      <c r="Q1" s="8" t="s">
        <v>109</v>
      </c>
    </row>
    <row r="2" spans="1:17" x14ac:dyDescent="0.2">
      <c r="A2" s="4" t="str">
        <f t="shared" ref="A2:A47" si="0">IF(LEN(B2)=2, CONCATENATE("B-0",B2), CONCATENATE("B-", B2))</f>
        <v>B-011</v>
      </c>
      <c r="B2" s="4">
        <v>11</v>
      </c>
      <c r="C2" s="4" t="str">
        <f t="shared" ref="C2:C47" si="1">RIGHT(B2, 1)</f>
        <v>1</v>
      </c>
      <c r="D2" s="4">
        <v>207.51</v>
      </c>
      <c r="E2" s="4" t="s">
        <v>54</v>
      </c>
      <c r="F2" s="4">
        <v>2</v>
      </c>
      <c r="G2" s="4" t="str">
        <f t="shared" ref="G2:G48" si="2">IF(LEN(B2)=2, LEFT(B2, 1), LEFT(B2, 2))</f>
        <v>1</v>
      </c>
      <c r="H2" s="4"/>
      <c r="J2" s="4" t="str">
        <f t="shared" ref="J2:J8" si="3">IF(LEN(K2)=2, CONCATENATE("B-0",K2), CONCATENATE("B-", K2))</f>
        <v>B-102</v>
      </c>
      <c r="K2" s="4">
        <v>102</v>
      </c>
      <c r="L2" s="4" t="str">
        <f t="shared" ref="L2:L8" si="4">RIGHT(K2, 1)</f>
        <v>2</v>
      </c>
      <c r="M2" s="4">
        <v>147.30000000000001</v>
      </c>
      <c r="N2" s="4" t="s">
        <v>54</v>
      </c>
      <c r="O2" s="4">
        <v>2</v>
      </c>
      <c r="P2" s="4" t="str">
        <f t="shared" ref="P2:P8" si="5">IF(LEN(K2)=2, LEFT(K2, 1), LEFT(K2, 2))</f>
        <v>10</v>
      </c>
      <c r="Q2" s="4" t="s">
        <v>248</v>
      </c>
    </row>
    <row r="3" spans="1:17" x14ac:dyDescent="0.2">
      <c r="A3" s="4" t="str">
        <f t="shared" si="0"/>
        <v>B-012</v>
      </c>
      <c r="B3" s="4">
        <v>12</v>
      </c>
      <c r="C3" s="4" t="str">
        <f t="shared" si="1"/>
        <v>2</v>
      </c>
      <c r="D3" s="4">
        <v>207.5</v>
      </c>
      <c r="E3" s="4" t="s">
        <v>54</v>
      </c>
      <c r="F3" s="4">
        <v>2</v>
      </c>
      <c r="G3" s="4" t="str">
        <f t="shared" si="2"/>
        <v>1</v>
      </c>
      <c r="H3" s="4"/>
      <c r="J3" s="4" t="str">
        <f t="shared" si="3"/>
        <v>B-142</v>
      </c>
      <c r="K3" s="4">
        <v>142</v>
      </c>
      <c r="L3" s="4" t="str">
        <f t="shared" si="4"/>
        <v>2</v>
      </c>
      <c r="M3" s="4">
        <v>147.5</v>
      </c>
      <c r="N3" s="4" t="s">
        <v>54</v>
      </c>
      <c r="O3" s="4">
        <v>2</v>
      </c>
      <c r="P3" s="4" t="str">
        <f t="shared" si="5"/>
        <v>14</v>
      </c>
      <c r="Q3" s="4" t="s">
        <v>248</v>
      </c>
    </row>
    <row r="4" spans="1:17" x14ac:dyDescent="0.2">
      <c r="A4" s="4" t="str">
        <f t="shared" si="0"/>
        <v>B-021</v>
      </c>
      <c r="B4" s="4">
        <v>21</v>
      </c>
      <c r="C4" s="4" t="str">
        <f t="shared" si="1"/>
        <v>1</v>
      </c>
      <c r="D4" s="4">
        <v>147.61000000000001</v>
      </c>
      <c r="E4" s="4" t="s">
        <v>54</v>
      </c>
      <c r="F4" s="4">
        <v>2</v>
      </c>
      <c r="G4" s="4" t="str">
        <f t="shared" si="2"/>
        <v>2</v>
      </c>
      <c r="H4" s="4"/>
      <c r="J4" s="4" t="str">
        <f t="shared" si="3"/>
        <v>B-152</v>
      </c>
      <c r="K4" s="4">
        <v>152</v>
      </c>
      <c r="L4" s="4" t="str">
        <f t="shared" si="4"/>
        <v>2</v>
      </c>
      <c r="M4" s="4">
        <v>148.9</v>
      </c>
      <c r="N4" s="4" t="s">
        <v>54</v>
      </c>
      <c r="O4" s="4">
        <v>2</v>
      </c>
      <c r="P4" s="4" t="str">
        <f t="shared" si="5"/>
        <v>15</v>
      </c>
      <c r="Q4" s="4" t="s">
        <v>249</v>
      </c>
    </row>
    <row r="5" spans="1:17" x14ac:dyDescent="0.2">
      <c r="A5" s="4" t="str">
        <f t="shared" si="0"/>
        <v>B-022</v>
      </c>
      <c r="B5" s="4">
        <v>22</v>
      </c>
      <c r="C5" s="4" t="str">
        <f t="shared" si="1"/>
        <v>2</v>
      </c>
      <c r="D5" s="4">
        <v>147.6</v>
      </c>
      <c r="E5" s="4" t="s">
        <v>54</v>
      </c>
      <c r="F5" s="4">
        <v>2</v>
      </c>
      <c r="G5" s="4" t="str">
        <f t="shared" si="2"/>
        <v>2</v>
      </c>
      <c r="H5" s="4"/>
      <c r="J5" s="4" t="str">
        <f t="shared" si="3"/>
        <v>B-162</v>
      </c>
      <c r="K5" s="4">
        <v>162</v>
      </c>
      <c r="L5" s="4" t="str">
        <f t="shared" si="4"/>
        <v>2</v>
      </c>
      <c r="M5" s="4">
        <v>148.9</v>
      </c>
      <c r="N5" s="4" t="s">
        <v>54</v>
      </c>
      <c r="O5" s="4">
        <v>2</v>
      </c>
      <c r="P5" s="4" t="str">
        <f t="shared" si="5"/>
        <v>16</v>
      </c>
      <c r="Q5" s="4" t="s">
        <v>249</v>
      </c>
    </row>
    <row r="6" spans="1:17" x14ac:dyDescent="0.2">
      <c r="A6" s="4" t="str">
        <f t="shared" si="0"/>
        <v>B-031</v>
      </c>
      <c r="B6" s="4">
        <v>31</v>
      </c>
      <c r="C6" s="4" t="str">
        <f t="shared" si="1"/>
        <v>1</v>
      </c>
      <c r="D6" s="4">
        <v>147.51</v>
      </c>
      <c r="E6" s="4" t="s">
        <v>54</v>
      </c>
      <c r="F6" s="4">
        <v>2</v>
      </c>
      <c r="G6" s="4" t="str">
        <f t="shared" si="2"/>
        <v>3</v>
      </c>
      <c r="H6" s="4"/>
      <c r="J6" s="4" t="str">
        <f t="shared" si="3"/>
        <v>B-182</v>
      </c>
      <c r="K6" s="4">
        <v>182</v>
      </c>
      <c r="L6" s="4" t="str">
        <f t="shared" si="4"/>
        <v>2</v>
      </c>
      <c r="M6" s="4">
        <v>147.6</v>
      </c>
      <c r="N6" s="4" t="s">
        <v>54</v>
      </c>
      <c r="O6" s="4">
        <v>2</v>
      </c>
      <c r="P6" s="4" t="str">
        <f t="shared" si="5"/>
        <v>18</v>
      </c>
      <c r="Q6" s="4" t="s">
        <v>248</v>
      </c>
    </row>
    <row r="7" spans="1:17" x14ac:dyDescent="0.2">
      <c r="A7" s="4" t="str">
        <f t="shared" si="0"/>
        <v>B-032</v>
      </c>
      <c r="B7" s="4">
        <v>32</v>
      </c>
      <c r="C7" s="4" t="str">
        <f t="shared" si="1"/>
        <v>2</v>
      </c>
      <c r="D7" s="4">
        <v>147.6</v>
      </c>
      <c r="E7" s="4" t="s">
        <v>54</v>
      </c>
      <c r="F7" s="4">
        <v>2</v>
      </c>
      <c r="G7" s="4" t="str">
        <f t="shared" si="2"/>
        <v>3</v>
      </c>
      <c r="H7" s="4"/>
      <c r="J7" s="4" t="str">
        <f t="shared" si="3"/>
        <v>B-202</v>
      </c>
      <c r="K7" s="4">
        <v>202</v>
      </c>
      <c r="L7" s="4" t="str">
        <f t="shared" si="4"/>
        <v>2</v>
      </c>
      <c r="M7" s="4">
        <v>147.6</v>
      </c>
      <c r="N7" s="4" t="s">
        <v>54</v>
      </c>
      <c r="O7" s="4">
        <v>2</v>
      </c>
      <c r="P7" s="4" t="str">
        <f t="shared" si="5"/>
        <v>20</v>
      </c>
      <c r="Q7" s="4" t="s">
        <v>248</v>
      </c>
    </row>
    <row r="8" spans="1:17" x14ac:dyDescent="0.2">
      <c r="A8" s="4" t="str">
        <f t="shared" si="0"/>
        <v>B-041</v>
      </c>
      <c r="B8" s="4">
        <v>41</v>
      </c>
      <c r="C8" s="4" t="str">
        <f t="shared" si="1"/>
        <v>1</v>
      </c>
      <c r="D8" s="4">
        <v>147.31</v>
      </c>
      <c r="E8" s="4" t="s">
        <v>54</v>
      </c>
      <c r="F8" s="4">
        <v>2</v>
      </c>
      <c r="G8" s="4" t="str">
        <f t="shared" si="2"/>
        <v>4</v>
      </c>
      <c r="H8" s="4"/>
      <c r="J8" s="4" t="str">
        <f t="shared" si="3"/>
        <v>B-222</v>
      </c>
      <c r="K8" s="4">
        <v>222</v>
      </c>
      <c r="L8" s="4" t="str">
        <f t="shared" si="4"/>
        <v>2</v>
      </c>
      <c r="M8" s="4">
        <v>147.30000000000001</v>
      </c>
      <c r="N8" s="4" t="s">
        <v>54</v>
      </c>
      <c r="O8" s="4">
        <v>2</v>
      </c>
      <c r="P8" s="4" t="str">
        <f t="shared" si="5"/>
        <v>22</v>
      </c>
      <c r="Q8" s="4" t="s">
        <v>248</v>
      </c>
    </row>
    <row r="9" spans="1:17" x14ac:dyDescent="0.2">
      <c r="A9" s="4" t="str">
        <f t="shared" si="0"/>
        <v>B-042</v>
      </c>
      <c r="B9" s="4">
        <v>42</v>
      </c>
      <c r="C9" s="4" t="str">
        <f t="shared" si="1"/>
        <v>2</v>
      </c>
      <c r="D9" s="4">
        <v>148.9</v>
      </c>
      <c r="E9" s="4" t="s">
        <v>54</v>
      </c>
      <c r="F9" s="4">
        <v>2</v>
      </c>
      <c r="G9" s="4" t="str">
        <f t="shared" si="2"/>
        <v>4</v>
      </c>
      <c r="H9" s="4"/>
    </row>
    <row r="10" spans="1:17" x14ac:dyDescent="0.2">
      <c r="A10" s="4" t="str">
        <f t="shared" si="0"/>
        <v>B-051</v>
      </c>
      <c r="B10" s="4">
        <v>51</v>
      </c>
      <c r="C10" s="4" t="str">
        <f t="shared" si="1"/>
        <v>1</v>
      </c>
      <c r="D10" s="4">
        <v>149.31</v>
      </c>
      <c r="E10" s="4" t="s">
        <v>54</v>
      </c>
      <c r="F10" s="4">
        <v>2</v>
      </c>
      <c r="G10" s="4" t="str">
        <f t="shared" si="2"/>
        <v>5</v>
      </c>
      <c r="H10" s="4"/>
    </row>
    <row r="11" spans="1:17" x14ac:dyDescent="0.2">
      <c r="A11" s="4" t="str">
        <f t="shared" si="0"/>
        <v>B-052</v>
      </c>
      <c r="B11" s="4">
        <v>52</v>
      </c>
      <c r="C11" s="4" t="str">
        <f t="shared" si="1"/>
        <v>2</v>
      </c>
      <c r="D11" s="4">
        <v>147.5</v>
      </c>
      <c r="E11" s="4" t="s">
        <v>54</v>
      </c>
      <c r="F11" s="4">
        <v>2</v>
      </c>
      <c r="G11" s="4" t="str">
        <f t="shared" si="2"/>
        <v>5</v>
      </c>
      <c r="H11" s="4"/>
    </row>
    <row r="12" spans="1:17" x14ac:dyDescent="0.2">
      <c r="A12" s="4" t="str">
        <f t="shared" si="0"/>
        <v>B-061</v>
      </c>
      <c r="B12" s="4">
        <v>61</v>
      </c>
      <c r="C12" s="4" t="str">
        <f t="shared" si="1"/>
        <v>1</v>
      </c>
      <c r="D12" s="4">
        <v>147.31</v>
      </c>
      <c r="E12" s="4" t="s">
        <v>54</v>
      </c>
      <c r="F12" s="4">
        <v>2</v>
      </c>
      <c r="G12" s="4" t="str">
        <f t="shared" si="2"/>
        <v>6</v>
      </c>
      <c r="H12" s="4"/>
    </row>
    <row r="13" spans="1:17" x14ac:dyDescent="0.2">
      <c r="A13" s="4" t="str">
        <f t="shared" si="0"/>
        <v>B-062</v>
      </c>
      <c r="B13" s="4">
        <v>62</v>
      </c>
      <c r="C13" s="4" t="str">
        <f t="shared" si="1"/>
        <v>2</v>
      </c>
      <c r="D13" s="4">
        <v>147.5</v>
      </c>
      <c r="E13" s="4" t="s">
        <v>54</v>
      </c>
      <c r="F13" s="4">
        <v>2</v>
      </c>
      <c r="G13" s="4" t="str">
        <f t="shared" si="2"/>
        <v>6</v>
      </c>
      <c r="H13" s="4"/>
    </row>
    <row r="14" spans="1:17" x14ac:dyDescent="0.2">
      <c r="A14" s="4" t="str">
        <f t="shared" si="0"/>
        <v>B-071</v>
      </c>
      <c r="B14" s="4">
        <v>71</v>
      </c>
      <c r="C14" s="4" t="str">
        <f t="shared" si="1"/>
        <v>1</v>
      </c>
      <c r="D14" s="4">
        <v>147.51</v>
      </c>
      <c r="E14" s="4" t="s">
        <v>54</v>
      </c>
      <c r="F14" s="4">
        <v>2</v>
      </c>
      <c r="G14" s="4" t="str">
        <f t="shared" si="2"/>
        <v>7</v>
      </c>
      <c r="H14" s="4"/>
    </row>
    <row r="15" spans="1:17" x14ac:dyDescent="0.2">
      <c r="A15" s="4" t="str">
        <f t="shared" si="0"/>
        <v>B-072</v>
      </c>
      <c r="B15" s="4">
        <v>72</v>
      </c>
      <c r="C15" s="4" t="str">
        <f t="shared" si="1"/>
        <v>2</v>
      </c>
      <c r="D15" s="4">
        <v>147</v>
      </c>
      <c r="E15" s="4" t="s">
        <v>54</v>
      </c>
      <c r="F15" s="4">
        <v>2</v>
      </c>
      <c r="G15" s="4" t="str">
        <f t="shared" si="2"/>
        <v>7</v>
      </c>
      <c r="H15" s="4"/>
    </row>
    <row r="16" spans="1:17" x14ac:dyDescent="0.2">
      <c r="A16" s="4" t="str">
        <f t="shared" si="0"/>
        <v>B-081</v>
      </c>
      <c r="B16" s="4">
        <v>81</v>
      </c>
      <c r="C16" s="4" t="str">
        <f t="shared" si="1"/>
        <v>1</v>
      </c>
      <c r="D16" s="4">
        <v>147.51</v>
      </c>
      <c r="E16" s="4" t="s">
        <v>54</v>
      </c>
      <c r="F16" s="4">
        <v>2</v>
      </c>
      <c r="G16" s="4" t="str">
        <f t="shared" si="2"/>
        <v>8</v>
      </c>
      <c r="H16" s="4"/>
    </row>
    <row r="17" spans="1:8" x14ac:dyDescent="0.2">
      <c r="A17" s="4" t="str">
        <f t="shared" si="0"/>
        <v>B-082</v>
      </c>
      <c r="B17" s="4">
        <v>82</v>
      </c>
      <c r="C17" s="4" t="str">
        <f t="shared" si="1"/>
        <v>2</v>
      </c>
      <c r="D17" s="4">
        <v>147.6</v>
      </c>
      <c r="E17" s="4" t="s">
        <v>54</v>
      </c>
      <c r="F17" s="4">
        <v>2</v>
      </c>
      <c r="G17" s="4" t="str">
        <f t="shared" si="2"/>
        <v>8</v>
      </c>
      <c r="H17" s="4"/>
    </row>
    <row r="18" spans="1:8" x14ac:dyDescent="0.2">
      <c r="A18" s="4" t="str">
        <f t="shared" si="0"/>
        <v>B-091</v>
      </c>
      <c r="B18" s="4">
        <v>91</v>
      </c>
      <c r="C18" s="4" t="str">
        <f t="shared" si="1"/>
        <v>1</v>
      </c>
      <c r="D18" s="4">
        <v>147.51</v>
      </c>
      <c r="E18" s="4" t="s">
        <v>54</v>
      </c>
      <c r="F18" s="4">
        <v>2</v>
      </c>
      <c r="G18" s="4" t="str">
        <f t="shared" si="2"/>
        <v>9</v>
      </c>
      <c r="H18" s="4"/>
    </row>
    <row r="19" spans="1:8" x14ac:dyDescent="0.2">
      <c r="A19" s="4" t="str">
        <f t="shared" si="0"/>
        <v>B-092</v>
      </c>
      <c r="B19" s="4">
        <v>92</v>
      </c>
      <c r="C19" s="4" t="str">
        <f t="shared" si="1"/>
        <v>2</v>
      </c>
      <c r="D19" s="4">
        <v>147.30000000000001</v>
      </c>
      <c r="E19" s="4" t="s">
        <v>54</v>
      </c>
      <c r="F19" s="4">
        <v>2</v>
      </c>
      <c r="G19" s="4" t="str">
        <f t="shared" si="2"/>
        <v>9</v>
      </c>
      <c r="H19" s="4"/>
    </row>
    <row r="20" spans="1:8" x14ac:dyDescent="0.2">
      <c r="A20" s="4" t="str">
        <f t="shared" si="0"/>
        <v>B-101</v>
      </c>
      <c r="B20" s="4">
        <v>101</v>
      </c>
      <c r="C20" s="4" t="str">
        <f t="shared" si="1"/>
        <v>1</v>
      </c>
      <c r="D20" s="4">
        <v>147.51</v>
      </c>
      <c r="E20" s="4" t="s">
        <v>54</v>
      </c>
      <c r="F20" s="4">
        <v>2</v>
      </c>
      <c r="G20" s="4" t="str">
        <f t="shared" si="2"/>
        <v>10</v>
      </c>
      <c r="H20" s="4"/>
    </row>
    <row r="21" spans="1:8" x14ac:dyDescent="0.2">
      <c r="A21" s="4" t="str">
        <f t="shared" si="0"/>
        <v>B-102</v>
      </c>
      <c r="B21" s="4">
        <v>102</v>
      </c>
      <c r="C21" s="4" t="str">
        <f t="shared" si="1"/>
        <v>2</v>
      </c>
      <c r="D21" s="4">
        <v>147.30000000000001</v>
      </c>
      <c r="E21" s="4" t="s">
        <v>54</v>
      </c>
      <c r="F21" s="4">
        <v>2</v>
      </c>
      <c r="G21" s="4" t="str">
        <f t="shared" si="2"/>
        <v>10</v>
      </c>
      <c r="H21" s="4" t="s">
        <v>248</v>
      </c>
    </row>
    <row r="22" spans="1:8" x14ac:dyDescent="0.2">
      <c r="A22" s="4" t="str">
        <f t="shared" si="0"/>
        <v>B-111</v>
      </c>
      <c r="B22" s="4">
        <v>111</v>
      </c>
      <c r="C22" s="4" t="str">
        <f t="shared" si="1"/>
        <v>1</v>
      </c>
      <c r="D22" s="4">
        <v>147.31</v>
      </c>
      <c r="E22" s="4" t="s">
        <v>54</v>
      </c>
      <c r="F22" s="4">
        <v>2</v>
      </c>
      <c r="G22" s="4" t="str">
        <f t="shared" si="2"/>
        <v>11</v>
      </c>
      <c r="H22" s="4"/>
    </row>
    <row r="23" spans="1:8" x14ac:dyDescent="0.2">
      <c r="A23" s="4" t="str">
        <f t="shared" si="0"/>
        <v>B-112</v>
      </c>
      <c r="B23" s="4">
        <v>112</v>
      </c>
      <c r="C23" s="4" t="str">
        <f t="shared" si="1"/>
        <v>2</v>
      </c>
      <c r="D23" s="4">
        <v>149.30000000000001</v>
      </c>
      <c r="E23" s="4" t="s">
        <v>54</v>
      </c>
      <c r="F23" s="4">
        <v>2</v>
      </c>
      <c r="G23" s="4" t="str">
        <f t="shared" si="2"/>
        <v>11</v>
      </c>
      <c r="H23" s="4"/>
    </row>
    <row r="24" spans="1:8" x14ac:dyDescent="0.2">
      <c r="A24" s="4" t="str">
        <f t="shared" si="0"/>
        <v>B-121</v>
      </c>
      <c r="B24" s="4">
        <v>121</v>
      </c>
      <c r="C24" s="4" t="str">
        <f t="shared" si="1"/>
        <v>1</v>
      </c>
      <c r="D24" s="4">
        <v>147.31</v>
      </c>
      <c r="E24" s="4" t="s">
        <v>54</v>
      </c>
      <c r="F24" s="4">
        <v>2</v>
      </c>
      <c r="G24" s="4" t="str">
        <f t="shared" si="2"/>
        <v>12</v>
      </c>
      <c r="H24" s="4"/>
    </row>
    <row r="25" spans="1:8" x14ac:dyDescent="0.2">
      <c r="A25" s="4" t="str">
        <f t="shared" si="0"/>
        <v>B-122</v>
      </c>
      <c r="B25" s="4">
        <v>122</v>
      </c>
      <c r="C25" s="4" t="str">
        <f t="shared" si="1"/>
        <v>2</v>
      </c>
      <c r="D25" s="4">
        <v>147.5</v>
      </c>
      <c r="E25" s="4" t="s">
        <v>54</v>
      </c>
      <c r="F25" s="4">
        <v>2</v>
      </c>
      <c r="G25" s="4" t="str">
        <f t="shared" si="2"/>
        <v>12</v>
      </c>
      <c r="H25" s="4"/>
    </row>
    <row r="26" spans="1:8" x14ac:dyDescent="0.2">
      <c r="A26" s="4" t="str">
        <f t="shared" si="0"/>
        <v>B-131</v>
      </c>
      <c r="B26" s="4">
        <v>131</v>
      </c>
      <c r="C26" s="4" t="str">
        <f t="shared" si="1"/>
        <v>1</v>
      </c>
      <c r="D26" s="4">
        <v>148.01</v>
      </c>
      <c r="E26" s="4" t="s">
        <v>54</v>
      </c>
      <c r="F26" s="4">
        <v>2</v>
      </c>
      <c r="G26" s="4" t="str">
        <f t="shared" si="2"/>
        <v>13</v>
      </c>
      <c r="H26" s="4"/>
    </row>
    <row r="27" spans="1:8" x14ac:dyDescent="0.2">
      <c r="A27" s="4" t="str">
        <f t="shared" si="0"/>
        <v>B-132</v>
      </c>
      <c r="B27" s="4">
        <v>132</v>
      </c>
      <c r="C27" s="4" t="str">
        <f t="shared" si="1"/>
        <v>2</v>
      </c>
      <c r="D27" s="4">
        <v>147.5</v>
      </c>
      <c r="E27" s="4" t="s">
        <v>54</v>
      </c>
      <c r="F27" s="4">
        <v>2</v>
      </c>
      <c r="G27" s="4" t="str">
        <f t="shared" si="2"/>
        <v>13</v>
      </c>
      <c r="H27" s="4"/>
    </row>
    <row r="28" spans="1:8" x14ac:dyDescent="0.2">
      <c r="A28" s="4" t="str">
        <f t="shared" si="0"/>
        <v>B-141</v>
      </c>
      <c r="B28" s="4">
        <v>141</v>
      </c>
      <c r="C28" s="4" t="str">
        <f t="shared" si="1"/>
        <v>1</v>
      </c>
      <c r="D28" s="4">
        <v>147.51</v>
      </c>
      <c r="E28" s="4" t="s">
        <v>54</v>
      </c>
      <c r="F28" s="4">
        <v>2</v>
      </c>
      <c r="G28" s="4" t="str">
        <f t="shared" si="2"/>
        <v>14</v>
      </c>
      <c r="H28" s="4"/>
    </row>
    <row r="29" spans="1:8" x14ac:dyDescent="0.2">
      <c r="A29" s="4" t="str">
        <f t="shared" si="0"/>
        <v>B-142</v>
      </c>
      <c r="B29" s="4">
        <v>142</v>
      </c>
      <c r="C29" s="4" t="str">
        <f t="shared" si="1"/>
        <v>2</v>
      </c>
      <c r="D29" s="4">
        <v>147.5</v>
      </c>
      <c r="E29" s="4" t="s">
        <v>54</v>
      </c>
      <c r="F29" s="4">
        <v>2</v>
      </c>
      <c r="G29" s="4" t="str">
        <f t="shared" si="2"/>
        <v>14</v>
      </c>
      <c r="H29" s="4" t="s">
        <v>248</v>
      </c>
    </row>
    <row r="30" spans="1:8" x14ac:dyDescent="0.2">
      <c r="A30" s="4" t="str">
        <f t="shared" si="0"/>
        <v>B-151</v>
      </c>
      <c r="B30" s="4">
        <v>151</v>
      </c>
      <c r="C30" s="4" t="str">
        <f t="shared" si="1"/>
        <v>1</v>
      </c>
      <c r="D30" s="4">
        <v>147.31</v>
      </c>
      <c r="E30" s="4" t="s">
        <v>54</v>
      </c>
      <c r="F30" s="4">
        <v>2</v>
      </c>
      <c r="G30" s="4" t="str">
        <f t="shared" si="2"/>
        <v>15</v>
      </c>
      <c r="H30" s="4"/>
    </row>
    <row r="31" spans="1:8" x14ac:dyDescent="0.2">
      <c r="A31" s="4" t="str">
        <f t="shared" si="0"/>
        <v>B-152</v>
      </c>
      <c r="B31" s="4">
        <v>152</v>
      </c>
      <c r="C31" s="4" t="str">
        <f t="shared" si="1"/>
        <v>2</v>
      </c>
      <c r="D31" s="4">
        <v>148.9</v>
      </c>
      <c r="E31" s="4" t="s">
        <v>54</v>
      </c>
      <c r="F31" s="4">
        <v>2</v>
      </c>
      <c r="G31" s="4" t="str">
        <f t="shared" si="2"/>
        <v>15</v>
      </c>
      <c r="H31" s="4" t="s">
        <v>249</v>
      </c>
    </row>
    <row r="32" spans="1:8" x14ac:dyDescent="0.2">
      <c r="A32" s="4" t="str">
        <f t="shared" si="0"/>
        <v>B-161</v>
      </c>
      <c r="B32" s="4">
        <v>161</v>
      </c>
      <c r="C32" s="4" t="str">
        <f t="shared" si="1"/>
        <v>1</v>
      </c>
      <c r="D32" s="4">
        <v>147.31</v>
      </c>
      <c r="E32" s="4" t="s">
        <v>54</v>
      </c>
      <c r="F32" s="4">
        <v>2</v>
      </c>
      <c r="G32" s="4" t="str">
        <f t="shared" si="2"/>
        <v>16</v>
      </c>
      <c r="H32" s="4"/>
    </row>
    <row r="33" spans="1:8" x14ac:dyDescent="0.2">
      <c r="A33" s="4" t="str">
        <f t="shared" si="0"/>
        <v>B-162</v>
      </c>
      <c r="B33" s="4">
        <v>162</v>
      </c>
      <c r="C33" s="4" t="str">
        <f t="shared" si="1"/>
        <v>2</v>
      </c>
      <c r="D33" s="4">
        <v>148.9</v>
      </c>
      <c r="E33" s="4" t="s">
        <v>54</v>
      </c>
      <c r="F33" s="4">
        <v>2</v>
      </c>
      <c r="G33" s="4" t="str">
        <f t="shared" si="2"/>
        <v>16</v>
      </c>
      <c r="H33" s="4" t="s">
        <v>249</v>
      </c>
    </row>
    <row r="34" spans="1:8" x14ac:dyDescent="0.2">
      <c r="A34" s="4" t="str">
        <f t="shared" si="0"/>
        <v>B-171</v>
      </c>
      <c r="B34" s="4">
        <v>171</v>
      </c>
      <c r="C34" s="4" t="str">
        <f t="shared" si="1"/>
        <v>1</v>
      </c>
      <c r="D34" s="4">
        <v>147.31</v>
      </c>
      <c r="E34" s="4" t="s">
        <v>54</v>
      </c>
      <c r="F34" s="4">
        <v>2</v>
      </c>
      <c r="G34" s="4" t="str">
        <f t="shared" si="2"/>
        <v>17</v>
      </c>
      <c r="H34" s="4"/>
    </row>
    <row r="35" spans="1:8" x14ac:dyDescent="0.2">
      <c r="A35" s="4" t="str">
        <f t="shared" si="0"/>
        <v>B-172</v>
      </c>
      <c r="B35" s="4">
        <v>172</v>
      </c>
      <c r="C35" s="4" t="str">
        <f t="shared" si="1"/>
        <v>2</v>
      </c>
      <c r="D35" s="4">
        <v>147.6</v>
      </c>
      <c r="E35" s="4" t="s">
        <v>54</v>
      </c>
      <c r="F35" s="4">
        <v>2</v>
      </c>
      <c r="G35" s="4" t="str">
        <f t="shared" si="2"/>
        <v>17</v>
      </c>
      <c r="H35" s="4"/>
    </row>
    <row r="36" spans="1:8" x14ac:dyDescent="0.2">
      <c r="A36" s="4" t="str">
        <f t="shared" si="0"/>
        <v>B-181</v>
      </c>
      <c r="B36" s="4">
        <v>181</v>
      </c>
      <c r="C36" s="4" t="str">
        <f t="shared" si="1"/>
        <v>1</v>
      </c>
      <c r="D36" s="4">
        <v>147.51</v>
      </c>
      <c r="E36" s="4" t="s">
        <v>54</v>
      </c>
      <c r="F36" s="4">
        <v>2</v>
      </c>
      <c r="G36" s="4" t="str">
        <f t="shared" si="2"/>
        <v>18</v>
      </c>
      <c r="H36" s="4"/>
    </row>
    <row r="37" spans="1:8" x14ac:dyDescent="0.2">
      <c r="A37" s="4" t="str">
        <f t="shared" si="0"/>
        <v>B-182</v>
      </c>
      <c r="B37" s="4">
        <v>182</v>
      </c>
      <c r="C37" s="4" t="str">
        <f t="shared" si="1"/>
        <v>2</v>
      </c>
      <c r="D37" s="4">
        <v>147.6</v>
      </c>
      <c r="E37" s="4" t="s">
        <v>54</v>
      </c>
      <c r="F37" s="4">
        <v>2</v>
      </c>
      <c r="G37" s="4" t="str">
        <f t="shared" si="2"/>
        <v>18</v>
      </c>
      <c r="H37" s="4" t="s">
        <v>248</v>
      </c>
    </row>
    <row r="38" spans="1:8" x14ac:dyDescent="0.2">
      <c r="A38" s="4" t="str">
        <f t="shared" si="0"/>
        <v>B-191</v>
      </c>
      <c r="B38" s="4">
        <v>191</v>
      </c>
      <c r="C38" s="4" t="str">
        <f t="shared" si="1"/>
        <v>1</v>
      </c>
      <c r="D38" s="4">
        <v>147.81</v>
      </c>
      <c r="E38" s="4" t="s">
        <v>54</v>
      </c>
      <c r="F38" s="4">
        <v>2</v>
      </c>
      <c r="G38" s="4" t="str">
        <f t="shared" si="2"/>
        <v>19</v>
      </c>
      <c r="H38" s="4"/>
    </row>
    <row r="39" spans="1:8" x14ac:dyDescent="0.2">
      <c r="A39" s="4" t="str">
        <f t="shared" si="0"/>
        <v>B-192</v>
      </c>
      <c r="B39" s="4">
        <v>192</v>
      </c>
      <c r="C39" s="4" t="str">
        <f t="shared" si="1"/>
        <v>2</v>
      </c>
      <c r="D39" s="4">
        <v>147.6</v>
      </c>
      <c r="E39" s="4" t="s">
        <v>54</v>
      </c>
      <c r="F39" s="4">
        <v>2</v>
      </c>
      <c r="G39" s="4" t="str">
        <f t="shared" si="2"/>
        <v>19</v>
      </c>
      <c r="H39" s="4"/>
    </row>
    <row r="40" spans="1:8" x14ac:dyDescent="0.2">
      <c r="A40" s="4" t="str">
        <f t="shared" si="0"/>
        <v>B-201</v>
      </c>
      <c r="B40" s="4">
        <v>201</v>
      </c>
      <c r="C40" s="4" t="str">
        <f t="shared" si="1"/>
        <v>1</v>
      </c>
      <c r="D40" s="4">
        <v>147.61000000000001</v>
      </c>
      <c r="E40" s="4" t="s">
        <v>54</v>
      </c>
      <c r="F40" s="4">
        <v>2</v>
      </c>
      <c r="G40" s="4" t="str">
        <f t="shared" si="2"/>
        <v>20</v>
      </c>
      <c r="H40" s="4"/>
    </row>
    <row r="41" spans="1:8" x14ac:dyDescent="0.2">
      <c r="A41" s="4" t="str">
        <f t="shared" si="0"/>
        <v>B-202</v>
      </c>
      <c r="B41" s="4">
        <v>202</v>
      </c>
      <c r="C41" s="4" t="str">
        <f t="shared" si="1"/>
        <v>2</v>
      </c>
      <c r="D41" s="4">
        <v>147.6</v>
      </c>
      <c r="E41" s="4" t="s">
        <v>54</v>
      </c>
      <c r="F41" s="4">
        <v>2</v>
      </c>
      <c r="G41" s="4" t="str">
        <f t="shared" si="2"/>
        <v>20</v>
      </c>
      <c r="H41" s="4" t="s">
        <v>248</v>
      </c>
    </row>
    <row r="42" spans="1:8" x14ac:dyDescent="0.2">
      <c r="A42" s="4" t="str">
        <f t="shared" si="0"/>
        <v>B-211</v>
      </c>
      <c r="B42" s="4">
        <v>211</v>
      </c>
      <c r="C42" s="4" t="str">
        <f t="shared" si="1"/>
        <v>1</v>
      </c>
      <c r="D42" s="4">
        <v>147.01</v>
      </c>
      <c r="E42" s="4" t="s">
        <v>54</v>
      </c>
      <c r="F42" s="4">
        <v>2</v>
      </c>
      <c r="G42" s="4" t="str">
        <f t="shared" si="2"/>
        <v>21</v>
      </c>
      <c r="H42" s="4"/>
    </row>
    <row r="43" spans="1:8" x14ac:dyDescent="0.2">
      <c r="A43" s="4" t="str">
        <f t="shared" si="0"/>
        <v>B-212</v>
      </c>
      <c r="B43" s="4">
        <v>212</v>
      </c>
      <c r="C43" s="4" t="str">
        <f t="shared" si="1"/>
        <v>2</v>
      </c>
      <c r="D43" s="4">
        <v>147.5</v>
      </c>
      <c r="E43" s="4" t="s">
        <v>54</v>
      </c>
      <c r="F43" s="4">
        <v>2</v>
      </c>
      <c r="G43" s="4" t="str">
        <f t="shared" si="2"/>
        <v>21</v>
      </c>
      <c r="H43" s="4"/>
    </row>
    <row r="44" spans="1:8" x14ac:dyDescent="0.2">
      <c r="A44" s="4" t="str">
        <f t="shared" si="0"/>
        <v>B-221</v>
      </c>
      <c r="B44" s="4">
        <v>221</v>
      </c>
      <c r="C44" s="4" t="str">
        <f t="shared" si="1"/>
        <v>1</v>
      </c>
      <c r="D44" s="4">
        <v>147.61000000000001</v>
      </c>
      <c r="E44" s="4" t="s">
        <v>54</v>
      </c>
      <c r="F44" s="4">
        <v>2</v>
      </c>
      <c r="G44" s="4" t="str">
        <f t="shared" si="2"/>
        <v>22</v>
      </c>
      <c r="H44" s="4"/>
    </row>
    <row r="45" spans="1:8" x14ac:dyDescent="0.2">
      <c r="A45" s="4" t="str">
        <f t="shared" si="0"/>
        <v>B-222</v>
      </c>
      <c r="B45" s="4">
        <v>222</v>
      </c>
      <c r="C45" s="4" t="str">
        <f t="shared" si="1"/>
        <v>2</v>
      </c>
      <c r="D45" s="4">
        <v>147.30000000000001</v>
      </c>
      <c r="E45" s="4" t="s">
        <v>54</v>
      </c>
      <c r="F45" s="4">
        <v>2</v>
      </c>
      <c r="G45" s="4" t="str">
        <f t="shared" si="2"/>
        <v>22</v>
      </c>
      <c r="H45" s="4" t="s">
        <v>248</v>
      </c>
    </row>
    <row r="46" spans="1:8" x14ac:dyDescent="0.2">
      <c r="A46" s="4" t="str">
        <f t="shared" si="0"/>
        <v>B-231</v>
      </c>
      <c r="B46" s="4">
        <v>231</v>
      </c>
      <c r="C46" s="4" t="str">
        <f t="shared" si="1"/>
        <v>1</v>
      </c>
      <c r="D46" s="4">
        <v>254.18</v>
      </c>
      <c r="E46" s="4" t="s">
        <v>865</v>
      </c>
      <c r="F46" s="4">
        <v>3</v>
      </c>
      <c r="G46" s="4" t="str">
        <f t="shared" si="2"/>
        <v>23</v>
      </c>
      <c r="H46" s="4"/>
    </row>
    <row r="47" spans="1:8" x14ac:dyDescent="0.2">
      <c r="A47" s="4" t="str">
        <f t="shared" si="0"/>
        <v>B-232</v>
      </c>
      <c r="B47" s="4">
        <v>232</v>
      </c>
      <c r="C47" s="4" t="str">
        <f t="shared" si="1"/>
        <v>2</v>
      </c>
      <c r="D47" s="4">
        <v>254.15</v>
      </c>
      <c r="E47" s="4" t="s">
        <v>865</v>
      </c>
      <c r="F47" s="4">
        <v>3</v>
      </c>
      <c r="G47" s="4" t="str">
        <f t="shared" si="2"/>
        <v>23</v>
      </c>
      <c r="H47" s="4"/>
    </row>
    <row r="48" spans="1:8" x14ac:dyDescent="0.2">
      <c r="A48" s="4"/>
      <c r="D48" s="4"/>
      <c r="E48" s="4"/>
      <c r="F48" s="4"/>
      <c r="G48" s="4" t="str">
        <f t="shared" si="2"/>
        <v/>
      </c>
    </row>
  </sheetData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">
    <tabColor rgb="FFC00000"/>
  </sheetPr>
  <dimension ref="A1:K49"/>
  <sheetViews>
    <sheetView showGridLines="0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A21" sqref="A21"/>
    </sheetView>
  </sheetViews>
  <sheetFormatPr defaultRowHeight="15" x14ac:dyDescent="0.25"/>
  <cols>
    <col min="1" max="1" width="45.7109375" style="186" bestFit="1" customWidth="1"/>
    <col min="2" max="11" width="8.140625" style="186" bestFit="1" customWidth="1"/>
    <col min="12" max="12" width="9.140625" style="186" customWidth="1"/>
    <col min="13" max="16384" width="9.140625" style="186"/>
  </cols>
  <sheetData>
    <row r="1" spans="1:11" ht="23.25" customHeight="1" x14ac:dyDescent="0.25">
      <c r="A1" s="86"/>
      <c r="B1" s="317" t="s">
        <v>866</v>
      </c>
      <c r="C1" s="317"/>
      <c r="D1" s="317"/>
      <c r="E1" s="317"/>
      <c r="F1" s="317"/>
      <c r="G1" s="317"/>
      <c r="H1" s="317"/>
      <c r="I1" s="317"/>
      <c r="J1" s="317"/>
    </row>
    <row r="2" spans="1:11" x14ac:dyDescent="0.25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1:11" x14ac:dyDescent="0.25">
      <c r="A3" s="25"/>
      <c r="B3" s="89">
        <v>2012</v>
      </c>
      <c r="C3" s="89">
        <v>2013</v>
      </c>
      <c r="D3" s="89">
        <v>2014</v>
      </c>
      <c r="E3" s="89">
        <v>2015</v>
      </c>
      <c r="F3" s="89">
        <v>2016</v>
      </c>
      <c r="G3" s="89">
        <v>2017</v>
      </c>
      <c r="H3" s="89">
        <v>2018</v>
      </c>
      <c r="I3" s="89">
        <v>2019</v>
      </c>
      <c r="J3" s="89">
        <v>2020</v>
      </c>
    </row>
    <row r="4" spans="1:11" x14ac:dyDescent="0.25">
      <c r="A4" s="90"/>
      <c r="B4" s="88">
        <v>2014</v>
      </c>
      <c r="C4" s="88">
        <v>2015</v>
      </c>
      <c r="D4" s="88">
        <v>2016</v>
      </c>
      <c r="E4" s="88">
        <v>2017</v>
      </c>
      <c r="F4" s="88">
        <v>2018</v>
      </c>
      <c r="G4" s="88">
        <v>2019</v>
      </c>
      <c r="H4" s="88" t="s">
        <v>867</v>
      </c>
      <c r="I4" s="88" t="s">
        <v>868</v>
      </c>
      <c r="J4" s="88" t="s">
        <v>869</v>
      </c>
      <c r="K4" s="88" t="s">
        <v>870</v>
      </c>
    </row>
    <row r="5" spans="1:11" x14ac:dyDescent="0.25">
      <c r="A5" s="91" t="s">
        <v>871</v>
      </c>
      <c r="B5" s="92">
        <v>41974</v>
      </c>
      <c r="C5" s="92">
        <v>42339</v>
      </c>
      <c r="D5" s="92">
        <v>42705</v>
      </c>
      <c r="E5" s="92">
        <v>43070</v>
      </c>
      <c r="F5" s="92">
        <v>43435</v>
      </c>
      <c r="G5" s="92">
        <v>43800</v>
      </c>
      <c r="H5" s="92">
        <v>44166</v>
      </c>
      <c r="I5" s="92">
        <v>44531</v>
      </c>
      <c r="J5" s="92">
        <v>44896</v>
      </c>
      <c r="K5" s="92">
        <v>44896</v>
      </c>
    </row>
    <row r="6" spans="1:11" x14ac:dyDescent="0.25">
      <c r="A6" s="93" t="s">
        <v>872</v>
      </c>
      <c r="B6" s="94"/>
      <c r="C6" s="94"/>
      <c r="D6" s="94"/>
      <c r="E6" s="94"/>
      <c r="F6" s="94"/>
      <c r="G6" s="94"/>
      <c r="H6" s="94"/>
      <c r="I6" s="94"/>
      <c r="J6" s="94"/>
      <c r="K6" s="94"/>
    </row>
    <row r="7" spans="1:11" x14ac:dyDescent="0.25">
      <c r="A7" s="95" t="s">
        <v>873</v>
      </c>
      <c r="B7" s="96">
        <v>3.5799999999999998E-2</v>
      </c>
      <c r="C7" s="97">
        <v>3.4509999999999999E-2</v>
      </c>
      <c r="D7" s="96">
        <v>3.2680000000000001E-2</v>
      </c>
      <c r="E7" s="96">
        <v>3.7379999999999997E-2</v>
      </c>
      <c r="F7" s="96">
        <v>3.7330000000000002E-2</v>
      </c>
      <c r="G7" s="96">
        <v>1.7714929216287031E-2</v>
      </c>
      <c r="H7" s="98">
        <v>-3.4297117693581902E-2</v>
      </c>
      <c r="I7" s="98">
        <v>5.8793987510587183E-2</v>
      </c>
      <c r="J7" s="98">
        <v>3.2439364239759787E-2</v>
      </c>
      <c r="K7" s="98">
        <v>3.4089741363400039E-2</v>
      </c>
    </row>
    <row r="8" spans="1:11" x14ac:dyDescent="0.25">
      <c r="A8" s="95" t="s">
        <v>874</v>
      </c>
      <c r="B8" s="97">
        <v>2.5255525782945432E-2</v>
      </c>
      <c r="C8" s="97">
        <v>2.9079943235572388E-2</v>
      </c>
      <c r="D8" s="97">
        <v>1.6381479906687261E-2</v>
      </c>
      <c r="E8" s="97">
        <v>2.3698477576332921E-2</v>
      </c>
      <c r="F8" s="97">
        <v>2.9274192212324971E-2</v>
      </c>
      <c r="G8" s="97">
        <v>2.4329066111534289E-2</v>
      </c>
      <c r="H8" s="99">
        <v>-3.5386544530965791E-2</v>
      </c>
      <c r="I8" s="99">
        <v>3.9861908261152663E-2</v>
      </c>
      <c r="J8" s="99">
        <v>1.6126482279498641E-2</v>
      </c>
      <c r="K8" s="99">
        <v>1.7656210248509611E-2</v>
      </c>
    </row>
    <row r="9" spans="1:11" x14ac:dyDescent="0.25">
      <c r="A9" s="95" t="s">
        <v>875</v>
      </c>
      <c r="B9" s="97">
        <v>1.4152003212284599E-2</v>
      </c>
      <c r="C9" s="97">
        <v>1.9302392320240669E-2</v>
      </c>
      <c r="D9" s="97">
        <v>1.8334608778479922E-2</v>
      </c>
      <c r="E9" s="97">
        <v>2.7401232822708899E-2</v>
      </c>
      <c r="F9" s="97">
        <v>1.898239957672665E-2</v>
      </c>
      <c r="G9" s="97">
        <v>1.302283293140327E-2</v>
      </c>
      <c r="H9" s="99">
        <v>-7.4247171353808761E-2</v>
      </c>
      <c r="I9" s="99">
        <v>5.027930000062053E-2</v>
      </c>
      <c r="J9" s="99">
        <v>2.502470322789074E-2</v>
      </c>
      <c r="K9" s="99">
        <v>1.192292811506168E-2</v>
      </c>
    </row>
    <row r="10" spans="1:11" x14ac:dyDescent="0.25">
      <c r="A10" s="95" t="s">
        <v>876</v>
      </c>
      <c r="B10" s="97">
        <v>7.3677961209598575E-2</v>
      </c>
      <c r="C10" s="97">
        <v>7.0105834861680094E-2</v>
      </c>
      <c r="D10" s="97">
        <v>6.7648959439999823E-2</v>
      </c>
      <c r="E10" s="97">
        <v>6.8948381930491687E-2</v>
      </c>
      <c r="F10" s="97">
        <v>6.6322497280692394E-2</v>
      </c>
      <c r="G10" s="97">
        <v>6.0999999999999999E-2</v>
      </c>
      <c r="H10" s="99">
        <v>2.0910065682272942E-2</v>
      </c>
      <c r="I10" s="99">
        <v>7.5226863603256922E-2</v>
      </c>
      <c r="J10" s="99">
        <v>4.5256623843104922E-2</v>
      </c>
      <c r="K10" s="99">
        <v>4.8883966629515108E-2</v>
      </c>
    </row>
    <row r="11" spans="1:11" x14ac:dyDescent="0.25">
      <c r="A11" s="95" t="s">
        <v>877</v>
      </c>
      <c r="B11" s="97">
        <v>-2.9999999999999997E-4</v>
      </c>
      <c r="C11" s="97">
        <v>1.2580148907405331E-2</v>
      </c>
      <c r="D11" s="97">
        <v>4.9946367744366782E-3</v>
      </c>
      <c r="E11" s="97">
        <v>2.1936137137374079E-2</v>
      </c>
      <c r="F11" s="97">
        <v>3.312113029905861E-3</v>
      </c>
      <c r="G11" s="97">
        <v>7.5463232361729906E-3</v>
      </c>
      <c r="H11" s="99">
        <v>-0.04</v>
      </c>
      <c r="I11" s="99">
        <v>2.1999999999999999E-2</v>
      </c>
      <c r="J11" s="99">
        <v>5.0000000000000001E-3</v>
      </c>
      <c r="K11" s="99">
        <v>9.0304824976372711E-3</v>
      </c>
    </row>
    <row r="12" spans="1:11" x14ac:dyDescent="0.25">
      <c r="A12" s="100" t="s">
        <v>878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</row>
    <row r="13" spans="1:11" x14ac:dyDescent="0.25">
      <c r="A13" s="95" t="s">
        <v>879</v>
      </c>
      <c r="B13" s="97">
        <v>6.5312139196231911E-3</v>
      </c>
      <c r="C13" s="97">
        <v>6.3872475153647912E-3</v>
      </c>
      <c r="D13" s="97">
        <v>2.0823431933748578E-2</v>
      </c>
      <c r="E13" s="97">
        <v>2.1156761923596831E-2</v>
      </c>
      <c r="F13" s="97">
        <v>1.9390995251102439E-2</v>
      </c>
      <c r="G13" s="97">
        <v>2.2920764843481049E-2</v>
      </c>
      <c r="H13" s="99">
        <v>1.533624108353759E-2</v>
      </c>
      <c r="I13" s="99">
        <v>2.3165073140378741E-2</v>
      </c>
      <c r="J13" s="99">
        <v>1.8214735069771889E-2</v>
      </c>
      <c r="K13" s="99">
        <v>2.4999999999999911E-2</v>
      </c>
    </row>
    <row r="14" spans="1:11" x14ac:dyDescent="0.25">
      <c r="A14" s="95" t="s">
        <v>880</v>
      </c>
      <c r="B14" s="97">
        <v>-1.6981320547397869E-3</v>
      </c>
      <c r="C14" s="97">
        <v>2.3013808284970678E-3</v>
      </c>
      <c r="D14" s="97">
        <v>1.138065289008683E-2</v>
      </c>
      <c r="E14" s="97">
        <v>1.3522850656401131E-2</v>
      </c>
      <c r="F14" s="97">
        <v>1.6E-2</v>
      </c>
      <c r="G14" s="97">
        <v>1.6E-2</v>
      </c>
      <c r="H14" s="99">
        <v>0</v>
      </c>
      <c r="I14" s="99">
        <v>1.4999999999999999E-2</v>
      </c>
      <c r="J14" s="99">
        <v>1.7000000000000001E-2</v>
      </c>
      <c r="K14" s="99">
        <v>1.7999999999999999E-2</v>
      </c>
    </row>
    <row r="15" spans="1:11" x14ac:dyDescent="0.25">
      <c r="A15" s="93" t="s">
        <v>881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</row>
    <row r="16" spans="1:11" x14ac:dyDescent="0.25">
      <c r="A16" s="100" t="s">
        <v>872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</row>
    <row r="17" spans="1:11" x14ac:dyDescent="0.25">
      <c r="A17" s="95" t="s">
        <v>882</v>
      </c>
      <c r="B17" s="577">
        <v>5778.9530000000004</v>
      </c>
      <c r="C17" s="577">
        <v>5995.7870000000003</v>
      </c>
      <c r="D17" s="577">
        <v>6269.3280000000004</v>
      </c>
      <c r="E17" s="577">
        <v>6583.3190000000004</v>
      </c>
      <c r="F17" s="577">
        <v>6889.1760835999994</v>
      </c>
      <c r="G17" s="577">
        <v>7256.9255918000008</v>
      </c>
      <c r="H17" s="578">
        <v>7381.3406091426559</v>
      </c>
      <c r="I17" s="578">
        <v>8249.3641285648864</v>
      </c>
      <c r="J17" s="578">
        <v>8646.3261378285224</v>
      </c>
      <c r="K17" s="578">
        <v>8973.0100810232798</v>
      </c>
    </row>
    <row r="18" spans="1:11" x14ac:dyDescent="0.25">
      <c r="A18" s="95" t="s">
        <v>883</v>
      </c>
      <c r="B18" s="577">
        <v>2454.7591167496162</v>
      </c>
      <c r="C18" s="577">
        <v>1800.0681504313191</v>
      </c>
      <c r="D18" s="577">
        <v>1798.0907220141539</v>
      </c>
      <c r="E18" s="577">
        <v>2062.599455368123</v>
      </c>
      <c r="F18" s="577">
        <v>1884.4166682592361</v>
      </c>
      <c r="G18" s="577">
        <v>1838.988784460804</v>
      </c>
      <c r="H18" s="578">
        <v>1427.338942867048</v>
      </c>
      <c r="I18" s="578">
        <v>1599.264515984333</v>
      </c>
      <c r="J18" s="578">
        <v>1729.392376714083</v>
      </c>
      <c r="K18" s="578">
        <v>1855.571043211108</v>
      </c>
    </row>
    <row r="19" spans="1:11" x14ac:dyDescent="0.25">
      <c r="A19" s="95" t="s">
        <v>884</v>
      </c>
      <c r="B19" s="97">
        <v>5.0396336022249244E-3</v>
      </c>
      <c r="C19" s="97">
        <v>-3.5457547781192922E-2</v>
      </c>
      <c r="D19" s="97">
        <v>-3.2759421637663433E-2</v>
      </c>
      <c r="E19" s="97">
        <v>1.322883886873405E-2</v>
      </c>
      <c r="F19" s="97">
        <v>1.3172246424554061E-2</v>
      </c>
      <c r="G19" s="97">
        <v>1.1365827993817581E-2</v>
      </c>
      <c r="H19" s="99">
        <v>-4.0719948292186503E-2</v>
      </c>
      <c r="I19" s="99">
        <v>4.0324619437570153E-2</v>
      </c>
      <c r="J19" s="99">
        <v>3.4121247251702069E-2</v>
      </c>
      <c r="K19" s="99">
        <v>2.5869429314670841E-2</v>
      </c>
    </row>
    <row r="20" spans="1:11" x14ac:dyDescent="0.25">
      <c r="A20" s="95" t="s">
        <v>885</v>
      </c>
      <c r="B20" s="97">
        <v>6.8127428280979729E-2</v>
      </c>
      <c r="C20" s="97">
        <v>8.5102039829976495E-2</v>
      </c>
      <c r="D20" s="97">
        <v>0.1150263099864807</v>
      </c>
      <c r="E20" s="97">
        <v>0.12737781239844881</v>
      </c>
      <c r="F20" s="97">
        <v>0.1225798330465073</v>
      </c>
      <c r="G20" s="97">
        <v>0.11868907220706031</v>
      </c>
      <c r="H20" s="99">
        <v>0.13593338105741251</v>
      </c>
      <c r="I20" s="99">
        <v>0.15355587798441869</v>
      </c>
      <c r="J20" s="99">
        <v>0.1481241275763511</v>
      </c>
      <c r="K20" s="99">
        <v>0.1371893185422654</v>
      </c>
    </row>
    <row r="21" spans="1:11" x14ac:dyDescent="0.25">
      <c r="A21" s="95" t="s">
        <v>886</v>
      </c>
      <c r="B21" s="97">
        <v>7.076743487124515E-2</v>
      </c>
      <c r="C21" s="97">
        <v>9.5724068225256365E-2</v>
      </c>
      <c r="D21" s="97">
        <v>0.12678778088729639</v>
      </c>
      <c r="E21" s="97">
        <v>0.1246192149323027</v>
      </c>
      <c r="F21" s="97">
        <v>0.1225395983414668</v>
      </c>
      <c r="G21" s="97">
        <v>0.1162889859126888</v>
      </c>
      <c r="H21" s="99">
        <v>0.1533135935222566</v>
      </c>
      <c r="I21" s="99">
        <v>0.15332652001771269</v>
      </c>
      <c r="J21" s="99">
        <v>0.14788342855708389</v>
      </c>
      <c r="K21" s="99">
        <v>0.13694005484385971</v>
      </c>
    </row>
    <row r="22" spans="1:11" x14ac:dyDescent="0.25">
      <c r="A22" s="100" t="s">
        <v>878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1:11" x14ac:dyDescent="0.25">
      <c r="A23" s="95" t="s">
        <v>178</v>
      </c>
      <c r="B23" s="103">
        <v>6.4074707959081545E-2</v>
      </c>
      <c r="C23" s="103">
        <v>0.1067302813397506</v>
      </c>
      <c r="D23" s="103">
        <v>6.2879882132213849E-2</v>
      </c>
      <c r="E23" s="103">
        <v>2.947421320434707E-2</v>
      </c>
      <c r="F23" s="103">
        <v>3.7455811701915483E-2</v>
      </c>
      <c r="G23" s="103">
        <v>4.306151617159526E-2</v>
      </c>
      <c r="H23" s="104">
        <v>3.5253982425637931E-2</v>
      </c>
      <c r="I23" s="104">
        <v>3.1282851078740848E-2</v>
      </c>
      <c r="J23" s="104">
        <v>2.9759987042504491E-2</v>
      </c>
      <c r="K23" s="104">
        <v>3.0000000000001359E-2</v>
      </c>
    </row>
    <row r="24" spans="1:11" x14ac:dyDescent="0.25">
      <c r="A24" s="95" t="s">
        <v>887</v>
      </c>
      <c r="B24" s="103">
        <v>6.2283737024221297E-2</v>
      </c>
      <c r="C24" s="103">
        <v>0.1127607123396841</v>
      </c>
      <c r="D24" s="103">
        <v>6.5799493070161086E-2</v>
      </c>
      <c r="E24" s="103">
        <v>2.0672849226235579E-2</v>
      </c>
      <c r="F24" s="103">
        <v>3.433724905411939E-2</v>
      </c>
      <c r="G24" s="103">
        <v>4.4815263569577102E-2</v>
      </c>
      <c r="H24" s="104">
        <v>4.314255097397357E-2</v>
      </c>
      <c r="I24" s="104">
        <v>3.103803720694609E-2</v>
      </c>
      <c r="J24" s="104">
        <v>2.9759987042504491E-2</v>
      </c>
      <c r="K24" s="104">
        <v>3.0000000000001359E-2</v>
      </c>
    </row>
    <row r="25" spans="1:11" x14ac:dyDescent="0.25">
      <c r="A25" s="95" t="s">
        <v>888</v>
      </c>
      <c r="B25" s="97">
        <v>3.6857551498040257E-2</v>
      </c>
      <c r="C25" s="103">
        <v>0.10539166948817021</v>
      </c>
      <c r="D25" s="97">
        <v>7.1729082528960708E-2</v>
      </c>
      <c r="E25" s="97">
        <v>-5.2094044493907754E-3</v>
      </c>
      <c r="F25" s="97">
        <v>7.5368734029632511E-2</v>
      </c>
      <c r="G25" s="97">
        <v>7.3039306458065001E-2</v>
      </c>
      <c r="H25" s="104">
        <v>0.21987919113931231</v>
      </c>
      <c r="I25" s="104">
        <v>4.0242311594677282E-2</v>
      </c>
      <c r="J25" s="104">
        <v>3.0000000000001581E-2</v>
      </c>
      <c r="K25" s="104">
        <v>3.0000000000001581E-2</v>
      </c>
    </row>
    <row r="26" spans="1:11" x14ac:dyDescent="0.25">
      <c r="A26" s="95" t="s">
        <v>889</v>
      </c>
      <c r="B26" s="97">
        <v>2.127058823529393E-2</v>
      </c>
      <c r="C26" s="97">
        <v>0.11199757757678699</v>
      </c>
      <c r="D26" s="97">
        <v>7.6383133642735412E-2</v>
      </c>
      <c r="E26" s="97">
        <v>-2.547416904409994E-2</v>
      </c>
      <c r="F26" s="97">
        <v>9.429498149681792E-2</v>
      </c>
      <c r="G26" s="97">
        <v>9.0768443323066217E-2</v>
      </c>
      <c r="H26" s="99">
        <v>0.30265043809708048</v>
      </c>
      <c r="I26" s="99">
        <v>4.3340195875710467E-2</v>
      </c>
      <c r="J26" s="99">
        <v>2.9759987042504491E-2</v>
      </c>
      <c r="K26" s="99">
        <v>3.0000000000001359E-2</v>
      </c>
    </row>
    <row r="27" spans="1:11" x14ac:dyDescent="0.25">
      <c r="A27" s="100" t="s">
        <v>890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1:11" x14ac:dyDescent="0.25">
      <c r="A28" s="95" t="s">
        <v>891</v>
      </c>
      <c r="B28" s="105">
        <v>0.11749999999999999</v>
      </c>
      <c r="C28" s="105">
        <v>0.14249999999999999</v>
      </c>
      <c r="D28" s="105">
        <v>0.13750000000000001</v>
      </c>
      <c r="E28" s="105">
        <v>7.0000000000000007E-2</v>
      </c>
      <c r="F28" s="105">
        <v>6.5000000000000002E-2</v>
      </c>
      <c r="G28" s="105">
        <v>4.4999999999999998E-2</v>
      </c>
      <c r="H28" s="106">
        <v>0.02</v>
      </c>
      <c r="I28" s="106">
        <v>0.03</v>
      </c>
      <c r="J28" s="106">
        <v>3.5000000000000003E-2</v>
      </c>
      <c r="K28" s="106">
        <v>3.7500000000000012E-2</v>
      </c>
    </row>
    <row r="29" spans="1:11" x14ac:dyDescent="0.25">
      <c r="A29" s="95" t="s">
        <v>892</v>
      </c>
      <c r="B29" s="107">
        <v>0.1102083333333333</v>
      </c>
      <c r="C29" s="105">
        <v>0.13583333333333331</v>
      </c>
      <c r="D29" s="107">
        <v>0.14166666666666669</v>
      </c>
      <c r="E29" s="107">
        <v>9.9166666666666667E-2</v>
      </c>
      <c r="F29" s="107">
        <v>6.5625000000000003E-2</v>
      </c>
      <c r="G29" s="107">
        <v>5.9583333333333328E-2</v>
      </c>
      <c r="H29" s="108">
        <v>2.8125000000000001E-2</v>
      </c>
      <c r="I29" s="108">
        <v>2.166666666666666E-2</v>
      </c>
      <c r="J29" s="108">
        <v>3.4583333333333327E-2</v>
      </c>
      <c r="K29" s="108">
        <v>3.7499999999999999E-2</v>
      </c>
    </row>
    <row r="30" spans="1:11" x14ac:dyDescent="0.25">
      <c r="A30" s="95" t="s">
        <v>893</v>
      </c>
      <c r="B30" s="107">
        <v>5.0208215307916859E-2</v>
      </c>
      <c r="C30" s="107">
        <v>3.2320177068751121E-2</v>
      </c>
      <c r="D30" s="107">
        <v>7.0205598132211167E-2</v>
      </c>
      <c r="E30" s="107">
        <v>3.9365519093006007E-2</v>
      </c>
      <c r="F30" s="107">
        <v>2.654974601077131E-2</v>
      </c>
      <c r="G30" s="107">
        <v>1.85845589962863E-3</v>
      </c>
      <c r="H30" s="108">
        <v>-1.4734531510709361E-2</v>
      </c>
      <c r="I30" s="108">
        <v>-1.2439371772728909E-3</v>
      </c>
      <c r="J30" s="108">
        <v>5.0885769727224686E-3</v>
      </c>
      <c r="K30" s="108">
        <v>7.2815533980570279E-3</v>
      </c>
    </row>
    <row r="31" spans="1:11" x14ac:dyDescent="0.25">
      <c r="A31" s="95" t="s">
        <v>894</v>
      </c>
      <c r="B31" s="107">
        <v>0.11509999999999999</v>
      </c>
      <c r="C31" s="107">
        <v>0.1414</v>
      </c>
      <c r="D31" s="107">
        <v>0.1363</v>
      </c>
      <c r="E31" s="107">
        <v>6.9900000000000004E-2</v>
      </c>
      <c r="F31" s="107">
        <v>6.4000000000000001E-2</v>
      </c>
      <c r="G31" s="107">
        <v>4.5900000000000003E-2</v>
      </c>
      <c r="H31" s="108">
        <v>1.8973762720284591E-2</v>
      </c>
      <c r="I31" s="108">
        <v>2.7656321131388328E-2</v>
      </c>
      <c r="J31" s="108">
        <v>3.3955014550844813E-2</v>
      </c>
      <c r="K31" s="108">
        <v>3.6450556292367507E-2</v>
      </c>
    </row>
    <row r="32" spans="1:11" x14ac:dyDescent="0.25">
      <c r="A32" s="95" t="s">
        <v>895</v>
      </c>
      <c r="B32" s="107">
        <v>0.10765295782093311</v>
      </c>
      <c r="C32" s="107">
        <v>0.13333478108493149</v>
      </c>
      <c r="D32" s="107">
        <v>0.14059903456814271</v>
      </c>
      <c r="E32" s="107">
        <v>0.100463044043013</v>
      </c>
      <c r="F32" s="107">
        <v>6.4757174250057226E-2</v>
      </c>
      <c r="G32" s="107">
        <v>5.9381227447692357E-2</v>
      </c>
      <c r="H32" s="108">
        <v>2.7832412761737532E-2</v>
      </c>
      <c r="I32" s="108">
        <v>2.0151630207047692E-2</v>
      </c>
      <c r="J32" s="108">
        <v>3.3285653818222023E-2</v>
      </c>
      <c r="K32" s="108">
        <v>3.6308602822370029E-2</v>
      </c>
    </row>
    <row r="33" spans="1:11" x14ac:dyDescent="0.25">
      <c r="A33" s="95" t="s">
        <v>896</v>
      </c>
      <c r="B33" s="105">
        <v>0.05</v>
      </c>
      <c r="C33" s="105">
        <v>7.0000000000000007E-2</v>
      </c>
      <c r="D33" s="105">
        <v>7.4999999999999997E-2</v>
      </c>
      <c r="E33" s="105">
        <v>7.0000000000000007E-2</v>
      </c>
      <c r="F33" s="105">
        <v>6.9800000000000001E-2</v>
      </c>
      <c r="G33" s="105">
        <v>5.57E-2</v>
      </c>
      <c r="H33" s="106">
        <v>4.5499999999999999E-2</v>
      </c>
      <c r="I33" s="106">
        <v>3.9369948539418748E-2</v>
      </c>
      <c r="J33" s="106">
        <v>4.0260445848238437E-2</v>
      </c>
      <c r="K33" s="106">
        <v>3.9422662547076812E-2</v>
      </c>
    </row>
    <row r="34" spans="1:11" x14ac:dyDescent="0.25">
      <c r="A34" s="95" t="s">
        <v>897</v>
      </c>
      <c r="B34" s="105" t="s">
        <v>155</v>
      </c>
      <c r="C34" s="105" t="s">
        <v>155</v>
      </c>
      <c r="D34" s="105" t="s">
        <v>155</v>
      </c>
      <c r="E34" s="105" t="s">
        <v>155</v>
      </c>
      <c r="F34" s="109">
        <v>2.98E-2</v>
      </c>
      <c r="G34" s="109">
        <v>1.6799999999999999E-2</v>
      </c>
      <c r="H34" s="106">
        <v>1.9960893925148219E-2</v>
      </c>
      <c r="I34" s="106">
        <v>1.8696379842603091E-2</v>
      </c>
      <c r="J34" s="106">
        <v>2.245459947537614E-2</v>
      </c>
      <c r="K34" s="106">
        <v>2.459264276260309E-2</v>
      </c>
    </row>
    <row r="35" spans="1:11" x14ac:dyDescent="0.25">
      <c r="A35" s="100" t="s">
        <v>898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1:11" x14ac:dyDescent="0.25">
      <c r="A36" s="110" t="s">
        <v>899</v>
      </c>
      <c r="B36" s="111">
        <v>-5.7207907345401196E-3</v>
      </c>
      <c r="C36" s="111">
        <v>-1.8761145372644498E-2</v>
      </c>
      <c r="D36" s="111">
        <v>-2.4857811416732E-2</v>
      </c>
      <c r="E36" s="111">
        <v>-1.6897748455495961E-2</v>
      </c>
      <c r="F36" s="111">
        <v>-1.5712465636034699E-2</v>
      </c>
      <c r="G36" s="111">
        <v>-8.5197511237488713E-3</v>
      </c>
      <c r="H36" s="112">
        <v>-0.1167396462673411</v>
      </c>
      <c r="I36" s="112">
        <v>-2.4610504758917479E-2</v>
      </c>
      <c r="J36" s="112">
        <v>-1.1218087822000081E-2</v>
      </c>
      <c r="K36" s="112">
        <v>-9.2309630346309023E-3</v>
      </c>
    </row>
    <row r="37" spans="1:11" x14ac:dyDescent="0.25">
      <c r="A37" s="110" t="s">
        <v>900</v>
      </c>
      <c r="B37" s="111">
        <v>-5.9511874696770703E-2</v>
      </c>
      <c r="C37" s="111">
        <v>-0.102244257415259</v>
      </c>
      <c r="D37" s="111">
        <v>-8.9803173097582206E-2</v>
      </c>
      <c r="E37" s="111">
        <v>-7.7682465473082288E-2</v>
      </c>
      <c r="F37" s="111">
        <v>-7.0754776680392761E-2</v>
      </c>
      <c r="G37" s="111">
        <v>-5.9137106867745433E-2</v>
      </c>
      <c r="H37" s="112">
        <v>-0.1580456640196026</v>
      </c>
      <c r="I37" s="112">
        <v>-5.5761505771335151E-2</v>
      </c>
      <c r="J37" s="112">
        <v>-4.2645672873733727E-2</v>
      </c>
      <c r="K37" s="112">
        <v>-4.4205830627468932E-2</v>
      </c>
    </row>
    <row r="38" spans="1:11" x14ac:dyDescent="0.25">
      <c r="A38" s="95" t="s">
        <v>901</v>
      </c>
      <c r="B38" s="111">
        <v>0.33111382800798089</v>
      </c>
      <c r="C38" s="111">
        <v>0.36036742344724598</v>
      </c>
      <c r="D38" s="111">
        <v>0.46159547274065998</v>
      </c>
      <c r="E38" s="111">
        <v>0.51386575793666467</v>
      </c>
      <c r="F38" s="111">
        <v>0.53647014876793908</v>
      </c>
      <c r="G38" s="111">
        <v>0.5569533171519323</v>
      </c>
      <c r="H38" s="112">
        <v>0.65724803769697826</v>
      </c>
      <c r="I38" s="112">
        <v>0.65206029241734964</v>
      </c>
      <c r="J38" s="112">
        <v>0.66468044985987984</v>
      </c>
      <c r="K38" s="112">
        <v>0.69433667336549054</v>
      </c>
    </row>
    <row r="39" spans="1:11" x14ac:dyDescent="0.25">
      <c r="A39" s="95" t="s">
        <v>902</v>
      </c>
      <c r="B39" s="111">
        <v>0.56280930979222399</v>
      </c>
      <c r="C39" s="111">
        <v>0.6545249470723159</v>
      </c>
      <c r="D39" s="111">
        <v>0.69863462180864699</v>
      </c>
      <c r="E39" s="111">
        <v>0.73742113764700234</v>
      </c>
      <c r="F39" s="111">
        <v>0.76525584403601277</v>
      </c>
      <c r="G39" s="111">
        <v>0.757911058474109</v>
      </c>
      <c r="H39" s="112">
        <v>0.91524651509416333</v>
      </c>
      <c r="I39" s="112">
        <v>0.86876498244103606</v>
      </c>
      <c r="J39" s="112">
        <v>0.86939172540098086</v>
      </c>
      <c r="K39" s="112">
        <v>0.88020745995440042</v>
      </c>
    </row>
    <row r="40" spans="1:11" x14ac:dyDescent="0.25">
      <c r="A40" s="100" t="s">
        <v>903</v>
      </c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1:11" x14ac:dyDescent="0.25">
      <c r="A41" s="579" t="s">
        <v>904</v>
      </c>
      <c r="B41" s="113">
        <v>2.6576</v>
      </c>
      <c r="C41" s="113">
        <v>3.9578000000000002</v>
      </c>
      <c r="D41" s="113">
        <v>3.2551999999999999</v>
      </c>
      <c r="E41" s="113">
        <v>3.3125</v>
      </c>
      <c r="F41" s="113">
        <v>3.8763999999999998</v>
      </c>
      <c r="G41" s="113">
        <v>4.0309999999999997</v>
      </c>
      <c r="H41" s="114">
        <v>5.25</v>
      </c>
      <c r="I41" s="114">
        <v>5</v>
      </c>
      <c r="J41" s="114">
        <v>5</v>
      </c>
      <c r="K41" s="114">
        <v>4.7</v>
      </c>
    </row>
    <row r="42" spans="1:11" x14ac:dyDescent="0.25">
      <c r="A42" s="579" t="s">
        <v>905</v>
      </c>
      <c r="B42" s="113">
        <v>2.3541833333333329</v>
      </c>
      <c r="C42" s="113">
        <v>3.3308666666666671</v>
      </c>
      <c r="D42" s="113">
        <v>3.4866583333333332</v>
      </c>
      <c r="E42" s="113">
        <v>3.1917583333333339</v>
      </c>
      <c r="F42" s="113">
        <v>3.6558666666666659</v>
      </c>
      <c r="G42" s="113">
        <v>3.9461500000000012</v>
      </c>
      <c r="H42" s="114">
        <v>5.1714000000000002</v>
      </c>
      <c r="I42" s="114">
        <v>5.1582236997783184</v>
      </c>
      <c r="J42" s="114">
        <v>5</v>
      </c>
      <c r="K42" s="114">
        <v>4.8374999999999986</v>
      </c>
    </row>
    <row r="43" spans="1:11" x14ac:dyDescent="0.25">
      <c r="A43" s="100" t="s">
        <v>906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1:11" x14ac:dyDescent="0.25">
      <c r="A44" s="95" t="s">
        <v>907</v>
      </c>
      <c r="B44" s="115">
        <v>-3.9190100000000139</v>
      </c>
      <c r="C44" s="115">
        <v>19.666953643999989</v>
      </c>
      <c r="D44" s="115">
        <v>47.707000000000022</v>
      </c>
      <c r="E44" s="115">
        <v>67.073000000000008</v>
      </c>
      <c r="F44" s="115">
        <v>58.298505293200009</v>
      </c>
      <c r="G44" s="115">
        <v>46.679286826999999</v>
      </c>
      <c r="H44" s="116">
        <v>64.999999999999972</v>
      </c>
      <c r="I44" s="116">
        <v>75.422269121988364</v>
      </c>
      <c r="J44" s="116">
        <v>88.886089113149609</v>
      </c>
      <c r="K44" s="116">
        <v>93.858364028098094</v>
      </c>
    </row>
    <row r="45" spans="1:11" x14ac:dyDescent="0.25">
      <c r="A45" s="117" t="s">
        <v>908</v>
      </c>
      <c r="B45" s="118">
        <v>225.1061</v>
      </c>
      <c r="C45" s="118">
        <v>191.12270183499999</v>
      </c>
      <c r="D45" s="118">
        <v>185.267</v>
      </c>
      <c r="E45" s="118">
        <v>217.804</v>
      </c>
      <c r="F45" s="118">
        <v>239.5230531002</v>
      </c>
      <c r="G45" s="118">
        <v>224.01772864899999</v>
      </c>
      <c r="H45" s="119">
        <v>216</v>
      </c>
      <c r="I45" s="119">
        <v>236.5593597940836</v>
      </c>
      <c r="J45" s="119">
        <v>265.03587620118537</v>
      </c>
      <c r="K45" s="119">
        <v>286.4549654950676</v>
      </c>
    </row>
    <row r="46" spans="1:11" x14ac:dyDescent="0.25">
      <c r="A46" s="95" t="s">
        <v>909</v>
      </c>
      <c r="B46" s="118">
        <v>229.02511000000001</v>
      </c>
      <c r="C46" s="118">
        <v>171.455748191</v>
      </c>
      <c r="D46" s="118">
        <v>137.56</v>
      </c>
      <c r="E46" s="118">
        <v>150.73099999999999</v>
      </c>
      <c r="F46" s="118">
        <v>181.22454780699999</v>
      </c>
      <c r="G46" s="118">
        <v>177.33844182199999</v>
      </c>
      <c r="H46" s="119">
        <v>151</v>
      </c>
      <c r="I46" s="119">
        <v>161.1370906720953</v>
      </c>
      <c r="J46" s="119">
        <v>176.14978708803579</v>
      </c>
      <c r="K46" s="119">
        <v>192.5966014669695</v>
      </c>
    </row>
    <row r="47" spans="1:11" x14ac:dyDescent="0.25">
      <c r="A47" s="95" t="s">
        <v>910</v>
      </c>
      <c r="B47" s="120">
        <v>-4.132018604078818E-2</v>
      </c>
      <c r="C47" s="120">
        <v>-3.0261210509236979E-2</v>
      </c>
      <c r="D47" s="120">
        <v>-1.3475425085603249E-2</v>
      </c>
      <c r="E47" s="120">
        <v>-7.2794171817088431E-3</v>
      </c>
      <c r="F47" s="120">
        <v>-2.204379370824236E-2</v>
      </c>
      <c r="G47" s="120">
        <v>-2.769318999390041E-2</v>
      </c>
      <c r="H47" s="112">
        <v>1.619402068829184E-5</v>
      </c>
      <c r="I47" s="112">
        <v>1.875862291706964E-3</v>
      </c>
      <c r="J47" s="112">
        <v>1.0581950443317239E-3</v>
      </c>
      <c r="K47" s="112">
        <v>-5.7602846512081775E-4</v>
      </c>
    </row>
    <row r="48" spans="1:11" ht="15.75" customHeight="1" thickBot="1" x14ac:dyDescent="0.3">
      <c r="A48" s="121" t="s">
        <v>911</v>
      </c>
      <c r="B48" s="122">
        <v>3.5732217959167187E-2</v>
      </c>
      <c r="C48" s="122">
        <v>3.5964277058586867E-2</v>
      </c>
      <c r="D48" s="122">
        <v>4.1318614804506597E-2</v>
      </c>
      <c r="E48" s="122">
        <v>3.3397212641698162E-2</v>
      </c>
      <c r="F48" s="122">
        <v>4.1478391732309439E-2</v>
      </c>
      <c r="G48" s="122">
        <v>3.9969646088843062E-2</v>
      </c>
      <c r="H48" s="123">
        <v>3.8533244170808743E-2</v>
      </c>
      <c r="I48" s="123">
        <v>4.0643682986984231E-2</v>
      </c>
      <c r="J48" s="123">
        <v>5.4919635866465401E-2</v>
      </c>
      <c r="K48" s="123">
        <v>5.7491461256554473E-2</v>
      </c>
    </row>
    <row r="49" ht="15.75" customHeight="1" thickTop="1" x14ac:dyDescent="0.25"/>
  </sheetData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C00000"/>
  </sheetPr>
  <dimension ref="A1:L169"/>
  <sheetViews>
    <sheetView showGridLines="0" topLeftCell="A107" workbookViewId="0">
      <selection activeCell="A120" sqref="A120"/>
    </sheetView>
  </sheetViews>
  <sheetFormatPr defaultRowHeight="15" x14ac:dyDescent="0.25"/>
  <cols>
    <col min="4" max="4" width="3.7109375" style="186" customWidth="1"/>
    <col min="7" max="7" width="3.7109375" style="186" customWidth="1"/>
    <col min="8" max="8" width="10" style="186" bestFit="1" customWidth="1"/>
    <col min="10" max="10" width="11.5703125" style="186" bestFit="1" customWidth="1"/>
  </cols>
  <sheetData>
    <row r="1" spans="1:9" ht="15.75" customHeight="1" thickBot="1" x14ac:dyDescent="0.3">
      <c r="A1" s="580" t="s">
        <v>176</v>
      </c>
      <c r="B1" s="581" t="s">
        <v>177</v>
      </c>
      <c r="C1" s="582" t="s">
        <v>912</v>
      </c>
      <c r="D1" s="376"/>
      <c r="E1" s="583" t="s">
        <v>178</v>
      </c>
      <c r="F1" s="582" t="s">
        <v>912</v>
      </c>
      <c r="G1" s="376"/>
      <c r="H1" s="584" t="s">
        <v>913</v>
      </c>
      <c r="I1" s="582" t="s">
        <v>912</v>
      </c>
    </row>
    <row r="2" spans="1:9" x14ac:dyDescent="0.25">
      <c r="A2" s="41">
        <v>40544</v>
      </c>
      <c r="B2" s="585">
        <v>455.61900000000003</v>
      </c>
      <c r="C2" s="586">
        <f t="shared" ref="C2:C33" si="0">B2/$B$2</f>
        <v>1</v>
      </c>
      <c r="D2" s="390"/>
      <c r="E2" s="587">
        <v>3222.421274021875</v>
      </c>
      <c r="F2" s="586">
        <f t="shared" ref="F2:F33" si="1">E2/$E$2</f>
        <v>1</v>
      </c>
      <c r="G2" s="390"/>
      <c r="H2" s="588">
        <v>11743.7794416631</v>
      </c>
      <c r="I2" s="586">
        <f t="shared" ref="I2:I33" si="2">H2/$H$2</f>
        <v>1</v>
      </c>
    </row>
    <row r="3" spans="1:9" x14ac:dyDescent="0.25">
      <c r="A3" s="41">
        <f t="shared" ref="A3:A34" si="3">DATE(YEAR(A2),MONTH(A2)+1,1)</f>
        <v>40575</v>
      </c>
      <c r="B3" s="585">
        <v>456.91699999999997</v>
      </c>
      <c r="C3" s="586">
        <f t="shared" si="0"/>
        <v>1.002848871535208</v>
      </c>
      <c r="D3" s="390"/>
      <c r="E3" s="587">
        <v>3248.20064421405</v>
      </c>
      <c r="F3" s="586">
        <f t="shared" si="1"/>
        <v>1.008</v>
      </c>
      <c r="G3" s="390"/>
      <c r="H3" s="588">
        <v>11842.8869607448</v>
      </c>
      <c r="I3" s="586">
        <f t="shared" si="2"/>
        <v>1.0084391502389851</v>
      </c>
    </row>
    <row r="4" spans="1:9" x14ac:dyDescent="0.25">
      <c r="A4" s="41">
        <f t="shared" si="3"/>
        <v>40603</v>
      </c>
      <c r="B4" s="585">
        <v>458.887</v>
      </c>
      <c r="C4" s="586">
        <f t="shared" si="0"/>
        <v>1.007172659612527</v>
      </c>
      <c r="D4" s="390"/>
      <c r="E4" s="587">
        <v>3273.8614293033411</v>
      </c>
      <c r="F4" s="586">
        <f t="shared" si="1"/>
        <v>1.0159632000000001</v>
      </c>
      <c r="G4" s="390"/>
      <c r="H4" s="588">
        <v>11951.651081435701</v>
      </c>
      <c r="I4" s="586">
        <f t="shared" si="2"/>
        <v>1.0177005742321028</v>
      </c>
    </row>
    <row r="5" spans="1:9" x14ac:dyDescent="0.25">
      <c r="A5" s="41">
        <f t="shared" si="3"/>
        <v>40634</v>
      </c>
      <c r="B5" s="585">
        <v>463.76600000000002</v>
      </c>
      <c r="C5" s="586">
        <f t="shared" si="0"/>
        <v>1.017881168256811</v>
      </c>
      <c r="D5" s="390"/>
      <c r="E5" s="587">
        <v>3299.0701623089772</v>
      </c>
      <c r="F5" s="586">
        <f t="shared" si="1"/>
        <v>1.0237861166400002</v>
      </c>
      <c r="G5" s="390"/>
      <c r="H5" s="588">
        <v>12051.955487340199</v>
      </c>
      <c r="I5" s="586">
        <f t="shared" si="2"/>
        <v>1.0262416411350328</v>
      </c>
    </row>
    <row r="6" spans="1:9" x14ac:dyDescent="0.25">
      <c r="A6" s="41">
        <f t="shared" si="3"/>
        <v>40664</v>
      </c>
      <c r="B6" s="585">
        <v>477.40499999999997</v>
      </c>
      <c r="C6" s="586">
        <f t="shared" si="0"/>
        <v>1.0478162675393254</v>
      </c>
      <c r="D6" s="390"/>
      <c r="E6" s="587">
        <v>3314.5757920718288</v>
      </c>
      <c r="F6" s="586">
        <f t="shared" si="1"/>
        <v>1.028597911388208</v>
      </c>
      <c r="G6" s="390"/>
      <c r="H6" s="588">
        <v>12170.916173711599</v>
      </c>
      <c r="I6" s="586">
        <f t="shared" si="2"/>
        <v>1.0363713176128937</v>
      </c>
    </row>
    <row r="7" spans="1:9" x14ac:dyDescent="0.25">
      <c r="A7" s="41">
        <f t="shared" si="3"/>
        <v>40695</v>
      </c>
      <c r="B7" s="585">
        <v>479.18299999999999</v>
      </c>
      <c r="C7" s="586">
        <f t="shared" si="0"/>
        <v>1.0517186508903271</v>
      </c>
      <c r="D7" s="390"/>
      <c r="E7" s="587">
        <v>3319.5476557599368</v>
      </c>
      <c r="F7" s="586">
        <f t="shared" si="1"/>
        <v>1.0301408082552903</v>
      </c>
      <c r="G7" s="390"/>
      <c r="H7" s="588">
        <v>12286.9952598487</v>
      </c>
      <c r="I7" s="586">
        <f t="shared" si="2"/>
        <v>1.0462556216151715</v>
      </c>
    </row>
    <row r="8" spans="1:9" x14ac:dyDescent="0.25">
      <c r="A8" s="41">
        <f t="shared" si="3"/>
        <v>40725</v>
      </c>
      <c r="B8" s="585">
        <v>481.33</v>
      </c>
      <c r="C8" s="586">
        <f t="shared" si="0"/>
        <v>1.0564309214497201</v>
      </c>
      <c r="D8" s="390"/>
      <c r="E8" s="587">
        <v>3324.8589320091528</v>
      </c>
      <c r="F8" s="586">
        <f t="shared" si="1"/>
        <v>1.0317890335484989</v>
      </c>
      <c r="G8" s="390"/>
      <c r="H8" s="588">
        <v>12406.0211257596</v>
      </c>
      <c r="I8" s="586">
        <f t="shared" si="2"/>
        <v>1.0563908482261752</v>
      </c>
    </row>
    <row r="9" spans="1:9" x14ac:dyDescent="0.25">
      <c r="A9" s="41">
        <f t="shared" si="3"/>
        <v>40756</v>
      </c>
      <c r="B9" s="585">
        <v>481.96600000000001</v>
      </c>
      <c r="C9" s="586">
        <f t="shared" si="0"/>
        <v>1.0578268246056464</v>
      </c>
      <c r="D9" s="390"/>
      <c r="E9" s="587">
        <v>3337.160910057587</v>
      </c>
      <c r="F9" s="586">
        <f t="shared" si="1"/>
        <v>1.0356066529726284</v>
      </c>
      <c r="G9" s="390"/>
      <c r="H9" s="588">
        <v>12539.480486574999</v>
      </c>
      <c r="I9" s="586">
        <f t="shared" si="2"/>
        <v>1.067755108043754</v>
      </c>
    </row>
    <row r="10" spans="1:9" x14ac:dyDescent="0.25">
      <c r="A10" s="41">
        <f t="shared" si="3"/>
        <v>40787</v>
      </c>
      <c r="B10" s="585">
        <v>482.65800000000002</v>
      </c>
      <c r="C10" s="586">
        <f t="shared" si="0"/>
        <v>1.0593456374734151</v>
      </c>
      <c r="D10" s="390"/>
      <c r="E10" s="587">
        <v>3354.847862880893</v>
      </c>
      <c r="F10" s="586">
        <f t="shared" si="1"/>
        <v>1.0410953682333837</v>
      </c>
      <c r="G10" s="390"/>
      <c r="H10" s="588">
        <v>12657.849335896</v>
      </c>
      <c r="I10" s="586">
        <f t="shared" si="2"/>
        <v>1.0778343887309463</v>
      </c>
    </row>
    <row r="11" spans="1:9" x14ac:dyDescent="0.25">
      <c r="A11" s="41">
        <f t="shared" si="3"/>
        <v>40817</v>
      </c>
      <c r="B11" s="585">
        <v>483.75799999999998</v>
      </c>
      <c r="C11" s="586">
        <f t="shared" si="0"/>
        <v>1.0617599353846086</v>
      </c>
      <c r="D11" s="390"/>
      <c r="E11" s="587">
        <v>3369.2737086912798</v>
      </c>
      <c r="F11" s="586">
        <f t="shared" si="1"/>
        <v>1.0455720783167868</v>
      </c>
      <c r="G11" s="390"/>
      <c r="H11" s="588">
        <v>12769.7229975058</v>
      </c>
      <c r="I11" s="586">
        <f t="shared" si="2"/>
        <v>1.0873605946824056</v>
      </c>
    </row>
    <row r="12" spans="1:9" x14ac:dyDescent="0.25">
      <c r="A12" s="41">
        <f t="shared" si="3"/>
        <v>40848</v>
      </c>
      <c r="B12" s="585">
        <v>487.221</v>
      </c>
      <c r="C12" s="586">
        <f t="shared" si="0"/>
        <v>1.0693605841723017</v>
      </c>
      <c r="D12" s="390"/>
      <c r="E12" s="587">
        <v>3386.7939319764751</v>
      </c>
      <c r="F12" s="586">
        <f t="shared" si="1"/>
        <v>1.0510090531240344</v>
      </c>
      <c r="G12" s="390"/>
      <c r="H12" s="588">
        <v>12879.540359635001</v>
      </c>
      <c r="I12" s="586">
        <f t="shared" si="2"/>
        <v>1.0967117037248324</v>
      </c>
    </row>
    <row r="13" spans="1:9" x14ac:dyDescent="0.25">
      <c r="A13" s="41">
        <f t="shared" si="3"/>
        <v>40878</v>
      </c>
      <c r="B13" s="585">
        <v>487.74900000000002</v>
      </c>
      <c r="C13" s="586">
        <f t="shared" si="0"/>
        <v>1.0705194471696746</v>
      </c>
      <c r="D13" s="390"/>
      <c r="E13" s="587">
        <v>3403.7279016363568</v>
      </c>
      <c r="F13" s="586">
        <f t="shared" si="1"/>
        <v>1.0562640983896543</v>
      </c>
      <c r="G13" s="390"/>
      <c r="H13" s="588">
        <v>12996.437104467201</v>
      </c>
      <c r="I13" s="586">
        <f t="shared" si="2"/>
        <v>1.1066656325611905</v>
      </c>
    </row>
    <row r="14" spans="1:9" x14ac:dyDescent="0.25">
      <c r="A14" s="41">
        <f t="shared" si="3"/>
        <v>40909</v>
      </c>
      <c r="B14" s="585">
        <v>492.10599999999999</v>
      </c>
      <c r="C14" s="586">
        <f t="shared" si="0"/>
        <v>1.0800822617142831</v>
      </c>
      <c r="D14" s="390"/>
      <c r="E14" s="587">
        <v>3422.7887778855211</v>
      </c>
      <c r="F14" s="586">
        <f t="shared" si="1"/>
        <v>1.0621791773406366</v>
      </c>
      <c r="G14" s="390"/>
      <c r="H14" s="588">
        <v>13112.0162349153</v>
      </c>
      <c r="I14" s="586">
        <f t="shared" si="2"/>
        <v>1.1165073646051407</v>
      </c>
    </row>
    <row r="15" spans="1:9" x14ac:dyDescent="0.25">
      <c r="A15" s="41">
        <f t="shared" si="3"/>
        <v>40940</v>
      </c>
      <c r="B15" s="585">
        <v>493.584</v>
      </c>
      <c r="C15" s="586">
        <f t="shared" si="0"/>
        <v>1.0833262001804138</v>
      </c>
      <c r="D15" s="390"/>
      <c r="E15" s="587">
        <v>3438.1913273860059</v>
      </c>
      <c r="F15" s="586">
        <f t="shared" si="1"/>
        <v>1.0669589836386695</v>
      </c>
      <c r="G15" s="390"/>
      <c r="H15" s="588">
        <v>13209.789612765</v>
      </c>
      <c r="I15" s="586">
        <f t="shared" si="2"/>
        <v>1.1248329107664414</v>
      </c>
    </row>
    <row r="16" spans="1:9" x14ac:dyDescent="0.25">
      <c r="A16" s="41">
        <f t="shared" si="3"/>
        <v>40969</v>
      </c>
      <c r="B16" s="585">
        <v>496.07900000000001</v>
      </c>
      <c r="C16" s="586">
        <f t="shared" si="0"/>
        <v>1.0888022668062569</v>
      </c>
      <c r="D16" s="390"/>
      <c r="E16" s="587">
        <v>3445.411529173517</v>
      </c>
      <c r="F16" s="586">
        <f t="shared" si="1"/>
        <v>1.0691995975043107</v>
      </c>
      <c r="G16" s="390"/>
      <c r="H16" s="588">
        <v>13317.871821196401</v>
      </c>
      <c r="I16" s="586">
        <f t="shared" si="2"/>
        <v>1.1340362689330603</v>
      </c>
    </row>
    <row r="17" spans="1:9" x14ac:dyDescent="0.25">
      <c r="A17" s="41">
        <f t="shared" si="3"/>
        <v>41000</v>
      </c>
      <c r="B17" s="585">
        <v>499.791</v>
      </c>
      <c r="C17" s="586">
        <f t="shared" si="0"/>
        <v>1.0969494248483931</v>
      </c>
      <c r="D17" s="390"/>
      <c r="E17" s="587">
        <v>3467.462162960227</v>
      </c>
      <c r="F17" s="586">
        <f t="shared" si="1"/>
        <v>1.0760424749283382</v>
      </c>
      <c r="G17" s="390"/>
      <c r="H17" s="588">
        <v>13412.458532410699</v>
      </c>
      <c r="I17" s="586">
        <f t="shared" si="2"/>
        <v>1.1420904657684279</v>
      </c>
    </row>
    <row r="18" spans="1:9" x14ac:dyDescent="0.25">
      <c r="A18" s="41">
        <f t="shared" si="3"/>
        <v>41030</v>
      </c>
      <c r="B18" s="585">
        <v>509.18400000000003</v>
      </c>
      <c r="C18" s="586">
        <f t="shared" si="0"/>
        <v>1.1175653341937013</v>
      </c>
      <c r="D18" s="390"/>
      <c r="E18" s="587">
        <v>3479.9450267468842</v>
      </c>
      <c r="F18" s="586">
        <f t="shared" si="1"/>
        <v>1.0799162278380803</v>
      </c>
      <c r="G18" s="390"/>
      <c r="H18" s="588">
        <v>13512.062293622599</v>
      </c>
      <c r="I18" s="586">
        <f t="shared" si="2"/>
        <v>1.1505718717507762</v>
      </c>
    </row>
    <row r="19" spans="1:9" x14ac:dyDescent="0.25">
      <c r="A19" s="41">
        <f t="shared" si="3"/>
        <v>41061</v>
      </c>
      <c r="B19" s="585">
        <v>512.90300000000002</v>
      </c>
      <c r="C19" s="586">
        <f t="shared" si="0"/>
        <v>1.1257278559498176</v>
      </c>
      <c r="D19" s="390"/>
      <c r="E19" s="587">
        <v>3482.7289827682812</v>
      </c>
      <c r="F19" s="586">
        <f t="shared" si="1"/>
        <v>1.0807801608203507</v>
      </c>
      <c r="G19" s="390"/>
      <c r="H19" s="588">
        <v>13599.4308050456</v>
      </c>
      <c r="I19" s="586">
        <f t="shared" si="2"/>
        <v>1.1580114283140617</v>
      </c>
    </row>
    <row r="20" spans="1:9" x14ac:dyDescent="0.25">
      <c r="A20" s="41">
        <f t="shared" si="3"/>
        <v>41091</v>
      </c>
      <c r="B20" s="585">
        <v>516.31799999999998</v>
      </c>
      <c r="C20" s="586">
        <f t="shared" si="0"/>
        <v>1.1332231535559314</v>
      </c>
      <c r="D20" s="390"/>
      <c r="E20" s="587">
        <v>3497.7047173941851</v>
      </c>
      <c r="F20" s="586">
        <f t="shared" si="1"/>
        <v>1.0854275155118782</v>
      </c>
      <c r="G20" s="390"/>
      <c r="H20" s="588">
        <v>13692.643247923699</v>
      </c>
      <c r="I20" s="586">
        <f t="shared" si="2"/>
        <v>1.1659486041901184</v>
      </c>
    </row>
    <row r="21" spans="1:9" x14ac:dyDescent="0.25">
      <c r="A21" s="41">
        <f t="shared" si="3"/>
        <v>41122</v>
      </c>
      <c r="B21" s="585">
        <v>517.65700000000004</v>
      </c>
      <c r="C21" s="586">
        <f t="shared" si="0"/>
        <v>1.1361620125587388</v>
      </c>
      <c r="D21" s="390"/>
      <c r="E21" s="587">
        <v>3512.0450000000001</v>
      </c>
      <c r="F21" s="586">
        <f t="shared" si="1"/>
        <v>1.089877673137581</v>
      </c>
      <c r="G21" s="390"/>
      <c r="H21" s="588">
        <v>13787.825237815199</v>
      </c>
      <c r="I21" s="586">
        <f t="shared" si="2"/>
        <v>1.1740534898757116</v>
      </c>
    </row>
    <row r="22" spans="1:9" x14ac:dyDescent="0.25">
      <c r="A22" s="41">
        <f t="shared" si="3"/>
        <v>41153</v>
      </c>
      <c r="B22" s="585">
        <v>518.81600000000003</v>
      </c>
      <c r="C22" s="586">
        <f t="shared" si="0"/>
        <v>1.1387058046306233</v>
      </c>
      <c r="D22" s="390"/>
      <c r="E22" s="587">
        <v>3532.0639999999999</v>
      </c>
      <c r="F22" s="586">
        <f t="shared" si="1"/>
        <v>1.0960900824713282</v>
      </c>
      <c r="G22" s="390"/>
      <c r="H22" s="588">
        <v>13862.1750656205</v>
      </c>
      <c r="I22" s="586">
        <f t="shared" si="2"/>
        <v>1.1803844864832886</v>
      </c>
    </row>
    <row r="23" spans="1:9" x14ac:dyDescent="0.25">
      <c r="A23" s="41">
        <f t="shared" si="3"/>
        <v>41183</v>
      </c>
      <c r="B23" s="585">
        <v>519.90700000000004</v>
      </c>
      <c r="C23" s="586">
        <f t="shared" si="0"/>
        <v>1.1411003491952707</v>
      </c>
      <c r="D23" s="390"/>
      <c r="E23" s="587">
        <v>3552.9029999999998</v>
      </c>
      <c r="F23" s="586">
        <f t="shared" si="1"/>
        <v>1.1025569588440725</v>
      </c>
      <c r="G23" s="390"/>
      <c r="H23" s="588">
        <v>13947.0488719194</v>
      </c>
      <c r="I23" s="586">
        <f t="shared" si="2"/>
        <v>1.1876116152556322</v>
      </c>
    </row>
    <row r="24" spans="1:9" x14ac:dyDescent="0.25">
      <c r="A24" s="41">
        <f t="shared" si="3"/>
        <v>41214</v>
      </c>
      <c r="B24" s="585">
        <v>521.63800000000003</v>
      </c>
      <c r="C24" s="586">
        <f t="shared" si="0"/>
        <v>1.1448995761809757</v>
      </c>
      <c r="D24" s="390"/>
      <c r="E24" s="587">
        <v>3574.221</v>
      </c>
      <c r="F24" s="586">
        <f t="shared" si="1"/>
        <v>1.1091724812066694</v>
      </c>
      <c r="G24" s="390"/>
      <c r="H24" s="588">
        <v>14023.596659201099</v>
      </c>
      <c r="I24" s="586">
        <f t="shared" si="2"/>
        <v>1.1941297713281254</v>
      </c>
    </row>
    <row r="25" spans="1:9" x14ac:dyDescent="0.25">
      <c r="A25" s="41">
        <f t="shared" si="3"/>
        <v>41244</v>
      </c>
      <c r="B25" s="585">
        <v>522.47400000000005</v>
      </c>
      <c r="C25" s="586">
        <f t="shared" si="0"/>
        <v>1.1467344425934827</v>
      </c>
      <c r="D25" s="390"/>
      <c r="E25" s="587">
        <v>3602.4569999999999</v>
      </c>
      <c r="F25" s="586">
        <f t="shared" si="1"/>
        <v>1.1179348364665573</v>
      </c>
      <c r="G25" s="390"/>
      <c r="H25" s="588">
        <v>14100.6693142408</v>
      </c>
      <c r="I25" s="586">
        <f t="shared" si="2"/>
        <v>1.200692620658067</v>
      </c>
    </row>
    <row r="26" spans="1:9" x14ac:dyDescent="0.25">
      <c r="A26" s="41">
        <f t="shared" si="3"/>
        <v>41275</v>
      </c>
      <c r="B26" s="585">
        <v>525.85</v>
      </c>
      <c r="C26" s="586">
        <f t="shared" si="0"/>
        <v>1.1541441423645633</v>
      </c>
      <c r="D26" s="390"/>
      <c r="E26" s="587">
        <v>3633.4380000000001</v>
      </c>
      <c r="F26" s="586">
        <f t="shared" si="1"/>
        <v>1.1275490356557691</v>
      </c>
      <c r="G26" s="390"/>
      <c r="H26" s="588">
        <v>14185.570929113301</v>
      </c>
      <c r="I26" s="586">
        <f t="shared" si="2"/>
        <v>1.2079221173711352</v>
      </c>
    </row>
    <row r="27" spans="1:9" x14ac:dyDescent="0.25">
      <c r="A27" s="41">
        <f t="shared" si="3"/>
        <v>41306</v>
      </c>
      <c r="B27" s="585">
        <v>529.029</v>
      </c>
      <c r="C27" s="586">
        <f t="shared" si="0"/>
        <v>1.1611214633279121</v>
      </c>
      <c r="D27" s="390"/>
      <c r="E27" s="587">
        <v>3655.239</v>
      </c>
      <c r="F27" s="586">
        <f t="shared" si="1"/>
        <v>1.1343144453108482</v>
      </c>
      <c r="G27" s="390"/>
      <c r="H27" s="588">
        <v>14255.422718019099</v>
      </c>
      <c r="I27" s="586">
        <f t="shared" si="2"/>
        <v>1.2138700993860212</v>
      </c>
    </row>
    <row r="28" spans="1:9" x14ac:dyDescent="0.25">
      <c r="A28" s="41">
        <f t="shared" si="3"/>
        <v>41334</v>
      </c>
      <c r="B28" s="585">
        <v>531.69100000000003</v>
      </c>
      <c r="C28" s="586">
        <f t="shared" si="0"/>
        <v>1.1669640642729999</v>
      </c>
      <c r="D28" s="390"/>
      <c r="E28" s="587">
        <v>3672.4180000000001</v>
      </c>
      <c r="F28" s="586">
        <f t="shared" si="1"/>
        <v>1.139645529777827</v>
      </c>
      <c r="G28" s="390"/>
      <c r="H28" s="588">
        <v>14333.763883740799</v>
      </c>
      <c r="I28" s="586">
        <f t="shared" si="2"/>
        <v>1.2205409642563005</v>
      </c>
    </row>
    <row r="29" spans="1:9" x14ac:dyDescent="0.25">
      <c r="A29" s="41">
        <f t="shared" si="3"/>
        <v>41365</v>
      </c>
      <c r="B29" s="585">
        <v>535.601</v>
      </c>
      <c r="C29" s="586">
        <f t="shared" si="0"/>
        <v>1.1755457959391509</v>
      </c>
      <c r="D29" s="390"/>
      <c r="E29" s="587">
        <v>3692.6170000000002</v>
      </c>
      <c r="F29" s="586">
        <f t="shared" si="1"/>
        <v>1.145913797729891</v>
      </c>
      <c r="G29" s="390"/>
      <c r="H29" s="588">
        <v>14421.594431148</v>
      </c>
      <c r="I29" s="586">
        <f t="shared" si="2"/>
        <v>1.2280198638595754</v>
      </c>
    </row>
    <row r="30" spans="1:9" x14ac:dyDescent="0.25">
      <c r="A30" s="41">
        <f t="shared" si="3"/>
        <v>41395</v>
      </c>
      <c r="B30" s="585">
        <v>547.65499999999997</v>
      </c>
      <c r="C30" s="586">
        <f t="shared" si="0"/>
        <v>1.202002111413264</v>
      </c>
      <c r="D30" s="390"/>
      <c r="E30" s="587">
        <v>3706.279</v>
      </c>
      <c r="F30" s="586">
        <f t="shared" si="1"/>
        <v>1.1501534668601001</v>
      </c>
      <c r="G30" s="390"/>
      <c r="H30" s="588">
        <v>14507.645463641</v>
      </c>
      <c r="I30" s="586">
        <f t="shared" si="2"/>
        <v>1.2353472351645676</v>
      </c>
    </row>
    <row r="31" spans="1:9" x14ac:dyDescent="0.25">
      <c r="A31" s="41">
        <f t="shared" si="3"/>
        <v>41426</v>
      </c>
      <c r="B31" s="585">
        <v>553.94799999999998</v>
      </c>
      <c r="C31" s="586">
        <f t="shared" si="0"/>
        <v>1.2158140902815728</v>
      </c>
      <c r="D31" s="390"/>
      <c r="E31" s="587">
        <v>3715.9160000000002</v>
      </c>
      <c r="F31" s="586">
        <f t="shared" si="1"/>
        <v>1.1531440752196247</v>
      </c>
      <c r="G31" s="390"/>
      <c r="H31" s="588">
        <v>14595.456378877199</v>
      </c>
      <c r="I31" s="586">
        <f t="shared" si="2"/>
        <v>1.2428244630597607</v>
      </c>
    </row>
    <row r="32" spans="1:9" x14ac:dyDescent="0.25">
      <c r="A32" s="41">
        <f t="shared" si="3"/>
        <v>41456</v>
      </c>
      <c r="B32" s="585">
        <v>556.6</v>
      </c>
      <c r="C32" s="586">
        <f t="shared" si="0"/>
        <v>1.2216347430638319</v>
      </c>
      <c r="D32" s="390"/>
      <c r="E32" s="587">
        <v>3717.03</v>
      </c>
      <c r="F32" s="586">
        <f t="shared" si="1"/>
        <v>1.1534897780018714</v>
      </c>
      <c r="G32" s="390"/>
      <c r="H32" s="588">
        <v>14700.871187109</v>
      </c>
      <c r="I32" s="586">
        <f t="shared" si="2"/>
        <v>1.2518006881971151</v>
      </c>
    </row>
    <row r="33" spans="1:9" x14ac:dyDescent="0.25">
      <c r="A33" s="41">
        <f t="shared" si="3"/>
        <v>41487</v>
      </c>
      <c r="B33" s="585">
        <v>558.34</v>
      </c>
      <c r="C33" s="586">
        <f t="shared" si="0"/>
        <v>1.2254537233960832</v>
      </c>
      <c r="D33" s="390"/>
      <c r="E33" s="587">
        <v>3725.951</v>
      </c>
      <c r="F33" s="586">
        <f t="shared" si="1"/>
        <v>1.1562581931907601</v>
      </c>
      <c r="G33" s="390"/>
      <c r="H33" s="588">
        <v>14805.0232717945</v>
      </c>
      <c r="I33" s="586">
        <f t="shared" si="2"/>
        <v>1.2606693905772024</v>
      </c>
    </row>
    <row r="34" spans="1:9" x14ac:dyDescent="0.25">
      <c r="A34" s="41">
        <f t="shared" si="3"/>
        <v>41518</v>
      </c>
      <c r="B34" s="585">
        <v>560.76700000000005</v>
      </c>
      <c r="C34" s="586">
        <f t="shared" ref="C34:C65" si="4">B34/$B$2</f>
        <v>1.2307805425146889</v>
      </c>
      <c r="D34" s="390"/>
      <c r="E34" s="587">
        <v>3738.9920000000002</v>
      </c>
      <c r="F34" s="586">
        <f t="shared" ref="F34:F65" si="5">E34/$E$2</f>
        <v>1.1603051500877779</v>
      </c>
      <c r="G34" s="390"/>
      <c r="H34" s="588">
        <v>14910.5873552721</v>
      </c>
      <c r="I34" s="586">
        <f t="shared" ref="I34:I65" si="6">H34/$H$2</f>
        <v>1.2696583267201185</v>
      </c>
    </row>
    <row r="35" spans="1:9" x14ac:dyDescent="0.25">
      <c r="A35" s="41">
        <f t="shared" ref="A35:A66" si="7">DATE(YEAR(A34),MONTH(A34)+1,1)</f>
        <v>41548</v>
      </c>
      <c r="B35" s="585">
        <v>562.24099999999999</v>
      </c>
      <c r="C35" s="586">
        <f t="shared" si="4"/>
        <v>1.2340157017156879</v>
      </c>
      <c r="D35" s="390"/>
      <c r="E35" s="587">
        <v>3760.3040000000001</v>
      </c>
      <c r="F35" s="586">
        <f t="shared" si="5"/>
        <v>1.166918810496431</v>
      </c>
      <c r="G35" s="390"/>
      <c r="H35" s="588">
        <v>15031.166017719999</v>
      </c>
      <c r="I35" s="586">
        <f t="shared" si="6"/>
        <v>1.2799257762279086</v>
      </c>
    </row>
    <row r="36" spans="1:9" x14ac:dyDescent="0.25">
      <c r="A36" s="41">
        <f t="shared" si="7"/>
        <v>41579</v>
      </c>
      <c r="B36" s="585">
        <v>564.20100000000002</v>
      </c>
      <c r="C36" s="586">
        <f t="shared" si="4"/>
        <v>1.2383175416301777</v>
      </c>
      <c r="D36" s="390"/>
      <c r="E36" s="587">
        <v>3780.61</v>
      </c>
      <c r="F36" s="586">
        <f t="shared" si="5"/>
        <v>1.1732202832938272</v>
      </c>
      <c r="G36" s="390"/>
      <c r="H36" s="588">
        <v>15138.997225679101</v>
      </c>
      <c r="I36" s="586">
        <f t="shared" si="6"/>
        <v>1.2891077613371105</v>
      </c>
    </row>
    <row r="37" spans="1:9" x14ac:dyDescent="0.25">
      <c r="A37" s="41">
        <f t="shared" si="7"/>
        <v>41609</v>
      </c>
      <c r="B37" s="585">
        <v>564.76499999999999</v>
      </c>
      <c r="C37" s="586">
        <f t="shared" si="4"/>
        <v>1.2395554180137351</v>
      </c>
      <c r="D37" s="390"/>
      <c r="E37" s="587">
        <v>3815.3919999999998</v>
      </c>
      <c r="F37" s="586">
        <f t="shared" si="5"/>
        <v>1.1840140303064854</v>
      </c>
      <c r="G37" s="390"/>
      <c r="H37" s="588">
        <v>15258.5568229197</v>
      </c>
      <c r="I37" s="586">
        <f t="shared" si="6"/>
        <v>1.2992884359516592</v>
      </c>
    </row>
    <row r="38" spans="1:9" x14ac:dyDescent="0.25">
      <c r="A38" s="41">
        <f t="shared" si="7"/>
        <v>41640</v>
      </c>
      <c r="B38" s="585">
        <v>569.72</v>
      </c>
      <c r="C38" s="586">
        <f t="shared" si="4"/>
        <v>1.2504307326955197</v>
      </c>
      <c r="D38" s="390"/>
      <c r="E38" s="587">
        <v>3836.3760000000002</v>
      </c>
      <c r="F38" s="586">
        <f t="shared" si="5"/>
        <v>1.1905259038995402</v>
      </c>
      <c r="G38" s="390"/>
      <c r="H38" s="588">
        <v>15387.877266875301</v>
      </c>
      <c r="I38" s="586">
        <f t="shared" si="6"/>
        <v>1.3103002609436047</v>
      </c>
    </row>
    <row r="39" spans="1:9" x14ac:dyDescent="0.25">
      <c r="A39" s="41">
        <f t="shared" si="7"/>
        <v>41671</v>
      </c>
      <c r="B39" s="585">
        <v>571.577</v>
      </c>
      <c r="C39" s="586">
        <f t="shared" si="4"/>
        <v>1.2545065065328707</v>
      </c>
      <c r="D39" s="390"/>
      <c r="E39" s="587">
        <v>3862.8470000000002</v>
      </c>
      <c r="F39" s="586">
        <f t="shared" si="5"/>
        <v>1.1987405343742705</v>
      </c>
      <c r="G39" s="390"/>
      <c r="H39" s="588">
        <v>15509.324809751201</v>
      </c>
      <c r="I39" s="586">
        <f t="shared" si="6"/>
        <v>1.3206416968909662</v>
      </c>
    </row>
    <row r="40" spans="1:9" x14ac:dyDescent="0.25">
      <c r="A40" s="41">
        <f t="shared" si="7"/>
        <v>41699</v>
      </c>
      <c r="B40" s="585">
        <v>573.15599999999995</v>
      </c>
      <c r="C40" s="586">
        <f t="shared" si="4"/>
        <v>1.2579721214435744</v>
      </c>
      <c r="D40" s="390"/>
      <c r="E40" s="587">
        <v>3898.3850000000002</v>
      </c>
      <c r="F40" s="586">
        <f t="shared" si="5"/>
        <v>1.2097688875838575</v>
      </c>
      <c r="G40" s="390"/>
      <c r="H40" s="588">
        <v>15628.1196185433</v>
      </c>
      <c r="I40" s="586">
        <f t="shared" si="6"/>
        <v>1.3307572486502792</v>
      </c>
    </row>
    <row r="41" spans="1:9" x14ac:dyDescent="0.25">
      <c r="A41" s="41">
        <f t="shared" si="7"/>
        <v>41730</v>
      </c>
      <c r="B41" s="585">
        <v>578.22400000000005</v>
      </c>
      <c r="C41" s="586">
        <f t="shared" si="4"/>
        <v>1.2690954503653271</v>
      </c>
      <c r="D41" s="390"/>
      <c r="E41" s="587">
        <v>3924.5050000000001</v>
      </c>
      <c r="F41" s="586">
        <f t="shared" si="5"/>
        <v>1.217874593752871</v>
      </c>
      <c r="G41" s="390"/>
      <c r="H41" s="588">
        <v>15756.5461339218</v>
      </c>
      <c r="I41" s="586">
        <f t="shared" si="6"/>
        <v>1.3416929543161131</v>
      </c>
    </row>
    <row r="42" spans="1:9" x14ac:dyDescent="0.25">
      <c r="A42" s="41">
        <f t="shared" si="7"/>
        <v>41760</v>
      </c>
      <c r="B42" s="585">
        <v>590.09900000000005</v>
      </c>
      <c r="C42" s="586">
        <f t="shared" si="4"/>
        <v>1.2951588937248009</v>
      </c>
      <c r="D42" s="390"/>
      <c r="E42" s="587">
        <v>3942.5569999999998</v>
      </c>
      <c r="F42" s="586">
        <f t="shared" si="5"/>
        <v>1.2234765925186839</v>
      </c>
      <c r="G42" s="390"/>
      <c r="H42" s="588">
        <v>15892.977841429099</v>
      </c>
      <c r="I42" s="586">
        <f t="shared" si="6"/>
        <v>1.3533103138028968</v>
      </c>
    </row>
    <row r="43" spans="1:9" x14ac:dyDescent="0.25">
      <c r="A43" s="41">
        <f t="shared" si="7"/>
        <v>41791</v>
      </c>
      <c r="B43" s="585">
        <v>594.01300000000003</v>
      </c>
      <c r="C43" s="586">
        <f t="shared" si="4"/>
        <v>1.3037494046560834</v>
      </c>
      <c r="D43" s="390"/>
      <c r="E43" s="587">
        <v>3958.328</v>
      </c>
      <c r="F43" s="586">
        <f t="shared" si="5"/>
        <v>1.2283707384601661</v>
      </c>
      <c r="G43" s="390"/>
      <c r="H43" s="588">
        <v>16024.010934894401</v>
      </c>
      <c r="I43" s="586">
        <f t="shared" si="6"/>
        <v>1.3644679734061109</v>
      </c>
    </row>
    <row r="44" spans="1:9" x14ac:dyDescent="0.25">
      <c r="A44" s="41">
        <f t="shared" si="7"/>
        <v>41821</v>
      </c>
      <c r="B44" s="585">
        <v>598.44100000000003</v>
      </c>
      <c r="C44" s="586">
        <f t="shared" si="4"/>
        <v>1.313468051156778</v>
      </c>
      <c r="D44" s="390"/>
      <c r="E44" s="587">
        <v>3958.723</v>
      </c>
      <c r="F44" s="586">
        <f t="shared" si="5"/>
        <v>1.2284933170948047</v>
      </c>
      <c r="G44" s="390"/>
      <c r="H44" s="588">
        <v>16176.035100788</v>
      </c>
      <c r="I44" s="586">
        <f t="shared" si="6"/>
        <v>1.377413053535449</v>
      </c>
    </row>
    <row r="45" spans="1:9" x14ac:dyDescent="0.25">
      <c r="A45" s="41">
        <f t="shared" si="7"/>
        <v>41852</v>
      </c>
      <c r="B45" s="585">
        <v>598.89800000000002</v>
      </c>
      <c r="C45" s="586">
        <f t="shared" si="4"/>
        <v>1.3144710821980645</v>
      </c>
      <c r="D45" s="390"/>
      <c r="E45" s="587">
        <v>3968.62</v>
      </c>
      <c r="F45" s="586">
        <f t="shared" si="5"/>
        <v>1.2315646101252307</v>
      </c>
      <c r="G45" s="390"/>
      <c r="H45" s="588">
        <v>16316.116664924601</v>
      </c>
      <c r="I45" s="586">
        <f t="shared" si="6"/>
        <v>1.3893412036537691</v>
      </c>
    </row>
    <row r="46" spans="1:9" x14ac:dyDescent="0.25">
      <c r="A46" s="41">
        <f t="shared" si="7"/>
        <v>41883</v>
      </c>
      <c r="B46" s="585">
        <v>599.82299999999998</v>
      </c>
      <c r="C46" s="586">
        <f t="shared" si="4"/>
        <v>1.3165012872597497</v>
      </c>
      <c r="D46" s="390"/>
      <c r="E46" s="587">
        <v>3991.241</v>
      </c>
      <c r="F46" s="586">
        <f t="shared" si="5"/>
        <v>1.2385844868193066</v>
      </c>
      <c r="G46" s="390"/>
      <c r="H46" s="588">
        <v>16464.1514431094</v>
      </c>
      <c r="I46" s="586">
        <f t="shared" si="6"/>
        <v>1.4019465815834347</v>
      </c>
    </row>
    <row r="47" spans="1:9" x14ac:dyDescent="0.25">
      <c r="A47" s="41">
        <f t="shared" si="7"/>
        <v>41913</v>
      </c>
      <c r="B47" s="585">
        <v>600.86500000000001</v>
      </c>
      <c r="C47" s="586">
        <f t="shared" si="4"/>
        <v>1.3187882858265347</v>
      </c>
      <c r="D47" s="390"/>
      <c r="E47" s="587">
        <v>4008.0050000000001</v>
      </c>
      <c r="F47" s="586">
        <f t="shared" si="5"/>
        <v>1.2437867861385006</v>
      </c>
      <c r="G47" s="390"/>
      <c r="H47" s="588">
        <v>16620.499867104001</v>
      </c>
      <c r="I47" s="586">
        <f t="shared" si="6"/>
        <v>1.4152598786162389</v>
      </c>
    </row>
    <row r="48" spans="1:9" x14ac:dyDescent="0.25">
      <c r="A48" s="41">
        <f t="shared" si="7"/>
        <v>41944</v>
      </c>
      <c r="B48" s="585">
        <v>603.524</v>
      </c>
      <c r="C48" s="586">
        <f t="shared" si="4"/>
        <v>1.3246243023227739</v>
      </c>
      <c r="D48" s="390"/>
      <c r="E48" s="587">
        <v>4028.4450000000002</v>
      </c>
      <c r="F48" s="586">
        <f t="shared" si="5"/>
        <v>1.2501298425739769</v>
      </c>
      <c r="G48" s="390"/>
      <c r="H48" s="588">
        <v>16760.526444278999</v>
      </c>
      <c r="I48" s="586">
        <f t="shared" si="6"/>
        <v>1.4271833465143355</v>
      </c>
    </row>
    <row r="49" spans="1:9" x14ac:dyDescent="0.25">
      <c r="A49" s="41">
        <f t="shared" si="7"/>
        <v>41974</v>
      </c>
      <c r="B49" s="585">
        <v>604.02599999999995</v>
      </c>
      <c r="C49" s="586">
        <f t="shared" si="4"/>
        <v>1.3257261000967913</v>
      </c>
      <c r="D49" s="390"/>
      <c r="E49" s="587">
        <v>4059.8670000000002</v>
      </c>
      <c r="F49" s="586">
        <f t="shared" si="5"/>
        <v>1.2598808953780636</v>
      </c>
      <c r="G49" s="390"/>
      <c r="H49" s="588">
        <v>16921.3431268897</v>
      </c>
      <c r="I49" s="586">
        <f t="shared" si="6"/>
        <v>1.4408771223051322</v>
      </c>
    </row>
    <row r="50" spans="1:9" x14ac:dyDescent="0.25">
      <c r="A50" s="41">
        <f t="shared" si="7"/>
        <v>42005</v>
      </c>
      <c r="B50" s="585">
        <v>609.56799999999998</v>
      </c>
      <c r="C50" s="586">
        <f t="shared" si="4"/>
        <v>1.3378897719366398</v>
      </c>
      <c r="D50" s="390"/>
      <c r="E50" s="587">
        <v>4110.21</v>
      </c>
      <c r="F50" s="586">
        <f t="shared" si="5"/>
        <v>1.2755036199441683</v>
      </c>
      <c r="G50" s="390"/>
      <c r="H50" s="588">
        <v>17079.267591838699</v>
      </c>
      <c r="I50" s="586">
        <f t="shared" si="6"/>
        <v>1.4543246215308698</v>
      </c>
    </row>
    <row r="51" spans="1:9" x14ac:dyDescent="0.25">
      <c r="A51" s="41">
        <f t="shared" si="7"/>
        <v>42036</v>
      </c>
      <c r="B51" s="585">
        <v>611.447</v>
      </c>
      <c r="C51" s="586">
        <f t="shared" si="4"/>
        <v>1.3420138317322148</v>
      </c>
      <c r="D51" s="390"/>
      <c r="E51" s="587">
        <v>4160.3540000000003</v>
      </c>
      <c r="F51" s="586">
        <f t="shared" si="5"/>
        <v>1.2910645897044677</v>
      </c>
      <c r="G51" s="390"/>
      <c r="H51" s="588">
        <v>17219.729367047199</v>
      </c>
      <c r="I51" s="586">
        <f t="shared" si="6"/>
        <v>1.4662851471781915</v>
      </c>
    </row>
    <row r="52" spans="1:9" x14ac:dyDescent="0.25">
      <c r="A52" s="41">
        <f t="shared" si="7"/>
        <v>42064</v>
      </c>
      <c r="B52" s="585">
        <v>615.24800000000005</v>
      </c>
      <c r="C52" s="586">
        <f t="shared" si="4"/>
        <v>1.3503563284235294</v>
      </c>
      <c r="D52" s="390"/>
      <c r="E52" s="587">
        <v>4215.2709999999997</v>
      </c>
      <c r="F52" s="586">
        <f t="shared" si="5"/>
        <v>1.3081067438271217</v>
      </c>
      <c r="G52" s="390"/>
      <c r="H52" s="588">
        <v>17398.501770615399</v>
      </c>
      <c r="I52" s="586">
        <f t="shared" si="6"/>
        <v>1.481507878876811</v>
      </c>
    </row>
    <row r="53" spans="1:9" x14ac:dyDescent="0.25">
      <c r="A53" s="41">
        <f t="shared" si="7"/>
        <v>42095</v>
      </c>
      <c r="B53" s="585">
        <v>618.05999999999995</v>
      </c>
      <c r="C53" s="586">
        <f t="shared" si="4"/>
        <v>1.3565281518110524</v>
      </c>
      <c r="D53" s="390"/>
      <c r="E53" s="587">
        <v>4245.1989999999996</v>
      </c>
      <c r="F53" s="586">
        <f t="shared" si="5"/>
        <v>1.3173941700991829</v>
      </c>
      <c r="G53" s="390"/>
      <c r="H53" s="588">
        <v>17563.790625022099</v>
      </c>
      <c r="I53" s="586">
        <f t="shared" si="6"/>
        <v>1.4955824666385931</v>
      </c>
    </row>
    <row r="54" spans="1:9" x14ac:dyDescent="0.25">
      <c r="A54" s="41">
        <f t="shared" si="7"/>
        <v>42125</v>
      </c>
      <c r="B54" s="585">
        <v>623.95100000000002</v>
      </c>
      <c r="C54" s="586">
        <f t="shared" si="4"/>
        <v>1.3694578145336345</v>
      </c>
      <c r="D54" s="371"/>
      <c r="E54" s="587">
        <v>4276.6139999999996</v>
      </c>
      <c r="F54" s="586">
        <f t="shared" si="5"/>
        <v>1.3271430506236686</v>
      </c>
      <c r="G54" s="371"/>
      <c r="H54" s="588">
        <v>17736.850564180699</v>
      </c>
      <c r="I54" s="586">
        <f t="shared" si="6"/>
        <v>1.5103187736356949</v>
      </c>
    </row>
    <row r="55" spans="1:9" x14ac:dyDescent="0.25">
      <c r="A55" s="41">
        <f t="shared" si="7"/>
        <v>42156</v>
      </c>
      <c r="B55" s="585">
        <v>635.40300000000002</v>
      </c>
      <c r="C55" s="586">
        <f t="shared" si="4"/>
        <v>1.3945928506054401</v>
      </c>
      <c r="D55" s="371"/>
      <c r="E55" s="587">
        <v>4310.3990000000003</v>
      </c>
      <c r="F55" s="586">
        <f t="shared" si="5"/>
        <v>1.337627402955986</v>
      </c>
      <c r="G55" s="371"/>
      <c r="H55" s="588">
        <v>17925.7315176556</v>
      </c>
      <c r="I55" s="586">
        <f t="shared" si="6"/>
        <v>1.5264022631471559</v>
      </c>
    </row>
    <row r="56" spans="1:9" x14ac:dyDescent="0.25">
      <c r="A56" s="41">
        <f t="shared" si="7"/>
        <v>42186</v>
      </c>
      <c r="B56" s="585">
        <v>638.88</v>
      </c>
      <c r="C56" s="586">
        <f t="shared" si="4"/>
        <v>1.4022242268210938</v>
      </c>
      <c r="D56" s="371"/>
      <c r="E56" s="587">
        <v>4337.1229999999996</v>
      </c>
      <c r="F56" s="586">
        <f t="shared" si="5"/>
        <v>1.3459205458220165</v>
      </c>
      <c r="G56" s="371"/>
      <c r="H56" s="588">
        <v>18136.6162360048</v>
      </c>
      <c r="I56" s="586">
        <f t="shared" si="6"/>
        <v>1.5443594054280345</v>
      </c>
    </row>
    <row r="57" spans="1:9" x14ac:dyDescent="0.25">
      <c r="A57" s="41">
        <f t="shared" si="7"/>
        <v>42217</v>
      </c>
      <c r="B57" s="585">
        <v>642.64400000000001</v>
      </c>
      <c r="C57" s="586">
        <f t="shared" si="4"/>
        <v>1.4104855153099409</v>
      </c>
      <c r="D57" s="371"/>
      <c r="E57" s="587">
        <v>4346.665</v>
      </c>
      <c r="F57" s="586">
        <f t="shared" si="5"/>
        <v>1.3488816732440965</v>
      </c>
      <c r="G57" s="371"/>
      <c r="H57" s="588">
        <v>18337.745014443899</v>
      </c>
      <c r="I57" s="586">
        <f t="shared" si="6"/>
        <v>1.5614858151531319</v>
      </c>
    </row>
    <row r="58" spans="1:9" x14ac:dyDescent="0.25">
      <c r="A58" s="41">
        <f t="shared" si="7"/>
        <v>42248</v>
      </c>
      <c r="B58" s="585">
        <v>644.04600000000005</v>
      </c>
      <c r="C58" s="586">
        <f t="shared" si="4"/>
        <v>1.413562647738571</v>
      </c>
      <c r="D58" s="371"/>
      <c r="E58" s="587">
        <v>4370.1369999999997</v>
      </c>
      <c r="F58" s="586">
        <f t="shared" si="5"/>
        <v>1.3561656370725454</v>
      </c>
      <c r="G58" s="371"/>
      <c r="H58" s="588">
        <v>18541.1042412198</v>
      </c>
      <c r="I58" s="586">
        <f t="shared" si="6"/>
        <v>1.5788021508171388</v>
      </c>
    </row>
    <row r="59" spans="1:9" x14ac:dyDescent="0.25">
      <c r="A59" s="41">
        <f t="shared" si="7"/>
        <v>42278</v>
      </c>
      <c r="B59" s="585">
        <v>646.35500000000002</v>
      </c>
      <c r="C59" s="586">
        <f t="shared" si="4"/>
        <v>1.4186304785357942</v>
      </c>
      <c r="D59" s="371"/>
      <c r="E59" s="587">
        <v>4405.9719999999998</v>
      </c>
      <c r="F59" s="586">
        <f t="shared" si="5"/>
        <v>1.3672861570023542</v>
      </c>
      <c r="G59" s="371"/>
      <c r="H59" s="588">
        <v>18746.7186512302</v>
      </c>
      <c r="I59" s="586">
        <f t="shared" si="6"/>
        <v>1.5963105186327797</v>
      </c>
    </row>
    <row r="60" spans="1:9" x14ac:dyDescent="0.25">
      <c r="A60" s="41">
        <f t="shared" si="7"/>
        <v>42309</v>
      </c>
      <c r="B60" s="585">
        <v>648.54200000000003</v>
      </c>
      <c r="C60" s="586">
        <f t="shared" si="4"/>
        <v>1.4234305417465032</v>
      </c>
      <c r="D60" s="371"/>
      <c r="E60" s="587">
        <v>4450.473</v>
      </c>
      <c r="F60" s="586">
        <f t="shared" si="5"/>
        <v>1.3810959590784369</v>
      </c>
      <c r="G60" s="371"/>
      <c r="H60" s="588">
        <v>18944.661433576901</v>
      </c>
      <c r="I60" s="586">
        <f t="shared" si="6"/>
        <v>1.6131656361296618</v>
      </c>
    </row>
    <row r="61" spans="1:9" x14ac:dyDescent="0.25">
      <c r="A61" s="41">
        <f t="shared" si="7"/>
        <v>42339</v>
      </c>
      <c r="B61" s="585">
        <v>649.21600000000001</v>
      </c>
      <c r="C61" s="586">
        <f t="shared" si="4"/>
        <v>1.4249098479211797</v>
      </c>
      <c r="D61" s="371"/>
      <c r="E61" s="587">
        <v>4493.1970000000001</v>
      </c>
      <c r="F61" s="586">
        <f t="shared" si="5"/>
        <v>1.3943543124614746</v>
      </c>
      <c r="G61" s="371"/>
      <c r="H61" s="588">
        <v>19164.813335095099</v>
      </c>
      <c r="I61" s="586">
        <f t="shared" si="6"/>
        <v>1.6319118926147906</v>
      </c>
    </row>
    <row r="62" spans="1:9" x14ac:dyDescent="0.25">
      <c r="A62" s="41">
        <f t="shared" si="7"/>
        <v>42370</v>
      </c>
      <c r="B62" s="585">
        <v>651.75900000000001</v>
      </c>
      <c r="C62" s="586">
        <f t="shared" si="4"/>
        <v>1.4304912657286022</v>
      </c>
      <c r="D62" s="371"/>
      <c r="E62" s="587">
        <v>4550.2610000000004</v>
      </c>
      <c r="F62" s="586">
        <f t="shared" si="5"/>
        <v>1.4120627357703794</v>
      </c>
      <c r="G62" s="371"/>
      <c r="H62" s="588">
        <v>19367.170694016299</v>
      </c>
      <c r="I62" s="586">
        <f t="shared" si="6"/>
        <v>1.6491429177652888</v>
      </c>
    </row>
    <row r="63" spans="1:9" x14ac:dyDescent="0.25">
      <c r="A63" s="41">
        <f t="shared" si="7"/>
        <v>42401</v>
      </c>
      <c r="B63" s="585">
        <v>655.26300000000003</v>
      </c>
      <c r="C63" s="586">
        <f t="shared" si="4"/>
        <v>1.4381819019838944</v>
      </c>
      <c r="D63" s="371"/>
      <c r="E63" s="587">
        <v>4591.2129999999997</v>
      </c>
      <c r="F63" s="586">
        <f t="shared" si="5"/>
        <v>1.4247711920886583</v>
      </c>
      <c r="G63" s="371"/>
      <c r="H63" s="588">
        <v>19561.388909849</v>
      </c>
      <c r="I63" s="586">
        <f t="shared" si="6"/>
        <v>1.6656808829746554</v>
      </c>
    </row>
    <row r="64" spans="1:9" x14ac:dyDescent="0.25">
      <c r="A64" s="41">
        <f t="shared" si="7"/>
        <v>42430</v>
      </c>
      <c r="B64" s="585">
        <v>659.44600000000003</v>
      </c>
      <c r="C64" s="586">
        <f t="shared" si="4"/>
        <v>1.4473628184952778</v>
      </c>
      <c r="D64" s="371"/>
      <c r="E64" s="587">
        <v>4610.9549999999999</v>
      </c>
      <c r="F64" s="586">
        <f t="shared" si="5"/>
        <v>1.4308976412153303</v>
      </c>
      <c r="G64" s="371"/>
      <c r="H64" s="588">
        <v>19788.707670859199</v>
      </c>
      <c r="I64" s="586">
        <f t="shared" si="6"/>
        <v>1.6850374080302732</v>
      </c>
    </row>
    <row r="65" spans="1:9" x14ac:dyDescent="0.25">
      <c r="A65" s="41">
        <f t="shared" si="7"/>
        <v>42461</v>
      </c>
      <c r="B65" s="585">
        <v>663.05700000000002</v>
      </c>
      <c r="C65" s="586">
        <f t="shared" si="4"/>
        <v>1.4552883000928407</v>
      </c>
      <c r="D65" s="371"/>
      <c r="E65" s="587">
        <v>4639.0820000000003</v>
      </c>
      <c r="F65" s="586">
        <f t="shared" si="5"/>
        <v>1.4396261709785709</v>
      </c>
      <c r="G65" s="371"/>
      <c r="H65" s="588">
        <v>19997.6526029448</v>
      </c>
      <c r="I65" s="586">
        <f t="shared" si="6"/>
        <v>1.702829374672999</v>
      </c>
    </row>
    <row r="66" spans="1:9" x14ac:dyDescent="0.25">
      <c r="A66" s="41">
        <f t="shared" si="7"/>
        <v>42491</v>
      </c>
      <c r="B66" s="585">
        <v>663.61</v>
      </c>
      <c r="C66" s="586">
        <f t="shared" ref="C66:C97" si="8">B66/$B$2</f>
        <v>1.456502033497286</v>
      </c>
      <c r="D66" s="371"/>
      <c r="E66" s="587">
        <v>4675.2669999999998</v>
      </c>
      <c r="F66" s="586">
        <f t="shared" ref="F66:F97" si="9">E66/$E$2</f>
        <v>1.4508553048884392</v>
      </c>
      <c r="G66" s="371"/>
      <c r="H66" s="588">
        <v>20219.419628686799</v>
      </c>
      <c r="I66" s="586">
        <f t="shared" ref="I66:I97" si="10">H66/$H$2</f>
        <v>1.7217131613486278</v>
      </c>
    </row>
    <row r="67" spans="1:9" x14ac:dyDescent="0.25">
      <c r="A67" s="41">
        <f t="shared" ref="A67:A98" si="11">DATE(YEAR(A66),MONTH(A66)+1,1)</f>
        <v>42522</v>
      </c>
      <c r="B67" s="585">
        <v>676.42</v>
      </c>
      <c r="C67" s="586">
        <f t="shared" si="8"/>
        <v>1.4846176300812739</v>
      </c>
      <c r="D67" s="371"/>
      <c r="E67" s="587">
        <v>4691.63</v>
      </c>
      <c r="F67" s="586">
        <f t="shared" si="9"/>
        <v>1.4559331636190507</v>
      </c>
      <c r="G67" s="371"/>
      <c r="H67" s="588">
        <v>20454.385225430298</v>
      </c>
      <c r="I67" s="586">
        <f t="shared" si="10"/>
        <v>1.7417208256538614</v>
      </c>
    </row>
    <row r="68" spans="1:9" x14ac:dyDescent="0.25">
      <c r="A68" s="41">
        <f t="shared" si="11"/>
        <v>42552</v>
      </c>
      <c r="B68" s="585">
        <v>679.75099999999998</v>
      </c>
      <c r="C68" s="586">
        <f t="shared" si="8"/>
        <v>1.491928563119624</v>
      </c>
      <c r="D68" s="371"/>
      <c r="E68" s="587">
        <v>4716.027</v>
      </c>
      <c r="F68" s="586">
        <f t="shared" si="9"/>
        <v>1.4635041786805141</v>
      </c>
      <c r="G68" s="371"/>
      <c r="H68" s="588">
        <v>20681.217257413398</v>
      </c>
      <c r="I68" s="586">
        <f t="shared" si="10"/>
        <v>1.761035905020762</v>
      </c>
    </row>
    <row r="69" spans="1:9" x14ac:dyDescent="0.25">
      <c r="A69" s="41">
        <f t="shared" si="11"/>
        <v>42583</v>
      </c>
      <c r="B69" s="585">
        <v>681.75599999999997</v>
      </c>
      <c r="C69" s="586">
        <f t="shared" si="8"/>
        <v>1.4963291697668446</v>
      </c>
      <c r="D69" s="371"/>
      <c r="E69" s="587">
        <v>4736.777</v>
      </c>
      <c r="F69" s="586">
        <f t="shared" si="9"/>
        <v>1.4699434360697574</v>
      </c>
      <c r="G69" s="371"/>
      <c r="H69" s="588">
        <v>20932.539605742801</v>
      </c>
      <c r="I69" s="586">
        <f t="shared" si="10"/>
        <v>1.7824363706526176</v>
      </c>
    </row>
    <row r="70" spans="1:9" x14ac:dyDescent="0.25">
      <c r="A70" s="41">
        <f t="shared" si="11"/>
        <v>42614</v>
      </c>
      <c r="B70" s="585">
        <v>684.02499999999998</v>
      </c>
      <c r="C70" s="586">
        <f t="shared" si="8"/>
        <v>1.5013092079127515</v>
      </c>
      <c r="D70" s="371"/>
      <c r="E70" s="587">
        <v>4740.567</v>
      </c>
      <c r="F70" s="586">
        <f t="shared" si="9"/>
        <v>1.4711195703109734</v>
      </c>
      <c r="G70" s="371"/>
      <c r="H70" s="588">
        <v>21164.6742038261</v>
      </c>
      <c r="I70" s="586">
        <f t="shared" si="10"/>
        <v>1.8022029712803305</v>
      </c>
    </row>
    <row r="71" spans="1:9" x14ac:dyDescent="0.25">
      <c r="A71" s="41">
        <f t="shared" si="11"/>
        <v>42644</v>
      </c>
      <c r="B71" s="585">
        <v>685.48900000000003</v>
      </c>
      <c r="C71" s="586">
        <f t="shared" si="8"/>
        <v>1.5045224189509216</v>
      </c>
      <c r="D71" s="371"/>
      <c r="E71" s="587">
        <v>4752.8919999999998</v>
      </c>
      <c r="F71" s="586">
        <f t="shared" si="9"/>
        <v>1.4749443340373551</v>
      </c>
      <c r="G71" s="371"/>
      <c r="H71" s="588">
        <v>21386.844369498998</v>
      </c>
      <c r="I71" s="586">
        <f t="shared" si="10"/>
        <v>1.821121085910848</v>
      </c>
    </row>
    <row r="72" spans="1:9" x14ac:dyDescent="0.25">
      <c r="A72" s="41">
        <f t="shared" si="11"/>
        <v>42675</v>
      </c>
      <c r="B72" s="585">
        <v>686.60699999999997</v>
      </c>
      <c r="C72" s="586">
        <f t="shared" si="8"/>
        <v>1.5069762235552071</v>
      </c>
      <c r="D72" s="371"/>
      <c r="E72" s="587">
        <v>4761.4470000000001</v>
      </c>
      <c r="F72" s="586">
        <f t="shared" si="9"/>
        <v>1.4775991700356672</v>
      </c>
      <c r="G72" s="371"/>
      <c r="H72" s="588">
        <v>21608.9010632278</v>
      </c>
      <c r="I72" s="586">
        <f t="shared" si="10"/>
        <v>1.8400295382393224</v>
      </c>
    </row>
    <row r="73" spans="1:9" x14ac:dyDescent="0.25">
      <c r="A73" s="41">
        <f t="shared" si="11"/>
        <v>42705</v>
      </c>
      <c r="B73" s="585">
        <v>688.98500000000001</v>
      </c>
      <c r="C73" s="586">
        <f t="shared" si="8"/>
        <v>1.5121954966759508</v>
      </c>
      <c r="D73" s="371"/>
      <c r="E73" s="587">
        <v>4775.732</v>
      </c>
      <c r="F73" s="586">
        <f t="shared" si="9"/>
        <v>1.4820321720503824</v>
      </c>
      <c r="G73" s="371"/>
      <c r="H73" s="588">
        <v>21851.827471838598</v>
      </c>
      <c r="I73" s="586">
        <f t="shared" si="10"/>
        <v>1.8607150773213126</v>
      </c>
    </row>
    <row r="74" spans="1:9" x14ac:dyDescent="0.25">
      <c r="A74" s="41">
        <f t="shared" si="11"/>
        <v>42736</v>
      </c>
      <c r="B74" s="585">
        <v>691.79200000000003</v>
      </c>
      <c r="C74" s="586">
        <f t="shared" si="8"/>
        <v>1.5183563459820595</v>
      </c>
      <c r="D74" s="371"/>
      <c r="E74" s="587">
        <v>4793.88</v>
      </c>
      <c r="F74" s="586">
        <f t="shared" si="9"/>
        <v>1.4876639620792975</v>
      </c>
      <c r="G74" s="371"/>
      <c r="H74" s="588">
        <v>22089.745090967001</v>
      </c>
      <c r="I74" s="586">
        <f t="shared" si="10"/>
        <v>1.880974110651277</v>
      </c>
    </row>
    <row r="75" spans="1:9" x14ac:dyDescent="0.25">
      <c r="A75" s="41">
        <f t="shared" si="11"/>
        <v>42767</v>
      </c>
      <c r="B75" s="585">
        <v>696.31399999999996</v>
      </c>
      <c r="C75" s="586">
        <f t="shared" si="8"/>
        <v>1.528281305213347</v>
      </c>
      <c r="D75" s="371"/>
      <c r="E75" s="587">
        <v>4809.6989999999996</v>
      </c>
      <c r="F75" s="586">
        <f t="shared" si="9"/>
        <v>1.4925730036523306</v>
      </c>
      <c r="G75" s="371"/>
      <c r="H75" s="588">
        <v>22281.429272997</v>
      </c>
      <c r="I75" s="586">
        <f t="shared" si="10"/>
        <v>1.8972962991751832</v>
      </c>
    </row>
    <row r="76" spans="1:9" x14ac:dyDescent="0.25">
      <c r="A76" s="41">
        <f t="shared" si="11"/>
        <v>42795</v>
      </c>
      <c r="B76" s="585">
        <v>697.41</v>
      </c>
      <c r="C76" s="586">
        <f t="shared" si="8"/>
        <v>1.5306868238594087</v>
      </c>
      <c r="D76" s="371"/>
      <c r="E76" s="587">
        <v>4821.6899999999996</v>
      </c>
      <c r="F76" s="586">
        <f t="shared" si="9"/>
        <v>1.4962941186091698</v>
      </c>
      <c r="G76" s="371"/>
      <c r="H76" s="588">
        <v>22515.8424891463</v>
      </c>
      <c r="I76" s="586">
        <f t="shared" si="10"/>
        <v>1.9172569274647164</v>
      </c>
    </row>
    <row r="77" spans="1:9" x14ac:dyDescent="0.25">
      <c r="A77" s="41">
        <f t="shared" si="11"/>
        <v>42826</v>
      </c>
      <c r="B77" s="585">
        <v>697.24400000000003</v>
      </c>
      <c r="C77" s="586">
        <f t="shared" si="8"/>
        <v>1.5303224843564469</v>
      </c>
      <c r="D77" s="371"/>
      <c r="E77" s="587">
        <v>4828.4399999999996</v>
      </c>
      <c r="F77" s="586">
        <f t="shared" si="9"/>
        <v>1.4983888167960322</v>
      </c>
      <c r="G77" s="371"/>
      <c r="H77" s="588">
        <v>22693.754358854301</v>
      </c>
      <c r="I77" s="586">
        <f t="shared" si="10"/>
        <v>1.9324063834462235</v>
      </c>
    </row>
    <row r="78" spans="1:9" x14ac:dyDescent="0.25">
      <c r="A78" s="41">
        <f t="shared" si="11"/>
        <v>42856</v>
      </c>
      <c r="B78" s="585">
        <v>701.66399999999999</v>
      </c>
      <c r="C78" s="586">
        <f t="shared" si="8"/>
        <v>1.5400235723268783</v>
      </c>
      <c r="D78" s="371"/>
      <c r="E78" s="587">
        <v>4843.41</v>
      </c>
      <c r="F78" s="586">
        <f t="shared" si="9"/>
        <v>1.5030343918860067</v>
      </c>
      <c r="G78" s="371"/>
      <c r="H78" s="588">
        <v>22904.155394323101</v>
      </c>
      <c r="I78" s="586">
        <f t="shared" si="10"/>
        <v>1.9503223394222329</v>
      </c>
    </row>
    <row r="79" spans="1:9" x14ac:dyDescent="0.25">
      <c r="A79" s="41">
        <f t="shared" si="11"/>
        <v>42887</v>
      </c>
      <c r="B79" s="585">
        <v>708.197</v>
      </c>
      <c r="C79" s="586">
        <f t="shared" si="8"/>
        <v>1.5543623071030839</v>
      </c>
      <c r="D79" s="371"/>
      <c r="E79" s="587">
        <v>4832.2700000000004</v>
      </c>
      <c r="F79" s="586">
        <f t="shared" si="9"/>
        <v>1.4995773640635408</v>
      </c>
      <c r="G79" s="371"/>
      <c r="H79" s="588">
        <v>23090.247967712199</v>
      </c>
      <c r="I79" s="586">
        <f t="shared" si="10"/>
        <v>1.9661683942901318</v>
      </c>
    </row>
    <row r="80" spans="1:9" x14ac:dyDescent="0.25">
      <c r="A80" s="41">
        <f t="shared" si="11"/>
        <v>42917</v>
      </c>
      <c r="B80" s="585">
        <v>710.35500000000002</v>
      </c>
      <c r="C80" s="586">
        <f t="shared" si="8"/>
        <v>1.5590987206415887</v>
      </c>
      <c r="D80" s="371"/>
      <c r="E80" s="587">
        <v>4843.87</v>
      </c>
      <c r="F80" s="586">
        <f t="shared" si="9"/>
        <v>1.5031771416883706</v>
      </c>
      <c r="G80" s="371"/>
      <c r="H80" s="588">
        <v>23275.332842324999</v>
      </c>
      <c r="I80" s="586">
        <f t="shared" si="10"/>
        <v>1.9819286421330178</v>
      </c>
    </row>
    <row r="81" spans="1:9" x14ac:dyDescent="0.25">
      <c r="A81" s="41">
        <f t="shared" si="11"/>
        <v>42948</v>
      </c>
      <c r="B81" s="585">
        <v>712.88400000000001</v>
      </c>
      <c r="C81" s="586">
        <f t="shared" si="8"/>
        <v>1.5646494110210505</v>
      </c>
      <c r="D81" s="371"/>
      <c r="E81" s="587">
        <v>4853.07</v>
      </c>
      <c r="F81" s="586">
        <f t="shared" si="9"/>
        <v>1.5060321377356496</v>
      </c>
      <c r="G81" s="371"/>
      <c r="H81" s="588">
        <v>23462.068370810601</v>
      </c>
      <c r="I81" s="586">
        <f t="shared" si="10"/>
        <v>1.9978294455679941</v>
      </c>
    </row>
    <row r="82" spans="1:9" x14ac:dyDescent="0.25">
      <c r="A82" s="41">
        <f t="shared" si="11"/>
        <v>42979</v>
      </c>
      <c r="B82" s="585">
        <v>713.33</v>
      </c>
      <c r="C82" s="586">
        <f t="shared" si="8"/>
        <v>1.5656282990832253</v>
      </c>
      <c r="D82" s="371"/>
      <c r="E82" s="587">
        <v>4860.83</v>
      </c>
      <c r="F82" s="586">
        <f t="shared" si="9"/>
        <v>1.5084402648363979</v>
      </c>
      <c r="G82" s="371"/>
      <c r="H82" s="588">
        <v>23612.7265745021</v>
      </c>
      <c r="I82" s="586">
        <f t="shared" si="10"/>
        <v>2.010658212017491</v>
      </c>
    </row>
    <row r="83" spans="1:9" x14ac:dyDescent="0.25">
      <c r="A83" s="41">
        <f t="shared" si="11"/>
        <v>43009</v>
      </c>
      <c r="B83" s="585">
        <v>715.52700000000004</v>
      </c>
      <c r="C83" s="586">
        <f t="shared" si="8"/>
        <v>1.5704503104567633</v>
      </c>
      <c r="D83" s="371"/>
      <c r="E83" s="587">
        <v>4881.25</v>
      </c>
      <c r="F83" s="586">
        <f t="shared" si="9"/>
        <v>1.5147771147587279</v>
      </c>
      <c r="G83" s="371"/>
      <c r="H83" s="588">
        <v>23765.4324739847</v>
      </c>
      <c r="I83" s="586">
        <f t="shared" si="10"/>
        <v>2.0236613427592736</v>
      </c>
    </row>
    <row r="84" spans="1:9" x14ac:dyDescent="0.25">
      <c r="A84" s="41">
        <f t="shared" si="11"/>
        <v>43040</v>
      </c>
      <c r="B84" s="585">
        <v>717.75099999999998</v>
      </c>
      <c r="C84" s="586">
        <f t="shared" si="8"/>
        <v>1.5753315818699394</v>
      </c>
      <c r="D84" s="371"/>
      <c r="E84" s="587">
        <v>4894.92</v>
      </c>
      <c r="F84" s="586">
        <f t="shared" si="9"/>
        <v>1.5190192664941957</v>
      </c>
      <c r="G84" s="371"/>
      <c r="H84" s="588">
        <v>23900.4647709249</v>
      </c>
      <c r="I84" s="586">
        <f t="shared" si="10"/>
        <v>2.035159540389003</v>
      </c>
    </row>
    <row r="85" spans="1:9" x14ac:dyDescent="0.25">
      <c r="A85" s="41">
        <f t="shared" si="11"/>
        <v>43070</v>
      </c>
      <c r="B85" s="585">
        <v>718.27599999999995</v>
      </c>
      <c r="C85" s="586">
        <f t="shared" si="8"/>
        <v>1.5764838604184634</v>
      </c>
      <c r="D85" s="371"/>
      <c r="E85" s="587">
        <v>4916.46</v>
      </c>
      <c r="F85" s="586">
        <f t="shared" si="9"/>
        <v>1.525703681152716</v>
      </c>
      <c r="G85" s="371"/>
      <c r="H85" s="588">
        <v>24029.589787148299</v>
      </c>
      <c r="I85" s="586">
        <f t="shared" si="10"/>
        <v>2.0461547244236509</v>
      </c>
    </row>
    <row r="86" spans="1:9" x14ac:dyDescent="0.25">
      <c r="A86" s="41">
        <f t="shared" si="11"/>
        <v>43101</v>
      </c>
      <c r="B86" s="585">
        <v>720.495</v>
      </c>
      <c r="C86" s="586">
        <f t="shared" si="8"/>
        <v>1.5813541577502255</v>
      </c>
      <c r="D86" s="371"/>
      <c r="E86" s="587">
        <v>4930.72</v>
      </c>
      <c r="F86" s="586">
        <f t="shared" si="9"/>
        <v>1.5301289250259986</v>
      </c>
      <c r="G86" s="371"/>
      <c r="H86" s="588">
        <v>24169.971788602801</v>
      </c>
      <c r="I86" s="586">
        <f t="shared" si="10"/>
        <v>2.0581084572191148</v>
      </c>
    </row>
    <row r="87" spans="1:9" x14ac:dyDescent="0.25">
      <c r="A87" s="41">
        <f t="shared" si="11"/>
        <v>43132</v>
      </c>
      <c r="B87" s="585">
        <v>721.41399999999999</v>
      </c>
      <c r="C87" s="586">
        <f t="shared" si="8"/>
        <v>1.5833711939142132</v>
      </c>
      <c r="D87" s="371"/>
      <c r="E87" s="587">
        <v>4946.5</v>
      </c>
      <c r="F87" s="586">
        <f t="shared" si="9"/>
        <v>1.5350258638983965</v>
      </c>
      <c r="G87" s="371"/>
      <c r="H87" s="588">
        <v>24282.733093722101</v>
      </c>
      <c r="I87" s="586">
        <f t="shared" si="10"/>
        <v>2.0677102473139848</v>
      </c>
    </row>
    <row r="88" spans="1:9" x14ac:dyDescent="0.25">
      <c r="A88" s="41">
        <f t="shared" si="11"/>
        <v>43160</v>
      </c>
      <c r="B88" s="585">
        <v>723.16300000000001</v>
      </c>
      <c r="C88" s="586">
        <f t="shared" si="8"/>
        <v>1.5872099275930107</v>
      </c>
      <c r="D88" s="371"/>
      <c r="E88" s="587">
        <v>4950.95</v>
      </c>
      <c r="F88" s="586">
        <f t="shared" si="9"/>
        <v>1.536406813073439</v>
      </c>
      <c r="G88" s="371"/>
      <c r="H88" s="588">
        <v>24412.228425794801</v>
      </c>
      <c r="I88" s="586">
        <f t="shared" si="10"/>
        <v>2.0787369642849538</v>
      </c>
    </row>
    <row r="89" spans="1:9" x14ac:dyDescent="0.25">
      <c r="A89" s="41">
        <f t="shared" si="11"/>
        <v>43191</v>
      </c>
      <c r="B89" s="585">
        <v>725.245</v>
      </c>
      <c r="C89" s="586">
        <f t="shared" si="8"/>
        <v>1.5917795350940149</v>
      </c>
      <c r="D89" s="371"/>
      <c r="E89" s="587">
        <v>4961.84</v>
      </c>
      <c r="F89" s="586">
        <f t="shared" si="9"/>
        <v>1.5397862594815768</v>
      </c>
      <c r="G89" s="371"/>
      <c r="H89" s="588">
        <v>24538.755758318501</v>
      </c>
      <c r="I89" s="586">
        <f t="shared" si="10"/>
        <v>2.089510951752295</v>
      </c>
    </row>
    <row r="90" spans="1:9" x14ac:dyDescent="0.25">
      <c r="A90" s="41">
        <f t="shared" si="11"/>
        <v>43221</v>
      </c>
      <c r="B90" s="585">
        <v>726.923</v>
      </c>
      <c r="C90" s="586">
        <f t="shared" si="8"/>
        <v>1.5954624368167261</v>
      </c>
      <c r="D90" s="371"/>
      <c r="E90" s="587">
        <v>4981.6899999999996</v>
      </c>
      <c r="F90" s="586">
        <f t="shared" si="9"/>
        <v>1.5459462237792383</v>
      </c>
      <c r="G90" s="371"/>
      <c r="H90" s="588">
        <v>24665.938875541498</v>
      </c>
      <c r="I90" s="586">
        <f t="shared" si="10"/>
        <v>2.1003407802461607</v>
      </c>
    </row>
    <row r="91" spans="1:9" x14ac:dyDescent="0.25">
      <c r="A91" s="41">
        <f t="shared" si="11"/>
        <v>43252</v>
      </c>
      <c r="B91" s="585">
        <v>733.98400000000004</v>
      </c>
      <c r="C91" s="586">
        <f t="shared" si="8"/>
        <v>1.6109600345903046</v>
      </c>
      <c r="D91" s="371"/>
      <c r="E91" s="587">
        <v>5044.46</v>
      </c>
      <c r="F91" s="586">
        <f t="shared" si="9"/>
        <v>1.5654253652887709</v>
      </c>
      <c r="G91" s="371"/>
      <c r="H91" s="588">
        <v>24793.781176362401</v>
      </c>
      <c r="I91" s="586">
        <f t="shared" si="10"/>
        <v>2.1112267391877397</v>
      </c>
    </row>
    <row r="92" spans="1:9" x14ac:dyDescent="0.25">
      <c r="A92" s="41">
        <f t="shared" si="11"/>
        <v>43282</v>
      </c>
      <c r="B92" s="585">
        <v>738.48699999999997</v>
      </c>
      <c r="C92" s="586">
        <f t="shared" si="8"/>
        <v>1.6208432923122169</v>
      </c>
      <c r="D92" s="371"/>
      <c r="E92" s="587">
        <v>5061.1099999999997</v>
      </c>
      <c r="F92" s="586">
        <f t="shared" si="9"/>
        <v>1.5705922874830309</v>
      </c>
      <c r="G92" s="371"/>
      <c r="H92" s="588">
        <v>24928.421944128098</v>
      </c>
      <c r="I92" s="586">
        <f t="shared" si="10"/>
        <v>2.1226915975354737</v>
      </c>
    </row>
    <row r="93" spans="1:9" x14ac:dyDescent="0.25">
      <c r="A93" s="41">
        <f t="shared" si="11"/>
        <v>43313</v>
      </c>
      <c r="B93" s="585">
        <v>739.58299999999997</v>
      </c>
      <c r="C93" s="586">
        <f t="shared" si="8"/>
        <v>1.6232488109582786</v>
      </c>
      <c r="D93" s="371"/>
      <c r="E93" s="587">
        <v>5056.5600000000004</v>
      </c>
      <c r="F93" s="586">
        <f t="shared" si="9"/>
        <v>1.5691803057422573</v>
      </c>
      <c r="G93" s="371"/>
      <c r="H93" s="588">
        <v>25069.964574528101</v>
      </c>
      <c r="I93" s="586">
        <f t="shared" si="10"/>
        <v>2.1347441595835868</v>
      </c>
    </row>
    <row r="94" spans="1:9" x14ac:dyDescent="0.25">
      <c r="A94" s="41">
        <f t="shared" si="11"/>
        <v>43344</v>
      </c>
      <c r="B94" s="585">
        <v>741.30499999999995</v>
      </c>
      <c r="C94" s="586">
        <f t="shared" si="8"/>
        <v>1.6270282845974375</v>
      </c>
      <c r="D94" s="371"/>
      <c r="E94" s="587">
        <v>5080.83</v>
      </c>
      <c r="F94" s="586">
        <f t="shared" si="9"/>
        <v>1.576711909445242</v>
      </c>
      <c r="G94" s="371"/>
      <c r="H94" s="588">
        <v>25187.497069618999</v>
      </c>
      <c r="I94" s="586">
        <f t="shared" si="10"/>
        <v>2.1447522234845429</v>
      </c>
    </row>
    <row r="95" spans="1:9" x14ac:dyDescent="0.25">
      <c r="A95" s="41">
        <f t="shared" si="11"/>
        <v>43374</v>
      </c>
      <c r="B95" s="585">
        <v>743.86599999999999</v>
      </c>
      <c r="C95" s="586">
        <f t="shared" si="8"/>
        <v>1.6326492090979523</v>
      </c>
      <c r="D95" s="371"/>
      <c r="E95" s="587">
        <v>5103.6899999999996</v>
      </c>
      <c r="F95" s="586">
        <f t="shared" si="9"/>
        <v>1.5838059539714153</v>
      </c>
      <c r="G95" s="371"/>
      <c r="H95" s="588">
        <v>25324.2758819927</v>
      </c>
      <c r="I95" s="586">
        <f t="shared" si="10"/>
        <v>2.1563991394584971</v>
      </c>
    </row>
    <row r="96" spans="1:9" x14ac:dyDescent="0.25">
      <c r="A96" s="41">
        <f t="shared" si="11"/>
        <v>43405</v>
      </c>
      <c r="B96" s="585">
        <v>744.86500000000001</v>
      </c>
      <c r="C96" s="586">
        <f t="shared" si="8"/>
        <v>1.6348418305645724</v>
      </c>
      <c r="D96" s="371"/>
      <c r="E96" s="587">
        <v>5092.97</v>
      </c>
      <c r="F96" s="586">
        <f t="shared" si="9"/>
        <v>1.5804792629250211</v>
      </c>
      <c r="G96" s="371"/>
      <c r="H96" s="588">
        <v>25449.2647009092</v>
      </c>
      <c r="I96" s="586">
        <f t="shared" si="10"/>
        <v>2.1670421202414194</v>
      </c>
    </row>
    <row r="97" spans="1:12" x14ac:dyDescent="0.25">
      <c r="A97" s="41">
        <f t="shared" si="11"/>
        <v>43435</v>
      </c>
      <c r="B97" s="585">
        <v>745.85599999999999</v>
      </c>
      <c r="C97" s="586">
        <f t="shared" si="8"/>
        <v>1.6370168935009295</v>
      </c>
      <c r="D97" s="371"/>
      <c r="E97" s="587">
        <v>5100.6099999999997</v>
      </c>
      <c r="F97" s="586">
        <f t="shared" si="9"/>
        <v>1.5828501509468917</v>
      </c>
      <c r="G97" s="371"/>
      <c r="H97" s="588">
        <v>25574.870406362701</v>
      </c>
      <c r="I97" s="586">
        <f t="shared" si="10"/>
        <v>2.1777376298154407</v>
      </c>
    </row>
    <row r="98" spans="1:12" x14ac:dyDescent="0.25">
      <c r="A98" s="41">
        <f t="shared" si="11"/>
        <v>43466</v>
      </c>
      <c r="B98" s="585">
        <v>749.51700000000005</v>
      </c>
      <c r="C98" s="586">
        <f t="shared" ref="C98:C129" si="12">B98/$B$2</f>
        <v>1.6450521159126374</v>
      </c>
      <c r="D98" s="371"/>
      <c r="E98" s="587">
        <v>5116.93</v>
      </c>
      <c r="F98" s="586">
        <f t="shared" ref="F98:F129" si="13">E98/$E$2</f>
        <v>1.5879146656742389</v>
      </c>
      <c r="G98" s="371"/>
      <c r="H98" s="588">
        <v>25713.752820566799</v>
      </c>
      <c r="I98" s="586">
        <f t="shared" ref="I98:I129" si="14">H98/$H$2</f>
        <v>2.1895636705627139</v>
      </c>
    </row>
    <row r="99" spans="1:12" x14ac:dyDescent="0.25">
      <c r="A99" s="41">
        <f t="shared" ref="A99:A130" si="15">DATE(YEAR(A98),MONTH(A98)+1,1)</f>
        <v>43497</v>
      </c>
      <c r="B99" s="585">
        <v>750.18</v>
      </c>
      <c r="C99" s="586">
        <f t="shared" si="12"/>
        <v>1.646507279108202</v>
      </c>
      <c r="D99" s="371"/>
      <c r="E99" s="587">
        <v>5138.93</v>
      </c>
      <c r="F99" s="586">
        <f t="shared" si="13"/>
        <v>1.5947418301351233</v>
      </c>
      <c r="G99" s="371"/>
      <c r="H99" s="588">
        <v>25840.6639160677</v>
      </c>
      <c r="I99" s="586">
        <f t="shared" si="14"/>
        <v>2.2003703360089895</v>
      </c>
    </row>
    <row r="100" spans="1:12" x14ac:dyDescent="0.25">
      <c r="A100" s="41">
        <f t="shared" si="15"/>
        <v>43525</v>
      </c>
      <c r="B100" s="585">
        <v>752.524</v>
      </c>
      <c r="C100" s="586">
        <f t="shared" si="12"/>
        <v>1.6516519284753268</v>
      </c>
      <c r="D100" s="371"/>
      <c r="E100" s="587">
        <v>5177.47</v>
      </c>
      <c r="F100" s="586">
        <f t="shared" si="13"/>
        <v>1.6067017809679633</v>
      </c>
      <c r="G100" s="371"/>
      <c r="H100" s="588">
        <v>25961.809588045999</v>
      </c>
      <c r="I100" s="586">
        <f t="shared" si="14"/>
        <v>2.2106860672077988</v>
      </c>
      <c r="J100" s="336"/>
    </row>
    <row r="101" spans="1:12" x14ac:dyDescent="0.25">
      <c r="A101" s="41">
        <f t="shared" si="15"/>
        <v>43556</v>
      </c>
      <c r="B101" s="585">
        <v>755.37300000000005</v>
      </c>
      <c r="C101" s="586">
        <f t="shared" si="12"/>
        <v>1.6579049600653177</v>
      </c>
      <c r="D101" s="371"/>
      <c r="E101" s="587">
        <v>5206.9799999999996</v>
      </c>
      <c r="F101" s="586">
        <f t="shared" si="13"/>
        <v>1.6158594911152677</v>
      </c>
      <c r="G101" s="371"/>
      <c r="H101" s="588">
        <v>26096.368320553898</v>
      </c>
      <c r="I101" s="586">
        <f t="shared" si="14"/>
        <v>2.2221439401333178</v>
      </c>
    </row>
    <row r="102" spans="1:12" x14ac:dyDescent="0.25">
      <c r="A102" s="41">
        <f t="shared" si="15"/>
        <v>43586</v>
      </c>
      <c r="B102" s="585">
        <v>755.625</v>
      </c>
      <c r="C102" s="586">
        <f t="shared" si="12"/>
        <v>1.6584580537686091</v>
      </c>
      <c r="D102" s="371"/>
      <c r="E102" s="587">
        <v>5213.75</v>
      </c>
      <c r="F102" s="586">
        <f t="shared" si="13"/>
        <v>1.6179603958152764</v>
      </c>
      <c r="G102" s="371"/>
      <c r="H102" s="588">
        <v>26238.082690039599</v>
      </c>
      <c r="I102" s="586">
        <f t="shared" si="14"/>
        <v>2.2342111260158237</v>
      </c>
    </row>
    <row r="103" spans="1:12" x14ac:dyDescent="0.25">
      <c r="A103" s="41">
        <f t="shared" si="15"/>
        <v>43617</v>
      </c>
      <c r="B103" s="585">
        <v>762.30399999999997</v>
      </c>
      <c r="C103" s="586">
        <f t="shared" si="12"/>
        <v>1.6731172317221186</v>
      </c>
      <c r="D103" s="371"/>
      <c r="E103" s="587">
        <v>5214.2700000000004</v>
      </c>
      <c r="F103" s="586">
        <f t="shared" si="13"/>
        <v>1.6181217651570792</v>
      </c>
      <c r="G103" s="371"/>
      <c r="H103" s="588">
        <v>26361.0915325846</v>
      </c>
      <c r="I103" s="586">
        <f t="shared" si="14"/>
        <v>2.24468550891411</v>
      </c>
    </row>
    <row r="104" spans="1:12" x14ac:dyDescent="0.25">
      <c r="A104" s="41">
        <f t="shared" si="15"/>
        <v>43647</v>
      </c>
      <c r="B104" s="585">
        <v>766.69899999999996</v>
      </c>
      <c r="C104" s="586">
        <f t="shared" si="12"/>
        <v>1.6827634492854773</v>
      </c>
      <c r="D104" s="371"/>
      <c r="E104" s="587">
        <v>5224.18</v>
      </c>
      <c r="F104" s="586">
        <f t="shared" si="13"/>
        <v>1.6211970924210504</v>
      </c>
      <c r="G104" s="371"/>
      <c r="H104" s="588">
        <v>26510.768806344699</v>
      </c>
      <c r="I104" s="586">
        <f t="shared" si="14"/>
        <v>2.2574307477448983</v>
      </c>
    </row>
    <row r="105" spans="1:12" x14ac:dyDescent="0.25">
      <c r="A105" s="41">
        <f t="shared" si="15"/>
        <v>43678</v>
      </c>
      <c r="B105" s="585">
        <v>769.95100000000002</v>
      </c>
      <c r="C105" s="586">
        <f t="shared" si="12"/>
        <v>1.6899009918374781</v>
      </c>
      <c r="D105" s="371"/>
      <c r="E105" s="587">
        <v>5229.93</v>
      </c>
      <c r="F105" s="586">
        <f t="shared" si="13"/>
        <v>1.6229814649505996</v>
      </c>
      <c r="G105" s="371"/>
      <c r="H105" s="588">
        <v>26644.276359337098</v>
      </c>
      <c r="I105" s="586">
        <f t="shared" si="14"/>
        <v>2.2687991111968513</v>
      </c>
    </row>
    <row r="106" spans="1:12" x14ac:dyDescent="0.25">
      <c r="A106" s="41">
        <f t="shared" si="15"/>
        <v>43709</v>
      </c>
      <c r="B106" s="585">
        <v>773.52</v>
      </c>
      <c r="C106" s="586">
        <f t="shared" si="12"/>
        <v>1.697734291151159</v>
      </c>
      <c r="D106" s="371"/>
      <c r="E106" s="587">
        <v>5227.84</v>
      </c>
      <c r="F106" s="586">
        <f t="shared" si="13"/>
        <v>1.6223328843268157</v>
      </c>
      <c r="G106" s="371"/>
      <c r="H106" s="588">
        <v>26768.344715723499</v>
      </c>
      <c r="I106" s="586">
        <f t="shared" si="14"/>
        <v>2.2793637132487468</v>
      </c>
    </row>
    <row r="107" spans="1:12" x14ac:dyDescent="0.25">
      <c r="A107" s="41">
        <f t="shared" si="15"/>
        <v>43739</v>
      </c>
      <c r="B107" s="585">
        <v>774.93899999999996</v>
      </c>
      <c r="C107" s="586">
        <f t="shared" si="12"/>
        <v>1.7008487354565984</v>
      </c>
      <c r="D107" s="371"/>
      <c r="E107" s="587">
        <v>5233.07</v>
      </c>
      <c r="F107" s="586">
        <f t="shared" si="13"/>
        <v>1.6239558875145621</v>
      </c>
      <c r="G107" s="371"/>
      <c r="H107" s="588">
        <v>26897.143224847499</v>
      </c>
      <c r="I107" s="586">
        <f t="shared" si="14"/>
        <v>2.2903310947262177</v>
      </c>
    </row>
    <row r="108" spans="1:12" x14ac:dyDescent="0.25">
      <c r="A108" s="41">
        <f t="shared" si="15"/>
        <v>43770</v>
      </c>
      <c r="B108" s="585">
        <v>775.22500000000002</v>
      </c>
      <c r="C108" s="586">
        <f t="shared" si="12"/>
        <v>1.7014764529135089</v>
      </c>
      <c r="D108" s="371"/>
      <c r="E108" s="587">
        <v>5259.76</v>
      </c>
      <c r="F108" s="586">
        <f t="shared" si="13"/>
        <v>1.6322384793082443</v>
      </c>
      <c r="G108" s="371"/>
      <c r="H108" s="588">
        <v>26999.456083983801</v>
      </c>
      <c r="I108" s="586">
        <f t="shared" si="14"/>
        <v>2.2990431843600989</v>
      </c>
    </row>
    <row r="109" spans="1:12" x14ac:dyDescent="0.25">
      <c r="A109" s="41">
        <f t="shared" si="15"/>
        <v>43800</v>
      </c>
      <c r="B109" s="585">
        <v>776.83900000000006</v>
      </c>
      <c r="C109" s="586">
        <f t="shared" si="12"/>
        <v>1.7050188863941145</v>
      </c>
      <c r="D109" s="371"/>
      <c r="E109" s="587">
        <v>5320.25</v>
      </c>
      <c r="F109" s="586">
        <f t="shared" si="13"/>
        <v>1.6510100783191031</v>
      </c>
      <c r="G109" s="371"/>
      <c r="H109" s="588">
        <v>27101.1378310619</v>
      </c>
      <c r="I109" s="586">
        <f t="shared" si="14"/>
        <v>2.3077015338789399</v>
      </c>
    </row>
    <row r="110" spans="1:12" x14ac:dyDescent="0.25">
      <c r="A110" s="41">
        <f t="shared" si="15"/>
        <v>43831</v>
      </c>
      <c r="B110" s="585">
        <v>779.76599999999996</v>
      </c>
      <c r="C110" s="586">
        <f t="shared" si="12"/>
        <v>1.7114431136541715</v>
      </c>
      <c r="D110" s="371"/>
      <c r="E110" s="587">
        <v>5331.42</v>
      </c>
      <c r="F110" s="586">
        <f t="shared" si="13"/>
        <v>1.6544764159112886</v>
      </c>
      <c r="G110" s="371"/>
      <c r="H110" s="588">
        <v>27203.209759113899</v>
      </c>
      <c r="I110" s="586">
        <f t="shared" si="14"/>
        <v>2.3163931078785231</v>
      </c>
      <c r="K110" t="s">
        <v>177</v>
      </c>
      <c r="L110" s="243" t="s">
        <v>914</v>
      </c>
    </row>
    <row r="111" spans="1:12" x14ac:dyDescent="0.25">
      <c r="A111" s="41">
        <f t="shared" si="15"/>
        <v>43862</v>
      </c>
      <c r="B111" s="585">
        <v>782.33600000000001</v>
      </c>
      <c r="C111" s="586">
        <f t="shared" si="12"/>
        <v>1.7170837915012322</v>
      </c>
      <c r="D111" s="371"/>
      <c r="E111" s="587">
        <v>5344.75</v>
      </c>
      <c r="F111" s="586">
        <f t="shared" si="13"/>
        <v>1.65861305692327</v>
      </c>
      <c r="G111" s="371"/>
      <c r="H111" s="588">
        <v>27283.373068211</v>
      </c>
      <c r="I111" s="586">
        <f t="shared" si="14"/>
        <v>2.3232191309229195</v>
      </c>
      <c r="K111" t="s">
        <v>178</v>
      </c>
      <c r="L111" s="243" t="s">
        <v>915</v>
      </c>
    </row>
    <row r="112" spans="1:12" x14ac:dyDescent="0.25">
      <c r="A112" s="41">
        <f t="shared" si="15"/>
        <v>43891</v>
      </c>
      <c r="B112" s="585">
        <v>784.33799999999997</v>
      </c>
      <c r="C112" s="586">
        <f t="shared" si="12"/>
        <v>1.7214778136996041</v>
      </c>
      <c r="D112" s="371"/>
      <c r="E112" s="587">
        <v>5348.491325</v>
      </c>
      <c r="F112" s="586">
        <f t="shared" si="13"/>
        <v>1.6597740860631163</v>
      </c>
      <c r="G112" s="371"/>
      <c r="H112" s="588">
        <v>27376.214386664898</v>
      </c>
      <c r="I112" s="586">
        <f t="shared" si="14"/>
        <v>2.33112470501132</v>
      </c>
      <c r="K112" t="s">
        <v>913</v>
      </c>
      <c r="L112" s="243" t="s">
        <v>916</v>
      </c>
    </row>
    <row r="113" spans="1:12" x14ac:dyDescent="0.25">
      <c r="A113" s="41">
        <f t="shared" si="15"/>
        <v>43922</v>
      </c>
      <c r="B113" s="585">
        <v>786.07</v>
      </c>
      <c r="C113" s="586">
        <f t="shared" si="12"/>
        <v>1.7252792355015922</v>
      </c>
      <c r="D113" s="371"/>
      <c r="E113" s="587">
        <v>5331.9110018925003</v>
      </c>
      <c r="F113" s="586">
        <f t="shared" si="13"/>
        <v>1.6546287863963205</v>
      </c>
      <c r="G113" s="371"/>
      <c r="H113" s="588">
        <v>27454.216038891998</v>
      </c>
      <c r="I113" s="586">
        <f t="shared" si="14"/>
        <v>2.3377666598108435</v>
      </c>
      <c r="L113" t="s">
        <v>917</v>
      </c>
    </row>
    <row r="114" spans="1:12" x14ac:dyDescent="0.25">
      <c r="A114" s="41">
        <f t="shared" si="15"/>
        <v>43952</v>
      </c>
      <c r="B114" s="585">
        <v>787.66600000000005</v>
      </c>
      <c r="C114" s="586">
        <f t="shared" si="12"/>
        <v>1.7287821622891055</v>
      </c>
      <c r="D114" s="371"/>
      <c r="E114" s="587">
        <v>5311.6497400853086</v>
      </c>
      <c r="F114" s="586">
        <f t="shared" si="13"/>
        <v>1.6483411970080146</v>
      </c>
      <c r="G114" s="371"/>
      <c r="H114" s="588">
        <v>27519.748727554499</v>
      </c>
      <c r="I114" s="586">
        <f t="shared" si="14"/>
        <v>2.3433468641213921</v>
      </c>
    </row>
    <row r="115" spans="1:12" x14ac:dyDescent="0.25">
      <c r="A115" s="41">
        <f t="shared" si="15"/>
        <v>43983</v>
      </c>
      <c r="B115" s="585">
        <v>790.33100000000002</v>
      </c>
      <c r="C115" s="586">
        <f t="shared" si="12"/>
        <v>1.7346313476830422</v>
      </c>
      <c r="D115" s="371"/>
      <c r="E115" s="587">
        <v>5325.46</v>
      </c>
      <c r="F115" s="586">
        <f t="shared" si="13"/>
        <v>1.6526268749937034</v>
      </c>
      <c r="G115" s="371"/>
      <c r="H115" s="588"/>
      <c r="I115" s="586"/>
    </row>
    <row r="116" spans="1:12" x14ac:dyDescent="0.25">
      <c r="A116" s="41">
        <f t="shared" si="15"/>
        <v>44013</v>
      </c>
      <c r="B116" s="585">
        <v>799.58900000000006</v>
      </c>
      <c r="C116" s="586">
        <f t="shared" si="12"/>
        <v>1.7549509568301584</v>
      </c>
      <c r="D116" s="371"/>
      <c r="E116" s="587">
        <v>5344.63</v>
      </c>
      <c r="F116" s="586">
        <f t="shared" si="13"/>
        <v>1.6585758178443923</v>
      </c>
      <c r="G116" s="371"/>
      <c r="H116" s="588"/>
      <c r="I116" s="586"/>
    </row>
    <row r="117" spans="1:12" x14ac:dyDescent="0.25">
      <c r="A117" s="41">
        <f t="shared" si="15"/>
        <v>44044</v>
      </c>
      <c r="B117" s="585">
        <v>805.35599999999999</v>
      </c>
      <c r="C117" s="586">
        <f t="shared" si="12"/>
        <v>1.7676084623336603</v>
      </c>
      <c r="D117" s="371"/>
      <c r="E117" s="587">
        <v>5357.46</v>
      </c>
      <c r="F117" s="586">
        <f t="shared" si="13"/>
        <v>1.6625572960277173</v>
      </c>
      <c r="G117" s="371"/>
      <c r="H117" s="588"/>
      <c r="I117" s="586"/>
    </row>
    <row r="118" spans="1:12" x14ac:dyDescent="0.25">
      <c r="A118" s="41">
        <f t="shared" si="15"/>
        <v>44075</v>
      </c>
      <c r="B118" s="585">
        <v>814.70100000000002</v>
      </c>
      <c r="C118" s="586">
        <f t="shared" si="12"/>
        <v>1.7881190204973891</v>
      </c>
      <c r="D118" s="371"/>
      <c r="E118" s="587">
        <v>5391.75</v>
      </c>
      <c r="F118" s="586">
        <f t="shared" si="13"/>
        <v>1.6731983628169775</v>
      </c>
      <c r="G118" s="371"/>
      <c r="H118" s="588"/>
      <c r="I118" s="586"/>
    </row>
    <row r="119" spans="1:12" x14ac:dyDescent="0.25">
      <c r="A119" s="41">
        <f t="shared" si="15"/>
        <v>44105</v>
      </c>
      <c r="B119" s="585">
        <v>828.77800000000002</v>
      </c>
      <c r="C119" s="586">
        <f t="shared" si="12"/>
        <v>1.8190154493118154</v>
      </c>
      <c r="D119" s="371"/>
      <c r="E119" s="587">
        <v>5438.12</v>
      </c>
      <c r="F119" s="586">
        <f t="shared" si="13"/>
        <v>1.6875881635465779</v>
      </c>
      <c r="G119" s="371"/>
      <c r="H119" s="588"/>
      <c r="I119" s="586"/>
    </row>
    <row r="120" spans="1:12" x14ac:dyDescent="0.25">
      <c r="A120" s="233">
        <f t="shared" si="15"/>
        <v>44136</v>
      </c>
      <c r="B120" s="589">
        <v>839.38199999999995</v>
      </c>
      <c r="C120" s="590">
        <f t="shared" si="12"/>
        <v>1.842289281175719</v>
      </c>
      <c r="D120" s="591"/>
      <c r="E120" s="592">
        <v>5486.52</v>
      </c>
      <c r="F120" s="590">
        <f t="shared" si="13"/>
        <v>1.7026079253605237</v>
      </c>
      <c r="G120" s="591"/>
      <c r="H120" s="593"/>
      <c r="I120" s="590"/>
      <c r="K120" s="139">
        <f>B120/B119-1</f>
        <v>1.2794741173148827E-2</v>
      </c>
      <c r="L120" s="139">
        <f>E120/E119-1</f>
        <v>8.9001346053416697E-3</v>
      </c>
    </row>
    <row r="121" spans="1:12" x14ac:dyDescent="0.25">
      <c r="A121" s="41">
        <f t="shared" si="15"/>
        <v>44166</v>
      </c>
      <c r="B121" s="594"/>
      <c r="C121" s="595"/>
      <c r="D121" s="371"/>
      <c r="E121" s="596"/>
      <c r="F121" s="595"/>
      <c r="G121" s="371"/>
      <c r="H121" s="597"/>
      <c r="I121" s="595"/>
    </row>
    <row r="122" spans="1:12" x14ac:dyDescent="0.25">
      <c r="A122" s="41">
        <f t="shared" si="15"/>
        <v>44197</v>
      </c>
      <c r="B122" s="594"/>
      <c r="C122" s="595"/>
      <c r="D122" s="371"/>
      <c r="E122" s="596"/>
      <c r="F122" s="595"/>
      <c r="G122" s="371"/>
      <c r="H122" s="597"/>
      <c r="I122" s="595"/>
    </row>
    <row r="123" spans="1:12" x14ac:dyDescent="0.25">
      <c r="A123" s="41">
        <f t="shared" si="15"/>
        <v>44228</v>
      </c>
      <c r="B123" s="594"/>
      <c r="C123" s="595"/>
      <c r="D123" s="371"/>
      <c r="E123" s="596"/>
      <c r="F123" s="595"/>
      <c r="G123" s="371"/>
      <c r="H123" s="597"/>
      <c r="I123" s="595"/>
    </row>
    <row r="124" spans="1:12" x14ac:dyDescent="0.25">
      <c r="A124" s="41">
        <f t="shared" si="15"/>
        <v>44256</v>
      </c>
      <c r="B124" s="594"/>
      <c r="C124" s="595"/>
      <c r="D124" s="371"/>
      <c r="E124" s="596"/>
      <c r="F124" s="595"/>
      <c r="G124" s="371"/>
      <c r="H124" s="597"/>
      <c r="I124" s="595"/>
    </row>
    <row r="125" spans="1:12" x14ac:dyDescent="0.25">
      <c r="A125" s="41">
        <f t="shared" si="15"/>
        <v>44287</v>
      </c>
      <c r="B125" s="594"/>
      <c r="C125" s="595"/>
      <c r="D125" s="371"/>
      <c r="E125" s="596"/>
      <c r="F125" s="595"/>
      <c r="G125" s="371"/>
      <c r="H125" s="597"/>
      <c r="I125" s="595"/>
    </row>
    <row r="126" spans="1:12" x14ac:dyDescent="0.25">
      <c r="A126" s="41">
        <f t="shared" si="15"/>
        <v>44317</v>
      </c>
      <c r="B126" s="594"/>
      <c r="C126" s="595"/>
      <c r="D126" s="371"/>
      <c r="E126" s="596"/>
      <c r="F126" s="595"/>
      <c r="G126" s="371"/>
      <c r="H126" s="597"/>
      <c r="I126" s="595"/>
    </row>
    <row r="127" spans="1:12" x14ac:dyDescent="0.25">
      <c r="A127" s="41">
        <f t="shared" si="15"/>
        <v>44348</v>
      </c>
      <c r="B127" s="594"/>
      <c r="C127" s="595"/>
      <c r="D127" s="371"/>
      <c r="E127" s="596"/>
      <c r="F127" s="595"/>
      <c r="G127" s="371"/>
      <c r="H127" s="597"/>
      <c r="I127" s="595"/>
    </row>
    <row r="128" spans="1:12" x14ac:dyDescent="0.25">
      <c r="A128" s="41">
        <f t="shared" si="15"/>
        <v>44378</v>
      </c>
      <c r="B128" s="594"/>
      <c r="C128" s="595"/>
      <c r="D128" s="371"/>
      <c r="E128" s="596"/>
      <c r="F128" s="595"/>
      <c r="G128" s="371"/>
      <c r="H128" s="597"/>
      <c r="I128" s="595"/>
    </row>
    <row r="129" spans="1:9" x14ac:dyDescent="0.25">
      <c r="A129" s="41">
        <f t="shared" si="15"/>
        <v>44409</v>
      </c>
      <c r="B129" s="594"/>
      <c r="C129" s="595"/>
      <c r="D129" s="371"/>
      <c r="E129" s="596"/>
      <c r="F129" s="595"/>
      <c r="G129" s="371"/>
      <c r="H129" s="597"/>
      <c r="I129" s="595"/>
    </row>
    <row r="130" spans="1:9" x14ac:dyDescent="0.25">
      <c r="A130" s="41">
        <f t="shared" si="15"/>
        <v>44440</v>
      </c>
      <c r="B130" s="594"/>
      <c r="C130" s="595"/>
      <c r="D130" s="371"/>
      <c r="E130" s="596"/>
      <c r="F130" s="595"/>
      <c r="G130" s="371"/>
      <c r="H130" s="597"/>
      <c r="I130" s="595"/>
    </row>
    <row r="131" spans="1:9" x14ac:dyDescent="0.25">
      <c r="A131" s="41">
        <f t="shared" ref="A131:A162" si="16">DATE(YEAR(A130),MONTH(A130)+1,1)</f>
        <v>44470</v>
      </c>
      <c r="B131" s="594"/>
      <c r="C131" s="595"/>
      <c r="D131" s="371"/>
      <c r="E131" s="596"/>
      <c r="F131" s="595"/>
      <c r="G131" s="371"/>
      <c r="H131" s="597"/>
      <c r="I131" s="595"/>
    </row>
    <row r="132" spans="1:9" x14ac:dyDescent="0.25">
      <c r="A132" s="41">
        <f t="shared" si="16"/>
        <v>44501</v>
      </c>
      <c r="B132" s="594"/>
      <c r="C132" s="595"/>
      <c r="D132" s="371"/>
      <c r="E132" s="596"/>
      <c r="F132" s="595"/>
      <c r="G132" s="371"/>
      <c r="H132" s="597"/>
      <c r="I132" s="595"/>
    </row>
    <row r="133" spans="1:9" x14ac:dyDescent="0.25">
      <c r="A133" s="41">
        <f t="shared" si="16"/>
        <v>44531</v>
      </c>
      <c r="B133" s="594"/>
      <c r="C133" s="595"/>
      <c r="D133" s="371"/>
      <c r="E133" s="596"/>
      <c r="F133" s="595"/>
      <c r="G133" s="371"/>
      <c r="H133" s="597"/>
      <c r="I133" s="595"/>
    </row>
    <row r="134" spans="1:9" x14ac:dyDescent="0.25">
      <c r="A134" s="41">
        <f t="shared" si="16"/>
        <v>44562</v>
      </c>
      <c r="B134" s="594"/>
      <c r="C134" s="595"/>
      <c r="D134" s="371"/>
      <c r="E134" s="596"/>
      <c r="F134" s="595"/>
      <c r="G134" s="371"/>
      <c r="H134" s="597"/>
      <c r="I134" s="595"/>
    </row>
    <row r="135" spans="1:9" x14ac:dyDescent="0.25">
      <c r="A135" s="41">
        <f t="shared" si="16"/>
        <v>44593</v>
      </c>
      <c r="B135" s="594"/>
      <c r="C135" s="595"/>
      <c r="D135" s="371"/>
      <c r="E135" s="596"/>
      <c r="F135" s="595"/>
      <c r="G135" s="371"/>
      <c r="H135" s="597"/>
      <c r="I135" s="595"/>
    </row>
    <row r="136" spans="1:9" x14ac:dyDescent="0.25">
      <c r="A136" s="41">
        <f t="shared" si="16"/>
        <v>44621</v>
      </c>
      <c r="B136" s="594"/>
      <c r="C136" s="595"/>
      <c r="D136" s="371"/>
      <c r="E136" s="596"/>
      <c r="F136" s="595"/>
      <c r="G136" s="371"/>
      <c r="H136" s="597"/>
      <c r="I136" s="595"/>
    </row>
    <row r="137" spans="1:9" x14ac:dyDescent="0.25">
      <c r="A137" s="41">
        <f t="shared" si="16"/>
        <v>44652</v>
      </c>
      <c r="B137" s="594"/>
      <c r="C137" s="595"/>
      <c r="D137" s="371"/>
      <c r="E137" s="596"/>
      <c r="F137" s="595"/>
      <c r="G137" s="371"/>
      <c r="H137" s="597"/>
      <c r="I137" s="595"/>
    </row>
    <row r="138" spans="1:9" x14ac:dyDescent="0.25">
      <c r="A138" s="41">
        <f t="shared" si="16"/>
        <v>44682</v>
      </c>
      <c r="B138" s="594"/>
      <c r="C138" s="595"/>
      <c r="D138" s="371"/>
      <c r="E138" s="596"/>
      <c r="F138" s="595"/>
      <c r="G138" s="371"/>
      <c r="H138" s="597"/>
      <c r="I138" s="595"/>
    </row>
    <row r="139" spans="1:9" x14ac:dyDescent="0.25">
      <c r="A139" s="41">
        <f t="shared" si="16"/>
        <v>44713</v>
      </c>
      <c r="B139" s="594"/>
      <c r="C139" s="595"/>
      <c r="D139" s="371"/>
      <c r="E139" s="596"/>
      <c r="F139" s="595"/>
      <c r="G139" s="371"/>
      <c r="H139" s="597"/>
      <c r="I139" s="595"/>
    </row>
    <row r="140" spans="1:9" x14ac:dyDescent="0.25">
      <c r="A140" s="41">
        <f t="shared" si="16"/>
        <v>44743</v>
      </c>
      <c r="B140" s="594"/>
      <c r="C140" s="595"/>
      <c r="D140" s="371"/>
      <c r="E140" s="596"/>
      <c r="F140" s="595"/>
      <c r="G140" s="371"/>
      <c r="H140" s="597"/>
      <c r="I140" s="595"/>
    </row>
    <row r="141" spans="1:9" x14ac:dyDescent="0.25">
      <c r="A141" s="41">
        <f t="shared" si="16"/>
        <v>44774</v>
      </c>
      <c r="B141" s="594"/>
      <c r="C141" s="595"/>
      <c r="D141" s="371"/>
      <c r="E141" s="596"/>
      <c r="F141" s="595"/>
      <c r="G141" s="371"/>
      <c r="H141" s="597"/>
      <c r="I141" s="595"/>
    </row>
    <row r="142" spans="1:9" x14ac:dyDescent="0.25">
      <c r="A142" s="41">
        <f t="shared" si="16"/>
        <v>44805</v>
      </c>
      <c r="B142" s="594"/>
      <c r="C142" s="595"/>
      <c r="D142" s="371"/>
      <c r="E142" s="596"/>
      <c r="F142" s="595"/>
      <c r="G142" s="371"/>
      <c r="H142" s="597"/>
      <c r="I142" s="595"/>
    </row>
    <row r="143" spans="1:9" x14ac:dyDescent="0.25">
      <c r="A143" s="41">
        <f t="shared" si="16"/>
        <v>44835</v>
      </c>
      <c r="B143" s="594"/>
      <c r="C143" s="595"/>
      <c r="D143" s="371"/>
      <c r="E143" s="596"/>
      <c r="F143" s="595"/>
      <c r="G143" s="371"/>
      <c r="H143" s="597"/>
      <c r="I143" s="595"/>
    </row>
    <row r="144" spans="1:9" x14ac:dyDescent="0.25">
      <c r="A144" s="41">
        <f t="shared" si="16"/>
        <v>44866</v>
      </c>
      <c r="B144" s="594"/>
      <c r="C144" s="595"/>
      <c r="D144" s="371"/>
      <c r="E144" s="596"/>
      <c r="F144" s="595"/>
      <c r="G144" s="371"/>
      <c r="H144" s="597"/>
      <c r="I144" s="595"/>
    </row>
    <row r="145" spans="1:9" x14ac:dyDescent="0.25">
      <c r="A145" s="41">
        <f t="shared" si="16"/>
        <v>44896</v>
      </c>
      <c r="B145" s="594"/>
      <c r="C145" s="595"/>
      <c r="D145" s="371"/>
      <c r="E145" s="596"/>
      <c r="F145" s="595"/>
      <c r="G145" s="371"/>
      <c r="H145" s="597"/>
      <c r="I145" s="595"/>
    </row>
    <row r="146" spans="1:9" x14ac:dyDescent="0.25">
      <c r="A146" s="41">
        <f t="shared" si="16"/>
        <v>44927</v>
      </c>
      <c r="B146" s="594"/>
      <c r="C146" s="595"/>
      <c r="D146" s="371"/>
      <c r="E146" s="596"/>
      <c r="F146" s="595"/>
      <c r="G146" s="371"/>
      <c r="H146" s="597"/>
      <c r="I146" s="595"/>
    </row>
    <row r="147" spans="1:9" x14ac:dyDescent="0.25">
      <c r="A147" s="41">
        <f t="shared" si="16"/>
        <v>44958</v>
      </c>
      <c r="B147" s="594"/>
      <c r="C147" s="595"/>
      <c r="D147" s="371"/>
      <c r="E147" s="596"/>
      <c r="F147" s="595"/>
      <c r="G147" s="371"/>
      <c r="H147" s="597"/>
      <c r="I147" s="595"/>
    </row>
    <row r="148" spans="1:9" x14ac:dyDescent="0.25">
      <c r="A148" s="41">
        <f t="shared" si="16"/>
        <v>44986</v>
      </c>
      <c r="B148" s="594"/>
      <c r="C148" s="595"/>
      <c r="D148" s="371"/>
      <c r="E148" s="596"/>
      <c r="F148" s="595"/>
      <c r="G148" s="371"/>
      <c r="H148" s="597"/>
      <c r="I148" s="595"/>
    </row>
    <row r="149" spans="1:9" x14ac:dyDescent="0.25">
      <c r="A149" s="41">
        <f t="shared" si="16"/>
        <v>45017</v>
      </c>
      <c r="B149" s="594"/>
      <c r="C149" s="595"/>
      <c r="D149" s="371"/>
      <c r="E149" s="596"/>
      <c r="F149" s="595"/>
      <c r="G149" s="371"/>
      <c r="H149" s="597"/>
      <c r="I149" s="595"/>
    </row>
    <row r="150" spans="1:9" x14ac:dyDescent="0.25">
      <c r="A150" s="41">
        <f t="shared" si="16"/>
        <v>45047</v>
      </c>
      <c r="B150" s="594"/>
      <c r="C150" s="595"/>
      <c r="D150" s="371"/>
      <c r="E150" s="596"/>
      <c r="F150" s="595"/>
      <c r="G150" s="371"/>
      <c r="H150" s="597"/>
      <c r="I150" s="595"/>
    </row>
    <row r="151" spans="1:9" x14ac:dyDescent="0.25">
      <c r="A151" s="41">
        <f t="shared" si="16"/>
        <v>45078</v>
      </c>
      <c r="B151" s="594"/>
      <c r="C151" s="595"/>
      <c r="D151" s="371"/>
      <c r="E151" s="596"/>
      <c r="F151" s="595"/>
      <c r="G151" s="371"/>
      <c r="H151" s="597"/>
      <c r="I151" s="595"/>
    </row>
    <row r="152" spans="1:9" x14ac:dyDescent="0.25">
      <c r="A152" s="41">
        <f t="shared" si="16"/>
        <v>45108</v>
      </c>
      <c r="B152" s="594"/>
      <c r="C152" s="595"/>
      <c r="D152" s="371"/>
      <c r="E152" s="596"/>
      <c r="F152" s="595"/>
      <c r="G152" s="371"/>
      <c r="H152" s="597"/>
      <c r="I152" s="595"/>
    </row>
    <row r="153" spans="1:9" x14ac:dyDescent="0.25">
      <c r="A153" s="41">
        <f t="shared" si="16"/>
        <v>45139</v>
      </c>
      <c r="B153" s="594"/>
      <c r="C153" s="595"/>
      <c r="D153" s="371"/>
      <c r="E153" s="596"/>
      <c r="F153" s="595"/>
      <c r="G153" s="371"/>
      <c r="H153" s="597"/>
      <c r="I153" s="595"/>
    </row>
    <row r="154" spans="1:9" x14ac:dyDescent="0.25">
      <c r="A154" s="41">
        <f t="shared" si="16"/>
        <v>45170</v>
      </c>
      <c r="B154" s="594"/>
      <c r="C154" s="595"/>
      <c r="D154" s="371"/>
      <c r="E154" s="596"/>
      <c r="F154" s="595"/>
      <c r="G154" s="371"/>
      <c r="H154" s="597"/>
      <c r="I154" s="595"/>
    </row>
    <row r="155" spans="1:9" x14ac:dyDescent="0.25">
      <c r="A155" s="41">
        <f t="shared" si="16"/>
        <v>45200</v>
      </c>
      <c r="B155" s="594"/>
      <c r="C155" s="595"/>
      <c r="D155" s="371"/>
      <c r="E155" s="596"/>
      <c r="F155" s="595"/>
      <c r="G155" s="371"/>
      <c r="H155" s="597"/>
      <c r="I155" s="595"/>
    </row>
    <row r="156" spans="1:9" x14ac:dyDescent="0.25">
      <c r="A156" s="41">
        <f t="shared" si="16"/>
        <v>45231</v>
      </c>
      <c r="B156" s="594"/>
      <c r="C156" s="595"/>
      <c r="D156" s="371"/>
      <c r="E156" s="596"/>
      <c r="F156" s="595"/>
      <c r="G156" s="371"/>
      <c r="H156" s="597"/>
      <c r="I156" s="595"/>
    </row>
    <row r="157" spans="1:9" x14ac:dyDescent="0.25">
      <c r="A157" s="41">
        <f t="shared" si="16"/>
        <v>45261</v>
      </c>
      <c r="B157" s="594"/>
      <c r="C157" s="595"/>
      <c r="D157" s="371"/>
      <c r="E157" s="596"/>
      <c r="F157" s="595"/>
      <c r="G157" s="371"/>
      <c r="H157" s="597"/>
      <c r="I157" s="595"/>
    </row>
    <row r="158" spans="1:9" x14ac:dyDescent="0.25">
      <c r="A158" s="41">
        <f t="shared" si="16"/>
        <v>45292</v>
      </c>
      <c r="B158" s="594"/>
      <c r="C158" s="595"/>
      <c r="D158" s="371"/>
      <c r="E158" s="596"/>
      <c r="F158" s="595"/>
      <c r="G158" s="371"/>
      <c r="H158" s="597"/>
      <c r="I158" s="595"/>
    </row>
    <row r="159" spans="1:9" x14ac:dyDescent="0.25">
      <c r="A159" s="41">
        <f t="shared" si="16"/>
        <v>45323</v>
      </c>
      <c r="B159" s="594"/>
      <c r="C159" s="595"/>
      <c r="D159" s="371"/>
      <c r="E159" s="596"/>
      <c r="F159" s="595"/>
      <c r="G159" s="371"/>
      <c r="H159" s="597"/>
      <c r="I159" s="595"/>
    </row>
    <row r="160" spans="1:9" x14ac:dyDescent="0.25">
      <c r="A160" s="41">
        <f t="shared" si="16"/>
        <v>45352</v>
      </c>
      <c r="B160" s="594"/>
      <c r="C160" s="595"/>
      <c r="D160" s="371"/>
      <c r="E160" s="596"/>
      <c r="F160" s="595"/>
      <c r="G160" s="371"/>
      <c r="H160" s="597"/>
      <c r="I160" s="595"/>
    </row>
    <row r="161" spans="1:9" x14ac:dyDescent="0.25">
      <c r="A161" s="41">
        <f t="shared" si="16"/>
        <v>45383</v>
      </c>
      <c r="B161" s="594"/>
      <c r="C161" s="595"/>
      <c r="D161" s="371"/>
      <c r="E161" s="596"/>
      <c r="F161" s="595"/>
      <c r="G161" s="371"/>
      <c r="H161" s="597"/>
      <c r="I161" s="595"/>
    </row>
    <row r="162" spans="1:9" x14ac:dyDescent="0.25">
      <c r="A162" s="41">
        <f t="shared" si="16"/>
        <v>45413</v>
      </c>
      <c r="B162" s="594"/>
      <c r="C162" s="595"/>
      <c r="D162" s="371"/>
      <c r="E162" s="596"/>
      <c r="F162" s="595"/>
      <c r="G162" s="371"/>
      <c r="H162" s="597"/>
      <c r="I162" s="595"/>
    </row>
    <row r="163" spans="1:9" x14ac:dyDescent="0.25">
      <c r="A163" s="41">
        <f t="shared" ref="A163:A169" si="17">DATE(YEAR(A162),MONTH(A162)+1,1)</f>
        <v>45444</v>
      </c>
      <c r="B163" s="594"/>
      <c r="C163" s="595"/>
      <c r="D163" s="371"/>
      <c r="E163" s="596"/>
      <c r="F163" s="595"/>
      <c r="G163" s="371"/>
      <c r="H163" s="597"/>
      <c r="I163" s="595"/>
    </row>
    <row r="164" spans="1:9" x14ac:dyDescent="0.25">
      <c r="A164" s="41">
        <f t="shared" si="17"/>
        <v>45474</v>
      </c>
      <c r="B164" s="594"/>
      <c r="C164" s="595"/>
      <c r="D164" s="371"/>
      <c r="E164" s="596"/>
      <c r="F164" s="595"/>
      <c r="G164" s="371"/>
      <c r="H164" s="597"/>
      <c r="I164" s="595"/>
    </row>
    <row r="165" spans="1:9" x14ac:dyDescent="0.25">
      <c r="A165" s="41">
        <f t="shared" si="17"/>
        <v>45505</v>
      </c>
      <c r="B165" s="594"/>
      <c r="C165" s="595"/>
      <c r="D165" s="371"/>
      <c r="E165" s="596"/>
      <c r="F165" s="595"/>
      <c r="G165" s="371"/>
      <c r="H165" s="597"/>
      <c r="I165" s="595"/>
    </row>
    <row r="166" spans="1:9" x14ac:dyDescent="0.25">
      <c r="A166" s="41">
        <f t="shared" si="17"/>
        <v>45536</v>
      </c>
      <c r="B166" s="594"/>
      <c r="C166" s="595"/>
      <c r="D166" s="371"/>
      <c r="E166" s="596"/>
      <c r="F166" s="595"/>
      <c r="G166" s="371"/>
      <c r="H166" s="597"/>
      <c r="I166" s="595"/>
    </row>
    <row r="167" spans="1:9" x14ac:dyDescent="0.25">
      <c r="A167" s="41">
        <f t="shared" si="17"/>
        <v>45566</v>
      </c>
      <c r="B167" s="594"/>
      <c r="C167" s="595"/>
      <c r="D167" s="371"/>
      <c r="E167" s="596"/>
      <c r="F167" s="595"/>
      <c r="G167" s="371"/>
      <c r="H167" s="597"/>
      <c r="I167" s="595"/>
    </row>
    <row r="168" spans="1:9" x14ac:dyDescent="0.25">
      <c r="A168" s="41">
        <f t="shared" si="17"/>
        <v>45597</v>
      </c>
      <c r="B168" s="594"/>
      <c r="C168" s="595"/>
      <c r="D168" s="371"/>
      <c r="E168" s="596"/>
      <c r="F168" s="595"/>
      <c r="G168" s="371"/>
      <c r="H168" s="597"/>
      <c r="I168" s="595"/>
    </row>
    <row r="169" spans="1:9" x14ac:dyDescent="0.25">
      <c r="A169" s="41">
        <f t="shared" si="17"/>
        <v>45627</v>
      </c>
      <c r="B169" s="594"/>
      <c r="C169" s="595"/>
      <c r="D169" s="371"/>
      <c r="E169" s="596"/>
      <c r="F169" s="595"/>
      <c r="G169" s="371"/>
      <c r="H169" s="597"/>
      <c r="I169" s="595"/>
    </row>
  </sheetData>
  <conditionalFormatting sqref="A98:A106 A2:A89 E2:F86 B2:C86 H2:H89 I2:I86 D2:D54">
    <cfRule type="expression" dxfId="944" priority="1384">
      <formula>#REF!="TO"</formula>
    </cfRule>
    <cfRule type="expression" dxfId="943" priority="1385">
      <formula>#REF!="IO"</formula>
    </cfRule>
    <cfRule type="expression" dxfId="942" priority="1386">
      <formula>#REF!="L"</formula>
    </cfRule>
  </conditionalFormatting>
  <conditionalFormatting sqref="A107:A112 A121:A169">
    <cfRule type="expression" dxfId="941" priority="1381">
      <formula>#REF!="TO"</formula>
    </cfRule>
    <cfRule type="expression" dxfId="940" priority="1382">
      <formula>#REF!="IO"</formula>
    </cfRule>
    <cfRule type="expression" dxfId="939" priority="1383">
      <formula>#REF!="L"</formula>
    </cfRule>
  </conditionalFormatting>
  <conditionalFormatting sqref="B98:B112 B121:B169">
    <cfRule type="expression" dxfId="938" priority="1378">
      <formula>#REF!="TO"</formula>
    </cfRule>
    <cfRule type="expression" dxfId="937" priority="1379">
      <formula>#REF!="IO"</formula>
    </cfRule>
    <cfRule type="expression" dxfId="936" priority="1380">
      <formula>#REF!="L"</formula>
    </cfRule>
  </conditionalFormatting>
  <conditionalFormatting sqref="B87">
    <cfRule type="expression" dxfId="935" priority="1375">
      <formula>#REF!="TO"</formula>
    </cfRule>
    <cfRule type="expression" dxfId="934" priority="1376">
      <formula>#REF!="IO"</formula>
    </cfRule>
    <cfRule type="expression" dxfId="933" priority="1377">
      <formula>#REF!="L"</formula>
    </cfRule>
    <cfRule type="expression" dxfId="932" priority="1303">
      <formula>#REF!="TO"</formula>
    </cfRule>
    <cfRule type="expression" dxfId="931" priority="1304">
      <formula>#REF!="IO"</formula>
    </cfRule>
    <cfRule type="expression" dxfId="930" priority="1305">
      <formula>#REF!="L"</formula>
    </cfRule>
  </conditionalFormatting>
  <conditionalFormatting sqref="E98:E112 E121:E169">
    <cfRule type="expression" dxfId="929" priority="1369">
      <formula>#REF!="TO"</formula>
    </cfRule>
    <cfRule type="expression" dxfId="928" priority="1370">
      <formula>#REF!="IO"</formula>
    </cfRule>
    <cfRule type="expression" dxfId="927" priority="1371">
      <formula>#REF!="L"</formula>
    </cfRule>
  </conditionalFormatting>
  <conditionalFormatting sqref="E87">
    <cfRule type="expression" dxfId="926" priority="1366">
      <formula>#REF!="TO"</formula>
    </cfRule>
    <cfRule type="expression" dxfId="925" priority="1367">
      <formula>#REF!="IO"</formula>
    </cfRule>
    <cfRule type="expression" dxfId="924" priority="1368">
      <formula>#REF!="L"</formula>
    </cfRule>
    <cfRule type="expression" dxfId="923" priority="1300">
      <formula>#REF!="TO"</formula>
    </cfRule>
    <cfRule type="expression" dxfId="922" priority="1301">
      <formula>#REF!="IO"</formula>
    </cfRule>
    <cfRule type="expression" dxfId="921" priority="1302">
      <formula>#REF!="L"</formula>
    </cfRule>
  </conditionalFormatting>
  <conditionalFormatting sqref="F112 F121:F169">
    <cfRule type="expression" dxfId="920" priority="1360">
      <formula>#REF!="TO"</formula>
    </cfRule>
    <cfRule type="expression" dxfId="919" priority="1361">
      <formula>#REF!="IO"</formula>
    </cfRule>
    <cfRule type="expression" dxfId="918" priority="1362">
      <formula>#REF!="L"</formula>
    </cfRule>
  </conditionalFormatting>
  <conditionalFormatting sqref="F87">
    <cfRule type="expression" dxfId="917" priority="1357">
      <formula>#REF!="TO"</formula>
    </cfRule>
    <cfRule type="expression" dxfId="916" priority="1358">
      <formula>#REF!="IO"</formula>
    </cfRule>
    <cfRule type="expression" dxfId="915" priority="1359">
      <formula>#REF!="L"</formula>
    </cfRule>
    <cfRule type="expression" dxfId="914" priority="1297">
      <formula>#REF!="TO"</formula>
    </cfRule>
    <cfRule type="expression" dxfId="913" priority="1298">
      <formula>#REF!="IO"</formula>
    </cfRule>
    <cfRule type="expression" dxfId="912" priority="1299">
      <formula>#REF!="L"</formula>
    </cfRule>
  </conditionalFormatting>
  <conditionalFormatting sqref="C98:C112 C121:C169">
    <cfRule type="expression" dxfId="911" priority="1351">
      <formula>#REF!="TO"</formula>
    </cfRule>
    <cfRule type="expression" dxfId="910" priority="1352">
      <formula>#REF!="IO"</formula>
    </cfRule>
    <cfRule type="expression" dxfId="909" priority="1353">
      <formula>#REF!="L"</formula>
    </cfRule>
  </conditionalFormatting>
  <conditionalFormatting sqref="C87">
    <cfRule type="expression" dxfId="908" priority="1348">
      <formula>#REF!="TO"</formula>
    </cfRule>
    <cfRule type="expression" dxfId="907" priority="1349">
      <formula>#REF!="IO"</formula>
    </cfRule>
    <cfRule type="expression" dxfId="906" priority="1350">
      <formula>#REF!="L"</formula>
    </cfRule>
    <cfRule type="expression" dxfId="905" priority="1294">
      <formula>#REF!="TO"</formula>
    </cfRule>
    <cfRule type="expression" dxfId="904" priority="1295">
      <formula>#REF!="IO"</formula>
    </cfRule>
    <cfRule type="expression" dxfId="903" priority="1296">
      <formula>#REF!="L"</formula>
    </cfRule>
  </conditionalFormatting>
  <conditionalFormatting sqref="H98:H112">
    <cfRule type="expression" dxfId="902" priority="1339">
      <formula>#REF!="TO"</formula>
    </cfRule>
    <cfRule type="expression" dxfId="901" priority="1340">
      <formula>#REF!="IO"</formula>
    </cfRule>
    <cfRule type="expression" dxfId="900" priority="1341">
      <formula>#REF!="L"</formula>
    </cfRule>
  </conditionalFormatting>
  <conditionalFormatting sqref="H98:H112 H121:H169">
    <cfRule type="expression" dxfId="899" priority="1342">
      <formula>#REF!="TO"</formula>
    </cfRule>
    <cfRule type="expression" dxfId="898" priority="1343">
      <formula>#REF!="IO"</formula>
    </cfRule>
    <cfRule type="expression" dxfId="897" priority="1344">
      <formula>#REF!="L"</formula>
    </cfRule>
  </conditionalFormatting>
  <conditionalFormatting sqref="I98:I112 I121:I169">
    <cfRule type="expression" dxfId="896" priority="1336">
      <formula>#REF!="TO"</formula>
    </cfRule>
    <cfRule type="expression" dxfId="895" priority="1337">
      <formula>#REF!="IO"</formula>
    </cfRule>
    <cfRule type="expression" dxfId="894" priority="1338">
      <formula>#REF!="L"</formula>
    </cfRule>
  </conditionalFormatting>
  <conditionalFormatting sqref="I87">
    <cfRule type="expression" dxfId="893" priority="1333">
      <formula>#REF!="TO"</formula>
    </cfRule>
    <cfRule type="expression" dxfId="892" priority="1334">
      <formula>#REF!="IO"</formula>
    </cfRule>
    <cfRule type="expression" dxfId="891" priority="1335">
      <formula>#REF!="L"</formula>
    </cfRule>
    <cfRule type="expression" dxfId="890" priority="1291">
      <formula>#REF!="TO"</formula>
    </cfRule>
    <cfRule type="expression" dxfId="889" priority="1292">
      <formula>#REF!="IO"</formula>
    </cfRule>
    <cfRule type="expression" dxfId="888" priority="1293">
      <formula>#REF!="L"</formula>
    </cfRule>
  </conditionalFormatting>
  <conditionalFormatting sqref="D2:D53 G2:G53">
    <cfRule type="expression" dxfId="887" priority="1318">
      <formula>XEO2="TO"</formula>
    </cfRule>
    <cfRule type="expression" dxfId="886" priority="1319">
      <formula>XEO2="IO"</formula>
    </cfRule>
    <cfRule type="expression" dxfId="885" priority="1320">
      <formula>XEO2="L"</formula>
    </cfRule>
  </conditionalFormatting>
  <conditionalFormatting sqref="G2:G54">
    <cfRule type="expression" dxfId="884" priority="1309">
      <formula>#REF!="TO"</formula>
    </cfRule>
    <cfRule type="expression" dxfId="883" priority="1310">
      <formula>#REF!="IO"</formula>
    </cfRule>
    <cfRule type="expression" dxfId="882" priority="1311">
      <formula>#REF!="L"</formula>
    </cfRule>
  </conditionalFormatting>
  <conditionalFormatting sqref="B88">
    <cfRule type="expression" dxfId="881" priority="1288">
      <formula>#REF!="TO"</formula>
    </cfRule>
    <cfRule type="expression" dxfId="880" priority="1289">
      <formula>#REF!="IO"</formula>
    </cfRule>
    <cfRule type="expression" dxfId="879" priority="1290">
      <formula>#REF!="L"</formula>
    </cfRule>
    <cfRule type="expression" dxfId="878" priority="1273">
      <formula>#REF!="TO"</formula>
    </cfRule>
    <cfRule type="expression" dxfId="877" priority="1274">
      <formula>#REF!="IO"</formula>
    </cfRule>
    <cfRule type="expression" dxfId="876" priority="1275">
      <formula>#REF!="L"</formula>
    </cfRule>
  </conditionalFormatting>
  <conditionalFormatting sqref="E88">
    <cfRule type="expression" dxfId="875" priority="1285">
      <formula>#REF!="TO"</formula>
    </cfRule>
    <cfRule type="expression" dxfId="874" priority="1286">
      <formula>#REF!="IO"</formula>
    </cfRule>
    <cfRule type="expression" dxfId="873" priority="1287">
      <formula>#REF!="L"</formula>
    </cfRule>
    <cfRule type="expression" dxfId="872" priority="1270">
      <formula>#REF!="TO"</formula>
    </cfRule>
    <cfRule type="expression" dxfId="871" priority="1271">
      <formula>#REF!="IO"</formula>
    </cfRule>
    <cfRule type="expression" dxfId="870" priority="1272">
      <formula>#REF!="L"</formula>
    </cfRule>
  </conditionalFormatting>
  <conditionalFormatting sqref="F88">
    <cfRule type="expression" dxfId="869" priority="1282">
      <formula>#REF!="TO"</formula>
    </cfRule>
    <cfRule type="expression" dxfId="868" priority="1283">
      <formula>#REF!="IO"</formula>
    </cfRule>
    <cfRule type="expression" dxfId="867" priority="1284">
      <formula>#REF!="L"</formula>
    </cfRule>
    <cfRule type="expression" dxfId="866" priority="1267">
      <formula>#REF!="TO"</formula>
    </cfRule>
    <cfRule type="expression" dxfId="865" priority="1268">
      <formula>#REF!="IO"</formula>
    </cfRule>
    <cfRule type="expression" dxfId="864" priority="1269">
      <formula>#REF!="L"</formula>
    </cfRule>
  </conditionalFormatting>
  <conditionalFormatting sqref="C88">
    <cfRule type="expression" dxfId="863" priority="1279">
      <formula>#REF!="TO"</formula>
    </cfRule>
    <cfRule type="expression" dxfId="862" priority="1280">
      <formula>#REF!="IO"</formula>
    </cfRule>
    <cfRule type="expression" dxfId="861" priority="1281">
      <formula>#REF!="L"</formula>
    </cfRule>
    <cfRule type="expression" dxfId="860" priority="1264">
      <formula>#REF!="TO"</formula>
    </cfRule>
    <cfRule type="expression" dxfId="859" priority="1265">
      <formula>#REF!="IO"</formula>
    </cfRule>
    <cfRule type="expression" dxfId="858" priority="1266">
      <formula>#REF!="L"</formula>
    </cfRule>
  </conditionalFormatting>
  <conditionalFormatting sqref="I88">
    <cfRule type="expression" dxfId="857" priority="1276">
      <formula>#REF!="TO"</formula>
    </cfRule>
    <cfRule type="expression" dxfId="856" priority="1277">
      <formula>#REF!="IO"</formula>
    </cfRule>
    <cfRule type="expression" dxfId="855" priority="1278">
      <formula>#REF!="L"</formula>
    </cfRule>
    <cfRule type="expression" dxfId="854" priority="1261">
      <formula>#REF!="TO"</formula>
    </cfRule>
    <cfRule type="expression" dxfId="853" priority="1262">
      <formula>#REF!="IO"</formula>
    </cfRule>
    <cfRule type="expression" dxfId="852" priority="1263">
      <formula>#REF!="L"</formula>
    </cfRule>
  </conditionalFormatting>
  <conditionalFormatting sqref="B89">
    <cfRule type="expression" dxfId="851" priority="1258">
      <formula>#REF!="TO"</formula>
    </cfRule>
    <cfRule type="expression" dxfId="850" priority="1259">
      <formula>#REF!="IO"</formula>
    </cfRule>
    <cfRule type="expression" dxfId="849" priority="1260">
      <formula>#REF!="L"</formula>
    </cfRule>
    <cfRule type="expression" dxfId="848" priority="1243">
      <formula>#REF!="TO"</formula>
    </cfRule>
    <cfRule type="expression" dxfId="847" priority="1244">
      <formula>#REF!="IO"</formula>
    </cfRule>
    <cfRule type="expression" dxfId="846" priority="1245">
      <formula>#REF!="L"</formula>
    </cfRule>
  </conditionalFormatting>
  <conditionalFormatting sqref="E89">
    <cfRule type="expression" dxfId="845" priority="1255">
      <formula>#REF!="TO"</formula>
    </cfRule>
    <cfRule type="expression" dxfId="844" priority="1256">
      <formula>#REF!="IO"</formula>
    </cfRule>
    <cfRule type="expression" dxfId="843" priority="1257">
      <formula>#REF!="L"</formula>
    </cfRule>
    <cfRule type="expression" dxfId="842" priority="1240">
      <formula>#REF!="TO"</formula>
    </cfRule>
    <cfRule type="expression" dxfId="841" priority="1241">
      <formula>#REF!="IO"</formula>
    </cfRule>
    <cfRule type="expression" dxfId="840" priority="1242">
      <formula>#REF!="L"</formula>
    </cfRule>
  </conditionalFormatting>
  <conditionalFormatting sqref="F89">
    <cfRule type="expression" dxfId="839" priority="1252">
      <formula>#REF!="TO"</formula>
    </cfRule>
    <cfRule type="expression" dxfId="838" priority="1253">
      <formula>#REF!="IO"</formula>
    </cfRule>
    <cfRule type="expression" dxfId="837" priority="1254">
      <formula>#REF!="L"</formula>
    </cfRule>
    <cfRule type="expression" dxfId="836" priority="1237">
      <formula>#REF!="TO"</formula>
    </cfRule>
    <cfRule type="expression" dxfId="835" priority="1238">
      <formula>#REF!="IO"</formula>
    </cfRule>
    <cfRule type="expression" dxfId="834" priority="1239">
      <formula>#REF!="L"</formula>
    </cfRule>
  </conditionalFormatting>
  <conditionalFormatting sqref="C89">
    <cfRule type="expression" dxfId="833" priority="1249">
      <formula>#REF!="TO"</formula>
    </cfRule>
    <cfRule type="expression" dxfId="832" priority="1250">
      <formula>#REF!="IO"</formula>
    </cfRule>
    <cfRule type="expression" dxfId="831" priority="1251">
      <formula>#REF!="L"</formula>
    </cfRule>
    <cfRule type="expression" dxfId="830" priority="1234">
      <formula>#REF!="TO"</formula>
    </cfRule>
    <cfRule type="expression" dxfId="829" priority="1235">
      <formula>#REF!="IO"</formula>
    </cfRule>
    <cfRule type="expression" dxfId="828" priority="1236">
      <formula>#REF!="L"</formula>
    </cfRule>
  </conditionalFormatting>
  <conditionalFormatting sqref="I89">
    <cfRule type="expression" dxfId="827" priority="1246">
      <formula>#REF!="TO"</formula>
    </cfRule>
    <cfRule type="expression" dxfId="826" priority="1247">
      <formula>#REF!="IO"</formula>
    </cfRule>
    <cfRule type="expression" dxfId="825" priority="1248">
      <formula>#REF!="L"</formula>
    </cfRule>
    <cfRule type="expression" dxfId="824" priority="1231">
      <formula>#REF!="TO"</formula>
    </cfRule>
    <cfRule type="expression" dxfId="823" priority="1232">
      <formula>#REF!="IO"</formula>
    </cfRule>
    <cfRule type="expression" dxfId="822" priority="1233">
      <formula>#REF!="L"</formula>
    </cfRule>
  </conditionalFormatting>
  <conditionalFormatting sqref="A90">
    <cfRule type="expression" dxfId="821" priority="1228">
      <formula>#REF!="TO"</formula>
    </cfRule>
    <cfRule type="expression" dxfId="820" priority="1229">
      <formula>#REF!="IO"</formula>
    </cfRule>
    <cfRule type="expression" dxfId="819" priority="1230">
      <formula>#REF!="L"</formula>
    </cfRule>
  </conditionalFormatting>
  <conditionalFormatting sqref="H90">
    <cfRule type="expression" dxfId="818" priority="1225">
      <formula>#REF!="TO"</formula>
    </cfRule>
    <cfRule type="expression" dxfId="817" priority="1226">
      <formula>#REF!="IO"</formula>
    </cfRule>
    <cfRule type="expression" dxfId="816" priority="1227">
      <formula>#REF!="L"</formula>
    </cfRule>
  </conditionalFormatting>
  <conditionalFormatting sqref="B90">
    <cfRule type="expression" dxfId="815" priority="1222">
      <formula>#REF!="TO"</formula>
    </cfRule>
    <cfRule type="expression" dxfId="814" priority="1223">
      <formula>#REF!="IO"</formula>
    </cfRule>
    <cfRule type="expression" dxfId="813" priority="1224">
      <formula>#REF!="L"</formula>
    </cfRule>
    <cfRule type="expression" dxfId="812" priority="1207">
      <formula>#REF!="TO"</formula>
    </cfRule>
    <cfRule type="expression" dxfId="811" priority="1208">
      <formula>#REF!="IO"</formula>
    </cfRule>
    <cfRule type="expression" dxfId="810" priority="1209">
      <formula>#REF!="L"</formula>
    </cfRule>
  </conditionalFormatting>
  <conditionalFormatting sqref="E90">
    <cfRule type="expression" dxfId="809" priority="1219">
      <formula>#REF!="TO"</formula>
    </cfRule>
    <cfRule type="expression" dxfId="808" priority="1220">
      <formula>#REF!="IO"</formula>
    </cfRule>
    <cfRule type="expression" dxfId="807" priority="1221">
      <formula>#REF!="L"</formula>
    </cfRule>
    <cfRule type="expression" dxfId="806" priority="1204">
      <formula>#REF!="TO"</formula>
    </cfRule>
    <cfRule type="expression" dxfId="805" priority="1205">
      <formula>#REF!="IO"</formula>
    </cfRule>
    <cfRule type="expression" dxfId="804" priority="1206">
      <formula>#REF!="L"</formula>
    </cfRule>
  </conditionalFormatting>
  <conditionalFormatting sqref="F90">
    <cfRule type="expression" dxfId="803" priority="1216">
      <formula>#REF!="TO"</formula>
    </cfRule>
    <cfRule type="expression" dxfId="802" priority="1217">
      <formula>#REF!="IO"</formula>
    </cfRule>
    <cfRule type="expression" dxfId="801" priority="1218">
      <formula>#REF!="L"</formula>
    </cfRule>
    <cfRule type="expression" dxfId="800" priority="1201">
      <formula>#REF!="TO"</formula>
    </cfRule>
    <cfRule type="expression" dxfId="799" priority="1202">
      <formula>#REF!="IO"</formula>
    </cfRule>
    <cfRule type="expression" dxfId="798" priority="1203">
      <formula>#REF!="L"</formula>
    </cfRule>
  </conditionalFormatting>
  <conditionalFormatting sqref="C90">
    <cfRule type="expression" dxfId="797" priority="1213">
      <formula>#REF!="TO"</formula>
    </cfRule>
    <cfRule type="expression" dxfId="796" priority="1214">
      <formula>#REF!="IO"</formula>
    </cfRule>
    <cfRule type="expression" dxfId="795" priority="1215">
      <formula>#REF!="L"</formula>
    </cfRule>
    <cfRule type="expression" dxfId="794" priority="1198">
      <formula>#REF!="TO"</formula>
    </cfRule>
    <cfRule type="expression" dxfId="793" priority="1199">
      <formula>#REF!="IO"</formula>
    </cfRule>
    <cfRule type="expression" dxfId="792" priority="1200">
      <formula>#REF!="L"</formula>
    </cfRule>
  </conditionalFormatting>
  <conditionalFormatting sqref="I90">
    <cfRule type="expression" dxfId="791" priority="1210">
      <formula>#REF!="TO"</formula>
    </cfRule>
    <cfRule type="expression" dxfId="790" priority="1211">
      <formula>#REF!="IO"</formula>
    </cfRule>
    <cfRule type="expression" dxfId="789" priority="1212">
      <formula>#REF!="L"</formula>
    </cfRule>
    <cfRule type="expression" dxfId="788" priority="1195">
      <formula>#REF!="TO"</formula>
    </cfRule>
    <cfRule type="expression" dxfId="787" priority="1196">
      <formula>#REF!="IO"</formula>
    </cfRule>
    <cfRule type="expression" dxfId="786" priority="1197">
      <formula>#REF!="L"</formula>
    </cfRule>
  </conditionalFormatting>
  <conditionalFormatting sqref="A91">
    <cfRule type="expression" dxfId="785" priority="1192">
      <formula>#REF!="TO"</formula>
    </cfRule>
    <cfRule type="expression" dxfId="784" priority="1193">
      <formula>#REF!="IO"</formula>
    </cfRule>
    <cfRule type="expression" dxfId="783" priority="1194">
      <formula>#REF!="L"</formula>
    </cfRule>
  </conditionalFormatting>
  <conditionalFormatting sqref="H91">
    <cfRule type="expression" dxfId="782" priority="1189">
      <formula>#REF!="TO"</formula>
    </cfRule>
    <cfRule type="expression" dxfId="781" priority="1190">
      <formula>#REF!="IO"</formula>
    </cfRule>
    <cfRule type="expression" dxfId="780" priority="1191">
      <formula>#REF!="L"</formula>
    </cfRule>
  </conditionalFormatting>
  <conditionalFormatting sqref="B91">
    <cfRule type="expression" dxfId="779" priority="1186">
      <formula>#REF!="TO"</formula>
    </cfRule>
    <cfRule type="expression" dxfId="778" priority="1187">
      <formula>#REF!="IO"</formula>
    </cfRule>
    <cfRule type="expression" dxfId="777" priority="1188">
      <formula>#REF!="L"</formula>
    </cfRule>
    <cfRule type="expression" dxfId="776" priority="1171">
      <formula>#REF!="TO"</formula>
    </cfRule>
    <cfRule type="expression" dxfId="775" priority="1172">
      <formula>#REF!="IO"</formula>
    </cfRule>
    <cfRule type="expression" dxfId="774" priority="1173">
      <formula>#REF!="L"</formula>
    </cfRule>
  </conditionalFormatting>
  <conditionalFormatting sqref="E91">
    <cfRule type="expression" dxfId="773" priority="1183">
      <formula>#REF!="TO"</formula>
    </cfRule>
    <cfRule type="expression" dxfId="772" priority="1184">
      <formula>#REF!="IO"</formula>
    </cfRule>
    <cfRule type="expression" dxfId="771" priority="1185">
      <formula>#REF!="L"</formula>
    </cfRule>
    <cfRule type="expression" dxfId="770" priority="1168">
      <formula>#REF!="TO"</formula>
    </cfRule>
    <cfRule type="expression" dxfId="769" priority="1169">
      <formula>#REF!="IO"</formula>
    </cfRule>
    <cfRule type="expression" dxfId="768" priority="1170">
      <formula>#REF!="L"</formula>
    </cfRule>
  </conditionalFormatting>
  <conditionalFormatting sqref="F91">
    <cfRule type="expression" dxfId="767" priority="1180">
      <formula>#REF!="TO"</formula>
    </cfRule>
    <cfRule type="expression" dxfId="766" priority="1181">
      <formula>#REF!="IO"</formula>
    </cfRule>
    <cfRule type="expression" dxfId="765" priority="1182">
      <formula>#REF!="L"</formula>
    </cfRule>
    <cfRule type="expression" dxfId="764" priority="1165">
      <formula>#REF!="TO"</formula>
    </cfRule>
    <cfRule type="expression" dxfId="763" priority="1166">
      <formula>#REF!="IO"</formula>
    </cfRule>
    <cfRule type="expression" dxfId="762" priority="1167">
      <formula>#REF!="L"</formula>
    </cfRule>
  </conditionalFormatting>
  <conditionalFormatting sqref="C91">
    <cfRule type="expression" dxfId="761" priority="1177">
      <formula>#REF!="TO"</formula>
    </cfRule>
    <cfRule type="expression" dxfId="760" priority="1178">
      <formula>#REF!="IO"</formula>
    </cfRule>
    <cfRule type="expression" dxfId="759" priority="1179">
      <formula>#REF!="L"</formula>
    </cfRule>
    <cfRule type="expression" dxfId="758" priority="1162">
      <formula>#REF!="TO"</formula>
    </cfRule>
    <cfRule type="expression" dxfId="757" priority="1163">
      <formula>#REF!="IO"</formula>
    </cfRule>
    <cfRule type="expression" dxfId="756" priority="1164">
      <formula>#REF!="L"</formula>
    </cfRule>
  </conditionalFormatting>
  <conditionalFormatting sqref="I91">
    <cfRule type="expression" dxfId="755" priority="1174">
      <formula>#REF!="TO"</formula>
    </cfRule>
    <cfRule type="expression" dxfId="754" priority="1175">
      <formula>#REF!="IO"</formula>
    </cfRule>
    <cfRule type="expression" dxfId="753" priority="1176">
      <formula>#REF!="L"</formula>
    </cfRule>
    <cfRule type="expression" dxfId="752" priority="1159">
      <formula>#REF!="TO"</formula>
    </cfRule>
    <cfRule type="expression" dxfId="751" priority="1160">
      <formula>#REF!="IO"</formula>
    </cfRule>
    <cfRule type="expression" dxfId="750" priority="1161">
      <formula>#REF!="L"</formula>
    </cfRule>
  </conditionalFormatting>
  <conditionalFormatting sqref="A92">
    <cfRule type="expression" dxfId="749" priority="1156">
      <formula>#REF!="TO"</formula>
    </cfRule>
    <cfRule type="expression" dxfId="748" priority="1157">
      <formula>#REF!="IO"</formula>
    </cfRule>
    <cfRule type="expression" dxfId="747" priority="1158">
      <formula>#REF!="L"</formula>
    </cfRule>
  </conditionalFormatting>
  <conditionalFormatting sqref="H92">
    <cfRule type="expression" dxfId="746" priority="1153">
      <formula>#REF!="TO"</formula>
    </cfRule>
    <cfRule type="expression" dxfId="745" priority="1154">
      <formula>#REF!="IO"</formula>
    </cfRule>
    <cfRule type="expression" dxfId="744" priority="1155">
      <formula>#REF!="L"</formula>
    </cfRule>
  </conditionalFormatting>
  <conditionalFormatting sqref="B92">
    <cfRule type="expression" dxfId="743" priority="1150">
      <formula>#REF!="TO"</formula>
    </cfRule>
    <cfRule type="expression" dxfId="742" priority="1151">
      <formula>#REF!="IO"</formula>
    </cfRule>
    <cfRule type="expression" dxfId="741" priority="1152">
      <formula>#REF!="L"</formula>
    </cfRule>
    <cfRule type="expression" dxfId="740" priority="1135">
      <formula>#REF!="TO"</formula>
    </cfRule>
    <cfRule type="expression" dxfId="739" priority="1136">
      <formula>#REF!="IO"</formula>
    </cfRule>
    <cfRule type="expression" dxfId="738" priority="1137">
      <formula>#REF!="L"</formula>
    </cfRule>
  </conditionalFormatting>
  <conditionalFormatting sqref="E92">
    <cfRule type="expression" dxfId="737" priority="1147">
      <formula>#REF!="TO"</formula>
    </cfRule>
    <cfRule type="expression" dxfId="736" priority="1148">
      <formula>#REF!="IO"</formula>
    </cfRule>
    <cfRule type="expression" dxfId="735" priority="1149">
      <formula>#REF!="L"</formula>
    </cfRule>
    <cfRule type="expression" dxfId="734" priority="1132">
      <formula>#REF!="TO"</formula>
    </cfRule>
    <cfRule type="expression" dxfId="733" priority="1133">
      <formula>#REF!="IO"</formula>
    </cfRule>
    <cfRule type="expression" dxfId="732" priority="1134">
      <formula>#REF!="L"</formula>
    </cfRule>
  </conditionalFormatting>
  <conditionalFormatting sqref="F92">
    <cfRule type="expression" dxfId="731" priority="1144">
      <formula>#REF!="TO"</formula>
    </cfRule>
    <cfRule type="expression" dxfId="730" priority="1145">
      <formula>#REF!="IO"</formula>
    </cfRule>
    <cfRule type="expression" dxfId="729" priority="1146">
      <formula>#REF!="L"</formula>
    </cfRule>
    <cfRule type="expression" dxfId="728" priority="1129">
      <formula>#REF!="TO"</formula>
    </cfRule>
    <cfRule type="expression" dxfId="727" priority="1130">
      <formula>#REF!="IO"</formula>
    </cfRule>
    <cfRule type="expression" dxfId="726" priority="1131">
      <formula>#REF!="L"</formula>
    </cfRule>
  </conditionalFormatting>
  <conditionalFormatting sqref="C92">
    <cfRule type="expression" dxfId="725" priority="1141">
      <formula>#REF!="TO"</formula>
    </cfRule>
    <cfRule type="expression" dxfId="724" priority="1142">
      <formula>#REF!="IO"</formula>
    </cfRule>
    <cfRule type="expression" dxfId="723" priority="1143">
      <formula>#REF!="L"</formula>
    </cfRule>
    <cfRule type="expression" dxfId="722" priority="1126">
      <formula>#REF!="TO"</formula>
    </cfRule>
    <cfRule type="expression" dxfId="721" priority="1127">
      <formula>#REF!="IO"</formula>
    </cfRule>
    <cfRule type="expression" dxfId="720" priority="1128">
      <formula>#REF!="L"</formula>
    </cfRule>
  </conditionalFormatting>
  <conditionalFormatting sqref="I92">
    <cfRule type="expression" dxfId="719" priority="1138">
      <formula>#REF!="TO"</formula>
    </cfRule>
    <cfRule type="expression" dxfId="718" priority="1139">
      <formula>#REF!="IO"</formula>
    </cfRule>
    <cfRule type="expression" dxfId="717" priority="1140">
      <formula>#REF!="L"</formula>
    </cfRule>
    <cfRule type="expression" dxfId="716" priority="1123">
      <formula>#REF!="TO"</formula>
    </cfRule>
    <cfRule type="expression" dxfId="715" priority="1124">
      <formula>#REF!="IO"</formula>
    </cfRule>
    <cfRule type="expression" dxfId="714" priority="1125">
      <formula>#REF!="L"</formula>
    </cfRule>
  </conditionalFormatting>
  <conditionalFormatting sqref="A93">
    <cfRule type="expression" dxfId="713" priority="1120">
      <formula>#REF!="TO"</formula>
    </cfRule>
    <cfRule type="expression" dxfId="712" priority="1121">
      <formula>#REF!="IO"</formula>
    </cfRule>
    <cfRule type="expression" dxfId="711" priority="1122">
      <formula>#REF!="L"</formula>
    </cfRule>
  </conditionalFormatting>
  <conditionalFormatting sqref="H93">
    <cfRule type="expression" dxfId="710" priority="1117">
      <formula>#REF!="TO"</formula>
    </cfRule>
    <cfRule type="expression" dxfId="709" priority="1118">
      <formula>#REF!="IO"</formula>
    </cfRule>
    <cfRule type="expression" dxfId="708" priority="1119">
      <formula>#REF!="L"</formula>
    </cfRule>
  </conditionalFormatting>
  <conditionalFormatting sqref="B93">
    <cfRule type="expression" dxfId="707" priority="1114">
      <formula>#REF!="TO"</formula>
    </cfRule>
    <cfRule type="expression" dxfId="706" priority="1115">
      <formula>#REF!="IO"</formula>
    </cfRule>
    <cfRule type="expression" dxfId="705" priority="1116">
      <formula>#REF!="L"</formula>
    </cfRule>
    <cfRule type="expression" dxfId="704" priority="1099">
      <formula>#REF!="TO"</formula>
    </cfRule>
    <cfRule type="expression" dxfId="703" priority="1100">
      <formula>#REF!="IO"</formula>
    </cfRule>
    <cfRule type="expression" dxfId="702" priority="1101">
      <formula>#REF!="L"</formula>
    </cfRule>
  </conditionalFormatting>
  <conditionalFormatting sqref="E93">
    <cfRule type="expression" dxfId="701" priority="1111">
      <formula>#REF!="TO"</formula>
    </cfRule>
    <cfRule type="expression" dxfId="700" priority="1112">
      <formula>#REF!="IO"</formula>
    </cfRule>
    <cfRule type="expression" dxfId="699" priority="1113">
      <formula>#REF!="L"</formula>
    </cfRule>
    <cfRule type="expression" dxfId="698" priority="1096">
      <formula>#REF!="TO"</formula>
    </cfRule>
    <cfRule type="expression" dxfId="697" priority="1097">
      <formula>#REF!="IO"</formula>
    </cfRule>
    <cfRule type="expression" dxfId="696" priority="1098">
      <formula>#REF!="L"</formula>
    </cfRule>
  </conditionalFormatting>
  <conditionalFormatting sqref="F93">
    <cfRule type="expression" dxfId="695" priority="1108">
      <formula>#REF!="TO"</formula>
    </cfRule>
    <cfRule type="expression" dxfId="694" priority="1109">
      <formula>#REF!="IO"</formula>
    </cfRule>
    <cfRule type="expression" dxfId="693" priority="1110">
      <formula>#REF!="L"</formula>
    </cfRule>
    <cfRule type="expression" dxfId="692" priority="1093">
      <formula>#REF!="TO"</formula>
    </cfRule>
    <cfRule type="expression" dxfId="691" priority="1094">
      <formula>#REF!="IO"</formula>
    </cfRule>
    <cfRule type="expression" dxfId="690" priority="1095">
      <formula>#REF!="L"</formula>
    </cfRule>
  </conditionalFormatting>
  <conditionalFormatting sqref="C93">
    <cfRule type="expression" dxfId="689" priority="1105">
      <formula>#REF!="TO"</formula>
    </cfRule>
    <cfRule type="expression" dxfId="688" priority="1106">
      <formula>#REF!="IO"</formula>
    </cfRule>
    <cfRule type="expression" dxfId="687" priority="1107">
      <formula>#REF!="L"</formula>
    </cfRule>
    <cfRule type="expression" dxfId="686" priority="1090">
      <formula>#REF!="TO"</formula>
    </cfRule>
    <cfRule type="expression" dxfId="685" priority="1091">
      <formula>#REF!="IO"</formula>
    </cfRule>
    <cfRule type="expression" dxfId="684" priority="1092">
      <formula>#REF!="L"</formula>
    </cfRule>
  </conditionalFormatting>
  <conditionalFormatting sqref="I93">
    <cfRule type="expression" dxfId="683" priority="1102">
      <formula>#REF!="TO"</formula>
    </cfRule>
    <cfRule type="expression" dxfId="682" priority="1103">
      <formula>#REF!="IO"</formula>
    </cfRule>
    <cfRule type="expression" dxfId="681" priority="1104">
      <formula>#REF!="L"</formula>
    </cfRule>
    <cfRule type="expression" dxfId="680" priority="1087">
      <formula>#REF!="TO"</formula>
    </cfRule>
    <cfRule type="expression" dxfId="679" priority="1088">
      <formula>#REF!="IO"</formula>
    </cfRule>
    <cfRule type="expression" dxfId="678" priority="1089">
      <formula>#REF!="L"</formula>
    </cfRule>
  </conditionalFormatting>
  <conditionalFormatting sqref="A94">
    <cfRule type="expression" dxfId="677" priority="1084">
      <formula>#REF!="TO"</formula>
    </cfRule>
    <cfRule type="expression" dxfId="676" priority="1085">
      <formula>#REF!="IO"</formula>
    </cfRule>
    <cfRule type="expression" dxfId="675" priority="1086">
      <formula>#REF!="L"</formula>
    </cfRule>
  </conditionalFormatting>
  <conditionalFormatting sqref="H94">
    <cfRule type="expression" dxfId="674" priority="1081">
      <formula>#REF!="TO"</formula>
    </cfRule>
    <cfRule type="expression" dxfId="673" priority="1082">
      <formula>#REF!="IO"</formula>
    </cfRule>
    <cfRule type="expression" dxfId="672" priority="1083">
      <formula>#REF!="L"</formula>
    </cfRule>
  </conditionalFormatting>
  <conditionalFormatting sqref="B94">
    <cfRule type="expression" dxfId="671" priority="1078">
      <formula>#REF!="TO"</formula>
    </cfRule>
    <cfRule type="expression" dxfId="670" priority="1079">
      <formula>#REF!="IO"</formula>
    </cfRule>
    <cfRule type="expression" dxfId="669" priority="1080">
      <formula>#REF!="L"</formula>
    </cfRule>
    <cfRule type="expression" dxfId="668" priority="1063">
      <formula>#REF!="TO"</formula>
    </cfRule>
    <cfRule type="expression" dxfId="667" priority="1064">
      <formula>#REF!="IO"</formula>
    </cfRule>
    <cfRule type="expression" dxfId="666" priority="1065">
      <formula>#REF!="L"</formula>
    </cfRule>
  </conditionalFormatting>
  <conditionalFormatting sqref="E94">
    <cfRule type="expression" dxfId="665" priority="1075">
      <formula>#REF!="TO"</formula>
    </cfRule>
    <cfRule type="expression" dxfId="664" priority="1076">
      <formula>#REF!="IO"</formula>
    </cfRule>
    <cfRule type="expression" dxfId="663" priority="1077">
      <formula>#REF!="L"</formula>
    </cfRule>
    <cfRule type="expression" dxfId="662" priority="1060">
      <formula>#REF!="TO"</formula>
    </cfRule>
    <cfRule type="expression" dxfId="661" priority="1061">
      <formula>#REF!="IO"</formula>
    </cfRule>
    <cfRule type="expression" dxfId="660" priority="1062">
      <formula>#REF!="L"</formula>
    </cfRule>
  </conditionalFormatting>
  <conditionalFormatting sqref="F94">
    <cfRule type="expression" dxfId="659" priority="1072">
      <formula>#REF!="TO"</formula>
    </cfRule>
    <cfRule type="expression" dxfId="658" priority="1073">
      <formula>#REF!="IO"</formula>
    </cfRule>
    <cfRule type="expression" dxfId="657" priority="1074">
      <formula>#REF!="L"</formula>
    </cfRule>
    <cfRule type="expression" dxfId="656" priority="1057">
      <formula>#REF!="TO"</formula>
    </cfRule>
    <cfRule type="expression" dxfId="655" priority="1058">
      <formula>#REF!="IO"</formula>
    </cfRule>
    <cfRule type="expression" dxfId="654" priority="1059">
      <formula>#REF!="L"</formula>
    </cfRule>
  </conditionalFormatting>
  <conditionalFormatting sqref="C94">
    <cfRule type="expression" dxfId="653" priority="1069">
      <formula>#REF!="TO"</formula>
    </cfRule>
    <cfRule type="expression" dxfId="652" priority="1070">
      <formula>#REF!="IO"</formula>
    </cfRule>
    <cfRule type="expression" dxfId="651" priority="1071">
      <formula>#REF!="L"</formula>
    </cfRule>
    <cfRule type="expression" dxfId="650" priority="1054">
      <formula>#REF!="TO"</formula>
    </cfRule>
    <cfRule type="expression" dxfId="649" priority="1055">
      <formula>#REF!="IO"</formula>
    </cfRule>
    <cfRule type="expression" dxfId="648" priority="1056">
      <formula>#REF!="L"</formula>
    </cfRule>
  </conditionalFormatting>
  <conditionalFormatting sqref="I94">
    <cfRule type="expression" dxfId="647" priority="1066">
      <formula>#REF!="TO"</formula>
    </cfRule>
    <cfRule type="expression" dxfId="646" priority="1067">
      <formula>#REF!="IO"</formula>
    </cfRule>
    <cfRule type="expression" dxfId="645" priority="1068">
      <formula>#REF!="L"</formula>
    </cfRule>
    <cfRule type="expression" dxfId="644" priority="1051">
      <formula>#REF!="TO"</formula>
    </cfRule>
    <cfRule type="expression" dxfId="643" priority="1052">
      <formula>#REF!="IO"</formula>
    </cfRule>
    <cfRule type="expression" dxfId="642" priority="1053">
      <formula>#REF!="L"</formula>
    </cfRule>
  </conditionalFormatting>
  <conditionalFormatting sqref="A95">
    <cfRule type="expression" dxfId="641" priority="1048">
      <formula>#REF!="TO"</formula>
    </cfRule>
    <cfRule type="expression" dxfId="640" priority="1049">
      <formula>#REF!="IO"</formula>
    </cfRule>
    <cfRule type="expression" dxfId="639" priority="1050">
      <formula>#REF!="L"</formula>
    </cfRule>
  </conditionalFormatting>
  <conditionalFormatting sqref="H95">
    <cfRule type="expression" dxfId="638" priority="1045">
      <formula>#REF!="TO"</formula>
    </cfRule>
    <cfRule type="expression" dxfId="637" priority="1046">
      <formula>#REF!="IO"</formula>
    </cfRule>
    <cfRule type="expression" dxfId="636" priority="1047">
      <formula>#REF!="L"</formula>
    </cfRule>
  </conditionalFormatting>
  <conditionalFormatting sqref="B95">
    <cfRule type="expression" dxfId="635" priority="1042">
      <formula>#REF!="TO"</formula>
    </cfRule>
    <cfRule type="expression" dxfId="634" priority="1043">
      <formula>#REF!="IO"</formula>
    </cfRule>
    <cfRule type="expression" dxfId="633" priority="1044">
      <formula>#REF!="L"</formula>
    </cfRule>
    <cfRule type="expression" dxfId="632" priority="1027">
      <formula>#REF!="TO"</formula>
    </cfRule>
    <cfRule type="expression" dxfId="631" priority="1028">
      <formula>#REF!="IO"</formula>
    </cfRule>
    <cfRule type="expression" dxfId="630" priority="1029">
      <formula>#REF!="L"</formula>
    </cfRule>
  </conditionalFormatting>
  <conditionalFormatting sqref="E95">
    <cfRule type="expression" dxfId="629" priority="1039">
      <formula>#REF!="TO"</formula>
    </cfRule>
    <cfRule type="expression" dxfId="628" priority="1040">
      <formula>#REF!="IO"</formula>
    </cfRule>
    <cfRule type="expression" dxfId="627" priority="1041">
      <formula>#REF!="L"</formula>
    </cfRule>
    <cfRule type="expression" dxfId="626" priority="1024">
      <formula>#REF!="TO"</formula>
    </cfRule>
    <cfRule type="expression" dxfId="625" priority="1025">
      <formula>#REF!="IO"</formula>
    </cfRule>
    <cfRule type="expression" dxfId="624" priority="1026">
      <formula>#REF!="L"</formula>
    </cfRule>
  </conditionalFormatting>
  <conditionalFormatting sqref="F95">
    <cfRule type="expression" dxfId="623" priority="1036">
      <formula>#REF!="TO"</formula>
    </cfRule>
    <cfRule type="expression" dxfId="622" priority="1037">
      <formula>#REF!="IO"</formula>
    </cfRule>
    <cfRule type="expression" dxfId="621" priority="1038">
      <formula>#REF!="L"</formula>
    </cfRule>
    <cfRule type="expression" dxfId="620" priority="1021">
      <formula>#REF!="TO"</formula>
    </cfRule>
    <cfRule type="expression" dxfId="619" priority="1022">
      <formula>#REF!="IO"</formula>
    </cfRule>
    <cfRule type="expression" dxfId="618" priority="1023">
      <formula>#REF!="L"</formula>
    </cfRule>
  </conditionalFormatting>
  <conditionalFormatting sqref="C95">
    <cfRule type="expression" dxfId="617" priority="1033">
      <formula>#REF!="TO"</formula>
    </cfRule>
    <cfRule type="expression" dxfId="616" priority="1034">
      <formula>#REF!="IO"</formula>
    </cfRule>
    <cfRule type="expression" dxfId="615" priority="1035">
      <formula>#REF!="L"</formula>
    </cfRule>
    <cfRule type="expression" dxfId="614" priority="1018">
      <formula>#REF!="TO"</formula>
    </cfRule>
    <cfRule type="expression" dxfId="613" priority="1019">
      <formula>#REF!="IO"</formula>
    </cfRule>
    <cfRule type="expression" dxfId="612" priority="1020">
      <formula>#REF!="L"</formula>
    </cfRule>
  </conditionalFormatting>
  <conditionalFormatting sqref="I95">
    <cfRule type="expression" dxfId="611" priority="1030">
      <formula>#REF!="TO"</formula>
    </cfRule>
    <cfRule type="expression" dxfId="610" priority="1031">
      <formula>#REF!="IO"</formula>
    </cfRule>
    <cfRule type="expression" dxfId="609" priority="1032">
      <formula>#REF!="L"</formula>
    </cfRule>
    <cfRule type="expression" dxfId="608" priority="1015">
      <formula>#REF!="TO"</formula>
    </cfRule>
    <cfRule type="expression" dxfId="607" priority="1016">
      <formula>#REF!="IO"</formula>
    </cfRule>
    <cfRule type="expression" dxfId="606" priority="1017">
      <formula>#REF!="L"</formula>
    </cfRule>
  </conditionalFormatting>
  <conditionalFormatting sqref="A96">
    <cfRule type="expression" dxfId="605" priority="1012">
      <formula>#REF!="TO"</formula>
    </cfRule>
    <cfRule type="expression" dxfId="604" priority="1013">
      <formula>#REF!="IO"</formula>
    </cfRule>
    <cfRule type="expression" dxfId="603" priority="1014">
      <formula>#REF!="L"</formula>
    </cfRule>
  </conditionalFormatting>
  <conditionalFormatting sqref="H96">
    <cfRule type="expression" dxfId="602" priority="1009">
      <formula>#REF!="TO"</formula>
    </cfRule>
    <cfRule type="expression" dxfId="601" priority="1010">
      <formula>#REF!="IO"</formula>
    </cfRule>
    <cfRule type="expression" dxfId="600" priority="1011">
      <formula>#REF!="L"</formula>
    </cfRule>
  </conditionalFormatting>
  <conditionalFormatting sqref="B96">
    <cfRule type="expression" dxfId="599" priority="1006">
      <formula>#REF!="TO"</formula>
    </cfRule>
    <cfRule type="expression" dxfId="598" priority="1007">
      <formula>#REF!="IO"</formula>
    </cfRule>
    <cfRule type="expression" dxfId="597" priority="1008">
      <formula>#REF!="L"</formula>
    </cfRule>
    <cfRule type="expression" dxfId="596" priority="991">
      <formula>#REF!="TO"</formula>
    </cfRule>
    <cfRule type="expression" dxfId="595" priority="992">
      <formula>#REF!="IO"</formula>
    </cfRule>
    <cfRule type="expression" dxfId="594" priority="993">
      <formula>#REF!="L"</formula>
    </cfRule>
  </conditionalFormatting>
  <conditionalFormatting sqref="E96">
    <cfRule type="expression" dxfId="593" priority="1003">
      <formula>#REF!="TO"</formula>
    </cfRule>
    <cfRule type="expression" dxfId="592" priority="1004">
      <formula>#REF!="IO"</formula>
    </cfRule>
    <cfRule type="expression" dxfId="591" priority="1005">
      <formula>#REF!="L"</formula>
    </cfRule>
    <cfRule type="expression" dxfId="590" priority="988">
      <formula>#REF!="TO"</formula>
    </cfRule>
    <cfRule type="expression" dxfId="589" priority="989">
      <formula>#REF!="IO"</formula>
    </cfRule>
    <cfRule type="expression" dxfId="588" priority="990">
      <formula>#REF!="L"</formula>
    </cfRule>
  </conditionalFormatting>
  <conditionalFormatting sqref="F96">
    <cfRule type="expression" dxfId="587" priority="1000">
      <formula>#REF!="TO"</formula>
    </cfRule>
    <cfRule type="expression" dxfId="586" priority="1001">
      <formula>#REF!="IO"</formula>
    </cfRule>
    <cfRule type="expression" dxfId="585" priority="1002">
      <formula>#REF!="L"</formula>
    </cfRule>
    <cfRule type="expression" dxfId="584" priority="985">
      <formula>#REF!="TO"</formula>
    </cfRule>
    <cfRule type="expression" dxfId="583" priority="986">
      <formula>#REF!="IO"</formula>
    </cfRule>
    <cfRule type="expression" dxfId="582" priority="987">
      <formula>#REF!="L"</formula>
    </cfRule>
  </conditionalFormatting>
  <conditionalFormatting sqref="C96">
    <cfRule type="expression" dxfId="581" priority="997">
      <formula>#REF!="TO"</formula>
    </cfRule>
    <cfRule type="expression" dxfId="580" priority="998">
      <formula>#REF!="IO"</formula>
    </cfRule>
    <cfRule type="expression" dxfId="579" priority="999">
      <formula>#REF!="L"</formula>
    </cfRule>
    <cfRule type="expression" dxfId="578" priority="982">
      <formula>#REF!="TO"</formula>
    </cfRule>
    <cfRule type="expression" dxfId="577" priority="983">
      <formula>#REF!="IO"</formula>
    </cfRule>
    <cfRule type="expression" dxfId="576" priority="984">
      <formula>#REF!="L"</formula>
    </cfRule>
  </conditionalFormatting>
  <conditionalFormatting sqref="I96">
    <cfRule type="expression" dxfId="575" priority="994">
      <formula>#REF!="TO"</formula>
    </cfRule>
    <cfRule type="expression" dxfId="574" priority="995">
      <formula>#REF!="IO"</formula>
    </cfRule>
    <cfRule type="expression" dxfId="573" priority="996">
      <formula>#REF!="L"</formula>
    </cfRule>
    <cfRule type="expression" dxfId="572" priority="979">
      <formula>#REF!="TO"</formula>
    </cfRule>
    <cfRule type="expression" dxfId="571" priority="980">
      <formula>#REF!="IO"</formula>
    </cfRule>
    <cfRule type="expression" dxfId="570" priority="981">
      <formula>#REF!="L"</formula>
    </cfRule>
  </conditionalFormatting>
  <conditionalFormatting sqref="A97:A112">
    <cfRule type="expression" dxfId="569" priority="976">
      <formula>#REF!="TO"</formula>
    </cfRule>
    <cfRule type="expression" dxfId="568" priority="977">
      <formula>#REF!="IO"</formula>
    </cfRule>
    <cfRule type="expression" dxfId="567" priority="978">
      <formula>#REF!="L"</formula>
    </cfRule>
  </conditionalFormatting>
  <conditionalFormatting sqref="H97:H112">
    <cfRule type="expression" dxfId="566" priority="973">
      <formula>#REF!="TO"</formula>
    </cfRule>
    <cfRule type="expression" dxfId="565" priority="974">
      <formula>#REF!="IO"</formula>
    </cfRule>
    <cfRule type="expression" dxfId="564" priority="975">
      <formula>#REF!="L"</formula>
    </cfRule>
  </conditionalFormatting>
  <conditionalFormatting sqref="B97:B112">
    <cfRule type="expression" dxfId="563" priority="970">
      <formula>#REF!="TO"</formula>
    </cfRule>
    <cfRule type="expression" dxfId="562" priority="971">
      <formula>#REF!="IO"</formula>
    </cfRule>
    <cfRule type="expression" dxfId="561" priority="972">
      <formula>#REF!="L"</formula>
    </cfRule>
    <cfRule type="expression" dxfId="560" priority="955">
      <formula>#REF!="TO"</formula>
    </cfRule>
    <cfRule type="expression" dxfId="559" priority="956">
      <formula>#REF!="IO"</formula>
    </cfRule>
    <cfRule type="expression" dxfId="558" priority="957">
      <formula>#REF!="L"</formula>
    </cfRule>
  </conditionalFormatting>
  <conditionalFormatting sqref="E97:E112">
    <cfRule type="expression" dxfId="557" priority="967">
      <formula>#REF!="TO"</formula>
    </cfRule>
    <cfRule type="expression" dxfId="556" priority="968">
      <formula>#REF!="IO"</formula>
    </cfRule>
    <cfRule type="expression" dxfId="555" priority="969">
      <formula>#REF!="L"</formula>
    </cfRule>
    <cfRule type="expression" dxfId="554" priority="952">
      <formula>#REF!="TO"</formula>
    </cfRule>
    <cfRule type="expression" dxfId="553" priority="953">
      <formula>#REF!="IO"</formula>
    </cfRule>
    <cfRule type="expression" dxfId="552" priority="954">
      <formula>#REF!="L"</formula>
    </cfRule>
  </conditionalFormatting>
  <conditionalFormatting sqref="F97:F112">
    <cfRule type="expression" dxfId="551" priority="964">
      <formula>#REF!="TO"</formula>
    </cfRule>
    <cfRule type="expression" dxfId="550" priority="965">
      <formula>#REF!="IO"</formula>
    </cfRule>
    <cfRule type="expression" dxfId="549" priority="966">
      <formula>#REF!="L"</formula>
    </cfRule>
    <cfRule type="expression" dxfId="548" priority="949">
      <formula>#REF!="TO"</formula>
    </cfRule>
    <cfRule type="expression" dxfId="547" priority="950">
      <formula>#REF!="IO"</formula>
    </cfRule>
    <cfRule type="expression" dxfId="546" priority="951">
      <formula>#REF!="L"</formula>
    </cfRule>
  </conditionalFormatting>
  <conditionalFormatting sqref="C97:C112">
    <cfRule type="expression" dxfId="545" priority="961">
      <formula>#REF!="TO"</formula>
    </cfRule>
    <cfRule type="expression" dxfId="544" priority="962">
      <formula>#REF!="IO"</formula>
    </cfRule>
    <cfRule type="expression" dxfId="543" priority="963">
      <formula>#REF!="L"</formula>
    </cfRule>
    <cfRule type="expression" dxfId="542" priority="946">
      <formula>#REF!="TO"</formula>
    </cfRule>
    <cfRule type="expression" dxfId="541" priority="947">
      <formula>#REF!="IO"</formula>
    </cfRule>
    <cfRule type="expression" dxfId="540" priority="948">
      <formula>#REF!="L"</formula>
    </cfRule>
  </conditionalFormatting>
  <conditionalFormatting sqref="I97:I112">
    <cfRule type="expression" dxfId="539" priority="958">
      <formula>#REF!="TO"</formula>
    </cfRule>
    <cfRule type="expression" dxfId="538" priority="959">
      <formula>#REF!="IO"</formula>
    </cfRule>
    <cfRule type="expression" dxfId="537" priority="960">
      <formula>#REF!="L"</formula>
    </cfRule>
    <cfRule type="expression" dxfId="536" priority="943">
      <formula>#REF!="TO"</formula>
    </cfRule>
    <cfRule type="expression" dxfId="535" priority="944">
      <formula>#REF!="IO"</formula>
    </cfRule>
    <cfRule type="expression" dxfId="534" priority="945">
      <formula>#REF!="L"</formula>
    </cfRule>
  </conditionalFormatting>
  <conditionalFormatting sqref="F98:F112">
    <cfRule type="expression" dxfId="533" priority="940">
      <formula>#REF!="TO"</formula>
    </cfRule>
    <cfRule type="expression" dxfId="532" priority="941">
      <formula>#REF!="IO"</formula>
    </cfRule>
    <cfRule type="expression" dxfId="531" priority="942">
      <formula>#REF!="L"</formula>
    </cfRule>
    <cfRule type="expression" dxfId="530" priority="937">
      <formula>#REF!="TO"</formula>
    </cfRule>
    <cfRule type="expression" dxfId="529" priority="938">
      <formula>#REF!="IO"</formula>
    </cfRule>
    <cfRule type="expression" dxfId="528" priority="939">
      <formula>#REF!="L"</formula>
    </cfRule>
  </conditionalFormatting>
  <conditionalFormatting sqref="C113">
    <cfRule type="expression" dxfId="527" priority="802">
      <formula>#REF!="TO"</formula>
    </cfRule>
    <cfRule type="expression" dxfId="526" priority="803">
      <formula>#REF!="IO"</formula>
    </cfRule>
    <cfRule type="expression" dxfId="525" priority="804">
      <formula>#REF!="L"</formula>
    </cfRule>
    <cfRule type="expression" dxfId="524" priority="844">
      <formula>#REF!="TO"</formula>
    </cfRule>
    <cfRule type="expression" dxfId="523" priority="845">
      <formula>#REF!="IO"</formula>
    </cfRule>
    <cfRule type="expression" dxfId="522" priority="846">
      <formula>#REF!="L"</formula>
    </cfRule>
    <cfRule type="expression" dxfId="521" priority="817">
      <formula>#REF!="TO"</formula>
    </cfRule>
    <cfRule type="expression" dxfId="520" priority="818">
      <formula>#REF!="IO"</formula>
    </cfRule>
    <cfRule type="expression" dxfId="519" priority="819">
      <formula>#REF!="L"</formula>
    </cfRule>
  </conditionalFormatting>
  <conditionalFormatting sqref="I113">
    <cfRule type="expression" dxfId="518" priority="799">
      <formula>#REF!="TO"</formula>
    </cfRule>
    <cfRule type="expression" dxfId="517" priority="800">
      <formula>#REF!="IO"</formula>
    </cfRule>
    <cfRule type="expression" dxfId="516" priority="801">
      <formula>#REF!="L"</formula>
    </cfRule>
    <cfRule type="expression" dxfId="515" priority="835">
      <formula>#REF!="TO"</formula>
    </cfRule>
    <cfRule type="expression" dxfId="514" priority="836">
      <formula>#REF!="IO"</formula>
    </cfRule>
    <cfRule type="expression" dxfId="513" priority="837">
      <formula>#REF!="L"</formula>
    </cfRule>
    <cfRule type="expression" dxfId="512" priority="814">
      <formula>#REF!="TO"</formula>
    </cfRule>
    <cfRule type="expression" dxfId="511" priority="815">
      <formula>#REF!="IO"</formula>
    </cfRule>
    <cfRule type="expression" dxfId="510" priority="816">
      <formula>#REF!="L"</formula>
    </cfRule>
  </conditionalFormatting>
  <conditionalFormatting sqref="F113">
    <cfRule type="expression" dxfId="509" priority="796">
      <formula>#REF!="TO"</formula>
    </cfRule>
    <cfRule type="expression" dxfId="508" priority="797">
      <formula>#REF!="IO"</formula>
    </cfRule>
    <cfRule type="expression" dxfId="507" priority="798">
      <formula>#REF!="L"</formula>
    </cfRule>
    <cfRule type="expression" dxfId="506" priority="793">
      <formula>#REF!="TO"</formula>
    </cfRule>
    <cfRule type="expression" dxfId="505" priority="794">
      <formula>#REF!="IO"</formula>
    </cfRule>
    <cfRule type="expression" dxfId="504" priority="795">
      <formula>#REF!="L"</formula>
    </cfRule>
    <cfRule type="expression" dxfId="503" priority="847">
      <formula>#REF!="TO"</formula>
    </cfRule>
    <cfRule type="expression" dxfId="502" priority="848">
      <formula>#REF!="IO"</formula>
    </cfRule>
    <cfRule type="expression" dxfId="501" priority="849">
      <formula>#REF!="L"</formula>
    </cfRule>
    <cfRule type="expression" dxfId="500" priority="820">
      <formula>#REF!="TO"</formula>
    </cfRule>
    <cfRule type="expression" dxfId="499" priority="821">
      <formula>#REF!="IO"</formula>
    </cfRule>
    <cfRule type="expression" dxfId="498" priority="822">
      <formula>#REF!="L"</formula>
    </cfRule>
    <cfRule type="expression" dxfId="497" priority="805">
      <formula>#REF!="TO"</formula>
    </cfRule>
    <cfRule type="expression" dxfId="496" priority="806">
      <formula>#REF!="IO"</formula>
    </cfRule>
    <cfRule type="expression" dxfId="495" priority="807">
      <formula>#REF!="L"</formula>
    </cfRule>
  </conditionalFormatting>
  <conditionalFormatting sqref="A113">
    <cfRule type="expression" dxfId="494" priority="856">
      <formula>#REF!="TO"</formula>
    </cfRule>
    <cfRule type="expression" dxfId="493" priority="857">
      <formula>#REF!="IO"</formula>
    </cfRule>
    <cfRule type="expression" dxfId="492" priority="858">
      <formula>#REF!="L"</formula>
    </cfRule>
    <cfRule type="expression" dxfId="491" priority="832">
      <formula>#REF!="TO"</formula>
    </cfRule>
    <cfRule type="expression" dxfId="490" priority="833">
      <formula>#REF!="IO"</formula>
    </cfRule>
    <cfRule type="expression" dxfId="489" priority="834">
      <formula>#REF!="L"</formula>
    </cfRule>
  </conditionalFormatting>
  <conditionalFormatting sqref="B113">
    <cfRule type="expression" dxfId="488" priority="853">
      <formula>#REF!="TO"</formula>
    </cfRule>
    <cfRule type="expression" dxfId="487" priority="854">
      <formula>#REF!="IO"</formula>
    </cfRule>
    <cfRule type="expression" dxfId="486" priority="855">
      <formula>#REF!="L"</formula>
    </cfRule>
    <cfRule type="expression" dxfId="485" priority="826">
      <formula>#REF!="TO"</formula>
    </cfRule>
    <cfRule type="expression" dxfId="484" priority="827">
      <formula>#REF!="IO"</formula>
    </cfRule>
    <cfRule type="expression" dxfId="483" priority="828">
      <formula>#REF!="L"</formula>
    </cfRule>
    <cfRule type="expression" dxfId="482" priority="811">
      <formula>#REF!="TO"</formula>
    </cfRule>
    <cfRule type="expression" dxfId="481" priority="812">
      <formula>#REF!="IO"</formula>
    </cfRule>
    <cfRule type="expression" dxfId="480" priority="813">
      <formula>#REF!="L"</formula>
    </cfRule>
  </conditionalFormatting>
  <conditionalFormatting sqref="E113">
    <cfRule type="expression" dxfId="479" priority="850">
      <formula>#REF!="TO"</formula>
    </cfRule>
    <cfRule type="expression" dxfId="478" priority="851">
      <formula>#REF!="IO"</formula>
    </cfRule>
    <cfRule type="expression" dxfId="477" priority="852">
      <formula>#REF!="L"</formula>
    </cfRule>
    <cfRule type="expression" dxfId="476" priority="823">
      <formula>#REF!="TO"</formula>
    </cfRule>
    <cfRule type="expression" dxfId="475" priority="824">
      <formula>#REF!="IO"</formula>
    </cfRule>
    <cfRule type="expression" dxfId="474" priority="825">
      <formula>#REF!="L"</formula>
    </cfRule>
    <cfRule type="expression" dxfId="473" priority="808">
      <formula>#REF!="TO"</formula>
    </cfRule>
    <cfRule type="expression" dxfId="472" priority="809">
      <formula>#REF!="IO"</formula>
    </cfRule>
    <cfRule type="expression" dxfId="471" priority="810">
      <formula>#REF!="L"</formula>
    </cfRule>
  </conditionalFormatting>
  <conditionalFormatting sqref="H113">
    <cfRule type="expression" dxfId="470" priority="838">
      <formula>#REF!="TO"</formula>
    </cfRule>
    <cfRule type="expression" dxfId="469" priority="839">
      <formula>#REF!="IO"</formula>
    </cfRule>
    <cfRule type="expression" dxfId="468" priority="840">
      <formula>#REF!="L"</formula>
    </cfRule>
    <cfRule type="expression" dxfId="467" priority="841">
      <formula>#REF!="TO"</formula>
    </cfRule>
    <cfRule type="expression" dxfId="466" priority="842">
      <formula>#REF!="IO"</formula>
    </cfRule>
    <cfRule type="expression" dxfId="465" priority="843">
      <formula>#REF!="L"</formula>
    </cfRule>
    <cfRule type="expression" dxfId="464" priority="829">
      <formula>#REF!="TO"</formula>
    </cfRule>
    <cfRule type="expression" dxfId="463" priority="830">
      <formula>#REF!="IO"</formula>
    </cfRule>
    <cfRule type="expression" dxfId="462" priority="831">
      <formula>#REF!="L"</formula>
    </cfRule>
  </conditionalFormatting>
  <conditionalFormatting sqref="A114">
    <cfRule type="expression" dxfId="461" priority="724">
      <formula>#REF!="TO"</formula>
    </cfRule>
    <cfRule type="expression" dxfId="460" priority="725">
      <formula>#REF!="IO"</formula>
    </cfRule>
    <cfRule type="expression" dxfId="459" priority="726">
      <formula>#REF!="L"</formula>
    </cfRule>
    <cfRule type="expression" dxfId="458" priority="700">
      <formula>#REF!="TO"</formula>
    </cfRule>
    <cfRule type="expression" dxfId="457" priority="701">
      <formula>#REF!="IO"</formula>
    </cfRule>
    <cfRule type="expression" dxfId="456" priority="702">
      <formula>#REF!="L"</formula>
    </cfRule>
  </conditionalFormatting>
  <conditionalFormatting sqref="B114">
    <cfRule type="expression" dxfId="455" priority="721">
      <formula>#REF!="TO"</formula>
    </cfRule>
    <cfRule type="expression" dxfId="454" priority="722">
      <formula>#REF!="IO"</formula>
    </cfRule>
    <cfRule type="expression" dxfId="453" priority="723">
      <formula>#REF!="L"</formula>
    </cfRule>
    <cfRule type="expression" dxfId="452" priority="694">
      <formula>#REF!="TO"</formula>
    </cfRule>
    <cfRule type="expression" dxfId="451" priority="695">
      <formula>#REF!="IO"</formula>
    </cfRule>
    <cfRule type="expression" dxfId="450" priority="696">
      <formula>#REF!="L"</formula>
    </cfRule>
    <cfRule type="expression" dxfId="449" priority="679">
      <formula>#REF!="TO"</formula>
    </cfRule>
    <cfRule type="expression" dxfId="448" priority="680">
      <formula>#REF!="IO"</formula>
    </cfRule>
    <cfRule type="expression" dxfId="447" priority="681">
      <formula>#REF!="L"</formula>
    </cfRule>
  </conditionalFormatting>
  <conditionalFormatting sqref="E114">
    <cfRule type="expression" dxfId="446" priority="718">
      <formula>#REF!="TO"</formula>
    </cfRule>
    <cfRule type="expression" dxfId="445" priority="719">
      <formula>#REF!="IO"</formula>
    </cfRule>
    <cfRule type="expression" dxfId="444" priority="720">
      <formula>#REF!="L"</formula>
    </cfRule>
    <cfRule type="expression" dxfId="443" priority="691">
      <formula>#REF!="TO"</formula>
    </cfRule>
    <cfRule type="expression" dxfId="442" priority="692">
      <formula>#REF!="IO"</formula>
    </cfRule>
    <cfRule type="expression" dxfId="441" priority="693">
      <formula>#REF!="L"</formula>
    </cfRule>
    <cfRule type="expression" dxfId="440" priority="676">
      <formula>#REF!="TO"</formula>
    </cfRule>
    <cfRule type="expression" dxfId="439" priority="677">
      <formula>#REF!="IO"</formula>
    </cfRule>
    <cfRule type="expression" dxfId="438" priority="678">
      <formula>#REF!="L"</formula>
    </cfRule>
  </conditionalFormatting>
  <conditionalFormatting sqref="F114">
    <cfRule type="expression" dxfId="437" priority="715">
      <formula>#REF!="TO"</formula>
    </cfRule>
    <cfRule type="expression" dxfId="436" priority="716">
      <formula>#REF!="IO"</formula>
    </cfRule>
    <cfRule type="expression" dxfId="435" priority="717">
      <formula>#REF!="L"</formula>
    </cfRule>
    <cfRule type="expression" dxfId="434" priority="688">
      <formula>#REF!="TO"</formula>
    </cfRule>
    <cfRule type="expression" dxfId="433" priority="689">
      <formula>#REF!="IO"</formula>
    </cfRule>
    <cfRule type="expression" dxfId="432" priority="690">
      <formula>#REF!="L"</formula>
    </cfRule>
    <cfRule type="expression" dxfId="431" priority="673">
      <formula>#REF!="TO"</formula>
    </cfRule>
    <cfRule type="expression" dxfId="430" priority="674">
      <formula>#REF!="IO"</formula>
    </cfRule>
    <cfRule type="expression" dxfId="429" priority="675">
      <formula>#REF!="L"</formula>
    </cfRule>
    <cfRule type="expression" dxfId="428" priority="664">
      <formula>#REF!="TO"</formula>
    </cfRule>
    <cfRule type="expression" dxfId="427" priority="665">
      <formula>#REF!="IO"</formula>
    </cfRule>
    <cfRule type="expression" dxfId="426" priority="666">
      <formula>#REF!="L"</formula>
    </cfRule>
    <cfRule type="expression" dxfId="425" priority="661">
      <formula>#REF!="TO"</formula>
    </cfRule>
    <cfRule type="expression" dxfId="424" priority="662">
      <formula>#REF!="IO"</formula>
    </cfRule>
    <cfRule type="expression" dxfId="423" priority="663">
      <formula>#REF!="L"</formula>
    </cfRule>
  </conditionalFormatting>
  <conditionalFormatting sqref="C114">
    <cfRule type="expression" dxfId="422" priority="712">
      <formula>#REF!="TO"</formula>
    </cfRule>
    <cfRule type="expression" dxfId="421" priority="713">
      <formula>#REF!="IO"</formula>
    </cfRule>
    <cfRule type="expression" dxfId="420" priority="714">
      <formula>#REF!="L"</formula>
    </cfRule>
    <cfRule type="expression" dxfId="419" priority="685">
      <formula>#REF!="TO"</formula>
    </cfRule>
    <cfRule type="expression" dxfId="418" priority="686">
      <formula>#REF!="IO"</formula>
    </cfRule>
    <cfRule type="expression" dxfId="417" priority="687">
      <formula>#REF!="L"</formula>
    </cfRule>
    <cfRule type="expression" dxfId="416" priority="670">
      <formula>#REF!="TO"</formula>
    </cfRule>
    <cfRule type="expression" dxfId="415" priority="671">
      <formula>#REF!="IO"</formula>
    </cfRule>
    <cfRule type="expression" dxfId="414" priority="672">
      <formula>#REF!="L"</formula>
    </cfRule>
  </conditionalFormatting>
  <conditionalFormatting sqref="H114">
    <cfRule type="expression" dxfId="413" priority="706">
      <formula>#REF!="TO"</formula>
    </cfRule>
    <cfRule type="expression" dxfId="412" priority="707">
      <formula>#REF!="IO"</formula>
    </cfRule>
    <cfRule type="expression" dxfId="411" priority="708">
      <formula>#REF!="L"</formula>
    </cfRule>
    <cfRule type="expression" dxfId="410" priority="709">
      <formula>#REF!="TO"</formula>
    </cfRule>
    <cfRule type="expression" dxfId="409" priority="710">
      <formula>#REF!="IO"</formula>
    </cfRule>
    <cfRule type="expression" dxfId="408" priority="711">
      <formula>#REF!="L"</formula>
    </cfRule>
    <cfRule type="expression" dxfId="407" priority="697">
      <formula>#REF!="TO"</formula>
    </cfRule>
    <cfRule type="expression" dxfId="406" priority="698">
      <formula>#REF!="IO"</formula>
    </cfRule>
    <cfRule type="expression" dxfId="405" priority="699">
      <formula>#REF!="L"</formula>
    </cfRule>
  </conditionalFormatting>
  <conditionalFormatting sqref="I114">
    <cfRule type="expression" dxfId="404" priority="703">
      <formula>#REF!="TO"</formula>
    </cfRule>
    <cfRule type="expression" dxfId="403" priority="704">
      <formula>#REF!="IO"</formula>
    </cfRule>
    <cfRule type="expression" dxfId="402" priority="705">
      <formula>#REF!="L"</formula>
    </cfRule>
    <cfRule type="expression" dxfId="401" priority="682">
      <formula>#REF!="TO"</formula>
    </cfRule>
    <cfRule type="expression" dxfId="400" priority="683">
      <formula>#REF!="IO"</formula>
    </cfRule>
    <cfRule type="expression" dxfId="399" priority="684">
      <formula>#REF!="L"</formula>
    </cfRule>
    <cfRule type="expression" dxfId="398" priority="667">
      <formula>#REF!="TO"</formula>
    </cfRule>
    <cfRule type="expression" dxfId="397" priority="668">
      <formula>#REF!="IO"</formula>
    </cfRule>
    <cfRule type="expression" dxfId="396" priority="669">
      <formula>#REF!="L"</formula>
    </cfRule>
  </conditionalFormatting>
  <conditionalFormatting sqref="A115">
    <cfRule type="expression" dxfId="395" priority="592">
      <formula>#REF!="TO"</formula>
    </cfRule>
    <cfRule type="expression" dxfId="394" priority="593">
      <formula>#REF!="IO"</formula>
    </cfRule>
    <cfRule type="expression" dxfId="393" priority="594">
      <formula>#REF!="L"</formula>
    </cfRule>
    <cfRule type="expression" dxfId="392" priority="568">
      <formula>#REF!="TO"</formula>
    </cfRule>
    <cfRule type="expression" dxfId="391" priority="569">
      <formula>#REF!="IO"</formula>
    </cfRule>
    <cfRule type="expression" dxfId="390" priority="570">
      <formula>#REF!="L"</formula>
    </cfRule>
  </conditionalFormatting>
  <conditionalFormatting sqref="B115">
    <cfRule type="expression" dxfId="389" priority="589">
      <formula>#REF!="TO"</formula>
    </cfRule>
    <cfRule type="expression" dxfId="388" priority="590">
      <formula>#REF!="IO"</formula>
    </cfRule>
    <cfRule type="expression" dxfId="387" priority="591">
      <formula>#REF!="L"</formula>
    </cfRule>
    <cfRule type="expression" dxfId="386" priority="562">
      <formula>#REF!="TO"</formula>
    </cfRule>
    <cfRule type="expression" dxfId="385" priority="563">
      <formula>#REF!="IO"</formula>
    </cfRule>
    <cfRule type="expression" dxfId="384" priority="564">
      <formula>#REF!="L"</formula>
    </cfRule>
    <cfRule type="expression" dxfId="383" priority="547">
      <formula>#REF!="TO"</formula>
    </cfRule>
    <cfRule type="expression" dxfId="382" priority="548">
      <formula>#REF!="IO"</formula>
    </cfRule>
    <cfRule type="expression" dxfId="381" priority="549">
      <formula>#REF!="L"</formula>
    </cfRule>
  </conditionalFormatting>
  <conditionalFormatting sqref="E115">
    <cfRule type="expression" dxfId="380" priority="586">
      <formula>#REF!="TO"</formula>
    </cfRule>
    <cfRule type="expression" dxfId="379" priority="587">
      <formula>#REF!="IO"</formula>
    </cfRule>
    <cfRule type="expression" dxfId="378" priority="588">
      <formula>#REF!="L"</formula>
    </cfRule>
    <cfRule type="expression" dxfId="377" priority="559">
      <formula>#REF!="TO"</formula>
    </cfRule>
    <cfRule type="expression" dxfId="376" priority="560">
      <formula>#REF!="IO"</formula>
    </cfRule>
    <cfRule type="expression" dxfId="375" priority="561">
      <formula>#REF!="L"</formula>
    </cfRule>
    <cfRule type="expression" dxfId="374" priority="544">
      <formula>#REF!="TO"</formula>
    </cfRule>
    <cfRule type="expression" dxfId="373" priority="545">
      <formula>#REF!="IO"</formula>
    </cfRule>
    <cfRule type="expression" dxfId="372" priority="546">
      <formula>#REF!="L"</formula>
    </cfRule>
  </conditionalFormatting>
  <conditionalFormatting sqref="F115">
    <cfRule type="expression" dxfId="371" priority="583">
      <formula>#REF!="TO"</formula>
    </cfRule>
    <cfRule type="expression" dxfId="370" priority="584">
      <formula>#REF!="IO"</formula>
    </cfRule>
    <cfRule type="expression" dxfId="369" priority="585">
      <formula>#REF!="L"</formula>
    </cfRule>
    <cfRule type="expression" dxfId="368" priority="556">
      <formula>#REF!="TO"</formula>
    </cfRule>
    <cfRule type="expression" dxfId="367" priority="557">
      <formula>#REF!="IO"</formula>
    </cfRule>
    <cfRule type="expression" dxfId="366" priority="558">
      <formula>#REF!="L"</formula>
    </cfRule>
    <cfRule type="expression" dxfId="365" priority="541">
      <formula>#REF!="TO"</formula>
    </cfRule>
    <cfRule type="expression" dxfId="364" priority="542">
      <formula>#REF!="IO"</formula>
    </cfRule>
    <cfRule type="expression" dxfId="363" priority="543">
      <formula>#REF!="L"</formula>
    </cfRule>
    <cfRule type="expression" dxfId="362" priority="532">
      <formula>#REF!="TO"</formula>
    </cfRule>
    <cfRule type="expression" dxfId="361" priority="533">
      <formula>#REF!="IO"</formula>
    </cfRule>
    <cfRule type="expression" dxfId="360" priority="534">
      <formula>#REF!="L"</formula>
    </cfRule>
    <cfRule type="expression" dxfId="359" priority="529">
      <formula>#REF!="TO"</formula>
    </cfRule>
    <cfRule type="expression" dxfId="358" priority="530">
      <formula>#REF!="IO"</formula>
    </cfRule>
    <cfRule type="expression" dxfId="357" priority="531">
      <formula>#REF!="L"</formula>
    </cfRule>
  </conditionalFormatting>
  <conditionalFormatting sqref="C115">
    <cfRule type="expression" dxfId="356" priority="580">
      <formula>#REF!="TO"</formula>
    </cfRule>
    <cfRule type="expression" dxfId="355" priority="581">
      <formula>#REF!="IO"</formula>
    </cfRule>
    <cfRule type="expression" dxfId="354" priority="582">
      <formula>#REF!="L"</formula>
    </cfRule>
    <cfRule type="expression" dxfId="353" priority="553">
      <formula>#REF!="TO"</formula>
    </cfRule>
    <cfRule type="expression" dxfId="352" priority="554">
      <formula>#REF!="IO"</formula>
    </cfRule>
    <cfRule type="expression" dxfId="351" priority="555">
      <formula>#REF!="L"</formula>
    </cfRule>
    <cfRule type="expression" dxfId="350" priority="538">
      <formula>#REF!="TO"</formula>
    </cfRule>
    <cfRule type="expression" dxfId="349" priority="539">
      <formula>#REF!="IO"</formula>
    </cfRule>
    <cfRule type="expression" dxfId="348" priority="540">
      <formula>#REF!="L"</formula>
    </cfRule>
  </conditionalFormatting>
  <conditionalFormatting sqref="H115">
    <cfRule type="expression" dxfId="347" priority="574">
      <formula>#REF!="TO"</formula>
    </cfRule>
    <cfRule type="expression" dxfId="346" priority="575">
      <formula>#REF!="IO"</formula>
    </cfRule>
    <cfRule type="expression" dxfId="345" priority="576">
      <formula>#REF!="L"</formula>
    </cfRule>
    <cfRule type="expression" dxfId="344" priority="577">
      <formula>#REF!="TO"</formula>
    </cfRule>
    <cfRule type="expression" dxfId="343" priority="578">
      <formula>#REF!="IO"</formula>
    </cfRule>
    <cfRule type="expression" dxfId="342" priority="579">
      <formula>#REF!="L"</formula>
    </cfRule>
    <cfRule type="expression" dxfId="341" priority="565">
      <formula>#REF!="TO"</formula>
    </cfRule>
    <cfRule type="expression" dxfId="340" priority="566">
      <formula>#REF!="IO"</formula>
    </cfRule>
    <cfRule type="expression" dxfId="339" priority="567">
      <formula>#REF!="L"</formula>
    </cfRule>
  </conditionalFormatting>
  <conditionalFormatting sqref="I115">
    <cfRule type="expression" dxfId="338" priority="571">
      <formula>#REF!="TO"</formula>
    </cfRule>
    <cfRule type="expression" dxfId="337" priority="572">
      <formula>#REF!="IO"</formula>
    </cfRule>
    <cfRule type="expression" dxfId="336" priority="573">
      <formula>#REF!="L"</formula>
    </cfRule>
    <cfRule type="expression" dxfId="335" priority="550">
      <formula>#REF!="TO"</formula>
    </cfRule>
    <cfRule type="expression" dxfId="334" priority="551">
      <formula>#REF!="IO"</formula>
    </cfRule>
    <cfRule type="expression" dxfId="333" priority="552">
      <formula>#REF!="L"</formula>
    </cfRule>
    <cfRule type="expression" dxfId="332" priority="535">
      <formula>#REF!="TO"</formula>
    </cfRule>
    <cfRule type="expression" dxfId="331" priority="536">
      <formula>#REF!="IO"</formula>
    </cfRule>
    <cfRule type="expression" dxfId="330" priority="537">
      <formula>#REF!="L"</formula>
    </cfRule>
  </conditionalFormatting>
  <conditionalFormatting sqref="A116">
    <cfRule type="expression" dxfId="329" priority="460">
      <formula>#REF!="TO"</formula>
    </cfRule>
    <cfRule type="expression" dxfId="328" priority="461">
      <formula>#REF!="IO"</formula>
    </cfRule>
    <cfRule type="expression" dxfId="327" priority="462">
      <formula>#REF!="L"</formula>
    </cfRule>
    <cfRule type="expression" dxfId="326" priority="436">
      <formula>#REF!="TO"</formula>
    </cfRule>
    <cfRule type="expression" dxfId="325" priority="437">
      <formula>#REF!="IO"</formula>
    </cfRule>
    <cfRule type="expression" dxfId="324" priority="438">
      <formula>#REF!="L"</formula>
    </cfRule>
  </conditionalFormatting>
  <conditionalFormatting sqref="B116">
    <cfRule type="expression" dxfId="323" priority="457">
      <formula>#REF!="TO"</formula>
    </cfRule>
    <cfRule type="expression" dxfId="322" priority="458">
      <formula>#REF!="IO"</formula>
    </cfRule>
    <cfRule type="expression" dxfId="321" priority="459">
      <formula>#REF!="L"</formula>
    </cfRule>
    <cfRule type="expression" dxfId="320" priority="430">
      <formula>#REF!="TO"</formula>
    </cfRule>
    <cfRule type="expression" dxfId="319" priority="431">
      <formula>#REF!="IO"</formula>
    </cfRule>
    <cfRule type="expression" dxfId="318" priority="432">
      <formula>#REF!="L"</formula>
    </cfRule>
    <cfRule type="expression" dxfId="317" priority="415">
      <formula>#REF!="TO"</formula>
    </cfRule>
    <cfRule type="expression" dxfId="316" priority="416">
      <formula>#REF!="IO"</formula>
    </cfRule>
    <cfRule type="expression" dxfId="315" priority="417">
      <formula>#REF!="L"</formula>
    </cfRule>
  </conditionalFormatting>
  <conditionalFormatting sqref="E116">
    <cfRule type="expression" dxfId="314" priority="454">
      <formula>#REF!="TO"</formula>
    </cfRule>
    <cfRule type="expression" dxfId="313" priority="455">
      <formula>#REF!="IO"</formula>
    </cfRule>
    <cfRule type="expression" dxfId="312" priority="456">
      <formula>#REF!="L"</formula>
    </cfRule>
    <cfRule type="expression" dxfId="311" priority="427">
      <formula>#REF!="TO"</formula>
    </cfRule>
    <cfRule type="expression" dxfId="310" priority="428">
      <formula>#REF!="IO"</formula>
    </cfRule>
    <cfRule type="expression" dxfId="309" priority="429">
      <formula>#REF!="L"</formula>
    </cfRule>
    <cfRule type="expression" dxfId="308" priority="412">
      <formula>#REF!="TO"</formula>
    </cfRule>
    <cfRule type="expression" dxfId="307" priority="413">
      <formula>#REF!="IO"</formula>
    </cfRule>
    <cfRule type="expression" dxfId="306" priority="414">
      <formula>#REF!="L"</formula>
    </cfRule>
  </conditionalFormatting>
  <conditionalFormatting sqref="F116">
    <cfRule type="expression" dxfId="305" priority="451">
      <formula>#REF!="TO"</formula>
    </cfRule>
    <cfRule type="expression" dxfId="304" priority="452">
      <formula>#REF!="IO"</formula>
    </cfRule>
    <cfRule type="expression" dxfId="303" priority="453">
      <formula>#REF!="L"</formula>
    </cfRule>
    <cfRule type="expression" dxfId="302" priority="424">
      <formula>#REF!="TO"</formula>
    </cfRule>
    <cfRule type="expression" dxfId="301" priority="425">
      <formula>#REF!="IO"</formula>
    </cfRule>
    <cfRule type="expression" dxfId="300" priority="426">
      <formula>#REF!="L"</formula>
    </cfRule>
    <cfRule type="expression" dxfId="299" priority="409">
      <formula>#REF!="TO"</formula>
    </cfRule>
    <cfRule type="expression" dxfId="298" priority="410">
      <formula>#REF!="IO"</formula>
    </cfRule>
    <cfRule type="expression" dxfId="297" priority="411">
      <formula>#REF!="L"</formula>
    </cfRule>
    <cfRule type="expression" dxfId="296" priority="400">
      <formula>#REF!="TO"</formula>
    </cfRule>
    <cfRule type="expression" dxfId="295" priority="401">
      <formula>#REF!="IO"</formula>
    </cfRule>
    <cfRule type="expression" dxfId="294" priority="402">
      <formula>#REF!="L"</formula>
    </cfRule>
    <cfRule type="expression" dxfId="293" priority="397">
      <formula>#REF!="TO"</formula>
    </cfRule>
    <cfRule type="expression" dxfId="292" priority="398">
      <formula>#REF!="IO"</formula>
    </cfRule>
    <cfRule type="expression" dxfId="291" priority="399">
      <formula>#REF!="L"</formula>
    </cfRule>
  </conditionalFormatting>
  <conditionalFormatting sqref="C116">
    <cfRule type="expression" dxfId="290" priority="448">
      <formula>#REF!="TO"</formula>
    </cfRule>
    <cfRule type="expression" dxfId="289" priority="449">
      <formula>#REF!="IO"</formula>
    </cfRule>
    <cfRule type="expression" dxfId="288" priority="450">
      <formula>#REF!="L"</formula>
    </cfRule>
    <cfRule type="expression" dxfId="287" priority="421">
      <formula>#REF!="TO"</formula>
    </cfRule>
    <cfRule type="expression" dxfId="286" priority="422">
      <formula>#REF!="IO"</formula>
    </cfRule>
    <cfRule type="expression" dxfId="285" priority="423">
      <formula>#REF!="L"</formula>
    </cfRule>
    <cfRule type="expression" dxfId="284" priority="406">
      <formula>#REF!="TO"</formula>
    </cfRule>
    <cfRule type="expression" dxfId="283" priority="407">
      <formula>#REF!="IO"</formula>
    </cfRule>
    <cfRule type="expression" dxfId="282" priority="408">
      <formula>#REF!="L"</formula>
    </cfRule>
  </conditionalFormatting>
  <conditionalFormatting sqref="H116">
    <cfRule type="expression" dxfId="281" priority="442">
      <formula>#REF!="TO"</formula>
    </cfRule>
    <cfRule type="expression" dxfId="280" priority="443">
      <formula>#REF!="IO"</formula>
    </cfRule>
    <cfRule type="expression" dxfId="279" priority="444">
      <formula>#REF!="L"</formula>
    </cfRule>
    <cfRule type="expression" dxfId="278" priority="445">
      <formula>#REF!="TO"</formula>
    </cfRule>
    <cfRule type="expression" dxfId="277" priority="446">
      <formula>#REF!="IO"</formula>
    </cfRule>
    <cfRule type="expression" dxfId="276" priority="447">
      <formula>#REF!="L"</formula>
    </cfRule>
    <cfRule type="expression" dxfId="275" priority="433">
      <formula>#REF!="TO"</formula>
    </cfRule>
    <cfRule type="expression" dxfId="274" priority="434">
      <formula>#REF!="IO"</formula>
    </cfRule>
    <cfRule type="expression" dxfId="273" priority="435">
      <formula>#REF!="L"</formula>
    </cfRule>
  </conditionalFormatting>
  <conditionalFormatting sqref="I116">
    <cfRule type="expression" dxfId="272" priority="439">
      <formula>#REF!="TO"</formula>
    </cfRule>
    <cfRule type="expression" dxfId="271" priority="440">
      <formula>#REF!="IO"</formula>
    </cfRule>
    <cfRule type="expression" dxfId="270" priority="441">
      <formula>#REF!="L"</formula>
    </cfRule>
    <cfRule type="expression" dxfId="269" priority="418">
      <formula>#REF!="TO"</formula>
    </cfRule>
    <cfRule type="expression" dxfId="268" priority="419">
      <formula>#REF!="IO"</formula>
    </cfRule>
    <cfRule type="expression" dxfId="267" priority="420">
      <formula>#REF!="L"</formula>
    </cfRule>
    <cfRule type="expression" dxfId="266" priority="403">
      <formula>#REF!="TO"</formula>
    </cfRule>
    <cfRule type="expression" dxfId="265" priority="404">
      <formula>#REF!="IO"</formula>
    </cfRule>
    <cfRule type="expression" dxfId="264" priority="405">
      <formula>#REF!="L"</formula>
    </cfRule>
  </conditionalFormatting>
  <conditionalFormatting sqref="A117">
    <cfRule type="expression" dxfId="263" priority="328">
      <formula>#REF!="TO"</formula>
    </cfRule>
    <cfRule type="expression" dxfId="262" priority="329">
      <formula>#REF!="IO"</formula>
    </cfRule>
    <cfRule type="expression" dxfId="261" priority="330">
      <formula>#REF!="L"</formula>
    </cfRule>
    <cfRule type="expression" dxfId="260" priority="304">
      <formula>#REF!="TO"</formula>
    </cfRule>
    <cfRule type="expression" dxfId="259" priority="305">
      <formula>#REF!="IO"</formula>
    </cfRule>
    <cfRule type="expression" dxfId="258" priority="306">
      <formula>#REF!="L"</formula>
    </cfRule>
  </conditionalFormatting>
  <conditionalFormatting sqref="B117">
    <cfRule type="expression" dxfId="257" priority="325">
      <formula>#REF!="TO"</formula>
    </cfRule>
    <cfRule type="expression" dxfId="256" priority="326">
      <formula>#REF!="IO"</formula>
    </cfRule>
    <cfRule type="expression" dxfId="255" priority="327">
      <formula>#REF!="L"</formula>
    </cfRule>
    <cfRule type="expression" dxfId="254" priority="298">
      <formula>#REF!="TO"</formula>
    </cfRule>
    <cfRule type="expression" dxfId="253" priority="299">
      <formula>#REF!="IO"</formula>
    </cfRule>
    <cfRule type="expression" dxfId="252" priority="300">
      <formula>#REF!="L"</formula>
    </cfRule>
    <cfRule type="expression" dxfId="251" priority="283">
      <formula>#REF!="TO"</formula>
    </cfRule>
    <cfRule type="expression" dxfId="250" priority="284">
      <formula>#REF!="IO"</formula>
    </cfRule>
    <cfRule type="expression" dxfId="249" priority="285">
      <formula>#REF!="L"</formula>
    </cfRule>
  </conditionalFormatting>
  <conditionalFormatting sqref="E117">
    <cfRule type="expression" dxfId="248" priority="322">
      <formula>#REF!="TO"</formula>
    </cfRule>
    <cfRule type="expression" dxfId="247" priority="323">
      <formula>#REF!="IO"</formula>
    </cfRule>
    <cfRule type="expression" dxfId="246" priority="324">
      <formula>#REF!="L"</formula>
    </cfRule>
    <cfRule type="expression" dxfId="245" priority="295">
      <formula>#REF!="TO"</formula>
    </cfRule>
    <cfRule type="expression" dxfId="244" priority="296">
      <formula>#REF!="IO"</formula>
    </cfRule>
    <cfRule type="expression" dxfId="243" priority="297">
      <formula>#REF!="L"</formula>
    </cfRule>
    <cfRule type="expression" dxfId="242" priority="280">
      <formula>#REF!="TO"</formula>
    </cfRule>
    <cfRule type="expression" dxfId="241" priority="281">
      <formula>#REF!="IO"</formula>
    </cfRule>
    <cfRule type="expression" dxfId="240" priority="282">
      <formula>#REF!="L"</formula>
    </cfRule>
  </conditionalFormatting>
  <conditionalFormatting sqref="F117">
    <cfRule type="expression" dxfId="239" priority="319">
      <formula>#REF!="TO"</formula>
    </cfRule>
    <cfRule type="expression" dxfId="238" priority="320">
      <formula>#REF!="IO"</formula>
    </cfRule>
    <cfRule type="expression" dxfId="237" priority="321">
      <formula>#REF!="L"</formula>
    </cfRule>
    <cfRule type="expression" dxfId="236" priority="292">
      <formula>#REF!="TO"</formula>
    </cfRule>
    <cfRule type="expression" dxfId="235" priority="293">
      <formula>#REF!="IO"</formula>
    </cfRule>
    <cfRule type="expression" dxfId="234" priority="294">
      <formula>#REF!="L"</formula>
    </cfRule>
    <cfRule type="expression" dxfId="233" priority="277">
      <formula>#REF!="TO"</formula>
    </cfRule>
    <cfRule type="expression" dxfId="232" priority="278">
      <formula>#REF!="IO"</formula>
    </cfRule>
    <cfRule type="expression" dxfId="231" priority="279">
      <formula>#REF!="L"</formula>
    </cfRule>
    <cfRule type="expression" dxfId="230" priority="268">
      <formula>#REF!="TO"</formula>
    </cfRule>
    <cfRule type="expression" dxfId="229" priority="269">
      <formula>#REF!="IO"</formula>
    </cfRule>
    <cfRule type="expression" dxfId="228" priority="270">
      <formula>#REF!="L"</formula>
    </cfRule>
    <cfRule type="expression" dxfId="227" priority="265">
      <formula>#REF!="TO"</formula>
    </cfRule>
    <cfRule type="expression" dxfId="226" priority="266">
      <formula>#REF!="IO"</formula>
    </cfRule>
    <cfRule type="expression" dxfId="225" priority="267">
      <formula>#REF!="L"</formula>
    </cfRule>
  </conditionalFormatting>
  <conditionalFormatting sqref="C117">
    <cfRule type="expression" dxfId="224" priority="316">
      <formula>#REF!="TO"</formula>
    </cfRule>
    <cfRule type="expression" dxfId="223" priority="317">
      <formula>#REF!="IO"</formula>
    </cfRule>
    <cfRule type="expression" dxfId="222" priority="318">
      <formula>#REF!="L"</formula>
    </cfRule>
    <cfRule type="expression" dxfId="221" priority="289">
      <formula>#REF!="TO"</formula>
    </cfRule>
    <cfRule type="expression" dxfId="220" priority="290">
      <formula>#REF!="IO"</formula>
    </cfRule>
    <cfRule type="expression" dxfId="219" priority="291">
      <formula>#REF!="L"</formula>
    </cfRule>
    <cfRule type="expression" dxfId="218" priority="274">
      <formula>#REF!="TO"</formula>
    </cfRule>
    <cfRule type="expression" dxfId="217" priority="275">
      <formula>#REF!="IO"</formula>
    </cfRule>
    <cfRule type="expression" dxfId="216" priority="276">
      <formula>#REF!="L"</formula>
    </cfRule>
  </conditionalFormatting>
  <conditionalFormatting sqref="H117">
    <cfRule type="expression" dxfId="215" priority="310">
      <formula>#REF!="TO"</formula>
    </cfRule>
    <cfRule type="expression" dxfId="214" priority="311">
      <formula>#REF!="IO"</formula>
    </cfRule>
    <cfRule type="expression" dxfId="213" priority="312">
      <formula>#REF!="L"</formula>
    </cfRule>
    <cfRule type="expression" dxfId="212" priority="313">
      <formula>#REF!="TO"</formula>
    </cfRule>
    <cfRule type="expression" dxfId="211" priority="314">
      <formula>#REF!="IO"</formula>
    </cfRule>
    <cfRule type="expression" dxfId="210" priority="315">
      <formula>#REF!="L"</formula>
    </cfRule>
    <cfRule type="expression" dxfId="209" priority="301">
      <formula>#REF!="TO"</formula>
    </cfRule>
    <cfRule type="expression" dxfId="208" priority="302">
      <formula>#REF!="IO"</formula>
    </cfRule>
    <cfRule type="expression" dxfId="207" priority="303">
      <formula>#REF!="L"</formula>
    </cfRule>
  </conditionalFormatting>
  <conditionalFormatting sqref="I117">
    <cfRule type="expression" dxfId="206" priority="307">
      <formula>#REF!="TO"</formula>
    </cfRule>
    <cfRule type="expression" dxfId="205" priority="308">
      <formula>#REF!="IO"</formula>
    </cfRule>
    <cfRule type="expression" dxfId="204" priority="309">
      <formula>#REF!="L"</formula>
    </cfRule>
    <cfRule type="expression" dxfId="203" priority="286">
      <formula>#REF!="TO"</formula>
    </cfRule>
    <cfRule type="expression" dxfId="202" priority="287">
      <formula>#REF!="IO"</formula>
    </cfRule>
    <cfRule type="expression" dxfId="201" priority="288">
      <formula>#REF!="L"</formula>
    </cfRule>
    <cfRule type="expression" dxfId="200" priority="271">
      <formula>#REF!="TO"</formula>
    </cfRule>
    <cfRule type="expression" dxfId="199" priority="272">
      <formula>#REF!="IO"</formula>
    </cfRule>
    <cfRule type="expression" dxfId="198" priority="273">
      <formula>#REF!="L"</formula>
    </cfRule>
  </conditionalFormatting>
  <conditionalFormatting sqref="A118">
    <cfRule type="expression" dxfId="197" priority="196">
      <formula>#REF!="TO"</formula>
    </cfRule>
    <cfRule type="expression" dxfId="196" priority="197">
      <formula>#REF!="IO"</formula>
    </cfRule>
    <cfRule type="expression" dxfId="195" priority="198">
      <formula>#REF!="L"</formula>
    </cfRule>
    <cfRule type="expression" dxfId="194" priority="172">
      <formula>#REF!="TO"</formula>
    </cfRule>
    <cfRule type="expression" dxfId="193" priority="173">
      <formula>#REF!="IO"</formula>
    </cfRule>
    <cfRule type="expression" dxfId="192" priority="174">
      <formula>#REF!="L"</formula>
    </cfRule>
  </conditionalFormatting>
  <conditionalFormatting sqref="B118">
    <cfRule type="expression" dxfId="191" priority="193">
      <formula>#REF!="TO"</formula>
    </cfRule>
    <cfRule type="expression" dxfId="190" priority="194">
      <formula>#REF!="IO"</formula>
    </cfRule>
    <cfRule type="expression" dxfId="189" priority="195">
      <formula>#REF!="L"</formula>
    </cfRule>
    <cfRule type="expression" dxfId="188" priority="166">
      <formula>#REF!="TO"</formula>
    </cfRule>
    <cfRule type="expression" dxfId="187" priority="167">
      <formula>#REF!="IO"</formula>
    </cfRule>
    <cfRule type="expression" dxfId="186" priority="168">
      <formula>#REF!="L"</formula>
    </cfRule>
    <cfRule type="expression" dxfId="185" priority="151">
      <formula>#REF!="TO"</formula>
    </cfRule>
    <cfRule type="expression" dxfId="184" priority="152">
      <formula>#REF!="IO"</formula>
    </cfRule>
    <cfRule type="expression" dxfId="183" priority="153">
      <formula>#REF!="L"</formula>
    </cfRule>
  </conditionalFormatting>
  <conditionalFormatting sqref="E118">
    <cfRule type="expression" dxfId="182" priority="190">
      <formula>#REF!="TO"</formula>
    </cfRule>
    <cfRule type="expression" dxfId="181" priority="191">
      <formula>#REF!="IO"</formula>
    </cfRule>
    <cfRule type="expression" dxfId="180" priority="192">
      <formula>#REF!="L"</formula>
    </cfRule>
    <cfRule type="expression" dxfId="179" priority="163">
      <formula>#REF!="TO"</formula>
    </cfRule>
    <cfRule type="expression" dxfId="178" priority="164">
      <formula>#REF!="IO"</formula>
    </cfRule>
    <cfRule type="expression" dxfId="177" priority="165">
      <formula>#REF!="L"</formula>
    </cfRule>
    <cfRule type="expression" dxfId="176" priority="148">
      <formula>#REF!="TO"</formula>
    </cfRule>
    <cfRule type="expression" dxfId="175" priority="149">
      <formula>#REF!="IO"</formula>
    </cfRule>
    <cfRule type="expression" dxfId="174" priority="150">
      <formula>#REF!="L"</formula>
    </cfRule>
  </conditionalFormatting>
  <conditionalFormatting sqref="F118">
    <cfRule type="expression" dxfId="173" priority="187">
      <formula>#REF!="TO"</formula>
    </cfRule>
    <cfRule type="expression" dxfId="172" priority="188">
      <formula>#REF!="IO"</formula>
    </cfRule>
    <cfRule type="expression" dxfId="171" priority="189">
      <formula>#REF!="L"</formula>
    </cfRule>
    <cfRule type="expression" dxfId="170" priority="160">
      <formula>#REF!="TO"</formula>
    </cfRule>
    <cfRule type="expression" dxfId="169" priority="161">
      <formula>#REF!="IO"</formula>
    </cfRule>
    <cfRule type="expression" dxfId="168" priority="162">
      <formula>#REF!="L"</formula>
    </cfRule>
    <cfRule type="expression" dxfId="167" priority="145">
      <formula>#REF!="TO"</formula>
    </cfRule>
    <cfRule type="expression" dxfId="166" priority="146">
      <formula>#REF!="IO"</formula>
    </cfRule>
    <cfRule type="expression" dxfId="165" priority="147">
      <formula>#REF!="L"</formula>
    </cfRule>
    <cfRule type="expression" dxfId="164" priority="136">
      <formula>#REF!="TO"</formula>
    </cfRule>
    <cfRule type="expression" dxfId="163" priority="137">
      <formula>#REF!="IO"</formula>
    </cfRule>
    <cfRule type="expression" dxfId="162" priority="138">
      <formula>#REF!="L"</formula>
    </cfRule>
    <cfRule type="expression" dxfId="161" priority="133">
      <formula>#REF!="TO"</formula>
    </cfRule>
    <cfRule type="expression" dxfId="160" priority="134">
      <formula>#REF!="IO"</formula>
    </cfRule>
    <cfRule type="expression" dxfId="159" priority="135">
      <formula>#REF!="L"</formula>
    </cfRule>
  </conditionalFormatting>
  <conditionalFormatting sqref="C118">
    <cfRule type="expression" dxfId="158" priority="184">
      <formula>#REF!="TO"</formula>
    </cfRule>
    <cfRule type="expression" dxfId="157" priority="185">
      <formula>#REF!="IO"</formula>
    </cfRule>
    <cfRule type="expression" dxfId="156" priority="186">
      <formula>#REF!="L"</formula>
    </cfRule>
    <cfRule type="expression" dxfId="155" priority="157">
      <formula>#REF!="TO"</formula>
    </cfRule>
    <cfRule type="expression" dxfId="154" priority="158">
      <formula>#REF!="IO"</formula>
    </cfRule>
    <cfRule type="expression" dxfId="153" priority="159">
      <formula>#REF!="L"</formula>
    </cfRule>
    <cfRule type="expression" dxfId="152" priority="142">
      <formula>#REF!="TO"</formula>
    </cfRule>
    <cfRule type="expression" dxfId="151" priority="143">
      <formula>#REF!="IO"</formula>
    </cfRule>
    <cfRule type="expression" dxfId="150" priority="144">
      <formula>#REF!="L"</formula>
    </cfRule>
  </conditionalFormatting>
  <conditionalFormatting sqref="H118">
    <cfRule type="expression" dxfId="149" priority="178">
      <formula>#REF!="TO"</formula>
    </cfRule>
    <cfRule type="expression" dxfId="148" priority="179">
      <formula>#REF!="IO"</formula>
    </cfRule>
    <cfRule type="expression" dxfId="147" priority="180">
      <formula>#REF!="L"</formula>
    </cfRule>
    <cfRule type="expression" dxfId="146" priority="181">
      <formula>#REF!="TO"</formula>
    </cfRule>
    <cfRule type="expression" dxfId="145" priority="182">
      <formula>#REF!="IO"</formula>
    </cfRule>
    <cfRule type="expression" dxfId="144" priority="183">
      <formula>#REF!="L"</formula>
    </cfRule>
    <cfRule type="expression" dxfId="143" priority="169">
      <formula>#REF!="TO"</formula>
    </cfRule>
    <cfRule type="expression" dxfId="142" priority="170">
      <formula>#REF!="IO"</formula>
    </cfRule>
    <cfRule type="expression" dxfId="141" priority="171">
      <formula>#REF!="L"</formula>
    </cfRule>
  </conditionalFormatting>
  <conditionalFormatting sqref="I118">
    <cfRule type="expression" dxfId="140" priority="175">
      <formula>#REF!="TO"</formula>
    </cfRule>
    <cfRule type="expression" dxfId="139" priority="176">
      <formula>#REF!="IO"</formula>
    </cfRule>
    <cfRule type="expression" dxfId="138" priority="177">
      <formula>#REF!="L"</formula>
    </cfRule>
    <cfRule type="expression" dxfId="137" priority="154">
      <formula>#REF!="TO"</formula>
    </cfRule>
    <cfRule type="expression" dxfId="136" priority="155">
      <formula>#REF!="IO"</formula>
    </cfRule>
    <cfRule type="expression" dxfId="135" priority="156">
      <formula>#REF!="L"</formula>
    </cfRule>
    <cfRule type="expression" dxfId="134" priority="139">
      <formula>#REF!="TO"</formula>
    </cfRule>
    <cfRule type="expression" dxfId="133" priority="140">
      <formula>#REF!="IO"</formula>
    </cfRule>
    <cfRule type="expression" dxfId="132" priority="141">
      <formula>#REF!="L"</formula>
    </cfRule>
  </conditionalFormatting>
  <conditionalFormatting sqref="A120">
    <cfRule type="expression" dxfId="131" priority="130">
      <formula>#REF!="TO"</formula>
    </cfRule>
    <cfRule type="expression" dxfId="130" priority="131">
      <formula>#REF!="IO"</formula>
    </cfRule>
    <cfRule type="expression" dxfId="129" priority="132">
      <formula>#REF!="L"</formula>
    </cfRule>
    <cfRule type="expression" dxfId="128" priority="106">
      <formula>#REF!="TO"</formula>
    </cfRule>
    <cfRule type="expression" dxfId="127" priority="107">
      <formula>#REF!="IO"</formula>
    </cfRule>
    <cfRule type="expression" dxfId="126" priority="108">
      <formula>#REF!="L"</formula>
    </cfRule>
  </conditionalFormatting>
  <conditionalFormatting sqref="B120">
    <cfRule type="expression" dxfId="125" priority="127">
      <formula>#REF!="TO"</formula>
    </cfRule>
    <cfRule type="expression" dxfId="124" priority="128">
      <formula>#REF!="IO"</formula>
    </cfRule>
    <cfRule type="expression" dxfId="123" priority="129">
      <formula>#REF!="L"</formula>
    </cfRule>
    <cfRule type="expression" dxfId="122" priority="100">
      <formula>#REF!="TO"</formula>
    </cfRule>
    <cfRule type="expression" dxfId="121" priority="101">
      <formula>#REF!="IO"</formula>
    </cfRule>
    <cfRule type="expression" dxfId="120" priority="102">
      <formula>#REF!="L"</formula>
    </cfRule>
    <cfRule type="expression" dxfId="119" priority="85">
      <formula>#REF!="TO"</formula>
    </cfRule>
    <cfRule type="expression" dxfId="118" priority="86">
      <formula>#REF!="IO"</formula>
    </cfRule>
    <cfRule type="expression" dxfId="117" priority="87">
      <formula>#REF!="L"</formula>
    </cfRule>
  </conditionalFormatting>
  <conditionalFormatting sqref="E120">
    <cfRule type="expression" dxfId="116" priority="124">
      <formula>#REF!="TO"</formula>
    </cfRule>
    <cfRule type="expression" dxfId="115" priority="125">
      <formula>#REF!="IO"</formula>
    </cfRule>
    <cfRule type="expression" dxfId="114" priority="126">
      <formula>#REF!="L"</formula>
    </cfRule>
    <cfRule type="expression" dxfId="113" priority="97">
      <formula>#REF!="TO"</formula>
    </cfRule>
    <cfRule type="expression" dxfId="112" priority="98">
      <formula>#REF!="IO"</formula>
    </cfRule>
    <cfRule type="expression" dxfId="111" priority="99">
      <formula>#REF!="L"</formula>
    </cfRule>
    <cfRule type="expression" dxfId="110" priority="82">
      <formula>#REF!="TO"</formula>
    </cfRule>
    <cfRule type="expression" dxfId="109" priority="83">
      <formula>#REF!="IO"</formula>
    </cfRule>
    <cfRule type="expression" dxfId="108" priority="84">
      <formula>#REF!="L"</formula>
    </cfRule>
  </conditionalFormatting>
  <conditionalFormatting sqref="F120">
    <cfRule type="expression" dxfId="107" priority="121">
      <formula>#REF!="TO"</formula>
    </cfRule>
    <cfRule type="expression" dxfId="106" priority="122">
      <formula>#REF!="IO"</formula>
    </cfRule>
    <cfRule type="expression" dxfId="105" priority="123">
      <formula>#REF!="L"</formula>
    </cfRule>
    <cfRule type="expression" dxfId="104" priority="94">
      <formula>#REF!="TO"</formula>
    </cfRule>
    <cfRule type="expression" dxfId="103" priority="95">
      <formula>#REF!="IO"</formula>
    </cfRule>
    <cfRule type="expression" dxfId="102" priority="96">
      <formula>#REF!="L"</formula>
    </cfRule>
    <cfRule type="expression" dxfId="101" priority="79">
      <formula>#REF!="TO"</formula>
    </cfRule>
    <cfRule type="expression" dxfId="100" priority="80">
      <formula>#REF!="IO"</formula>
    </cfRule>
    <cfRule type="expression" dxfId="99" priority="81">
      <formula>#REF!="L"</formula>
    </cfRule>
    <cfRule type="expression" dxfId="98" priority="70">
      <formula>#REF!="TO"</formula>
    </cfRule>
    <cfRule type="expression" dxfId="97" priority="71">
      <formula>#REF!="IO"</formula>
    </cfRule>
    <cfRule type="expression" dxfId="96" priority="72">
      <formula>#REF!="L"</formula>
    </cfRule>
    <cfRule type="expression" dxfId="95" priority="67">
      <formula>#REF!="TO"</formula>
    </cfRule>
    <cfRule type="expression" dxfId="94" priority="68">
      <formula>#REF!="IO"</formula>
    </cfRule>
    <cfRule type="expression" dxfId="93" priority="69">
      <formula>#REF!="L"</formula>
    </cfRule>
  </conditionalFormatting>
  <conditionalFormatting sqref="C120">
    <cfRule type="expression" dxfId="92" priority="118">
      <formula>#REF!="TO"</formula>
    </cfRule>
    <cfRule type="expression" dxfId="91" priority="119">
      <formula>#REF!="IO"</formula>
    </cfRule>
    <cfRule type="expression" dxfId="90" priority="120">
      <formula>#REF!="L"</formula>
    </cfRule>
    <cfRule type="expression" dxfId="89" priority="91">
      <formula>#REF!="TO"</formula>
    </cfRule>
    <cfRule type="expression" dxfId="88" priority="92">
      <formula>#REF!="IO"</formula>
    </cfRule>
    <cfRule type="expression" dxfId="87" priority="93">
      <formula>#REF!="L"</formula>
    </cfRule>
    <cfRule type="expression" dxfId="86" priority="76">
      <formula>#REF!="TO"</formula>
    </cfRule>
    <cfRule type="expression" dxfId="85" priority="77">
      <formula>#REF!="IO"</formula>
    </cfRule>
    <cfRule type="expression" dxfId="84" priority="78">
      <formula>#REF!="L"</formula>
    </cfRule>
  </conditionalFormatting>
  <conditionalFormatting sqref="H120">
    <cfRule type="expression" dxfId="83" priority="112">
      <formula>#REF!="TO"</formula>
    </cfRule>
    <cfRule type="expression" dxfId="82" priority="113">
      <formula>#REF!="IO"</formula>
    </cfRule>
    <cfRule type="expression" dxfId="81" priority="114">
      <formula>#REF!="L"</formula>
    </cfRule>
    <cfRule type="expression" dxfId="80" priority="115">
      <formula>#REF!="TO"</formula>
    </cfRule>
    <cfRule type="expression" dxfId="79" priority="116">
      <formula>#REF!="IO"</formula>
    </cfRule>
    <cfRule type="expression" dxfId="78" priority="117">
      <formula>#REF!="L"</formula>
    </cfRule>
    <cfRule type="expression" dxfId="77" priority="103">
      <formula>#REF!="TO"</formula>
    </cfRule>
    <cfRule type="expression" dxfId="76" priority="104">
      <formula>#REF!="IO"</formula>
    </cfRule>
    <cfRule type="expression" dxfId="75" priority="105">
      <formula>#REF!="L"</formula>
    </cfRule>
  </conditionalFormatting>
  <conditionalFormatting sqref="I120">
    <cfRule type="expression" dxfId="74" priority="109">
      <formula>#REF!="TO"</formula>
    </cfRule>
    <cfRule type="expression" dxfId="73" priority="110">
      <formula>#REF!="IO"</formula>
    </cfRule>
    <cfRule type="expression" dxfId="72" priority="111">
      <formula>#REF!="L"</formula>
    </cfRule>
    <cfRule type="expression" dxfId="71" priority="88">
      <formula>#REF!="TO"</formula>
    </cfRule>
    <cfRule type="expression" dxfId="70" priority="89">
      <formula>#REF!="IO"</formula>
    </cfRule>
    <cfRule type="expression" dxfId="69" priority="90">
      <formula>#REF!="L"</formula>
    </cfRule>
    <cfRule type="expression" dxfId="68" priority="73">
      <formula>#REF!="TO"</formula>
    </cfRule>
    <cfRule type="expression" dxfId="67" priority="74">
      <formula>#REF!="IO"</formula>
    </cfRule>
    <cfRule type="expression" dxfId="66" priority="75">
      <formula>#REF!="L"</formula>
    </cfRule>
  </conditionalFormatting>
  <conditionalFormatting sqref="C119">
    <cfRule type="expression" dxfId="65" priority="10">
      <formula>#REF!="TO"</formula>
    </cfRule>
    <cfRule type="expression" dxfId="64" priority="11">
      <formula>#REF!="IO"</formula>
    </cfRule>
    <cfRule type="expression" dxfId="63" priority="12">
      <formula>#REF!="L"</formula>
    </cfRule>
    <cfRule type="expression" dxfId="62" priority="52">
      <formula>#REF!="TO"</formula>
    </cfRule>
    <cfRule type="expression" dxfId="61" priority="53">
      <formula>#REF!="IO"</formula>
    </cfRule>
    <cfRule type="expression" dxfId="60" priority="54">
      <formula>#REF!="L"</formula>
    </cfRule>
    <cfRule type="expression" dxfId="59" priority="25">
      <formula>#REF!="TO"</formula>
    </cfRule>
    <cfRule type="expression" dxfId="58" priority="26">
      <formula>#REF!="IO"</formula>
    </cfRule>
    <cfRule type="expression" dxfId="57" priority="27">
      <formula>#REF!="L"</formula>
    </cfRule>
  </conditionalFormatting>
  <conditionalFormatting sqref="I119">
    <cfRule type="expression" dxfId="56" priority="7">
      <formula>#REF!="TO"</formula>
    </cfRule>
    <cfRule type="expression" dxfId="55" priority="8">
      <formula>#REF!="IO"</formula>
    </cfRule>
    <cfRule type="expression" dxfId="54" priority="9">
      <formula>#REF!="L"</formula>
    </cfRule>
    <cfRule type="expression" dxfId="53" priority="43">
      <formula>#REF!="TO"</formula>
    </cfRule>
    <cfRule type="expression" dxfId="52" priority="44">
      <formula>#REF!="IO"</formula>
    </cfRule>
    <cfRule type="expression" dxfId="51" priority="45">
      <formula>#REF!="L"</formula>
    </cfRule>
    <cfRule type="expression" dxfId="50" priority="22">
      <formula>#REF!="TO"</formula>
    </cfRule>
    <cfRule type="expression" dxfId="49" priority="23">
      <formula>#REF!="IO"</formula>
    </cfRule>
    <cfRule type="expression" dxfId="48" priority="24">
      <formula>#REF!="L"</formula>
    </cfRule>
  </conditionalFormatting>
  <conditionalFormatting sqref="F119">
    <cfRule type="expression" dxfId="47" priority="4">
      <formula>#REF!="TO"</formula>
    </cfRule>
    <cfRule type="expression" dxfId="46" priority="5">
      <formula>#REF!="IO"</formula>
    </cfRule>
    <cfRule type="expression" dxfId="45" priority="6">
      <formula>#REF!="L"</formula>
    </cfRule>
    <cfRule type="expression" dxfId="44" priority="1">
      <formula>#REF!="TO"</formula>
    </cfRule>
    <cfRule type="expression" dxfId="43" priority="2">
      <formula>#REF!="IO"</formula>
    </cfRule>
    <cfRule type="expression" dxfId="42" priority="3">
      <formula>#REF!="L"</formula>
    </cfRule>
    <cfRule type="expression" dxfId="41" priority="55">
      <formula>#REF!="TO"</formula>
    </cfRule>
    <cfRule type="expression" dxfId="40" priority="56">
      <formula>#REF!="IO"</formula>
    </cfRule>
    <cfRule type="expression" dxfId="39" priority="57">
      <formula>#REF!="L"</formula>
    </cfRule>
    <cfRule type="expression" dxfId="38" priority="28">
      <formula>#REF!="TO"</formula>
    </cfRule>
    <cfRule type="expression" dxfId="37" priority="29">
      <formula>#REF!="IO"</formula>
    </cfRule>
    <cfRule type="expression" dxfId="36" priority="30">
      <formula>#REF!="L"</formula>
    </cfRule>
    <cfRule type="expression" dxfId="35" priority="13">
      <formula>#REF!="TO"</formula>
    </cfRule>
    <cfRule type="expression" dxfId="34" priority="14">
      <formula>#REF!="IO"</formula>
    </cfRule>
    <cfRule type="expression" dxfId="33" priority="15">
      <formula>#REF!="L"</formula>
    </cfRule>
  </conditionalFormatting>
  <conditionalFormatting sqref="A119">
    <cfRule type="expression" dxfId="32" priority="64">
      <formula>#REF!="TO"</formula>
    </cfRule>
    <cfRule type="expression" dxfId="31" priority="65">
      <formula>#REF!="IO"</formula>
    </cfRule>
    <cfRule type="expression" dxfId="30" priority="66">
      <formula>#REF!="L"</formula>
    </cfRule>
    <cfRule type="expression" dxfId="29" priority="40">
      <formula>#REF!="TO"</formula>
    </cfRule>
    <cfRule type="expression" dxfId="28" priority="41">
      <formula>#REF!="IO"</formula>
    </cfRule>
    <cfRule type="expression" dxfId="27" priority="42">
      <formula>#REF!="L"</formula>
    </cfRule>
  </conditionalFormatting>
  <conditionalFormatting sqref="B119">
    <cfRule type="expression" dxfId="26" priority="61">
      <formula>#REF!="TO"</formula>
    </cfRule>
    <cfRule type="expression" dxfId="25" priority="62">
      <formula>#REF!="IO"</formula>
    </cfRule>
    <cfRule type="expression" dxfId="24" priority="63">
      <formula>#REF!="L"</formula>
    </cfRule>
    <cfRule type="expression" dxfId="23" priority="34">
      <formula>#REF!="TO"</formula>
    </cfRule>
    <cfRule type="expression" dxfId="22" priority="35">
      <formula>#REF!="IO"</formula>
    </cfRule>
    <cfRule type="expression" dxfId="21" priority="36">
      <formula>#REF!="L"</formula>
    </cfRule>
    <cfRule type="expression" dxfId="20" priority="19">
      <formula>#REF!="TO"</formula>
    </cfRule>
    <cfRule type="expression" dxfId="19" priority="20">
      <formula>#REF!="IO"</formula>
    </cfRule>
    <cfRule type="expression" dxfId="18" priority="21">
      <formula>#REF!="L"</formula>
    </cfRule>
  </conditionalFormatting>
  <conditionalFormatting sqref="E119">
    <cfRule type="expression" dxfId="17" priority="58">
      <formula>#REF!="TO"</formula>
    </cfRule>
    <cfRule type="expression" dxfId="16" priority="59">
      <formula>#REF!="IO"</formula>
    </cfRule>
    <cfRule type="expression" dxfId="15" priority="60">
      <formula>#REF!="L"</formula>
    </cfRule>
    <cfRule type="expression" dxfId="14" priority="31">
      <formula>#REF!="TO"</formula>
    </cfRule>
    <cfRule type="expression" dxfId="13" priority="32">
      <formula>#REF!="IO"</formula>
    </cfRule>
    <cfRule type="expression" dxfId="12" priority="33">
      <formula>#REF!="L"</formula>
    </cfRule>
    <cfRule type="expression" dxfId="11" priority="16">
      <formula>#REF!="TO"</formula>
    </cfRule>
    <cfRule type="expression" dxfId="10" priority="17">
      <formula>#REF!="IO"</formula>
    </cfRule>
    <cfRule type="expression" dxfId="9" priority="18">
      <formula>#REF!="L"</formula>
    </cfRule>
  </conditionalFormatting>
  <conditionalFormatting sqref="H119">
    <cfRule type="expression" dxfId="8" priority="46">
      <formula>#REF!="TO"</formula>
    </cfRule>
    <cfRule type="expression" dxfId="7" priority="47">
      <formula>#REF!="IO"</formula>
    </cfRule>
    <cfRule type="expression" dxfId="6" priority="48">
      <formula>#REF!="L"</formula>
    </cfRule>
    <cfRule type="expression" dxfId="5" priority="49">
      <formula>#REF!="TO"</formula>
    </cfRule>
    <cfRule type="expression" dxfId="4" priority="50">
      <formula>#REF!="IO"</formula>
    </cfRule>
    <cfRule type="expression" dxfId="3" priority="51">
      <formula>#REF!="L"</formula>
    </cfRule>
    <cfRule type="expression" dxfId="2" priority="37">
      <formula>#REF!="TO"</formula>
    </cfRule>
    <cfRule type="expression" dxfId="1" priority="38">
      <formula>#REF!="IO"</formula>
    </cfRule>
    <cfRule type="expression" dxfId="0" priority="39">
      <formula>#REF!="L"</formula>
    </cfRule>
  </conditionalFormatting>
  <hyperlinks>
    <hyperlink ref="L110" r:id="rId1" xr:uid="{00000000-0004-0000-1300-000000000000}"/>
    <hyperlink ref="L111" r:id="rId2" xr:uid="{00000000-0004-0000-1300-000001000000}"/>
    <hyperlink ref="L112" r:id="rId3" xr:uid="{00000000-0004-0000-1300-000002000000}"/>
  </hyperlink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103</vt:i4>
      </vt:variant>
    </vt:vector>
  </HeadingPairs>
  <TitlesOfParts>
    <vt:vector size="123" baseType="lpstr">
      <vt:lpstr>DRE</vt:lpstr>
      <vt:lpstr>DRE INCC</vt:lpstr>
      <vt:lpstr>Premissas</vt:lpstr>
      <vt:lpstr>Fluxo Projeto</vt:lpstr>
      <vt:lpstr>Fluxo Bandeira Co</vt:lpstr>
      <vt:lpstr>Fluxo Investidores</vt:lpstr>
      <vt:lpstr>Permutas</vt:lpstr>
      <vt:lpstr>Obra</vt:lpstr>
      <vt:lpstr>Tabela Vendas</vt:lpstr>
      <vt:lpstr>Curvas</vt:lpstr>
      <vt:lpstr>Fluxos de Recebimento</vt:lpstr>
      <vt:lpstr>M-Unidades</vt:lpstr>
      <vt:lpstr>M-FLUXO DE CAIXA</vt:lpstr>
      <vt:lpstr>M-POS. FIN.</vt:lpstr>
      <vt:lpstr>M-LIQUIDAÇÕES</vt:lpstr>
      <vt:lpstr>LDI - Fluxo de Caixa</vt:lpstr>
      <vt:lpstr>Investidores</vt:lpstr>
      <vt:lpstr>Base de Unidades</vt:lpstr>
      <vt:lpstr>Macro</vt:lpstr>
      <vt:lpstr>Indicadores</vt:lpstr>
      <vt:lpstr>adicionalVenda</vt:lpstr>
      <vt:lpstr>ajusteVendasLçto</vt:lpstr>
      <vt:lpstr>ajusteVendasObra</vt:lpstr>
      <vt:lpstr>ajusteVendasPosChave</vt:lpstr>
      <vt:lpstr>andarTipo</vt:lpstr>
      <vt:lpstr>aplicaçaoCDI</vt:lpstr>
      <vt:lpstr>assistTecnicaObra</vt:lpstr>
      <vt:lpstr>atoPosCh</vt:lpstr>
      <vt:lpstr>atoPreCh</vt:lpstr>
      <vt:lpstr>baseData</vt:lpstr>
      <vt:lpstr>carenciaRepasse</vt:lpstr>
      <vt:lpstr>carenciaVenda</vt:lpstr>
      <vt:lpstr>carteiraInicial</vt:lpstr>
      <vt:lpstr>CDI</vt:lpstr>
      <vt:lpstr>chRepasse</vt:lpstr>
      <vt:lpstr>comissao</vt:lpstr>
      <vt:lpstr>compraTerreno</vt:lpstr>
      <vt:lpstr>condominio</vt:lpstr>
      <vt:lpstr>curvaInad</vt:lpstr>
      <vt:lpstr>custoPermutaLDI</vt:lpstr>
      <vt:lpstr>custoRaso</vt:lpstr>
      <vt:lpstr>custoRasoINCC</vt:lpstr>
      <vt:lpstr>cxMinHoldingPosObra</vt:lpstr>
      <vt:lpstr>cxMinHoldingPreObra</vt:lpstr>
      <vt:lpstr>cxMinSPEposObra</vt:lpstr>
      <vt:lpstr>cxMinSPEpreObra</vt:lpstr>
      <vt:lpstr>dataBaseObra</vt:lpstr>
      <vt:lpstr>dataBasePassivos</vt:lpstr>
      <vt:lpstr>deltaAndares</vt:lpstr>
      <vt:lpstr>deltaFinal1</vt:lpstr>
      <vt:lpstr>deltaFinal2</vt:lpstr>
      <vt:lpstr>deltaGarden1</vt:lpstr>
      <vt:lpstr>deltaGarden2</vt:lpstr>
      <vt:lpstr>desconto</vt:lpstr>
      <vt:lpstr>distMin</vt:lpstr>
      <vt:lpstr>entrega</vt:lpstr>
      <vt:lpstr>estoqueInicial</vt:lpstr>
      <vt:lpstr>gordura</vt:lpstr>
      <vt:lpstr>hurdle</vt:lpstr>
      <vt:lpstr>impostoPermuta</vt:lpstr>
      <vt:lpstr>inccD2</vt:lpstr>
      <vt:lpstr>inccData</vt:lpstr>
      <vt:lpstr>inccObra</vt:lpstr>
      <vt:lpstr>inicioDistribuicoes</vt:lpstr>
      <vt:lpstr>inicioObra</vt:lpstr>
      <vt:lpstr>inputTabela</vt:lpstr>
      <vt:lpstr>IPCAano</vt:lpstr>
      <vt:lpstr>ipcaD2</vt:lpstr>
      <vt:lpstr>ipcaData</vt:lpstr>
      <vt:lpstr>IPCAmes</vt:lpstr>
      <vt:lpstr>IPTU</vt:lpstr>
      <vt:lpstr>itbicartorioPermuta</vt:lpstr>
      <vt:lpstr>lçto</vt:lpstr>
      <vt:lpstr>mensaisPosCh</vt:lpstr>
      <vt:lpstr>mensaisPreCh</vt:lpstr>
      <vt:lpstr>oitavaChamada</vt:lpstr>
      <vt:lpstr>outrasDespesasHolding</vt:lpstr>
      <vt:lpstr>pctAuditoriaHolding</vt:lpstr>
      <vt:lpstr>pctCM</vt:lpstr>
      <vt:lpstr>pctContHolding</vt:lpstr>
      <vt:lpstr>pctDevolucao</vt:lpstr>
      <vt:lpstr>pctDistrato</vt:lpstr>
      <vt:lpstr>pctGestaoSPE</vt:lpstr>
      <vt:lpstr>pctImpostosHolding</vt:lpstr>
      <vt:lpstr>pctImpostoSPE</vt:lpstr>
      <vt:lpstr>pctIncorporaçaoSPE</vt:lpstr>
      <vt:lpstr>pctJurídicoHolding</vt:lpstr>
      <vt:lpstr>pctLDI</vt:lpstr>
      <vt:lpstr>pctMarketingSPE</vt:lpstr>
      <vt:lpstr>pctObraHolding</vt:lpstr>
      <vt:lpstr>pctOutrasSPE</vt:lpstr>
      <vt:lpstr>pctSCPequity</vt:lpstr>
      <vt:lpstr>pctSCPpermuta</vt:lpstr>
      <vt:lpstr>pctSeedMoney</vt:lpstr>
      <vt:lpstr>PDD</vt:lpstr>
      <vt:lpstr>periodoRepassePreChaves</vt:lpstr>
      <vt:lpstr>prazoRepasseCarteira</vt:lpstr>
      <vt:lpstr>prazoRepasseVendas</vt:lpstr>
      <vt:lpstr>prazoVenda</vt:lpstr>
      <vt:lpstr>precoHist</vt:lpstr>
      <vt:lpstr>precoTab</vt:lpstr>
      <vt:lpstr>premio</vt:lpstr>
      <vt:lpstr>premissaToleranciaObra</vt:lpstr>
      <vt:lpstr>quintaChamada</vt:lpstr>
      <vt:lpstr>repassePosCh</vt:lpstr>
      <vt:lpstr>repassePreCh</vt:lpstr>
      <vt:lpstr>setimaChamada</vt:lpstr>
      <vt:lpstr>sextaChamada</vt:lpstr>
      <vt:lpstr>terminoProjeto</vt:lpstr>
      <vt:lpstr>tipoCarteira</vt:lpstr>
      <vt:lpstr>tipoPreço</vt:lpstr>
      <vt:lpstr>toleranciaObra</vt:lpstr>
      <vt:lpstr>totalPerformance</vt:lpstr>
      <vt:lpstr>txAdmKinea</vt:lpstr>
      <vt:lpstr>txAdmObra</vt:lpstr>
      <vt:lpstr>txPerformance</vt:lpstr>
      <vt:lpstr>varINCC</vt:lpstr>
      <vt:lpstr>varIPCA</vt:lpstr>
      <vt:lpstr>vendasLçto</vt:lpstr>
      <vt:lpstr>vendasObra</vt:lpstr>
      <vt:lpstr>vendasPosChave</vt:lpstr>
      <vt:lpstr>vlrCarteira</vt:lpstr>
      <vt:lpstr>vlrInad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2021-03-29T14:53:23Z</dcterms:modified>
</cp:coreProperties>
</file>